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764BE255-6EC6-4989-9C0F-B9686E55F826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Log'!$A$1:$G$849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5" i="7" l="1"/>
  <c r="B9" i="8"/>
  <c r="B8" i="8"/>
  <c r="B11" i="8"/>
  <c r="B10" i="8"/>
  <c r="B14" i="8"/>
  <c r="B13" i="8"/>
  <c r="B7" i="8"/>
  <c r="J34" i="5"/>
  <c r="E34" i="5"/>
  <c r="O16" i="5"/>
  <c r="J16" i="5"/>
  <c r="E16" i="5"/>
  <c r="F14" i="2"/>
  <c r="F2" i="2" s="1"/>
  <c r="B12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I33" i="12"/>
  <c r="J32" i="12"/>
  <c r="E32" i="12"/>
  <c r="J31" i="12"/>
  <c r="J29" i="12"/>
  <c r="E29" i="12"/>
  <c r="J28" i="12"/>
  <c r="I27" i="12"/>
  <c r="J26" i="12"/>
  <c r="J24" i="12"/>
  <c r="C24" i="12"/>
  <c r="J23" i="12"/>
  <c r="C22" i="12"/>
  <c r="J21" i="12"/>
  <c r="I20" i="12"/>
  <c r="J19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G791" i="10"/>
  <c r="C791" i="10"/>
  <c r="B791" i="10"/>
  <c r="H791" i="10" s="1"/>
  <c r="N790" i="10"/>
  <c r="H790" i="10"/>
  <c r="G790" i="10"/>
  <c r="C790" i="10"/>
  <c r="B790" i="10"/>
  <c r="N789" i="10"/>
  <c r="I789" i="10"/>
  <c r="H789" i="10"/>
  <c r="G789" i="10"/>
  <c r="E789" i="10"/>
  <c r="C789" i="10"/>
  <c r="B789" i="10"/>
  <c r="N788" i="10"/>
  <c r="G788" i="10"/>
  <c r="C788" i="10"/>
  <c r="I788" i="10" s="1"/>
  <c r="B788" i="10"/>
  <c r="H788" i="10" s="1"/>
  <c r="G787" i="10"/>
  <c r="C787" i="10"/>
  <c r="B787" i="10"/>
  <c r="H787" i="10" s="1"/>
  <c r="H786" i="10"/>
  <c r="G786" i="10"/>
  <c r="C786" i="10"/>
  <c r="B786" i="10"/>
  <c r="I785" i="10"/>
  <c r="H785" i="10"/>
  <c r="G785" i="10"/>
  <c r="E785" i="10"/>
  <c r="C785" i="10"/>
  <c r="B785" i="10"/>
  <c r="G784" i="10"/>
  <c r="C784" i="10"/>
  <c r="I784" i="10" s="1"/>
  <c r="B784" i="10"/>
  <c r="H784" i="10" s="1"/>
  <c r="G783" i="10"/>
  <c r="C783" i="10"/>
  <c r="B783" i="10"/>
  <c r="H783" i="10" s="1"/>
  <c r="H782" i="10"/>
  <c r="G782" i="10"/>
  <c r="C782" i="10"/>
  <c r="B782" i="10"/>
  <c r="N781" i="10"/>
  <c r="I781" i="10"/>
  <c r="G781" i="10"/>
  <c r="E781" i="10"/>
  <c r="C781" i="10"/>
  <c r="B781" i="10"/>
  <c r="H781" i="10" s="1"/>
  <c r="N780" i="10"/>
  <c r="G780" i="10"/>
  <c r="C780" i="10"/>
  <c r="I780" i="10" s="1"/>
  <c r="B780" i="10"/>
  <c r="H780" i="10" s="1"/>
  <c r="N779" i="10"/>
  <c r="G779" i="10"/>
  <c r="C779" i="10"/>
  <c r="B779" i="10"/>
  <c r="H779" i="10" s="1"/>
  <c r="N778" i="10"/>
  <c r="H778" i="10"/>
  <c r="G778" i="10"/>
  <c r="C778" i="10"/>
  <c r="B778" i="10"/>
  <c r="N777" i="10"/>
  <c r="I777" i="10"/>
  <c r="G777" i="10"/>
  <c r="E777" i="10"/>
  <c r="C777" i="10"/>
  <c r="B777" i="10"/>
  <c r="H777" i="10" s="1"/>
  <c r="N776" i="10"/>
  <c r="G776" i="10"/>
  <c r="C776" i="10"/>
  <c r="I776" i="10" s="1"/>
  <c r="B776" i="10"/>
  <c r="H776" i="10" s="1"/>
  <c r="N775" i="10"/>
  <c r="G775" i="10"/>
  <c r="C775" i="10"/>
  <c r="B775" i="10"/>
  <c r="H775" i="10" s="1"/>
  <c r="N774" i="10"/>
  <c r="H774" i="10"/>
  <c r="G774" i="10"/>
  <c r="C774" i="10"/>
  <c r="B774" i="10"/>
  <c r="N773" i="10"/>
  <c r="I773" i="10"/>
  <c r="G773" i="10"/>
  <c r="E773" i="10"/>
  <c r="C773" i="10"/>
  <c r="B773" i="10"/>
  <c r="H773" i="10" s="1"/>
  <c r="N772" i="10"/>
  <c r="G772" i="10"/>
  <c r="C772" i="10"/>
  <c r="I772" i="10" s="1"/>
  <c r="B772" i="10"/>
  <c r="H772" i="10" s="1"/>
  <c r="N771" i="10"/>
  <c r="G771" i="10"/>
  <c r="C771" i="10"/>
  <c r="B771" i="10"/>
  <c r="H771" i="10" s="1"/>
  <c r="N770" i="10"/>
  <c r="H770" i="10"/>
  <c r="G770" i="10"/>
  <c r="C770" i="10"/>
  <c r="B770" i="10"/>
  <c r="N769" i="10"/>
  <c r="I769" i="10"/>
  <c r="G769" i="10"/>
  <c r="E769" i="10"/>
  <c r="C769" i="10"/>
  <c r="B769" i="10"/>
  <c r="H769" i="10" s="1"/>
  <c r="N768" i="10"/>
  <c r="G768" i="10"/>
  <c r="C768" i="10"/>
  <c r="I768" i="10" s="1"/>
  <c r="B768" i="10"/>
  <c r="H768" i="10" s="1"/>
  <c r="N767" i="10"/>
  <c r="G767" i="10"/>
  <c r="C767" i="10"/>
  <c r="B767" i="10"/>
  <c r="H767" i="10" s="1"/>
  <c r="N766" i="10"/>
  <c r="H766" i="10"/>
  <c r="G766" i="10"/>
  <c r="C766" i="10"/>
  <c r="B766" i="10"/>
  <c r="N765" i="10"/>
  <c r="I765" i="10"/>
  <c r="G765" i="10"/>
  <c r="E765" i="10"/>
  <c r="C765" i="10"/>
  <c r="B765" i="10"/>
  <c r="H765" i="10" s="1"/>
  <c r="N764" i="10"/>
  <c r="G764" i="10"/>
  <c r="C764" i="10"/>
  <c r="I764" i="10" s="1"/>
  <c r="B764" i="10"/>
  <c r="H764" i="10" s="1"/>
  <c r="N763" i="10"/>
  <c r="G763" i="10"/>
  <c r="C763" i="10"/>
  <c r="B763" i="10"/>
  <c r="H763" i="10" s="1"/>
  <c r="N762" i="10"/>
  <c r="H762" i="10"/>
  <c r="G762" i="10"/>
  <c r="C762" i="10"/>
  <c r="B762" i="10"/>
  <c r="N761" i="10"/>
  <c r="I761" i="10"/>
  <c r="G761" i="10"/>
  <c r="E761" i="10"/>
  <c r="C761" i="10"/>
  <c r="B761" i="10"/>
  <c r="H761" i="10" s="1"/>
  <c r="N760" i="10"/>
  <c r="G760" i="10"/>
  <c r="C760" i="10"/>
  <c r="I760" i="10" s="1"/>
  <c r="B760" i="10"/>
  <c r="H760" i="10" s="1"/>
  <c r="N759" i="10"/>
  <c r="G759" i="10"/>
  <c r="C759" i="10"/>
  <c r="B759" i="10"/>
  <c r="H759" i="10" s="1"/>
  <c r="N758" i="10"/>
  <c r="H758" i="10"/>
  <c r="G758" i="10"/>
  <c r="C758" i="10"/>
  <c r="B758" i="10"/>
  <c r="N757" i="10"/>
  <c r="I757" i="10"/>
  <c r="G757" i="10"/>
  <c r="E757" i="10"/>
  <c r="C757" i="10"/>
  <c r="B757" i="10"/>
  <c r="H757" i="10" s="1"/>
  <c r="N756" i="10"/>
  <c r="G756" i="10"/>
  <c r="C756" i="10"/>
  <c r="I756" i="10" s="1"/>
  <c r="B756" i="10"/>
  <c r="H756" i="10" s="1"/>
  <c r="N755" i="10"/>
  <c r="G755" i="10"/>
  <c r="C755" i="10"/>
  <c r="B755" i="10"/>
  <c r="H755" i="10" s="1"/>
  <c r="N754" i="10"/>
  <c r="H754" i="10"/>
  <c r="G754" i="10"/>
  <c r="C754" i="10"/>
  <c r="B754" i="10"/>
  <c r="N753" i="10"/>
  <c r="I753" i="10"/>
  <c r="G753" i="10"/>
  <c r="E753" i="10"/>
  <c r="C753" i="10"/>
  <c r="B753" i="10"/>
  <c r="H753" i="10" s="1"/>
  <c r="N752" i="10"/>
  <c r="G752" i="10"/>
  <c r="C752" i="10"/>
  <c r="I752" i="10" s="1"/>
  <c r="B752" i="10"/>
  <c r="H752" i="10" s="1"/>
  <c r="N751" i="10"/>
  <c r="G751" i="10"/>
  <c r="C751" i="10"/>
  <c r="B751" i="10"/>
  <c r="H751" i="10" s="1"/>
  <c r="N750" i="10"/>
  <c r="H750" i="10"/>
  <c r="G750" i="10"/>
  <c r="C750" i="10"/>
  <c r="B750" i="10"/>
  <c r="N749" i="10"/>
  <c r="I749" i="10"/>
  <c r="G749" i="10"/>
  <c r="E749" i="10"/>
  <c r="C749" i="10"/>
  <c r="B749" i="10"/>
  <c r="H749" i="10" s="1"/>
  <c r="N748" i="10"/>
  <c r="G748" i="10"/>
  <c r="C748" i="10"/>
  <c r="I748" i="10" s="1"/>
  <c r="B748" i="10"/>
  <c r="H748" i="10" s="1"/>
  <c r="N747" i="10"/>
  <c r="G747" i="10"/>
  <c r="C747" i="10"/>
  <c r="B747" i="10"/>
  <c r="H747" i="10" s="1"/>
  <c r="N746" i="10"/>
  <c r="H746" i="10"/>
  <c r="G746" i="10"/>
  <c r="C746" i="10"/>
  <c r="B746" i="10"/>
  <c r="N745" i="10"/>
  <c r="I745" i="10"/>
  <c r="G745" i="10"/>
  <c r="E745" i="10"/>
  <c r="C745" i="10"/>
  <c r="B745" i="10"/>
  <c r="H745" i="10" s="1"/>
  <c r="N744" i="10"/>
  <c r="G744" i="10"/>
  <c r="C744" i="10"/>
  <c r="I744" i="10" s="1"/>
  <c r="B744" i="10"/>
  <c r="H744" i="10" s="1"/>
  <c r="N743" i="10"/>
  <c r="G743" i="10"/>
  <c r="C743" i="10"/>
  <c r="B743" i="10"/>
  <c r="H743" i="10" s="1"/>
  <c r="N742" i="10"/>
  <c r="H742" i="10"/>
  <c r="G742" i="10"/>
  <c r="C742" i="10"/>
  <c r="B742" i="10"/>
  <c r="N741" i="10"/>
  <c r="I741" i="10"/>
  <c r="G741" i="10"/>
  <c r="E741" i="10"/>
  <c r="C741" i="10"/>
  <c r="B741" i="10"/>
  <c r="H741" i="10" s="1"/>
  <c r="N740" i="10"/>
  <c r="G740" i="10"/>
  <c r="C740" i="10"/>
  <c r="I740" i="10" s="1"/>
  <c r="B740" i="10"/>
  <c r="H740" i="10" s="1"/>
  <c r="N739" i="10"/>
  <c r="G739" i="10"/>
  <c r="C739" i="10"/>
  <c r="B739" i="10"/>
  <c r="H739" i="10" s="1"/>
  <c r="N738" i="10"/>
  <c r="H738" i="10"/>
  <c r="G738" i="10"/>
  <c r="C738" i="10"/>
  <c r="B738" i="10"/>
  <c r="N737" i="10"/>
  <c r="I737" i="10"/>
  <c r="G737" i="10"/>
  <c r="E737" i="10"/>
  <c r="C737" i="10"/>
  <c r="B737" i="10"/>
  <c r="H737" i="10" s="1"/>
  <c r="N736" i="10"/>
  <c r="G736" i="10"/>
  <c r="C736" i="10"/>
  <c r="I736" i="10" s="1"/>
  <c r="B736" i="10"/>
  <c r="H736" i="10" s="1"/>
  <c r="N735" i="10"/>
  <c r="G735" i="10"/>
  <c r="C735" i="10"/>
  <c r="B735" i="10"/>
  <c r="H735" i="10" s="1"/>
  <c r="N734" i="10"/>
  <c r="H734" i="10"/>
  <c r="G734" i="10"/>
  <c r="C734" i="10"/>
  <c r="B734" i="10"/>
  <c r="N733" i="10"/>
  <c r="I733" i="10"/>
  <c r="G733" i="10"/>
  <c r="E733" i="10"/>
  <c r="C733" i="10"/>
  <c r="B733" i="10"/>
  <c r="H733" i="10" s="1"/>
  <c r="N732" i="10"/>
  <c r="G732" i="10"/>
  <c r="C732" i="10"/>
  <c r="I732" i="10" s="1"/>
  <c r="B732" i="10"/>
  <c r="H732" i="10" s="1"/>
  <c r="N731" i="10"/>
  <c r="G731" i="10"/>
  <c r="C731" i="10"/>
  <c r="B731" i="10"/>
  <c r="H731" i="10" s="1"/>
  <c r="N730" i="10"/>
  <c r="H730" i="10"/>
  <c r="G730" i="10"/>
  <c r="C730" i="10"/>
  <c r="B730" i="10"/>
  <c r="N729" i="10"/>
  <c r="I729" i="10"/>
  <c r="G729" i="10"/>
  <c r="E729" i="10"/>
  <c r="C729" i="10"/>
  <c r="B729" i="10"/>
  <c r="H729" i="10" s="1"/>
  <c r="N728" i="10"/>
  <c r="G728" i="10"/>
  <c r="C728" i="10"/>
  <c r="I728" i="10" s="1"/>
  <c r="B728" i="10"/>
  <c r="H728" i="10" s="1"/>
  <c r="N727" i="10"/>
  <c r="G727" i="10"/>
  <c r="C727" i="10"/>
  <c r="B727" i="10"/>
  <c r="H727" i="10" s="1"/>
  <c r="N726" i="10"/>
  <c r="H726" i="10"/>
  <c r="G726" i="10"/>
  <c r="C726" i="10"/>
  <c r="B726" i="10"/>
  <c r="N725" i="10"/>
  <c r="I725" i="10"/>
  <c r="G725" i="10"/>
  <c r="E725" i="10"/>
  <c r="C725" i="10"/>
  <c r="B725" i="10"/>
  <c r="H725" i="10" s="1"/>
  <c r="N724" i="10"/>
  <c r="G724" i="10"/>
  <c r="C724" i="10"/>
  <c r="I724" i="10" s="1"/>
  <c r="B724" i="10"/>
  <c r="H724" i="10" s="1"/>
  <c r="N723" i="10"/>
  <c r="G723" i="10"/>
  <c r="C723" i="10"/>
  <c r="B723" i="10"/>
  <c r="H723" i="10" s="1"/>
  <c r="N722" i="10"/>
  <c r="H722" i="10"/>
  <c r="G722" i="10"/>
  <c r="C722" i="10"/>
  <c r="B722" i="10"/>
  <c r="N721" i="10"/>
  <c r="I721" i="10"/>
  <c r="G721" i="10"/>
  <c r="E721" i="10"/>
  <c r="C721" i="10"/>
  <c r="B721" i="10"/>
  <c r="H721" i="10" s="1"/>
  <c r="N720" i="10"/>
  <c r="G720" i="10"/>
  <c r="C720" i="10"/>
  <c r="I720" i="10" s="1"/>
  <c r="B720" i="10"/>
  <c r="H720" i="10" s="1"/>
  <c r="N719" i="10"/>
  <c r="G719" i="10"/>
  <c r="C719" i="10"/>
  <c r="B719" i="10"/>
  <c r="H719" i="10" s="1"/>
  <c r="N718" i="10"/>
  <c r="H718" i="10"/>
  <c r="G718" i="10"/>
  <c r="C718" i="10"/>
  <c r="B718" i="10"/>
  <c r="N717" i="10"/>
  <c r="I717" i="10"/>
  <c r="G717" i="10"/>
  <c r="E717" i="10"/>
  <c r="C717" i="10"/>
  <c r="B717" i="10"/>
  <c r="H717" i="10" s="1"/>
  <c r="N716" i="10"/>
  <c r="G716" i="10"/>
  <c r="C716" i="10"/>
  <c r="I716" i="10" s="1"/>
  <c r="B716" i="10"/>
  <c r="H716" i="10" s="1"/>
  <c r="N715" i="10"/>
  <c r="G715" i="10"/>
  <c r="C715" i="10"/>
  <c r="B715" i="10"/>
  <c r="H715" i="10" s="1"/>
  <c r="N714" i="10"/>
  <c r="H714" i="10"/>
  <c r="G714" i="10"/>
  <c r="C714" i="10"/>
  <c r="B714" i="10"/>
  <c r="N713" i="10"/>
  <c r="I713" i="10"/>
  <c r="G713" i="10"/>
  <c r="E713" i="10"/>
  <c r="C713" i="10"/>
  <c r="B713" i="10"/>
  <c r="H713" i="10" s="1"/>
  <c r="N712" i="10"/>
  <c r="G712" i="10"/>
  <c r="C712" i="10"/>
  <c r="I712" i="10" s="1"/>
  <c r="B712" i="10"/>
  <c r="H712" i="10" s="1"/>
  <c r="N711" i="10"/>
  <c r="G711" i="10"/>
  <c r="C711" i="10"/>
  <c r="B711" i="10"/>
  <c r="H711" i="10" s="1"/>
  <c r="N710" i="10"/>
  <c r="H710" i="10"/>
  <c r="G710" i="10"/>
  <c r="C710" i="10"/>
  <c r="B710" i="10"/>
  <c r="N709" i="10"/>
  <c r="I709" i="10"/>
  <c r="G709" i="10"/>
  <c r="E709" i="10"/>
  <c r="C709" i="10"/>
  <c r="B709" i="10"/>
  <c r="H709" i="10" s="1"/>
  <c r="N708" i="10"/>
  <c r="G708" i="10"/>
  <c r="C708" i="10"/>
  <c r="I708" i="10" s="1"/>
  <c r="B708" i="10"/>
  <c r="H708" i="10" s="1"/>
  <c r="N707" i="10"/>
  <c r="G707" i="10"/>
  <c r="C707" i="10"/>
  <c r="B707" i="10"/>
  <c r="H707" i="10" s="1"/>
  <c r="N706" i="10"/>
  <c r="H706" i="10"/>
  <c r="G706" i="10"/>
  <c r="C706" i="10"/>
  <c r="B706" i="10"/>
  <c r="N705" i="10"/>
  <c r="I705" i="10"/>
  <c r="G705" i="10"/>
  <c r="E705" i="10"/>
  <c r="C705" i="10"/>
  <c r="B705" i="10"/>
  <c r="H705" i="10" s="1"/>
  <c r="N704" i="10"/>
  <c r="G704" i="10"/>
  <c r="C704" i="10"/>
  <c r="I704" i="10" s="1"/>
  <c r="B704" i="10"/>
  <c r="H704" i="10" s="1"/>
  <c r="N703" i="10"/>
  <c r="G703" i="10"/>
  <c r="C703" i="10"/>
  <c r="B703" i="10"/>
  <c r="H703" i="10" s="1"/>
  <c r="N702" i="10"/>
  <c r="H702" i="10"/>
  <c r="G702" i="10"/>
  <c r="C702" i="10"/>
  <c r="B702" i="10"/>
  <c r="N701" i="10"/>
  <c r="I701" i="10"/>
  <c r="G701" i="10"/>
  <c r="E701" i="10"/>
  <c r="C701" i="10"/>
  <c r="B701" i="10"/>
  <c r="H701" i="10" s="1"/>
  <c r="N700" i="10"/>
  <c r="G700" i="10"/>
  <c r="C700" i="10"/>
  <c r="I700" i="10" s="1"/>
  <c r="B700" i="10"/>
  <c r="H700" i="10" s="1"/>
  <c r="N699" i="10"/>
  <c r="G699" i="10"/>
  <c r="C699" i="10"/>
  <c r="B699" i="10"/>
  <c r="H699" i="10" s="1"/>
  <c r="N698" i="10"/>
  <c r="H698" i="10"/>
  <c r="G698" i="10"/>
  <c r="C698" i="10"/>
  <c r="B698" i="10"/>
  <c r="N697" i="10"/>
  <c r="I697" i="10"/>
  <c r="G697" i="10"/>
  <c r="E697" i="10"/>
  <c r="C697" i="10"/>
  <c r="B697" i="10"/>
  <c r="H697" i="10" s="1"/>
  <c r="N696" i="10"/>
  <c r="G696" i="10"/>
  <c r="C696" i="10"/>
  <c r="I696" i="10" s="1"/>
  <c r="B696" i="10"/>
  <c r="H696" i="10" s="1"/>
  <c r="N695" i="10"/>
  <c r="G695" i="10"/>
  <c r="C695" i="10"/>
  <c r="B695" i="10"/>
  <c r="H695" i="10" s="1"/>
  <c r="N694" i="10"/>
  <c r="H694" i="10"/>
  <c r="G694" i="10"/>
  <c r="C694" i="10"/>
  <c r="B694" i="10"/>
  <c r="N693" i="10"/>
  <c r="I693" i="10"/>
  <c r="G693" i="10"/>
  <c r="E693" i="10"/>
  <c r="C693" i="10"/>
  <c r="B693" i="10"/>
  <c r="H693" i="10" s="1"/>
  <c r="N692" i="10"/>
  <c r="G692" i="10"/>
  <c r="C692" i="10"/>
  <c r="I692" i="10" s="1"/>
  <c r="B692" i="10"/>
  <c r="H692" i="10" s="1"/>
  <c r="N691" i="10"/>
  <c r="G691" i="10"/>
  <c r="C691" i="10"/>
  <c r="B691" i="10"/>
  <c r="H691" i="10" s="1"/>
  <c r="N690" i="10"/>
  <c r="H690" i="10"/>
  <c r="G690" i="10"/>
  <c r="C690" i="10"/>
  <c r="B690" i="10"/>
  <c r="N689" i="10"/>
  <c r="I689" i="10"/>
  <c r="G689" i="10"/>
  <c r="E689" i="10"/>
  <c r="C689" i="10"/>
  <c r="B689" i="10"/>
  <c r="H689" i="10" s="1"/>
  <c r="N688" i="10"/>
  <c r="G688" i="10"/>
  <c r="C688" i="10"/>
  <c r="I688" i="10" s="1"/>
  <c r="B688" i="10"/>
  <c r="H688" i="10" s="1"/>
  <c r="N687" i="10"/>
  <c r="G687" i="10"/>
  <c r="C687" i="10"/>
  <c r="B687" i="10"/>
  <c r="H687" i="10" s="1"/>
  <c r="N686" i="10"/>
  <c r="H686" i="10"/>
  <c r="G686" i="10"/>
  <c r="C686" i="10"/>
  <c r="B686" i="10"/>
  <c r="N685" i="10"/>
  <c r="I685" i="10"/>
  <c r="G685" i="10"/>
  <c r="E685" i="10"/>
  <c r="C685" i="10"/>
  <c r="B685" i="10"/>
  <c r="H685" i="10" s="1"/>
  <c r="N684" i="10"/>
  <c r="G684" i="10"/>
  <c r="C684" i="10"/>
  <c r="I684" i="10" s="1"/>
  <c r="B684" i="10"/>
  <c r="H684" i="10" s="1"/>
  <c r="N683" i="10"/>
  <c r="G683" i="10"/>
  <c r="C683" i="10"/>
  <c r="B683" i="10"/>
  <c r="H683" i="10" s="1"/>
  <c r="N682" i="10"/>
  <c r="H682" i="10"/>
  <c r="G682" i="10"/>
  <c r="C682" i="10"/>
  <c r="B682" i="10"/>
  <c r="N681" i="10"/>
  <c r="I681" i="10"/>
  <c r="G681" i="10"/>
  <c r="E681" i="10"/>
  <c r="C681" i="10"/>
  <c r="B681" i="10"/>
  <c r="H681" i="10" s="1"/>
  <c r="N680" i="10"/>
  <c r="G680" i="10"/>
  <c r="C680" i="10"/>
  <c r="I680" i="10" s="1"/>
  <c r="B680" i="10"/>
  <c r="H680" i="10" s="1"/>
  <c r="N679" i="10"/>
  <c r="G679" i="10"/>
  <c r="C679" i="10"/>
  <c r="B679" i="10"/>
  <c r="H679" i="10" s="1"/>
  <c r="N678" i="10"/>
  <c r="H678" i="10"/>
  <c r="G678" i="10"/>
  <c r="C678" i="10"/>
  <c r="B678" i="10"/>
  <c r="N677" i="10"/>
  <c r="I677" i="10"/>
  <c r="G677" i="10"/>
  <c r="E677" i="10"/>
  <c r="C677" i="10"/>
  <c r="B677" i="10"/>
  <c r="H677" i="10" s="1"/>
  <c r="N676" i="10"/>
  <c r="G676" i="10"/>
  <c r="C676" i="10"/>
  <c r="I676" i="10" s="1"/>
  <c r="B676" i="10"/>
  <c r="H676" i="10" s="1"/>
  <c r="N675" i="10"/>
  <c r="G675" i="10"/>
  <c r="C675" i="10"/>
  <c r="B675" i="10"/>
  <c r="H675" i="10" s="1"/>
  <c r="N674" i="10"/>
  <c r="H674" i="10"/>
  <c r="G674" i="10"/>
  <c r="C674" i="10"/>
  <c r="B674" i="10"/>
  <c r="N673" i="10"/>
  <c r="I673" i="10"/>
  <c r="G673" i="10"/>
  <c r="E673" i="10"/>
  <c r="C673" i="10"/>
  <c r="B673" i="10"/>
  <c r="H673" i="10" s="1"/>
  <c r="N672" i="10"/>
  <c r="G672" i="10"/>
  <c r="C672" i="10"/>
  <c r="I672" i="10" s="1"/>
  <c r="B672" i="10"/>
  <c r="H672" i="10" s="1"/>
  <c r="N671" i="10"/>
  <c r="G671" i="10"/>
  <c r="C671" i="10"/>
  <c r="B671" i="10"/>
  <c r="H671" i="10" s="1"/>
  <c r="N670" i="10"/>
  <c r="H670" i="10"/>
  <c r="G670" i="10"/>
  <c r="C670" i="10"/>
  <c r="B670" i="10"/>
  <c r="N669" i="10"/>
  <c r="I669" i="10"/>
  <c r="G669" i="10"/>
  <c r="E669" i="10"/>
  <c r="C669" i="10"/>
  <c r="B669" i="10"/>
  <c r="H669" i="10" s="1"/>
  <c r="N668" i="10"/>
  <c r="G668" i="10"/>
  <c r="C668" i="10"/>
  <c r="I668" i="10" s="1"/>
  <c r="B668" i="10"/>
  <c r="H668" i="10" s="1"/>
  <c r="N667" i="10"/>
  <c r="G667" i="10"/>
  <c r="C667" i="10"/>
  <c r="B667" i="10"/>
  <c r="H667" i="10" s="1"/>
  <c r="N666" i="10"/>
  <c r="H666" i="10"/>
  <c r="G666" i="10"/>
  <c r="C666" i="10"/>
  <c r="B666" i="10"/>
  <c r="N665" i="10"/>
  <c r="I665" i="10"/>
  <c r="G665" i="10"/>
  <c r="E665" i="10"/>
  <c r="C665" i="10"/>
  <c r="B665" i="10"/>
  <c r="H665" i="10" s="1"/>
  <c r="N664" i="10"/>
  <c r="G664" i="10"/>
  <c r="C664" i="10"/>
  <c r="I664" i="10" s="1"/>
  <c r="B664" i="10"/>
  <c r="H664" i="10" s="1"/>
  <c r="N663" i="10"/>
  <c r="G663" i="10"/>
  <c r="C663" i="10"/>
  <c r="B663" i="10"/>
  <c r="H663" i="10" s="1"/>
  <c r="N662" i="10"/>
  <c r="H662" i="10"/>
  <c r="G662" i="10"/>
  <c r="C662" i="10"/>
  <c r="B662" i="10"/>
  <c r="N661" i="10"/>
  <c r="I661" i="10"/>
  <c r="G661" i="10"/>
  <c r="E661" i="10"/>
  <c r="C661" i="10"/>
  <c r="B661" i="10"/>
  <c r="H661" i="10" s="1"/>
  <c r="N660" i="10"/>
  <c r="G660" i="10"/>
  <c r="C660" i="10"/>
  <c r="I660" i="10" s="1"/>
  <c r="B660" i="10"/>
  <c r="H660" i="10" s="1"/>
  <c r="N659" i="10"/>
  <c r="G659" i="10"/>
  <c r="C659" i="10"/>
  <c r="B659" i="10"/>
  <c r="H659" i="10" s="1"/>
  <c r="N658" i="10"/>
  <c r="H658" i="10"/>
  <c r="G658" i="10"/>
  <c r="C658" i="10"/>
  <c r="B658" i="10"/>
  <c r="N657" i="10"/>
  <c r="I657" i="10"/>
  <c r="G657" i="10"/>
  <c r="E657" i="10"/>
  <c r="C657" i="10"/>
  <c r="B657" i="10"/>
  <c r="H657" i="10" s="1"/>
  <c r="N656" i="10"/>
  <c r="G656" i="10"/>
  <c r="C656" i="10"/>
  <c r="I656" i="10" s="1"/>
  <c r="B656" i="10"/>
  <c r="H656" i="10" s="1"/>
  <c r="N655" i="10"/>
  <c r="G655" i="10"/>
  <c r="C655" i="10"/>
  <c r="B655" i="10"/>
  <c r="H655" i="10" s="1"/>
  <c r="N654" i="10"/>
  <c r="H654" i="10"/>
  <c r="G654" i="10"/>
  <c r="C654" i="10"/>
  <c r="B654" i="10"/>
  <c r="N653" i="10"/>
  <c r="I653" i="10"/>
  <c r="G653" i="10"/>
  <c r="E653" i="10"/>
  <c r="C653" i="10"/>
  <c r="B653" i="10"/>
  <c r="H653" i="10" s="1"/>
  <c r="N652" i="10"/>
  <c r="G652" i="10"/>
  <c r="C652" i="10"/>
  <c r="I652" i="10" s="1"/>
  <c r="B652" i="10"/>
  <c r="H652" i="10" s="1"/>
  <c r="N651" i="10"/>
  <c r="G651" i="10"/>
  <c r="C651" i="10"/>
  <c r="B651" i="10"/>
  <c r="H651" i="10" s="1"/>
  <c r="N650" i="10"/>
  <c r="H650" i="10"/>
  <c r="G650" i="10"/>
  <c r="C650" i="10"/>
  <c r="B650" i="10"/>
  <c r="N649" i="10"/>
  <c r="I649" i="10"/>
  <c r="G649" i="10"/>
  <c r="E649" i="10"/>
  <c r="C649" i="10"/>
  <c r="B649" i="10"/>
  <c r="H649" i="10" s="1"/>
  <c r="N648" i="10"/>
  <c r="G648" i="10"/>
  <c r="C648" i="10"/>
  <c r="I648" i="10" s="1"/>
  <c r="B648" i="10"/>
  <c r="H648" i="10" s="1"/>
  <c r="N647" i="10"/>
  <c r="G647" i="10"/>
  <c r="C647" i="10"/>
  <c r="B647" i="10"/>
  <c r="H647" i="10" s="1"/>
  <c r="N646" i="10"/>
  <c r="H646" i="10"/>
  <c r="G646" i="10"/>
  <c r="C646" i="10"/>
  <c r="B646" i="10"/>
  <c r="N645" i="10"/>
  <c r="I645" i="10"/>
  <c r="G645" i="10"/>
  <c r="E645" i="10"/>
  <c r="C645" i="10"/>
  <c r="B645" i="10"/>
  <c r="H645" i="10" s="1"/>
  <c r="N644" i="10"/>
  <c r="G644" i="10"/>
  <c r="C644" i="10"/>
  <c r="I644" i="10" s="1"/>
  <c r="B644" i="10"/>
  <c r="H644" i="10" s="1"/>
  <c r="N643" i="10"/>
  <c r="G643" i="10"/>
  <c r="C643" i="10"/>
  <c r="B643" i="10"/>
  <c r="H643" i="10" s="1"/>
  <c r="N642" i="10"/>
  <c r="H642" i="10"/>
  <c r="G642" i="10"/>
  <c r="C642" i="10"/>
  <c r="B642" i="10"/>
  <c r="N641" i="10"/>
  <c r="I641" i="10"/>
  <c r="G641" i="10"/>
  <c r="E641" i="10"/>
  <c r="C641" i="10"/>
  <c r="B641" i="10"/>
  <c r="H641" i="10" s="1"/>
  <c r="N640" i="10"/>
  <c r="G640" i="10"/>
  <c r="C640" i="10"/>
  <c r="I640" i="10" s="1"/>
  <c r="B640" i="10"/>
  <c r="H640" i="10" s="1"/>
  <c r="N639" i="10"/>
  <c r="G639" i="10"/>
  <c r="C639" i="10"/>
  <c r="B639" i="10"/>
  <c r="H639" i="10" s="1"/>
  <c r="N638" i="10"/>
  <c r="H638" i="10"/>
  <c r="G638" i="10"/>
  <c r="C638" i="10"/>
  <c r="B638" i="10"/>
  <c r="N637" i="10"/>
  <c r="I637" i="10"/>
  <c r="G637" i="10"/>
  <c r="E637" i="10"/>
  <c r="C637" i="10"/>
  <c r="B637" i="10"/>
  <c r="H637" i="10" s="1"/>
  <c r="N636" i="10"/>
  <c r="G636" i="10"/>
  <c r="C636" i="10"/>
  <c r="I636" i="10" s="1"/>
  <c r="B636" i="10"/>
  <c r="H636" i="10" s="1"/>
  <c r="N635" i="10"/>
  <c r="G635" i="10"/>
  <c r="C635" i="10"/>
  <c r="B635" i="10"/>
  <c r="H635" i="10" s="1"/>
  <c r="N634" i="10"/>
  <c r="H634" i="10"/>
  <c r="G634" i="10"/>
  <c r="C634" i="10"/>
  <c r="B634" i="10"/>
  <c r="N633" i="10"/>
  <c r="I633" i="10"/>
  <c r="G633" i="10"/>
  <c r="E633" i="10"/>
  <c r="C633" i="10"/>
  <c r="B633" i="10"/>
  <c r="H633" i="10" s="1"/>
  <c r="N632" i="10"/>
  <c r="G632" i="10"/>
  <c r="C632" i="10"/>
  <c r="I632" i="10" s="1"/>
  <c r="B632" i="10"/>
  <c r="H632" i="10" s="1"/>
  <c r="N631" i="10"/>
  <c r="G631" i="10"/>
  <c r="C631" i="10"/>
  <c r="B631" i="10"/>
  <c r="H631" i="10" s="1"/>
  <c r="N630" i="10"/>
  <c r="H630" i="10"/>
  <c r="G630" i="10"/>
  <c r="C630" i="10"/>
  <c r="B630" i="10"/>
  <c r="N629" i="10"/>
  <c r="I629" i="10"/>
  <c r="G629" i="10"/>
  <c r="E629" i="10"/>
  <c r="C629" i="10"/>
  <c r="B629" i="10"/>
  <c r="H629" i="10" s="1"/>
  <c r="N628" i="10"/>
  <c r="G628" i="10"/>
  <c r="C628" i="10"/>
  <c r="I628" i="10" s="1"/>
  <c r="B628" i="10"/>
  <c r="H628" i="10" s="1"/>
  <c r="N627" i="10"/>
  <c r="G627" i="10"/>
  <c r="C627" i="10"/>
  <c r="B627" i="10"/>
  <c r="H627" i="10" s="1"/>
  <c r="N626" i="10"/>
  <c r="H626" i="10"/>
  <c r="G626" i="10"/>
  <c r="C626" i="10"/>
  <c r="B626" i="10"/>
  <c r="N625" i="10"/>
  <c r="I625" i="10"/>
  <c r="G625" i="10"/>
  <c r="E625" i="10"/>
  <c r="C625" i="10"/>
  <c r="B625" i="10"/>
  <c r="H625" i="10" s="1"/>
  <c r="N624" i="10"/>
  <c r="G624" i="10"/>
  <c r="C624" i="10"/>
  <c r="I624" i="10" s="1"/>
  <c r="B624" i="10"/>
  <c r="H624" i="10" s="1"/>
  <c r="N623" i="10"/>
  <c r="G623" i="10"/>
  <c r="C623" i="10"/>
  <c r="B623" i="10"/>
  <c r="H623" i="10" s="1"/>
  <c r="N622" i="10"/>
  <c r="H622" i="10"/>
  <c r="G622" i="10"/>
  <c r="C622" i="10"/>
  <c r="B622" i="10"/>
  <c r="N621" i="10"/>
  <c r="I621" i="10"/>
  <c r="G621" i="10"/>
  <c r="E621" i="10"/>
  <c r="C621" i="10"/>
  <c r="B621" i="10"/>
  <c r="H621" i="10" s="1"/>
  <c r="N620" i="10"/>
  <c r="G620" i="10"/>
  <c r="C620" i="10"/>
  <c r="I620" i="10" s="1"/>
  <c r="B620" i="10"/>
  <c r="H620" i="10" s="1"/>
  <c r="N619" i="10"/>
  <c r="G619" i="10"/>
  <c r="C619" i="10"/>
  <c r="B619" i="10"/>
  <c r="H619" i="10" s="1"/>
  <c r="N618" i="10"/>
  <c r="H618" i="10"/>
  <c r="G618" i="10"/>
  <c r="C618" i="10"/>
  <c r="B618" i="10"/>
  <c r="N617" i="10"/>
  <c r="I617" i="10"/>
  <c r="G617" i="10"/>
  <c r="E617" i="10"/>
  <c r="C617" i="10"/>
  <c r="B617" i="10"/>
  <c r="H617" i="10" s="1"/>
  <c r="N616" i="10"/>
  <c r="G616" i="10"/>
  <c r="C616" i="10"/>
  <c r="I616" i="10" s="1"/>
  <c r="B616" i="10"/>
  <c r="H616" i="10" s="1"/>
  <c r="N615" i="10"/>
  <c r="G615" i="10"/>
  <c r="C615" i="10"/>
  <c r="B615" i="10"/>
  <c r="H615" i="10" s="1"/>
  <c r="N614" i="10"/>
  <c r="H614" i="10"/>
  <c r="G614" i="10"/>
  <c r="C614" i="10"/>
  <c r="B614" i="10"/>
  <c r="N613" i="10"/>
  <c r="I613" i="10"/>
  <c r="G613" i="10"/>
  <c r="E613" i="10"/>
  <c r="C613" i="10"/>
  <c r="B613" i="10"/>
  <c r="H613" i="10" s="1"/>
  <c r="N612" i="10"/>
  <c r="G612" i="10"/>
  <c r="C612" i="10"/>
  <c r="I612" i="10" s="1"/>
  <c r="B612" i="10"/>
  <c r="H612" i="10" s="1"/>
  <c r="N611" i="10"/>
  <c r="G611" i="10"/>
  <c r="C611" i="10"/>
  <c r="B611" i="10"/>
  <c r="H611" i="10" s="1"/>
  <c r="N610" i="10"/>
  <c r="H610" i="10"/>
  <c r="G610" i="10"/>
  <c r="C610" i="10"/>
  <c r="B610" i="10"/>
  <c r="N609" i="10"/>
  <c r="I609" i="10"/>
  <c r="G609" i="10"/>
  <c r="E609" i="10"/>
  <c r="C609" i="10"/>
  <c r="B609" i="10"/>
  <c r="H609" i="10" s="1"/>
  <c r="N608" i="10"/>
  <c r="G608" i="10"/>
  <c r="C608" i="10"/>
  <c r="I608" i="10" s="1"/>
  <c r="B608" i="10"/>
  <c r="H608" i="10" s="1"/>
  <c r="N607" i="10"/>
  <c r="G607" i="10"/>
  <c r="C607" i="10"/>
  <c r="B607" i="10"/>
  <c r="H607" i="10" s="1"/>
  <c r="N606" i="10"/>
  <c r="H606" i="10"/>
  <c r="G606" i="10"/>
  <c r="C606" i="10"/>
  <c r="B606" i="10"/>
  <c r="N605" i="10"/>
  <c r="I605" i="10"/>
  <c r="G605" i="10"/>
  <c r="E605" i="10"/>
  <c r="C605" i="10"/>
  <c r="B605" i="10"/>
  <c r="H605" i="10" s="1"/>
  <c r="N604" i="10"/>
  <c r="G604" i="10"/>
  <c r="C604" i="10"/>
  <c r="I604" i="10" s="1"/>
  <c r="B604" i="10"/>
  <c r="H604" i="10" s="1"/>
  <c r="N603" i="10"/>
  <c r="G603" i="10"/>
  <c r="C603" i="10"/>
  <c r="B603" i="10"/>
  <c r="H603" i="10" s="1"/>
  <c r="N602" i="10"/>
  <c r="H602" i="10"/>
  <c r="G602" i="10"/>
  <c r="C602" i="10"/>
  <c r="B602" i="10"/>
  <c r="N601" i="10"/>
  <c r="I601" i="10"/>
  <c r="G601" i="10"/>
  <c r="E601" i="10"/>
  <c r="C601" i="10"/>
  <c r="B601" i="10"/>
  <c r="H601" i="10" s="1"/>
  <c r="N600" i="10"/>
  <c r="G600" i="10"/>
  <c r="C600" i="10"/>
  <c r="I600" i="10" s="1"/>
  <c r="B600" i="10"/>
  <c r="H600" i="10" s="1"/>
  <c r="N599" i="10"/>
  <c r="G599" i="10"/>
  <c r="C599" i="10"/>
  <c r="B599" i="10"/>
  <c r="H599" i="10" s="1"/>
  <c r="N598" i="10"/>
  <c r="H598" i="10"/>
  <c r="G598" i="10"/>
  <c r="C598" i="10"/>
  <c r="B598" i="10"/>
  <c r="N597" i="10"/>
  <c r="I597" i="10"/>
  <c r="G597" i="10"/>
  <c r="E597" i="10"/>
  <c r="C597" i="10"/>
  <c r="B597" i="10"/>
  <c r="H597" i="10" s="1"/>
  <c r="N596" i="10"/>
  <c r="G596" i="10"/>
  <c r="C596" i="10"/>
  <c r="I596" i="10" s="1"/>
  <c r="B596" i="10"/>
  <c r="H596" i="10" s="1"/>
  <c r="N595" i="10"/>
  <c r="G595" i="10"/>
  <c r="C595" i="10"/>
  <c r="B595" i="10"/>
  <c r="H595" i="10" s="1"/>
  <c r="N594" i="10"/>
  <c r="H594" i="10"/>
  <c r="G594" i="10"/>
  <c r="C594" i="10"/>
  <c r="B594" i="10"/>
  <c r="N593" i="10"/>
  <c r="I593" i="10"/>
  <c r="G593" i="10"/>
  <c r="E593" i="10"/>
  <c r="C593" i="10"/>
  <c r="B593" i="10"/>
  <c r="H593" i="10" s="1"/>
  <c r="N592" i="10"/>
  <c r="G592" i="10"/>
  <c r="C592" i="10"/>
  <c r="I592" i="10" s="1"/>
  <c r="B592" i="10"/>
  <c r="H592" i="10" s="1"/>
  <c r="N591" i="10"/>
  <c r="G591" i="10"/>
  <c r="C591" i="10"/>
  <c r="B591" i="10"/>
  <c r="H591" i="10" s="1"/>
  <c r="N590" i="10"/>
  <c r="H590" i="10"/>
  <c r="G590" i="10"/>
  <c r="C590" i="10"/>
  <c r="B590" i="10"/>
  <c r="N589" i="10"/>
  <c r="I589" i="10"/>
  <c r="G589" i="10"/>
  <c r="E589" i="10"/>
  <c r="C589" i="10"/>
  <c r="B589" i="10"/>
  <c r="H589" i="10" s="1"/>
  <c r="N588" i="10"/>
  <c r="G588" i="10"/>
  <c r="C588" i="10"/>
  <c r="I588" i="10" s="1"/>
  <c r="B588" i="10"/>
  <c r="H588" i="10" s="1"/>
  <c r="N587" i="10"/>
  <c r="G587" i="10"/>
  <c r="C587" i="10"/>
  <c r="B587" i="10"/>
  <c r="H587" i="10" s="1"/>
  <c r="N586" i="10"/>
  <c r="H586" i="10"/>
  <c r="G586" i="10"/>
  <c r="C586" i="10"/>
  <c r="B586" i="10"/>
  <c r="N585" i="10"/>
  <c r="I585" i="10"/>
  <c r="G585" i="10"/>
  <c r="E585" i="10"/>
  <c r="C585" i="10"/>
  <c r="B585" i="10"/>
  <c r="H585" i="10" s="1"/>
  <c r="N584" i="10"/>
  <c r="G584" i="10"/>
  <c r="C584" i="10"/>
  <c r="I584" i="10" s="1"/>
  <c r="B584" i="10"/>
  <c r="H584" i="10" s="1"/>
  <c r="N583" i="10"/>
  <c r="G583" i="10"/>
  <c r="C583" i="10"/>
  <c r="B583" i="10"/>
  <c r="H583" i="10" s="1"/>
  <c r="N582" i="10"/>
  <c r="H582" i="10"/>
  <c r="G582" i="10"/>
  <c r="C582" i="10"/>
  <c r="B582" i="10"/>
  <c r="N581" i="10"/>
  <c r="I581" i="10"/>
  <c r="G581" i="10"/>
  <c r="E581" i="10"/>
  <c r="C581" i="10"/>
  <c r="B581" i="10"/>
  <c r="H581" i="10" s="1"/>
  <c r="N580" i="10"/>
  <c r="G580" i="10"/>
  <c r="C580" i="10"/>
  <c r="I580" i="10" s="1"/>
  <c r="B580" i="10"/>
  <c r="H580" i="10" s="1"/>
  <c r="N579" i="10"/>
  <c r="G579" i="10"/>
  <c r="C579" i="10"/>
  <c r="B579" i="10"/>
  <c r="H579" i="10" s="1"/>
  <c r="N578" i="10"/>
  <c r="H578" i="10"/>
  <c r="G578" i="10"/>
  <c r="C578" i="10"/>
  <c r="B578" i="10"/>
  <c r="N577" i="10"/>
  <c r="I577" i="10"/>
  <c r="G577" i="10"/>
  <c r="E577" i="10"/>
  <c r="C577" i="10"/>
  <c r="B577" i="10"/>
  <c r="H577" i="10" s="1"/>
  <c r="N576" i="10"/>
  <c r="G576" i="10"/>
  <c r="C576" i="10"/>
  <c r="I576" i="10" s="1"/>
  <c r="B576" i="10"/>
  <c r="H576" i="10" s="1"/>
  <c r="N575" i="10"/>
  <c r="G575" i="10"/>
  <c r="C575" i="10"/>
  <c r="B575" i="10"/>
  <c r="H575" i="10" s="1"/>
  <c r="N574" i="10"/>
  <c r="H574" i="10"/>
  <c r="G574" i="10"/>
  <c r="C574" i="10"/>
  <c r="B574" i="10"/>
  <c r="N573" i="10"/>
  <c r="I573" i="10"/>
  <c r="G573" i="10"/>
  <c r="E573" i="10"/>
  <c r="C573" i="10"/>
  <c r="B573" i="10"/>
  <c r="H573" i="10" s="1"/>
  <c r="N572" i="10"/>
  <c r="G572" i="10"/>
  <c r="C572" i="10"/>
  <c r="I572" i="10" s="1"/>
  <c r="B572" i="10"/>
  <c r="H572" i="10" s="1"/>
  <c r="N571" i="10"/>
  <c r="G571" i="10"/>
  <c r="C571" i="10"/>
  <c r="B571" i="10"/>
  <c r="H571" i="10" s="1"/>
  <c r="N570" i="10"/>
  <c r="H570" i="10"/>
  <c r="G570" i="10"/>
  <c r="C570" i="10"/>
  <c r="B570" i="10"/>
  <c r="N569" i="10"/>
  <c r="I569" i="10"/>
  <c r="G569" i="10"/>
  <c r="E569" i="10"/>
  <c r="C569" i="10"/>
  <c r="B569" i="10"/>
  <c r="H569" i="10" s="1"/>
  <c r="N568" i="10"/>
  <c r="G568" i="10"/>
  <c r="C568" i="10"/>
  <c r="I568" i="10" s="1"/>
  <c r="B568" i="10"/>
  <c r="H568" i="10" s="1"/>
  <c r="N567" i="10"/>
  <c r="G567" i="10"/>
  <c r="C567" i="10"/>
  <c r="B567" i="10"/>
  <c r="H567" i="10" s="1"/>
  <c r="N566" i="10"/>
  <c r="H566" i="10"/>
  <c r="G566" i="10"/>
  <c r="C566" i="10"/>
  <c r="B566" i="10"/>
  <c r="N565" i="10"/>
  <c r="I565" i="10"/>
  <c r="G565" i="10"/>
  <c r="E565" i="10"/>
  <c r="C565" i="10"/>
  <c r="B565" i="10"/>
  <c r="H565" i="10" s="1"/>
  <c r="N564" i="10"/>
  <c r="G564" i="10"/>
  <c r="C564" i="10"/>
  <c r="I564" i="10" s="1"/>
  <c r="B564" i="10"/>
  <c r="H564" i="10" s="1"/>
  <c r="N563" i="10"/>
  <c r="G563" i="10"/>
  <c r="C563" i="10"/>
  <c r="B563" i="10"/>
  <c r="H563" i="10" s="1"/>
  <c r="N562" i="10"/>
  <c r="H562" i="10"/>
  <c r="G562" i="10"/>
  <c r="C562" i="10"/>
  <c r="B562" i="10"/>
  <c r="N561" i="10"/>
  <c r="I561" i="10"/>
  <c r="G561" i="10"/>
  <c r="E561" i="10"/>
  <c r="C561" i="10"/>
  <c r="B561" i="10"/>
  <c r="H561" i="10" s="1"/>
  <c r="N560" i="10"/>
  <c r="G560" i="10"/>
  <c r="C560" i="10"/>
  <c r="I560" i="10" s="1"/>
  <c r="B560" i="10"/>
  <c r="H560" i="10" s="1"/>
  <c r="N559" i="10"/>
  <c r="G559" i="10"/>
  <c r="C559" i="10"/>
  <c r="B559" i="10"/>
  <c r="H559" i="10" s="1"/>
  <c r="N558" i="10"/>
  <c r="H558" i="10"/>
  <c r="G558" i="10"/>
  <c r="C558" i="10"/>
  <c r="B558" i="10"/>
  <c r="N557" i="10"/>
  <c r="I557" i="10"/>
  <c r="G557" i="10"/>
  <c r="E557" i="10"/>
  <c r="C557" i="10"/>
  <c r="B557" i="10"/>
  <c r="H557" i="10" s="1"/>
  <c r="N556" i="10"/>
  <c r="G556" i="10"/>
  <c r="C556" i="10"/>
  <c r="I556" i="10" s="1"/>
  <c r="B556" i="10"/>
  <c r="H556" i="10" s="1"/>
  <c r="N555" i="10"/>
  <c r="G555" i="10"/>
  <c r="C555" i="10"/>
  <c r="B555" i="10"/>
  <c r="H555" i="10" s="1"/>
  <c r="N554" i="10"/>
  <c r="H554" i="10"/>
  <c r="G554" i="10"/>
  <c r="C554" i="10"/>
  <c r="B554" i="10"/>
  <c r="N553" i="10"/>
  <c r="I553" i="10"/>
  <c r="G553" i="10"/>
  <c r="E553" i="10"/>
  <c r="C553" i="10"/>
  <c r="B553" i="10"/>
  <c r="H553" i="10" s="1"/>
  <c r="N552" i="10"/>
  <c r="G552" i="10"/>
  <c r="C552" i="10"/>
  <c r="I552" i="10" s="1"/>
  <c r="B552" i="10"/>
  <c r="H552" i="10" s="1"/>
  <c r="N551" i="10"/>
  <c r="G551" i="10"/>
  <c r="C551" i="10"/>
  <c r="B551" i="10"/>
  <c r="H551" i="10" s="1"/>
  <c r="N550" i="10"/>
  <c r="H550" i="10"/>
  <c r="G550" i="10"/>
  <c r="C550" i="10"/>
  <c r="B550" i="10"/>
  <c r="N549" i="10"/>
  <c r="I549" i="10"/>
  <c r="G549" i="10"/>
  <c r="E549" i="10"/>
  <c r="C549" i="10"/>
  <c r="B549" i="10"/>
  <c r="H549" i="10" s="1"/>
  <c r="N548" i="10"/>
  <c r="G548" i="10"/>
  <c r="C548" i="10"/>
  <c r="I548" i="10" s="1"/>
  <c r="B548" i="10"/>
  <c r="H548" i="10" s="1"/>
  <c r="N547" i="10"/>
  <c r="G547" i="10"/>
  <c r="C547" i="10"/>
  <c r="B547" i="10"/>
  <c r="H547" i="10" s="1"/>
  <c r="N546" i="10"/>
  <c r="H546" i="10"/>
  <c r="G546" i="10"/>
  <c r="C546" i="10"/>
  <c r="B546" i="10"/>
  <c r="N545" i="10"/>
  <c r="I545" i="10"/>
  <c r="G545" i="10"/>
  <c r="E545" i="10"/>
  <c r="C545" i="10"/>
  <c r="B545" i="10"/>
  <c r="H545" i="10" s="1"/>
  <c r="N544" i="10"/>
  <c r="G544" i="10"/>
  <c r="C544" i="10"/>
  <c r="I544" i="10" s="1"/>
  <c r="B544" i="10"/>
  <c r="H544" i="10" s="1"/>
  <c r="N543" i="10"/>
  <c r="G543" i="10"/>
  <c r="C543" i="10"/>
  <c r="B543" i="10"/>
  <c r="H543" i="10" s="1"/>
  <c r="N542" i="10"/>
  <c r="H542" i="10"/>
  <c r="G542" i="10"/>
  <c r="C542" i="10"/>
  <c r="B542" i="10"/>
  <c r="N541" i="10"/>
  <c r="I541" i="10"/>
  <c r="G541" i="10"/>
  <c r="E541" i="10"/>
  <c r="C541" i="10"/>
  <c r="B541" i="10"/>
  <c r="H541" i="10" s="1"/>
  <c r="N540" i="10"/>
  <c r="G540" i="10"/>
  <c r="C540" i="10"/>
  <c r="I540" i="10" s="1"/>
  <c r="B540" i="10"/>
  <c r="H540" i="10" s="1"/>
  <c r="N539" i="10"/>
  <c r="G539" i="10"/>
  <c r="C539" i="10"/>
  <c r="B539" i="10"/>
  <c r="H539" i="10" s="1"/>
  <c r="N538" i="10"/>
  <c r="H538" i="10"/>
  <c r="G538" i="10"/>
  <c r="C538" i="10"/>
  <c r="B538" i="10"/>
  <c r="N537" i="10"/>
  <c r="I537" i="10"/>
  <c r="G537" i="10"/>
  <c r="E537" i="10"/>
  <c r="C537" i="10"/>
  <c r="B537" i="10"/>
  <c r="H537" i="10" s="1"/>
  <c r="N536" i="10"/>
  <c r="G536" i="10"/>
  <c r="C536" i="10"/>
  <c r="I536" i="10" s="1"/>
  <c r="B536" i="10"/>
  <c r="H536" i="10" s="1"/>
  <c r="N535" i="10"/>
  <c r="G535" i="10"/>
  <c r="C535" i="10"/>
  <c r="B535" i="10"/>
  <c r="H535" i="10" s="1"/>
  <c r="N534" i="10"/>
  <c r="H534" i="10"/>
  <c r="G534" i="10"/>
  <c r="C534" i="10"/>
  <c r="B534" i="10"/>
  <c r="N533" i="10"/>
  <c r="I533" i="10"/>
  <c r="H533" i="10"/>
  <c r="G533" i="10"/>
  <c r="E533" i="10"/>
  <c r="C533" i="10"/>
  <c r="B533" i="10"/>
  <c r="N532" i="10"/>
  <c r="G532" i="10"/>
  <c r="C532" i="10"/>
  <c r="I532" i="10" s="1"/>
  <c r="B532" i="10"/>
  <c r="H532" i="10" s="1"/>
  <c r="N531" i="10"/>
  <c r="G531" i="10"/>
  <c r="C531" i="10"/>
  <c r="B531" i="10"/>
  <c r="H531" i="10" s="1"/>
  <c r="N530" i="10"/>
  <c r="H530" i="10"/>
  <c r="G530" i="10"/>
  <c r="C530" i="10"/>
  <c r="B530" i="10"/>
  <c r="N529" i="10"/>
  <c r="I529" i="10"/>
  <c r="H529" i="10"/>
  <c r="G529" i="10"/>
  <c r="E529" i="10"/>
  <c r="C529" i="10"/>
  <c r="B529" i="10"/>
  <c r="N528" i="10"/>
  <c r="G528" i="10"/>
  <c r="C528" i="10"/>
  <c r="I528" i="10" s="1"/>
  <c r="B528" i="10"/>
  <c r="H528" i="10" s="1"/>
  <c r="N527" i="10"/>
  <c r="G527" i="10"/>
  <c r="C527" i="10"/>
  <c r="B527" i="10"/>
  <c r="H527" i="10" s="1"/>
  <c r="N526" i="10"/>
  <c r="H526" i="10"/>
  <c r="G526" i="10"/>
  <c r="C526" i="10"/>
  <c r="B526" i="10"/>
  <c r="N525" i="10"/>
  <c r="I525" i="10"/>
  <c r="H525" i="10"/>
  <c r="G525" i="10"/>
  <c r="E525" i="10"/>
  <c r="C525" i="10"/>
  <c r="B525" i="10"/>
  <c r="N524" i="10"/>
  <c r="G524" i="10"/>
  <c r="C524" i="10"/>
  <c r="I524" i="10" s="1"/>
  <c r="B524" i="10"/>
  <c r="H524" i="10" s="1"/>
  <c r="N523" i="10"/>
  <c r="G523" i="10"/>
  <c r="C523" i="10"/>
  <c r="B523" i="10"/>
  <c r="H523" i="10" s="1"/>
  <c r="N522" i="10"/>
  <c r="H522" i="10"/>
  <c r="G522" i="10"/>
  <c r="C522" i="10"/>
  <c r="B522" i="10"/>
  <c r="N521" i="10"/>
  <c r="I521" i="10"/>
  <c r="G521" i="10"/>
  <c r="E521" i="10"/>
  <c r="C521" i="10"/>
  <c r="B521" i="10"/>
  <c r="H521" i="10" s="1"/>
  <c r="N520" i="10"/>
  <c r="G520" i="10"/>
  <c r="C520" i="10"/>
  <c r="I520" i="10" s="1"/>
  <c r="B520" i="10"/>
  <c r="H520" i="10" s="1"/>
  <c r="N519" i="10"/>
  <c r="G519" i="10"/>
  <c r="C519" i="10"/>
  <c r="B519" i="10"/>
  <c r="H519" i="10" s="1"/>
  <c r="N518" i="10"/>
  <c r="H518" i="10"/>
  <c r="G518" i="10"/>
  <c r="C518" i="10"/>
  <c r="B518" i="10"/>
  <c r="N517" i="10"/>
  <c r="I517" i="10"/>
  <c r="H517" i="10"/>
  <c r="G517" i="10"/>
  <c r="E517" i="10"/>
  <c r="C517" i="10"/>
  <c r="B517" i="10"/>
  <c r="N516" i="10"/>
  <c r="G516" i="10"/>
  <c r="C516" i="10"/>
  <c r="I516" i="10" s="1"/>
  <c r="B516" i="10"/>
  <c r="H516" i="10" s="1"/>
  <c r="N515" i="10"/>
  <c r="G515" i="10"/>
  <c r="C515" i="10"/>
  <c r="B515" i="10"/>
  <c r="H515" i="10" s="1"/>
  <c r="N514" i="10"/>
  <c r="H514" i="10"/>
  <c r="G514" i="10"/>
  <c r="C514" i="10"/>
  <c r="B514" i="10"/>
  <c r="N513" i="10"/>
  <c r="I513" i="10"/>
  <c r="H513" i="10"/>
  <c r="G513" i="10"/>
  <c r="E513" i="10"/>
  <c r="C513" i="10"/>
  <c r="B513" i="10"/>
  <c r="N512" i="10"/>
  <c r="G512" i="10"/>
  <c r="C512" i="10"/>
  <c r="I512" i="10" s="1"/>
  <c r="B512" i="10"/>
  <c r="H512" i="10" s="1"/>
  <c r="N511" i="10"/>
  <c r="G511" i="10"/>
  <c r="C511" i="10"/>
  <c r="B511" i="10"/>
  <c r="H511" i="10" s="1"/>
  <c r="N510" i="10"/>
  <c r="H510" i="10"/>
  <c r="G510" i="10"/>
  <c r="C510" i="10"/>
  <c r="B510" i="10"/>
  <c r="N509" i="10"/>
  <c r="I509" i="10"/>
  <c r="H509" i="10"/>
  <c r="G509" i="10"/>
  <c r="E509" i="10"/>
  <c r="C509" i="10"/>
  <c r="B509" i="10"/>
  <c r="N508" i="10"/>
  <c r="I508" i="10"/>
  <c r="G508" i="10"/>
  <c r="E508" i="10"/>
  <c r="C508" i="10"/>
  <c r="B508" i="10"/>
  <c r="H508" i="10" s="1"/>
  <c r="N507" i="10"/>
  <c r="G507" i="10"/>
  <c r="C507" i="10"/>
  <c r="B507" i="10"/>
  <c r="H507" i="10" s="1"/>
  <c r="N506" i="10"/>
  <c r="H506" i="10"/>
  <c r="G506" i="10"/>
  <c r="C506" i="10"/>
  <c r="B506" i="10"/>
  <c r="N505" i="10"/>
  <c r="I505" i="10"/>
  <c r="H505" i="10"/>
  <c r="G505" i="10"/>
  <c r="E505" i="10"/>
  <c r="C505" i="10"/>
  <c r="B505" i="10"/>
  <c r="N504" i="10"/>
  <c r="I504" i="10"/>
  <c r="G504" i="10"/>
  <c r="E504" i="10"/>
  <c r="C504" i="10"/>
  <c r="B504" i="10"/>
  <c r="H504" i="10" s="1"/>
  <c r="N503" i="10"/>
  <c r="G503" i="10"/>
  <c r="C503" i="10"/>
  <c r="B503" i="10"/>
  <c r="H503" i="10" s="1"/>
  <c r="N502" i="10"/>
  <c r="H502" i="10"/>
  <c r="G502" i="10"/>
  <c r="C502" i="10"/>
  <c r="B502" i="10"/>
  <c r="N501" i="10"/>
  <c r="I501" i="10"/>
  <c r="H501" i="10"/>
  <c r="G501" i="10"/>
  <c r="E501" i="10"/>
  <c r="C501" i="10"/>
  <c r="B501" i="10"/>
  <c r="N500" i="10"/>
  <c r="I500" i="10"/>
  <c r="G500" i="10"/>
  <c r="E500" i="10"/>
  <c r="C500" i="10"/>
  <c r="B500" i="10"/>
  <c r="H500" i="10" s="1"/>
  <c r="N499" i="10"/>
  <c r="G499" i="10"/>
  <c r="C499" i="10"/>
  <c r="B499" i="10"/>
  <c r="H499" i="10" s="1"/>
  <c r="N498" i="10"/>
  <c r="H498" i="10"/>
  <c r="G498" i="10"/>
  <c r="C498" i="10"/>
  <c r="B498" i="10"/>
  <c r="N497" i="10"/>
  <c r="I497" i="10"/>
  <c r="H497" i="10"/>
  <c r="G497" i="10"/>
  <c r="E497" i="10"/>
  <c r="C497" i="10"/>
  <c r="B497" i="10"/>
  <c r="N496" i="10"/>
  <c r="I496" i="10"/>
  <c r="G496" i="10"/>
  <c r="E496" i="10"/>
  <c r="C496" i="10"/>
  <c r="B496" i="10"/>
  <c r="H496" i="10" s="1"/>
  <c r="N495" i="10"/>
  <c r="G495" i="10"/>
  <c r="C495" i="10"/>
  <c r="B495" i="10"/>
  <c r="H495" i="10" s="1"/>
  <c r="N494" i="10"/>
  <c r="H494" i="10"/>
  <c r="G494" i="10"/>
  <c r="C494" i="10"/>
  <c r="B494" i="10"/>
  <c r="N493" i="10"/>
  <c r="I493" i="10"/>
  <c r="H493" i="10"/>
  <c r="G493" i="10"/>
  <c r="E493" i="10"/>
  <c r="C493" i="10"/>
  <c r="B493" i="10"/>
  <c r="N492" i="10"/>
  <c r="I492" i="10"/>
  <c r="G492" i="10"/>
  <c r="E492" i="10"/>
  <c r="C492" i="10"/>
  <c r="B492" i="10"/>
  <c r="H492" i="10" s="1"/>
  <c r="N491" i="10"/>
  <c r="G491" i="10"/>
  <c r="C491" i="10"/>
  <c r="B491" i="10"/>
  <c r="H491" i="10" s="1"/>
  <c r="N490" i="10"/>
  <c r="H490" i="10"/>
  <c r="G490" i="10"/>
  <c r="C490" i="10"/>
  <c r="B490" i="10"/>
  <c r="N489" i="10"/>
  <c r="I489" i="10"/>
  <c r="H489" i="10"/>
  <c r="G489" i="10"/>
  <c r="E489" i="10"/>
  <c r="C489" i="10"/>
  <c r="B489" i="10"/>
  <c r="N488" i="10"/>
  <c r="I488" i="10"/>
  <c r="G488" i="10"/>
  <c r="E488" i="10"/>
  <c r="C488" i="10"/>
  <c r="B488" i="10"/>
  <c r="H488" i="10" s="1"/>
  <c r="N487" i="10"/>
  <c r="G487" i="10"/>
  <c r="C487" i="10"/>
  <c r="B487" i="10"/>
  <c r="H487" i="10" s="1"/>
  <c r="N486" i="10"/>
  <c r="H486" i="10"/>
  <c r="G486" i="10"/>
  <c r="C486" i="10"/>
  <c r="B486" i="10"/>
  <c r="N485" i="10"/>
  <c r="I485" i="10"/>
  <c r="H485" i="10"/>
  <c r="G485" i="10"/>
  <c r="E485" i="10"/>
  <c r="C485" i="10"/>
  <c r="B485" i="10"/>
  <c r="N484" i="10"/>
  <c r="I484" i="10"/>
  <c r="G484" i="10"/>
  <c r="E484" i="10"/>
  <c r="C484" i="10"/>
  <c r="B484" i="10"/>
  <c r="H484" i="10" s="1"/>
  <c r="N483" i="10"/>
  <c r="G483" i="10"/>
  <c r="C483" i="10"/>
  <c r="B483" i="10"/>
  <c r="H483" i="10" s="1"/>
  <c r="N482" i="10"/>
  <c r="H482" i="10"/>
  <c r="G482" i="10"/>
  <c r="C482" i="10"/>
  <c r="B482" i="10"/>
  <c r="N481" i="10"/>
  <c r="I481" i="10"/>
  <c r="H481" i="10"/>
  <c r="G481" i="10"/>
  <c r="E481" i="10"/>
  <c r="C481" i="10"/>
  <c r="B481" i="10"/>
  <c r="N480" i="10"/>
  <c r="I480" i="10"/>
  <c r="G480" i="10"/>
  <c r="E480" i="10"/>
  <c r="C480" i="10"/>
  <c r="B480" i="10"/>
  <c r="H480" i="10" s="1"/>
  <c r="N479" i="10"/>
  <c r="G479" i="10"/>
  <c r="C479" i="10"/>
  <c r="B479" i="10"/>
  <c r="H479" i="10" s="1"/>
  <c r="N478" i="10"/>
  <c r="H478" i="10"/>
  <c r="G478" i="10"/>
  <c r="C478" i="10"/>
  <c r="B478" i="10"/>
  <c r="N477" i="10"/>
  <c r="I477" i="10"/>
  <c r="H477" i="10"/>
  <c r="G477" i="10"/>
  <c r="E477" i="10"/>
  <c r="C477" i="10"/>
  <c r="B477" i="10"/>
  <c r="N476" i="10"/>
  <c r="I476" i="10"/>
  <c r="G476" i="10"/>
  <c r="E476" i="10"/>
  <c r="C476" i="10"/>
  <c r="B476" i="10"/>
  <c r="H476" i="10" s="1"/>
  <c r="N475" i="10"/>
  <c r="G475" i="10"/>
  <c r="C475" i="10"/>
  <c r="B475" i="10"/>
  <c r="H475" i="10" s="1"/>
  <c r="N474" i="10"/>
  <c r="H474" i="10"/>
  <c r="G474" i="10"/>
  <c r="C474" i="10"/>
  <c r="B474" i="10"/>
  <c r="N473" i="10"/>
  <c r="I473" i="10"/>
  <c r="H473" i="10"/>
  <c r="G473" i="10"/>
  <c r="E473" i="10"/>
  <c r="C473" i="10"/>
  <c r="B473" i="10"/>
  <c r="N472" i="10"/>
  <c r="I472" i="10"/>
  <c r="G472" i="10"/>
  <c r="E472" i="10"/>
  <c r="C472" i="10"/>
  <c r="B472" i="10"/>
  <c r="H472" i="10" s="1"/>
  <c r="N471" i="10"/>
  <c r="G471" i="10"/>
  <c r="C471" i="10"/>
  <c r="B471" i="10"/>
  <c r="H471" i="10" s="1"/>
  <c r="N470" i="10"/>
  <c r="H470" i="10"/>
  <c r="G470" i="10"/>
  <c r="C470" i="10"/>
  <c r="B470" i="10"/>
  <c r="N469" i="10"/>
  <c r="I469" i="10"/>
  <c r="H469" i="10"/>
  <c r="G469" i="10"/>
  <c r="E469" i="10"/>
  <c r="C469" i="10"/>
  <c r="B469" i="10"/>
  <c r="N468" i="10"/>
  <c r="I468" i="10"/>
  <c r="G468" i="10"/>
  <c r="E468" i="10"/>
  <c r="C468" i="10"/>
  <c r="B468" i="10"/>
  <c r="H468" i="10" s="1"/>
  <c r="N467" i="10"/>
  <c r="G467" i="10"/>
  <c r="C467" i="10"/>
  <c r="B467" i="10"/>
  <c r="H467" i="10" s="1"/>
  <c r="N466" i="10"/>
  <c r="H466" i="10"/>
  <c r="G466" i="10"/>
  <c r="C466" i="10"/>
  <c r="B466" i="10"/>
  <c r="N465" i="10"/>
  <c r="I465" i="10"/>
  <c r="H465" i="10"/>
  <c r="G465" i="10"/>
  <c r="E465" i="10"/>
  <c r="C465" i="10"/>
  <c r="B465" i="10"/>
  <c r="N464" i="10"/>
  <c r="I464" i="10"/>
  <c r="G464" i="10"/>
  <c r="E464" i="10"/>
  <c r="C464" i="10"/>
  <c r="B464" i="10"/>
  <c r="H464" i="10" s="1"/>
  <c r="N463" i="10"/>
  <c r="G463" i="10"/>
  <c r="C463" i="10"/>
  <c r="B463" i="10"/>
  <c r="H463" i="10" s="1"/>
  <c r="N462" i="10"/>
  <c r="H462" i="10"/>
  <c r="G462" i="10"/>
  <c r="C462" i="10"/>
  <c r="B462" i="10"/>
  <c r="N461" i="10"/>
  <c r="I461" i="10"/>
  <c r="H461" i="10"/>
  <c r="G461" i="10"/>
  <c r="E461" i="10"/>
  <c r="C461" i="10"/>
  <c r="B461" i="10"/>
  <c r="N460" i="10"/>
  <c r="I460" i="10"/>
  <c r="G460" i="10"/>
  <c r="E460" i="10"/>
  <c r="C460" i="10"/>
  <c r="B460" i="10"/>
  <c r="H460" i="10" s="1"/>
  <c r="N459" i="10"/>
  <c r="G459" i="10"/>
  <c r="C459" i="10"/>
  <c r="B459" i="10"/>
  <c r="H459" i="10" s="1"/>
  <c r="N458" i="10"/>
  <c r="H458" i="10"/>
  <c r="G458" i="10"/>
  <c r="C458" i="10"/>
  <c r="B458" i="10"/>
  <c r="N457" i="10"/>
  <c r="I457" i="10"/>
  <c r="H457" i="10"/>
  <c r="G457" i="10"/>
  <c r="E457" i="10"/>
  <c r="C457" i="10"/>
  <c r="B457" i="10"/>
  <c r="N456" i="10"/>
  <c r="I456" i="10"/>
  <c r="G456" i="10"/>
  <c r="E456" i="10"/>
  <c r="C456" i="10"/>
  <c r="B456" i="10"/>
  <c r="H456" i="10" s="1"/>
  <c r="N455" i="10"/>
  <c r="G455" i="10"/>
  <c r="C455" i="10"/>
  <c r="B455" i="10"/>
  <c r="H455" i="10" s="1"/>
  <c r="N454" i="10"/>
  <c r="H454" i="10"/>
  <c r="G454" i="10"/>
  <c r="C454" i="10"/>
  <c r="B454" i="10"/>
  <c r="N453" i="10"/>
  <c r="I453" i="10"/>
  <c r="H453" i="10"/>
  <c r="G453" i="10"/>
  <c r="E453" i="10"/>
  <c r="C453" i="10"/>
  <c r="B453" i="10"/>
  <c r="N452" i="10"/>
  <c r="I452" i="10"/>
  <c r="G452" i="10"/>
  <c r="E452" i="10"/>
  <c r="C452" i="10"/>
  <c r="B452" i="10"/>
  <c r="H452" i="10" s="1"/>
  <c r="N451" i="10"/>
  <c r="G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G353" i="10"/>
  <c r="E353" i="10"/>
  <c r="C353" i="10"/>
  <c r="B353" i="10"/>
  <c r="H353" i="10" s="1"/>
  <c r="N352" i="10"/>
  <c r="H352" i="10"/>
  <c r="G352" i="10"/>
  <c r="C352" i="10"/>
  <c r="I352" i="10" s="1"/>
  <c r="B352" i="10"/>
  <c r="N351" i="10"/>
  <c r="I351" i="10"/>
  <c r="G351" i="10"/>
  <c r="E351" i="10"/>
  <c r="C351" i="10"/>
  <c r="B351" i="10"/>
  <c r="H351" i="10" s="1"/>
  <c r="N350" i="10"/>
  <c r="H350" i="10"/>
  <c r="G350" i="10"/>
  <c r="C350" i="10"/>
  <c r="B350" i="10"/>
  <c r="N349" i="10"/>
  <c r="I349" i="10"/>
  <c r="G349" i="10"/>
  <c r="E349" i="10"/>
  <c r="C349" i="10"/>
  <c r="B349" i="10"/>
  <c r="H349" i="10" s="1"/>
  <c r="N348" i="10"/>
  <c r="H348" i="10"/>
  <c r="G348" i="10"/>
  <c r="C348" i="10"/>
  <c r="I348" i="10" s="1"/>
  <c r="B348" i="10"/>
  <c r="N347" i="10"/>
  <c r="I347" i="10"/>
  <c r="G347" i="10"/>
  <c r="E347" i="10"/>
  <c r="C347" i="10"/>
  <c r="B347" i="10"/>
  <c r="H347" i="10" s="1"/>
  <c r="H346" i="10"/>
  <c r="G346" i="10"/>
  <c r="C346" i="10"/>
  <c r="B346" i="10"/>
  <c r="I345" i="10"/>
  <c r="G345" i="10"/>
  <c r="E345" i="10"/>
  <c r="C345" i="10"/>
  <c r="B345" i="10"/>
  <c r="H345" i="10" s="1"/>
  <c r="H344" i="10"/>
  <c r="G344" i="10"/>
  <c r="C344" i="10"/>
  <c r="I344" i="10" s="1"/>
  <c r="B344" i="10"/>
  <c r="I343" i="10"/>
  <c r="G343" i="10"/>
  <c r="E343" i="10"/>
  <c r="C343" i="10"/>
  <c r="B343" i="10"/>
  <c r="H343" i="10" s="1"/>
  <c r="H342" i="10"/>
  <c r="G342" i="10"/>
  <c r="C342" i="10"/>
  <c r="B342" i="10"/>
  <c r="I341" i="10"/>
  <c r="G341" i="10"/>
  <c r="E341" i="10"/>
  <c r="C341" i="10"/>
  <c r="B341" i="10"/>
  <c r="H341" i="10" s="1"/>
  <c r="H340" i="10"/>
  <c r="G340" i="10"/>
  <c r="C340" i="10"/>
  <c r="I340" i="10" s="1"/>
  <c r="B340" i="10"/>
  <c r="I339" i="10"/>
  <c r="G339" i="10"/>
  <c r="E339" i="10"/>
  <c r="C339" i="10"/>
  <c r="B339" i="10"/>
  <c r="H339" i="10" s="1"/>
  <c r="H338" i="10"/>
  <c r="G338" i="10"/>
  <c r="C338" i="10"/>
  <c r="B338" i="10"/>
  <c r="I337" i="10"/>
  <c r="G337" i="10"/>
  <c r="E337" i="10"/>
  <c r="C337" i="10"/>
  <c r="B337" i="10"/>
  <c r="H337" i="10" s="1"/>
  <c r="H336" i="10"/>
  <c r="G336" i="10"/>
  <c r="C336" i="10"/>
  <c r="I336" i="10" s="1"/>
  <c r="B336" i="10"/>
  <c r="I335" i="10"/>
  <c r="G335" i="10"/>
  <c r="E335" i="10"/>
  <c r="C335" i="10"/>
  <c r="B335" i="10"/>
  <c r="H335" i="10" s="1"/>
  <c r="H334" i="10"/>
  <c r="G334" i="10"/>
  <c r="C334" i="10"/>
  <c r="B334" i="10"/>
  <c r="I333" i="10"/>
  <c r="G333" i="10"/>
  <c r="E333" i="10"/>
  <c r="C333" i="10"/>
  <c r="B333" i="10"/>
  <c r="H333" i="10" s="1"/>
  <c r="H332" i="10"/>
  <c r="G332" i="10"/>
  <c r="C332" i="10"/>
  <c r="I332" i="10" s="1"/>
  <c r="B332" i="10"/>
  <c r="I331" i="10"/>
  <c r="G331" i="10"/>
  <c r="E331" i="10"/>
  <c r="C331" i="10"/>
  <c r="B331" i="10"/>
  <c r="H331" i="10" s="1"/>
  <c r="H330" i="10"/>
  <c r="G330" i="10"/>
  <c r="C330" i="10"/>
  <c r="B330" i="10"/>
  <c r="I329" i="10"/>
  <c r="G329" i="10"/>
  <c r="E329" i="10"/>
  <c r="C329" i="10"/>
  <c r="B329" i="10"/>
  <c r="H329" i="10" s="1"/>
  <c r="H328" i="10"/>
  <c r="G328" i="10"/>
  <c r="C328" i="10"/>
  <c r="I328" i="10" s="1"/>
  <c r="B328" i="10"/>
  <c r="I327" i="10"/>
  <c r="G327" i="10"/>
  <c r="E327" i="10"/>
  <c r="C327" i="10"/>
  <c r="B327" i="10"/>
  <c r="H327" i="10" s="1"/>
  <c r="H326" i="10"/>
  <c r="G326" i="10"/>
  <c r="C326" i="10"/>
  <c r="B326" i="10"/>
  <c r="I325" i="10"/>
  <c r="G325" i="10"/>
  <c r="E325" i="10"/>
  <c r="C325" i="10"/>
  <c r="B325" i="10"/>
  <c r="H325" i="10" s="1"/>
  <c r="H324" i="10"/>
  <c r="G324" i="10"/>
  <c r="C324" i="10"/>
  <c r="I324" i="10" s="1"/>
  <c r="B324" i="10"/>
  <c r="I323" i="10"/>
  <c r="G323" i="10"/>
  <c r="E323" i="10"/>
  <c r="C323" i="10"/>
  <c r="B323" i="10"/>
  <c r="H323" i="10" s="1"/>
  <c r="H322" i="10"/>
  <c r="G322" i="10"/>
  <c r="C322" i="10"/>
  <c r="B322" i="10"/>
  <c r="I321" i="10"/>
  <c r="G321" i="10"/>
  <c r="E321" i="10"/>
  <c r="C321" i="10"/>
  <c r="B321" i="10"/>
  <c r="H321" i="10" s="1"/>
  <c r="H320" i="10"/>
  <c r="G320" i="10"/>
  <c r="C320" i="10"/>
  <c r="I320" i="10" s="1"/>
  <c r="B320" i="10"/>
  <c r="I319" i="10"/>
  <c r="G319" i="10"/>
  <c r="E319" i="10"/>
  <c r="C319" i="10"/>
  <c r="B319" i="10"/>
  <c r="H319" i="10" s="1"/>
  <c r="H318" i="10"/>
  <c r="G318" i="10"/>
  <c r="C318" i="10"/>
  <c r="B318" i="10"/>
  <c r="I317" i="10"/>
  <c r="G317" i="10"/>
  <c r="E317" i="10"/>
  <c r="C317" i="10"/>
  <c r="B317" i="10"/>
  <c r="H317" i="10" s="1"/>
  <c r="H316" i="10"/>
  <c r="G316" i="10"/>
  <c r="C316" i="10"/>
  <c r="I316" i="10" s="1"/>
  <c r="B316" i="10"/>
  <c r="I315" i="10"/>
  <c r="G315" i="10"/>
  <c r="E315" i="10"/>
  <c r="C315" i="10"/>
  <c r="B315" i="10"/>
  <c r="H315" i="10" s="1"/>
  <c r="H314" i="10"/>
  <c r="G314" i="10"/>
  <c r="C314" i="10"/>
  <c r="B314" i="10"/>
  <c r="I313" i="10"/>
  <c r="G313" i="10"/>
  <c r="E313" i="10"/>
  <c r="C313" i="10"/>
  <c r="B313" i="10"/>
  <c r="H313" i="10" s="1"/>
  <c r="H312" i="10"/>
  <c r="G312" i="10"/>
  <c r="C312" i="10"/>
  <c r="I312" i="10" s="1"/>
  <c r="B312" i="10"/>
  <c r="I311" i="10"/>
  <c r="G311" i="10"/>
  <c r="E311" i="10"/>
  <c r="C311" i="10"/>
  <c r="B311" i="10"/>
  <c r="H311" i="10" s="1"/>
  <c r="H310" i="10"/>
  <c r="G310" i="10"/>
  <c r="C310" i="10"/>
  <c r="B310" i="10"/>
  <c r="I309" i="10"/>
  <c r="G309" i="10"/>
  <c r="E309" i="10"/>
  <c r="C309" i="10"/>
  <c r="B309" i="10"/>
  <c r="H309" i="10" s="1"/>
  <c r="H308" i="10"/>
  <c r="G308" i="10"/>
  <c r="C308" i="10"/>
  <c r="I308" i="10" s="1"/>
  <c r="B308" i="10"/>
  <c r="I307" i="10"/>
  <c r="G307" i="10"/>
  <c r="E307" i="10"/>
  <c r="C307" i="10"/>
  <c r="B307" i="10"/>
  <c r="H307" i="10" s="1"/>
  <c r="H306" i="10"/>
  <c r="G306" i="10"/>
  <c r="C306" i="10"/>
  <c r="B306" i="10"/>
  <c r="I305" i="10"/>
  <c r="G305" i="10"/>
  <c r="E305" i="10"/>
  <c r="C305" i="10"/>
  <c r="B305" i="10"/>
  <c r="H305" i="10" s="1"/>
  <c r="H304" i="10"/>
  <c r="G304" i="10"/>
  <c r="C304" i="10"/>
  <c r="I304" i="10" s="1"/>
  <c r="B304" i="10"/>
  <c r="I303" i="10"/>
  <c r="G303" i="10"/>
  <c r="E303" i="10"/>
  <c r="C303" i="10"/>
  <c r="B303" i="10"/>
  <c r="H303" i="10" s="1"/>
  <c r="H302" i="10"/>
  <c r="G302" i="10"/>
  <c r="C302" i="10"/>
  <c r="B302" i="10"/>
  <c r="I301" i="10"/>
  <c r="G301" i="10"/>
  <c r="E301" i="10"/>
  <c r="C301" i="10"/>
  <c r="B301" i="10"/>
  <c r="H301" i="10" s="1"/>
  <c r="H300" i="10"/>
  <c r="G300" i="10"/>
  <c r="C300" i="10"/>
  <c r="I300" i="10" s="1"/>
  <c r="B300" i="10"/>
  <c r="N299" i="10"/>
  <c r="I299" i="10"/>
  <c r="G299" i="10"/>
  <c r="E299" i="10"/>
  <c r="C299" i="10"/>
  <c r="B299" i="10"/>
  <c r="H299" i="10" s="1"/>
  <c r="N298" i="10"/>
  <c r="H298" i="10"/>
  <c r="G298" i="10"/>
  <c r="C298" i="10"/>
  <c r="B298" i="10"/>
  <c r="N297" i="10"/>
  <c r="I297" i="10"/>
  <c r="G297" i="10"/>
  <c r="E297" i="10"/>
  <c r="C297" i="10"/>
  <c r="B297" i="10"/>
  <c r="H297" i="10" s="1"/>
  <c r="N296" i="10"/>
  <c r="H296" i="10"/>
  <c r="G296" i="10"/>
  <c r="C296" i="10"/>
  <c r="I296" i="10" s="1"/>
  <c r="B296" i="10"/>
  <c r="N295" i="10"/>
  <c r="I295" i="10"/>
  <c r="G295" i="10"/>
  <c r="E295" i="10"/>
  <c r="C295" i="10"/>
  <c r="B295" i="10"/>
  <c r="H295" i="10" s="1"/>
  <c r="N294" i="10"/>
  <c r="H294" i="10"/>
  <c r="G294" i="10"/>
  <c r="C294" i="10"/>
  <c r="B294" i="10"/>
  <c r="N293" i="10"/>
  <c r="I293" i="10"/>
  <c r="G293" i="10"/>
  <c r="E293" i="10"/>
  <c r="C293" i="10"/>
  <c r="B293" i="10"/>
  <c r="H293" i="10" s="1"/>
  <c r="N292" i="10"/>
  <c r="H292" i="10"/>
  <c r="G292" i="10"/>
  <c r="C292" i="10"/>
  <c r="I292" i="10" s="1"/>
  <c r="B292" i="10"/>
  <c r="N291" i="10"/>
  <c r="I291" i="10"/>
  <c r="G291" i="10"/>
  <c r="E291" i="10"/>
  <c r="C291" i="10"/>
  <c r="B291" i="10"/>
  <c r="H291" i="10" s="1"/>
  <c r="N290" i="10"/>
  <c r="H290" i="10"/>
  <c r="G290" i="10"/>
  <c r="C290" i="10"/>
  <c r="B290" i="10"/>
  <c r="N289" i="10"/>
  <c r="I289" i="10"/>
  <c r="G289" i="10"/>
  <c r="E289" i="10"/>
  <c r="C289" i="10"/>
  <c r="B289" i="10"/>
  <c r="H289" i="10" s="1"/>
  <c r="N288" i="10"/>
  <c r="H288" i="10"/>
  <c r="G288" i="10"/>
  <c r="C288" i="10"/>
  <c r="I288" i="10" s="1"/>
  <c r="B288" i="10"/>
  <c r="N287" i="10"/>
  <c r="I287" i="10"/>
  <c r="G287" i="10"/>
  <c r="E287" i="10"/>
  <c r="C287" i="10"/>
  <c r="B287" i="10"/>
  <c r="H287" i="10" s="1"/>
  <c r="N286" i="10"/>
  <c r="H286" i="10"/>
  <c r="G286" i="10"/>
  <c r="C286" i="10"/>
  <c r="B286" i="10"/>
  <c r="N285" i="10"/>
  <c r="I285" i="10"/>
  <c r="G285" i="10"/>
  <c r="E285" i="10"/>
  <c r="C285" i="10"/>
  <c r="B285" i="10"/>
  <c r="H285" i="10" s="1"/>
  <c r="N284" i="10"/>
  <c r="H284" i="10"/>
  <c r="G284" i="10"/>
  <c r="C284" i="10"/>
  <c r="I284" i="10" s="1"/>
  <c r="B284" i="10"/>
  <c r="N283" i="10"/>
  <c r="I283" i="10"/>
  <c r="G283" i="10"/>
  <c r="E283" i="10"/>
  <c r="C283" i="10"/>
  <c r="B283" i="10"/>
  <c r="H283" i="10" s="1"/>
  <c r="N282" i="10"/>
  <c r="H282" i="10"/>
  <c r="G282" i="10"/>
  <c r="C282" i="10"/>
  <c r="B282" i="10"/>
  <c r="N281" i="10"/>
  <c r="I281" i="10"/>
  <c r="G281" i="10"/>
  <c r="E281" i="10"/>
  <c r="C281" i="10"/>
  <c r="B281" i="10"/>
  <c r="H281" i="10" s="1"/>
  <c r="N280" i="10"/>
  <c r="H280" i="10"/>
  <c r="G280" i="10"/>
  <c r="C280" i="10"/>
  <c r="I280" i="10" s="1"/>
  <c r="B280" i="10"/>
  <c r="N279" i="10"/>
  <c r="I279" i="10"/>
  <c r="G279" i="10"/>
  <c r="E279" i="10"/>
  <c r="C279" i="10"/>
  <c r="B279" i="10"/>
  <c r="H279" i="10" s="1"/>
  <c r="N278" i="10"/>
  <c r="H278" i="10"/>
  <c r="G278" i="10"/>
  <c r="C278" i="10"/>
  <c r="B278" i="10"/>
  <c r="N277" i="10"/>
  <c r="I277" i="10"/>
  <c r="G277" i="10"/>
  <c r="E277" i="10"/>
  <c r="C277" i="10"/>
  <c r="B277" i="10"/>
  <c r="H277" i="10" s="1"/>
  <c r="N276" i="10"/>
  <c r="H276" i="10"/>
  <c r="G276" i="10"/>
  <c r="C276" i="10"/>
  <c r="I276" i="10" s="1"/>
  <c r="B276" i="10"/>
  <c r="N275" i="10"/>
  <c r="I275" i="10"/>
  <c r="G275" i="10"/>
  <c r="E275" i="10"/>
  <c r="C275" i="10"/>
  <c r="B275" i="10"/>
  <c r="H275" i="10" s="1"/>
  <c r="N274" i="10"/>
  <c r="H274" i="10"/>
  <c r="G274" i="10"/>
  <c r="C274" i="10"/>
  <c r="B274" i="10"/>
  <c r="N273" i="10"/>
  <c r="I273" i="10"/>
  <c r="G273" i="10"/>
  <c r="E273" i="10"/>
  <c r="C273" i="10"/>
  <c r="B273" i="10"/>
  <c r="H273" i="10" s="1"/>
  <c r="N272" i="10"/>
  <c r="H272" i="10"/>
  <c r="G272" i="10"/>
  <c r="C272" i="10"/>
  <c r="I272" i="10" s="1"/>
  <c r="B272" i="10"/>
  <c r="N271" i="10"/>
  <c r="I271" i="10"/>
  <c r="G271" i="10"/>
  <c r="E271" i="10"/>
  <c r="C271" i="10"/>
  <c r="B271" i="10"/>
  <c r="H271" i="10" s="1"/>
  <c r="N270" i="10"/>
  <c r="H270" i="10"/>
  <c r="G270" i="10"/>
  <c r="C270" i="10"/>
  <c r="B270" i="10"/>
  <c r="N269" i="10"/>
  <c r="I269" i="10"/>
  <c r="G269" i="10"/>
  <c r="E269" i="10"/>
  <c r="C269" i="10"/>
  <c r="B269" i="10"/>
  <c r="H269" i="10" s="1"/>
  <c r="N268" i="10"/>
  <c r="H268" i="10"/>
  <c r="G268" i="10"/>
  <c r="C268" i="10"/>
  <c r="I268" i="10" s="1"/>
  <c r="B268" i="10"/>
  <c r="N267" i="10"/>
  <c r="I267" i="10"/>
  <c r="G267" i="10"/>
  <c r="E267" i="10"/>
  <c r="C267" i="10"/>
  <c r="B267" i="10"/>
  <c r="H267" i="10" s="1"/>
  <c r="N266" i="10"/>
  <c r="H266" i="10"/>
  <c r="G266" i="10"/>
  <c r="C266" i="10"/>
  <c r="B266" i="10"/>
  <c r="N265" i="10"/>
  <c r="I265" i="10"/>
  <c r="G265" i="10"/>
  <c r="E265" i="10"/>
  <c r="C265" i="10"/>
  <c r="B265" i="10"/>
  <c r="H265" i="10" s="1"/>
  <c r="N264" i="10"/>
  <c r="H264" i="10"/>
  <c r="G264" i="10"/>
  <c r="C264" i="10"/>
  <c r="I264" i="10" s="1"/>
  <c r="B264" i="10"/>
  <c r="N263" i="10"/>
  <c r="I263" i="10"/>
  <c r="G263" i="10"/>
  <c r="E263" i="10"/>
  <c r="C263" i="10"/>
  <c r="B263" i="10"/>
  <c r="H263" i="10" s="1"/>
  <c r="N262" i="10"/>
  <c r="H262" i="10"/>
  <c r="G262" i="10"/>
  <c r="C262" i="10"/>
  <c r="B262" i="10"/>
  <c r="N261" i="10"/>
  <c r="I261" i="10"/>
  <c r="G261" i="10"/>
  <c r="E261" i="10"/>
  <c r="C261" i="10"/>
  <c r="B261" i="10"/>
  <c r="H261" i="10" s="1"/>
  <c r="N260" i="10"/>
  <c r="H260" i="10"/>
  <c r="G260" i="10"/>
  <c r="C260" i="10"/>
  <c r="I260" i="10" s="1"/>
  <c r="B260" i="10"/>
  <c r="N259" i="10"/>
  <c r="I259" i="10"/>
  <c r="G259" i="10"/>
  <c r="E259" i="10"/>
  <c r="C259" i="10"/>
  <c r="B259" i="10"/>
  <c r="H259" i="10" s="1"/>
  <c r="N258" i="10"/>
  <c r="H258" i="10"/>
  <c r="G258" i="10"/>
  <c r="C258" i="10"/>
  <c r="B258" i="10"/>
  <c r="N257" i="10"/>
  <c r="I257" i="10"/>
  <c r="G257" i="10"/>
  <c r="E257" i="10"/>
  <c r="C257" i="10"/>
  <c r="B257" i="10"/>
  <c r="H257" i="10" s="1"/>
  <c r="N256" i="10"/>
  <c r="H256" i="10"/>
  <c r="G256" i="10"/>
  <c r="C256" i="10"/>
  <c r="I256" i="10" s="1"/>
  <c r="B256" i="10"/>
  <c r="N255" i="10"/>
  <c r="I255" i="10"/>
  <c r="G255" i="10"/>
  <c r="E255" i="10"/>
  <c r="C255" i="10"/>
  <c r="B255" i="10"/>
  <c r="H255" i="10" s="1"/>
  <c r="N254" i="10"/>
  <c r="H254" i="10"/>
  <c r="G254" i="10"/>
  <c r="C254" i="10"/>
  <c r="B254" i="10"/>
  <c r="N253" i="10"/>
  <c r="I253" i="10"/>
  <c r="G253" i="10"/>
  <c r="E253" i="10"/>
  <c r="C253" i="10"/>
  <c r="B253" i="10"/>
  <c r="H253" i="10" s="1"/>
  <c r="N252" i="10"/>
  <c r="H252" i="10"/>
  <c r="G252" i="10"/>
  <c r="C252" i="10"/>
  <c r="I252" i="10" s="1"/>
  <c r="B252" i="10"/>
  <c r="N251" i="10"/>
  <c r="I251" i="10"/>
  <c r="G251" i="10"/>
  <c r="E251" i="10"/>
  <c r="C251" i="10"/>
  <c r="B251" i="10"/>
  <c r="H251" i="10" s="1"/>
  <c r="N250" i="10"/>
  <c r="H250" i="10"/>
  <c r="G250" i="10"/>
  <c r="C250" i="10"/>
  <c r="B250" i="10"/>
  <c r="N249" i="10"/>
  <c r="I249" i="10"/>
  <c r="G249" i="10"/>
  <c r="E249" i="10"/>
  <c r="C249" i="10"/>
  <c r="B249" i="10"/>
  <c r="H249" i="10" s="1"/>
  <c r="N248" i="10"/>
  <c r="H248" i="10"/>
  <c r="G248" i="10"/>
  <c r="C248" i="10"/>
  <c r="I248" i="10" s="1"/>
  <c r="B248" i="10"/>
  <c r="N247" i="10"/>
  <c r="I247" i="10"/>
  <c r="G247" i="10"/>
  <c r="E247" i="10"/>
  <c r="C247" i="10"/>
  <c r="B247" i="10"/>
  <c r="H247" i="10" s="1"/>
  <c r="N246" i="10"/>
  <c r="H246" i="10"/>
  <c r="G246" i="10"/>
  <c r="C246" i="10"/>
  <c r="B246" i="10"/>
  <c r="N245" i="10"/>
  <c r="I245" i="10"/>
  <c r="G245" i="10"/>
  <c r="E245" i="10"/>
  <c r="C245" i="10"/>
  <c r="B245" i="10"/>
  <c r="H245" i="10" s="1"/>
  <c r="N244" i="10"/>
  <c r="H244" i="10"/>
  <c r="G244" i="10"/>
  <c r="C244" i="10"/>
  <c r="I244" i="10" s="1"/>
  <c r="B244" i="10"/>
  <c r="N243" i="10"/>
  <c r="I243" i="10"/>
  <c r="G243" i="10"/>
  <c r="E243" i="10"/>
  <c r="C243" i="10"/>
  <c r="B243" i="10"/>
  <c r="H243" i="10" s="1"/>
  <c r="N242" i="10"/>
  <c r="H242" i="10"/>
  <c r="G242" i="10"/>
  <c r="C242" i="10"/>
  <c r="B242" i="10"/>
  <c r="N241" i="10"/>
  <c r="I241" i="10"/>
  <c r="G241" i="10"/>
  <c r="E241" i="10"/>
  <c r="C241" i="10"/>
  <c r="B241" i="10"/>
  <c r="H241" i="10" s="1"/>
  <c r="N240" i="10"/>
  <c r="H240" i="10"/>
  <c r="G240" i="10"/>
  <c r="C240" i="10"/>
  <c r="I240" i="10" s="1"/>
  <c r="B240" i="10"/>
  <c r="N239" i="10"/>
  <c r="I239" i="10"/>
  <c r="G239" i="10"/>
  <c r="E239" i="10"/>
  <c r="C239" i="10"/>
  <c r="B239" i="10"/>
  <c r="H239" i="10" s="1"/>
  <c r="N238" i="10"/>
  <c r="H238" i="10"/>
  <c r="G238" i="10"/>
  <c r="C238" i="10"/>
  <c r="B238" i="10"/>
  <c r="N237" i="10"/>
  <c r="I237" i="10"/>
  <c r="G237" i="10"/>
  <c r="E237" i="10"/>
  <c r="C237" i="10"/>
  <c r="B237" i="10"/>
  <c r="H237" i="10" s="1"/>
  <c r="N236" i="10"/>
  <c r="H236" i="10"/>
  <c r="G236" i="10"/>
  <c r="C236" i="10"/>
  <c r="I236" i="10" s="1"/>
  <c r="B236" i="10"/>
  <c r="N235" i="10"/>
  <c r="I235" i="10"/>
  <c r="G235" i="10"/>
  <c r="E235" i="10"/>
  <c r="C235" i="10"/>
  <c r="B235" i="10"/>
  <c r="H235" i="10" s="1"/>
  <c r="N234" i="10"/>
  <c r="H234" i="10"/>
  <c r="G234" i="10"/>
  <c r="C234" i="10"/>
  <c r="B234" i="10"/>
  <c r="N233" i="10"/>
  <c r="I233" i="10"/>
  <c r="G233" i="10"/>
  <c r="E233" i="10"/>
  <c r="C233" i="10"/>
  <c r="B233" i="10"/>
  <c r="H233" i="10" s="1"/>
  <c r="N232" i="10"/>
  <c r="H232" i="10"/>
  <c r="G232" i="10"/>
  <c r="C232" i="10"/>
  <c r="I232" i="10" s="1"/>
  <c r="B232" i="10"/>
  <c r="N231" i="10"/>
  <c r="I231" i="10"/>
  <c r="G231" i="10"/>
  <c r="E231" i="10"/>
  <c r="C231" i="10"/>
  <c r="B231" i="10"/>
  <c r="H231" i="10" s="1"/>
  <c r="N230" i="10"/>
  <c r="H230" i="10"/>
  <c r="G230" i="10"/>
  <c r="C230" i="10"/>
  <c r="B230" i="10"/>
  <c r="N229" i="10"/>
  <c r="I229" i="10"/>
  <c r="G229" i="10"/>
  <c r="E229" i="10"/>
  <c r="C229" i="10"/>
  <c r="B229" i="10"/>
  <c r="H229" i="10" s="1"/>
  <c r="N228" i="10"/>
  <c r="H228" i="10"/>
  <c r="G228" i="10"/>
  <c r="C228" i="10"/>
  <c r="I228" i="10" s="1"/>
  <c r="B228" i="10"/>
  <c r="N227" i="10"/>
  <c r="I227" i="10"/>
  <c r="G227" i="10"/>
  <c r="E227" i="10"/>
  <c r="C227" i="10"/>
  <c r="B227" i="10"/>
  <c r="H227" i="10" s="1"/>
  <c r="N226" i="10"/>
  <c r="H226" i="10"/>
  <c r="G226" i="10"/>
  <c r="C226" i="10"/>
  <c r="B226" i="10"/>
  <c r="N225" i="10"/>
  <c r="I225" i="10"/>
  <c r="G225" i="10"/>
  <c r="E225" i="10"/>
  <c r="C225" i="10"/>
  <c r="B225" i="10"/>
  <c r="H225" i="10" s="1"/>
  <c r="N224" i="10"/>
  <c r="H224" i="10"/>
  <c r="G224" i="10"/>
  <c r="C224" i="10"/>
  <c r="I224" i="10" s="1"/>
  <c r="B224" i="10"/>
  <c r="N223" i="10"/>
  <c r="I223" i="10"/>
  <c r="G223" i="10"/>
  <c r="E223" i="10"/>
  <c r="C223" i="10"/>
  <c r="B223" i="10"/>
  <c r="H223" i="10" s="1"/>
  <c r="N222" i="10"/>
  <c r="H222" i="10"/>
  <c r="G222" i="10"/>
  <c r="C222" i="10"/>
  <c r="B222" i="10"/>
  <c r="N221" i="10"/>
  <c r="I221" i="10"/>
  <c r="G221" i="10"/>
  <c r="E221" i="10"/>
  <c r="C221" i="10"/>
  <c r="B221" i="10"/>
  <c r="H221" i="10" s="1"/>
  <c r="N220" i="10"/>
  <c r="H220" i="10"/>
  <c r="G220" i="10"/>
  <c r="C220" i="10"/>
  <c r="I220" i="10" s="1"/>
  <c r="B220" i="10"/>
  <c r="N219" i="10"/>
  <c r="I219" i="10"/>
  <c r="G219" i="10"/>
  <c r="E219" i="10"/>
  <c r="C219" i="10"/>
  <c r="B219" i="10"/>
  <c r="H219" i="10" s="1"/>
  <c r="N218" i="10"/>
  <c r="H218" i="10"/>
  <c r="G218" i="10"/>
  <c r="C218" i="10"/>
  <c r="B218" i="10"/>
  <c r="N217" i="10"/>
  <c r="I217" i="10"/>
  <c r="G217" i="10"/>
  <c r="E217" i="10"/>
  <c r="C217" i="10"/>
  <c r="B217" i="10"/>
  <c r="H217" i="10" s="1"/>
  <c r="N216" i="10"/>
  <c r="H216" i="10"/>
  <c r="G216" i="10"/>
  <c r="C216" i="10"/>
  <c r="I216" i="10" s="1"/>
  <c r="B216" i="10"/>
  <c r="N215" i="10"/>
  <c r="I215" i="10"/>
  <c r="G215" i="10"/>
  <c r="E215" i="10"/>
  <c r="C215" i="10"/>
  <c r="B215" i="10"/>
  <c r="H215" i="10" s="1"/>
  <c r="N214" i="10"/>
  <c r="H214" i="10"/>
  <c r="G214" i="10"/>
  <c r="C214" i="10"/>
  <c r="B214" i="10"/>
  <c r="N213" i="10"/>
  <c r="I213" i="10"/>
  <c r="G213" i="10"/>
  <c r="E213" i="10"/>
  <c r="C213" i="10"/>
  <c r="B213" i="10"/>
  <c r="H213" i="10" s="1"/>
  <c r="N212" i="10"/>
  <c r="H212" i="10"/>
  <c r="G212" i="10"/>
  <c r="C212" i="10"/>
  <c r="I212" i="10" s="1"/>
  <c r="B212" i="10"/>
  <c r="N211" i="10"/>
  <c r="I211" i="10"/>
  <c r="G211" i="10"/>
  <c r="E211" i="10"/>
  <c r="C211" i="10"/>
  <c r="B211" i="10"/>
  <c r="H211" i="10" s="1"/>
  <c r="N210" i="10"/>
  <c r="H210" i="10"/>
  <c r="G210" i="10"/>
  <c r="C210" i="10"/>
  <c r="B210" i="10"/>
  <c r="N209" i="10"/>
  <c r="I209" i="10"/>
  <c r="G209" i="10"/>
  <c r="E209" i="10"/>
  <c r="C209" i="10"/>
  <c r="B209" i="10"/>
  <c r="H209" i="10" s="1"/>
  <c r="N208" i="10"/>
  <c r="H208" i="10"/>
  <c r="G208" i="10"/>
  <c r="C208" i="10"/>
  <c r="I208" i="10" s="1"/>
  <c r="B208" i="10"/>
  <c r="N207" i="10"/>
  <c r="I207" i="10"/>
  <c r="G207" i="10"/>
  <c r="E207" i="10"/>
  <c r="C207" i="10"/>
  <c r="B207" i="10"/>
  <c r="H207" i="10" s="1"/>
  <c r="N206" i="10"/>
  <c r="H206" i="10"/>
  <c r="G206" i="10"/>
  <c r="C206" i="10"/>
  <c r="B206" i="10"/>
  <c r="N205" i="10"/>
  <c r="I205" i="10"/>
  <c r="G205" i="10"/>
  <c r="E205" i="10"/>
  <c r="C205" i="10"/>
  <c r="B205" i="10"/>
  <c r="H205" i="10" s="1"/>
  <c r="N204" i="10"/>
  <c r="H204" i="10"/>
  <c r="G204" i="10"/>
  <c r="C204" i="10"/>
  <c r="I204" i="10" s="1"/>
  <c r="B204" i="10"/>
  <c r="N203" i="10"/>
  <c r="I203" i="10"/>
  <c r="G203" i="10"/>
  <c r="E203" i="10"/>
  <c r="C203" i="10"/>
  <c r="B203" i="10"/>
  <c r="H203" i="10" s="1"/>
  <c r="N202" i="10"/>
  <c r="H202" i="10"/>
  <c r="G202" i="10"/>
  <c r="C202" i="10"/>
  <c r="B202" i="10"/>
  <c r="N201" i="10"/>
  <c r="I201" i="10"/>
  <c r="G201" i="10"/>
  <c r="E201" i="10"/>
  <c r="C201" i="10"/>
  <c r="B201" i="10"/>
  <c r="H201" i="10" s="1"/>
  <c r="N200" i="10"/>
  <c r="H200" i="10"/>
  <c r="G200" i="10"/>
  <c r="C200" i="10"/>
  <c r="I200" i="10" s="1"/>
  <c r="B200" i="10"/>
  <c r="N199" i="10"/>
  <c r="I199" i="10"/>
  <c r="G199" i="10"/>
  <c r="E199" i="10"/>
  <c r="C199" i="10"/>
  <c r="B199" i="10"/>
  <c r="H199" i="10" s="1"/>
  <c r="N198" i="10"/>
  <c r="H198" i="10"/>
  <c r="G198" i="10"/>
  <c r="C198" i="10"/>
  <c r="B198" i="10"/>
  <c r="N197" i="10"/>
  <c r="I197" i="10"/>
  <c r="G197" i="10"/>
  <c r="E197" i="10"/>
  <c r="C197" i="10"/>
  <c r="B197" i="10"/>
  <c r="H197" i="10" s="1"/>
  <c r="N196" i="10"/>
  <c r="H196" i="10"/>
  <c r="G196" i="10"/>
  <c r="C196" i="10"/>
  <c r="I196" i="10" s="1"/>
  <c r="B196" i="10"/>
  <c r="N195" i="10"/>
  <c r="I195" i="10"/>
  <c r="G195" i="10"/>
  <c r="E195" i="10"/>
  <c r="C195" i="10"/>
  <c r="B195" i="10"/>
  <c r="H195" i="10" s="1"/>
  <c r="N194" i="10"/>
  <c r="H194" i="10"/>
  <c r="G194" i="10"/>
  <c r="C194" i="10"/>
  <c r="B194" i="10"/>
  <c r="N193" i="10"/>
  <c r="I193" i="10"/>
  <c r="G193" i="10"/>
  <c r="E193" i="10"/>
  <c r="C193" i="10"/>
  <c r="B193" i="10"/>
  <c r="H193" i="10" s="1"/>
  <c r="N192" i="10"/>
  <c r="H192" i="10"/>
  <c r="G192" i="10"/>
  <c r="C192" i="10"/>
  <c r="I192" i="10" s="1"/>
  <c r="B192" i="10"/>
  <c r="N191" i="10"/>
  <c r="I191" i="10"/>
  <c r="G191" i="10"/>
  <c r="E191" i="10"/>
  <c r="C191" i="10"/>
  <c r="B191" i="10"/>
  <c r="H191" i="10" s="1"/>
  <c r="N190" i="10"/>
  <c r="H190" i="10"/>
  <c r="G190" i="10"/>
  <c r="C190" i="10"/>
  <c r="B190" i="10"/>
  <c r="N189" i="10"/>
  <c r="I189" i="10"/>
  <c r="G189" i="10"/>
  <c r="E189" i="10"/>
  <c r="C189" i="10"/>
  <c r="B189" i="10"/>
  <c r="H189" i="10" s="1"/>
  <c r="N188" i="10"/>
  <c r="H188" i="10"/>
  <c r="G188" i="10"/>
  <c r="C188" i="10"/>
  <c r="I188" i="10" s="1"/>
  <c r="B188" i="10"/>
  <c r="N187" i="10"/>
  <c r="I187" i="10"/>
  <c r="G187" i="10"/>
  <c r="E187" i="10"/>
  <c r="C187" i="10"/>
  <c r="B187" i="10"/>
  <c r="H187" i="10" s="1"/>
  <c r="N186" i="10"/>
  <c r="H186" i="10"/>
  <c r="G186" i="10"/>
  <c r="C186" i="10"/>
  <c r="B186" i="10"/>
  <c r="N185" i="10"/>
  <c r="I185" i="10"/>
  <c r="G185" i="10"/>
  <c r="E185" i="10"/>
  <c r="C185" i="10"/>
  <c r="B185" i="10"/>
  <c r="H185" i="10" s="1"/>
  <c r="N184" i="10"/>
  <c r="H184" i="10"/>
  <c r="G184" i="10"/>
  <c r="C184" i="10"/>
  <c r="I184" i="10" s="1"/>
  <c r="B184" i="10"/>
  <c r="N183" i="10"/>
  <c r="I183" i="10"/>
  <c r="G183" i="10"/>
  <c r="E183" i="10"/>
  <c r="C183" i="10"/>
  <c r="B183" i="10"/>
  <c r="H183" i="10" s="1"/>
  <c r="N182" i="10"/>
  <c r="H182" i="10"/>
  <c r="G182" i="10"/>
  <c r="C182" i="10"/>
  <c r="B182" i="10"/>
  <c r="N181" i="10"/>
  <c r="I181" i="10"/>
  <c r="G181" i="10"/>
  <c r="E181" i="10"/>
  <c r="C181" i="10"/>
  <c r="B181" i="10"/>
  <c r="H181" i="10" s="1"/>
  <c r="N180" i="10"/>
  <c r="H180" i="10"/>
  <c r="G180" i="10"/>
  <c r="C180" i="10"/>
  <c r="I180" i="10" s="1"/>
  <c r="B180" i="10"/>
  <c r="N179" i="10"/>
  <c r="I179" i="10"/>
  <c r="G179" i="10"/>
  <c r="E179" i="10"/>
  <c r="C179" i="10"/>
  <c r="B179" i="10"/>
  <c r="H179" i="10" s="1"/>
  <c r="N178" i="10"/>
  <c r="H178" i="10"/>
  <c r="G178" i="10"/>
  <c r="C178" i="10"/>
  <c r="B178" i="10"/>
  <c r="N177" i="10"/>
  <c r="I177" i="10"/>
  <c r="G177" i="10"/>
  <c r="E177" i="10"/>
  <c r="C177" i="10"/>
  <c r="B177" i="10"/>
  <c r="H177" i="10" s="1"/>
  <c r="N176" i="10"/>
  <c r="H176" i="10"/>
  <c r="G176" i="10"/>
  <c r="C176" i="10"/>
  <c r="I176" i="10" s="1"/>
  <c r="B176" i="10"/>
  <c r="N175" i="10"/>
  <c r="I175" i="10"/>
  <c r="G175" i="10"/>
  <c r="E175" i="10"/>
  <c r="C175" i="10"/>
  <c r="B175" i="10"/>
  <c r="H175" i="10" s="1"/>
  <c r="N174" i="10"/>
  <c r="H174" i="10"/>
  <c r="G174" i="10"/>
  <c r="C174" i="10"/>
  <c r="B174" i="10"/>
  <c r="N173" i="10"/>
  <c r="I173" i="10"/>
  <c r="G173" i="10"/>
  <c r="E173" i="10"/>
  <c r="C173" i="10"/>
  <c r="B173" i="10"/>
  <c r="H173" i="10" s="1"/>
  <c r="N172" i="10"/>
  <c r="H172" i="10"/>
  <c r="G172" i="10"/>
  <c r="C172" i="10"/>
  <c r="I172" i="10" s="1"/>
  <c r="B172" i="10"/>
  <c r="N171" i="10"/>
  <c r="I171" i="10"/>
  <c r="G171" i="10"/>
  <c r="E171" i="10"/>
  <c r="C171" i="10"/>
  <c r="B171" i="10"/>
  <c r="H171" i="10" s="1"/>
  <c r="N170" i="10"/>
  <c r="H170" i="10"/>
  <c r="G170" i="10"/>
  <c r="C170" i="10"/>
  <c r="B170" i="10"/>
  <c r="N169" i="10"/>
  <c r="I169" i="10"/>
  <c r="G169" i="10"/>
  <c r="E169" i="10"/>
  <c r="C169" i="10"/>
  <c r="B169" i="10"/>
  <c r="H169" i="10" s="1"/>
  <c r="N168" i="10"/>
  <c r="H168" i="10"/>
  <c r="G168" i="10"/>
  <c r="C168" i="10"/>
  <c r="I168" i="10" s="1"/>
  <c r="B168" i="10"/>
  <c r="N167" i="10"/>
  <c r="I167" i="10"/>
  <c r="G167" i="10"/>
  <c r="E167" i="10"/>
  <c r="C167" i="10"/>
  <c r="B167" i="10"/>
  <c r="H167" i="10" s="1"/>
  <c r="N166" i="10"/>
  <c r="H166" i="10"/>
  <c r="G166" i="10"/>
  <c r="C166" i="10"/>
  <c r="B166" i="10"/>
  <c r="N165" i="10"/>
  <c r="I165" i="10"/>
  <c r="G165" i="10"/>
  <c r="E165" i="10"/>
  <c r="C165" i="10"/>
  <c r="B165" i="10"/>
  <c r="H165" i="10" s="1"/>
  <c r="N164" i="10"/>
  <c r="H164" i="10"/>
  <c r="G164" i="10"/>
  <c r="C164" i="10"/>
  <c r="I164" i="10" s="1"/>
  <c r="B164" i="10"/>
  <c r="N163" i="10"/>
  <c r="I163" i="10"/>
  <c r="G163" i="10"/>
  <c r="E163" i="10"/>
  <c r="C163" i="10"/>
  <c r="B163" i="10"/>
  <c r="H163" i="10" s="1"/>
  <c r="N162" i="10"/>
  <c r="H162" i="10"/>
  <c r="G162" i="10"/>
  <c r="C162" i="10"/>
  <c r="B162" i="10"/>
  <c r="N161" i="10"/>
  <c r="I161" i="10"/>
  <c r="G161" i="10"/>
  <c r="E161" i="10"/>
  <c r="C161" i="10"/>
  <c r="B161" i="10"/>
  <c r="H161" i="10" s="1"/>
  <c r="N160" i="10"/>
  <c r="H160" i="10"/>
  <c r="G160" i="10"/>
  <c r="C160" i="10"/>
  <c r="I160" i="10" s="1"/>
  <c r="B160" i="10"/>
  <c r="N159" i="10"/>
  <c r="I159" i="10"/>
  <c r="G159" i="10"/>
  <c r="E159" i="10"/>
  <c r="C159" i="10"/>
  <c r="B159" i="10"/>
  <c r="H159" i="10" s="1"/>
  <c r="N158" i="10"/>
  <c r="H158" i="10"/>
  <c r="G158" i="10"/>
  <c r="C158" i="10"/>
  <c r="B158" i="10"/>
  <c r="N157" i="10"/>
  <c r="I157" i="10"/>
  <c r="G157" i="10"/>
  <c r="E157" i="10"/>
  <c r="C157" i="10"/>
  <c r="B157" i="10"/>
  <c r="H157" i="10" s="1"/>
  <c r="N156" i="10"/>
  <c r="H156" i="10"/>
  <c r="G156" i="10"/>
  <c r="C156" i="10"/>
  <c r="I156" i="10" s="1"/>
  <c r="B156" i="10"/>
  <c r="N155" i="10"/>
  <c r="I155" i="10"/>
  <c r="G155" i="10"/>
  <c r="E155" i="10"/>
  <c r="C155" i="10"/>
  <c r="B155" i="10"/>
  <c r="H155" i="10" s="1"/>
  <c r="N154" i="10"/>
  <c r="H154" i="10"/>
  <c r="G154" i="10"/>
  <c r="C154" i="10"/>
  <c r="B154" i="10"/>
  <c r="N153" i="10"/>
  <c r="I153" i="10"/>
  <c r="G153" i="10"/>
  <c r="E153" i="10"/>
  <c r="C153" i="10"/>
  <c r="B153" i="10"/>
  <c r="H153" i="10" s="1"/>
  <c r="N152" i="10"/>
  <c r="H152" i="10"/>
  <c r="G152" i="10"/>
  <c r="C152" i="10"/>
  <c r="I152" i="10" s="1"/>
  <c r="B152" i="10"/>
  <c r="N151" i="10"/>
  <c r="I151" i="10"/>
  <c r="G151" i="10"/>
  <c r="E151" i="10"/>
  <c r="C151" i="10"/>
  <c r="B151" i="10"/>
  <c r="H151" i="10" s="1"/>
  <c r="N150" i="10"/>
  <c r="H150" i="10"/>
  <c r="G150" i="10"/>
  <c r="C150" i="10"/>
  <c r="B150" i="10"/>
  <c r="N149" i="10"/>
  <c r="I149" i="10"/>
  <c r="G149" i="10"/>
  <c r="E149" i="10"/>
  <c r="C149" i="10"/>
  <c r="B149" i="10"/>
  <c r="H149" i="10" s="1"/>
  <c r="N148" i="10"/>
  <c r="H148" i="10"/>
  <c r="G148" i="10"/>
  <c r="C148" i="10"/>
  <c r="I148" i="10" s="1"/>
  <c r="B148" i="10"/>
  <c r="N147" i="10"/>
  <c r="I147" i="10"/>
  <c r="G147" i="10"/>
  <c r="E147" i="10"/>
  <c r="C147" i="10"/>
  <c r="B147" i="10"/>
  <c r="H147" i="10" s="1"/>
  <c r="N146" i="10"/>
  <c r="H146" i="10"/>
  <c r="G146" i="10"/>
  <c r="C146" i="10"/>
  <c r="B146" i="10"/>
  <c r="N145" i="10"/>
  <c r="I145" i="10"/>
  <c r="G145" i="10"/>
  <c r="E145" i="10"/>
  <c r="C145" i="10"/>
  <c r="B145" i="10"/>
  <c r="H145" i="10" s="1"/>
  <c r="N144" i="10"/>
  <c r="H144" i="10"/>
  <c r="G144" i="10"/>
  <c r="C144" i="10"/>
  <c r="I144" i="10" s="1"/>
  <c r="B144" i="10"/>
  <c r="N143" i="10"/>
  <c r="I143" i="10"/>
  <c r="G143" i="10"/>
  <c r="E143" i="10"/>
  <c r="C143" i="10"/>
  <c r="B143" i="10"/>
  <c r="H143" i="10" s="1"/>
  <c r="N142" i="10"/>
  <c r="H142" i="10"/>
  <c r="G142" i="10"/>
  <c r="C142" i="10"/>
  <c r="B142" i="10"/>
  <c r="N141" i="10"/>
  <c r="I141" i="10"/>
  <c r="G141" i="10"/>
  <c r="E141" i="10"/>
  <c r="C141" i="10"/>
  <c r="B141" i="10"/>
  <c r="H141" i="10" s="1"/>
  <c r="N140" i="10"/>
  <c r="H140" i="10"/>
  <c r="G140" i="10"/>
  <c r="C140" i="10"/>
  <c r="I140" i="10" s="1"/>
  <c r="B140" i="10"/>
  <c r="N139" i="10"/>
  <c r="I139" i="10"/>
  <c r="G139" i="10"/>
  <c r="E139" i="10"/>
  <c r="C139" i="10"/>
  <c r="B139" i="10"/>
  <c r="H139" i="10" s="1"/>
  <c r="N138" i="10"/>
  <c r="H138" i="10"/>
  <c r="G138" i="10"/>
  <c r="C138" i="10"/>
  <c r="B138" i="10"/>
  <c r="N137" i="10"/>
  <c r="I137" i="10"/>
  <c r="G137" i="10"/>
  <c r="E137" i="10"/>
  <c r="C137" i="10"/>
  <c r="B137" i="10"/>
  <c r="H137" i="10" s="1"/>
  <c r="N136" i="10"/>
  <c r="H136" i="10"/>
  <c r="G136" i="10"/>
  <c r="C136" i="10"/>
  <c r="I136" i="10" s="1"/>
  <c r="B136" i="10"/>
  <c r="N135" i="10"/>
  <c r="I135" i="10"/>
  <c r="G135" i="10"/>
  <c r="E135" i="10"/>
  <c r="C135" i="10"/>
  <c r="B135" i="10"/>
  <c r="H135" i="10" s="1"/>
  <c r="N134" i="10"/>
  <c r="H134" i="10"/>
  <c r="G134" i="10"/>
  <c r="C134" i="10"/>
  <c r="B134" i="10"/>
  <c r="N133" i="10"/>
  <c r="I133" i="10"/>
  <c r="G133" i="10"/>
  <c r="E133" i="10"/>
  <c r="C133" i="10"/>
  <c r="B133" i="10"/>
  <c r="H133" i="10" s="1"/>
  <c r="N132" i="10"/>
  <c r="H132" i="10"/>
  <c r="G132" i="10"/>
  <c r="C132" i="10"/>
  <c r="I132" i="10" s="1"/>
  <c r="B132" i="10"/>
  <c r="N131" i="10"/>
  <c r="I131" i="10"/>
  <c r="G131" i="10"/>
  <c r="E131" i="10"/>
  <c r="C131" i="10"/>
  <c r="B131" i="10"/>
  <c r="H131" i="10" s="1"/>
  <c r="N130" i="10"/>
  <c r="H130" i="10"/>
  <c r="G130" i="10"/>
  <c r="C130" i="10"/>
  <c r="B130" i="10"/>
  <c r="N129" i="10"/>
  <c r="I129" i="10"/>
  <c r="G129" i="10"/>
  <c r="E129" i="10"/>
  <c r="C129" i="10"/>
  <c r="B129" i="10"/>
  <c r="H129" i="10" s="1"/>
  <c r="N128" i="10"/>
  <c r="H128" i="10"/>
  <c r="G128" i="10"/>
  <c r="C128" i="10"/>
  <c r="I128" i="10" s="1"/>
  <c r="B128" i="10"/>
  <c r="N127" i="10"/>
  <c r="I127" i="10"/>
  <c r="G127" i="10"/>
  <c r="E127" i="10"/>
  <c r="C127" i="10"/>
  <c r="B127" i="10"/>
  <c r="H127" i="10" s="1"/>
  <c r="N126" i="10"/>
  <c r="H126" i="10"/>
  <c r="G126" i="10"/>
  <c r="C126" i="10"/>
  <c r="B126" i="10"/>
  <c r="N125" i="10"/>
  <c r="I125" i="10"/>
  <c r="G125" i="10"/>
  <c r="E125" i="10"/>
  <c r="C125" i="10"/>
  <c r="B125" i="10"/>
  <c r="H125" i="10" s="1"/>
  <c r="N124" i="10"/>
  <c r="H124" i="10"/>
  <c r="G124" i="10"/>
  <c r="C124" i="10"/>
  <c r="I124" i="10" s="1"/>
  <c r="B124" i="10"/>
  <c r="N123" i="10"/>
  <c r="I123" i="10"/>
  <c r="G123" i="10"/>
  <c r="E123" i="10"/>
  <c r="C123" i="10"/>
  <c r="B123" i="10"/>
  <c r="H123" i="10" s="1"/>
  <c r="N122" i="10"/>
  <c r="H122" i="10"/>
  <c r="G122" i="10"/>
  <c r="C122" i="10"/>
  <c r="B122" i="10"/>
  <c r="N121" i="10"/>
  <c r="I121" i="10"/>
  <c r="G121" i="10"/>
  <c r="E121" i="10"/>
  <c r="C121" i="10"/>
  <c r="B121" i="10"/>
  <c r="H121" i="10" s="1"/>
  <c r="N120" i="10"/>
  <c r="H120" i="10"/>
  <c r="G120" i="10"/>
  <c r="C120" i="10"/>
  <c r="I120" i="10" s="1"/>
  <c r="B120" i="10"/>
  <c r="N119" i="10"/>
  <c r="I119" i="10"/>
  <c r="G119" i="10"/>
  <c r="E119" i="10"/>
  <c r="C119" i="10"/>
  <c r="B119" i="10"/>
  <c r="H119" i="10" s="1"/>
  <c r="N118" i="10"/>
  <c r="H118" i="10"/>
  <c r="G118" i="10"/>
  <c r="C118" i="10"/>
  <c r="B118" i="10"/>
  <c r="N117" i="10"/>
  <c r="I117" i="10"/>
  <c r="G117" i="10"/>
  <c r="E117" i="10"/>
  <c r="C117" i="10"/>
  <c r="B117" i="10"/>
  <c r="H117" i="10" s="1"/>
  <c r="N116" i="10"/>
  <c r="H116" i="10"/>
  <c r="G116" i="10"/>
  <c r="C116" i="10"/>
  <c r="I116" i="10" s="1"/>
  <c r="B116" i="10"/>
  <c r="N115" i="10"/>
  <c r="I115" i="10"/>
  <c r="G115" i="10"/>
  <c r="E115" i="10"/>
  <c r="C115" i="10"/>
  <c r="B115" i="10"/>
  <c r="H115" i="10" s="1"/>
  <c r="N114" i="10"/>
  <c r="H114" i="10"/>
  <c r="G114" i="10"/>
  <c r="C114" i="10"/>
  <c r="B114" i="10"/>
  <c r="N113" i="10"/>
  <c r="I113" i="10"/>
  <c r="G113" i="10"/>
  <c r="E113" i="10"/>
  <c r="C113" i="10"/>
  <c r="B113" i="10"/>
  <c r="H113" i="10" s="1"/>
  <c r="N112" i="10"/>
  <c r="H112" i="10"/>
  <c r="G112" i="10"/>
  <c r="C112" i="10"/>
  <c r="I112" i="10" s="1"/>
  <c r="B112" i="10"/>
  <c r="N111" i="10"/>
  <c r="I111" i="10"/>
  <c r="G111" i="10"/>
  <c r="E111" i="10"/>
  <c r="C111" i="10"/>
  <c r="B111" i="10"/>
  <c r="H111" i="10" s="1"/>
  <c r="N110" i="10"/>
  <c r="H110" i="10"/>
  <c r="G110" i="10"/>
  <c r="C110" i="10"/>
  <c r="B110" i="10"/>
  <c r="N109" i="10"/>
  <c r="I109" i="10"/>
  <c r="G109" i="10"/>
  <c r="E109" i="10"/>
  <c r="C109" i="10"/>
  <c r="B109" i="10"/>
  <c r="H109" i="10" s="1"/>
  <c r="N108" i="10"/>
  <c r="H108" i="10"/>
  <c r="G108" i="10"/>
  <c r="C108" i="10"/>
  <c r="I108" i="10" s="1"/>
  <c r="B108" i="10"/>
  <c r="N107" i="10"/>
  <c r="I107" i="10"/>
  <c r="G107" i="10"/>
  <c r="E107" i="10"/>
  <c r="C107" i="10"/>
  <c r="B107" i="10"/>
  <c r="H107" i="10" s="1"/>
  <c r="N106" i="10"/>
  <c r="H106" i="10"/>
  <c r="G106" i="10"/>
  <c r="C106" i="10"/>
  <c r="B106" i="10"/>
  <c r="N105" i="10"/>
  <c r="I105" i="10"/>
  <c r="G105" i="10"/>
  <c r="E105" i="10"/>
  <c r="C105" i="10"/>
  <c r="B105" i="10"/>
  <c r="H105" i="10" s="1"/>
  <c r="N104" i="10"/>
  <c r="H104" i="10"/>
  <c r="G104" i="10"/>
  <c r="C104" i="10"/>
  <c r="I104" i="10" s="1"/>
  <c r="B104" i="10"/>
  <c r="N103" i="10"/>
  <c r="I103" i="10"/>
  <c r="G103" i="10"/>
  <c r="E103" i="10"/>
  <c r="C103" i="10"/>
  <c r="B103" i="10"/>
  <c r="H103" i="10" s="1"/>
  <c r="N102" i="10"/>
  <c r="H102" i="10"/>
  <c r="G102" i="10"/>
  <c r="C102" i="10"/>
  <c r="B102" i="10"/>
  <c r="N101" i="10"/>
  <c r="I101" i="10"/>
  <c r="G101" i="10"/>
  <c r="E101" i="10"/>
  <c r="C101" i="10"/>
  <c r="B101" i="10"/>
  <c r="H101" i="10" s="1"/>
  <c r="N100" i="10"/>
  <c r="H100" i="10"/>
  <c r="G100" i="10"/>
  <c r="C100" i="10"/>
  <c r="I100" i="10" s="1"/>
  <c r="B100" i="10"/>
  <c r="N99" i="10"/>
  <c r="I99" i="10"/>
  <c r="G99" i="10"/>
  <c r="E99" i="10"/>
  <c r="C99" i="10"/>
  <c r="B99" i="10"/>
  <c r="H99" i="10" s="1"/>
  <c r="N98" i="10"/>
  <c r="H98" i="10"/>
  <c r="G98" i="10"/>
  <c r="C98" i="10"/>
  <c r="B98" i="10"/>
  <c r="N97" i="10"/>
  <c r="I97" i="10"/>
  <c r="G97" i="10"/>
  <c r="E97" i="10"/>
  <c r="C97" i="10"/>
  <c r="B97" i="10"/>
  <c r="H97" i="10" s="1"/>
  <c r="N96" i="10"/>
  <c r="H96" i="10"/>
  <c r="G96" i="10"/>
  <c r="C96" i="10"/>
  <c r="I96" i="10" s="1"/>
  <c r="B96" i="10"/>
  <c r="N95" i="10"/>
  <c r="I95" i="10"/>
  <c r="G95" i="10"/>
  <c r="E95" i="10"/>
  <c r="C95" i="10"/>
  <c r="B95" i="10"/>
  <c r="H95" i="10" s="1"/>
  <c r="N94" i="10"/>
  <c r="H94" i="10"/>
  <c r="G94" i="10"/>
  <c r="C94" i="10"/>
  <c r="B94" i="10"/>
  <c r="N93" i="10"/>
  <c r="I93" i="10"/>
  <c r="G93" i="10"/>
  <c r="E93" i="10"/>
  <c r="C93" i="10"/>
  <c r="B93" i="10"/>
  <c r="H93" i="10" s="1"/>
  <c r="N92" i="10"/>
  <c r="H92" i="10"/>
  <c r="G92" i="10"/>
  <c r="C92" i="10"/>
  <c r="I92" i="10" s="1"/>
  <c r="B92" i="10"/>
  <c r="N91" i="10"/>
  <c r="I91" i="10"/>
  <c r="G91" i="10"/>
  <c r="E91" i="10"/>
  <c r="C91" i="10"/>
  <c r="B91" i="10"/>
  <c r="H91" i="10" s="1"/>
  <c r="N90" i="10"/>
  <c r="H90" i="10"/>
  <c r="G90" i="10"/>
  <c r="C90" i="10"/>
  <c r="B90" i="10"/>
  <c r="N89" i="10"/>
  <c r="I89" i="10"/>
  <c r="G89" i="10"/>
  <c r="E89" i="10"/>
  <c r="C89" i="10"/>
  <c r="B89" i="10"/>
  <c r="H89" i="10" s="1"/>
  <c r="N88" i="10"/>
  <c r="H88" i="10"/>
  <c r="G88" i="10"/>
  <c r="C88" i="10"/>
  <c r="I88" i="10" s="1"/>
  <c r="B88" i="10"/>
  <c r="N87" i="10"/>
  <c r="I87" i="10"/>
  <c r="G87" i="10"/>
  <c r="E87" i="10"/>
  <c r="C87" i="10"/>
  <c r="B87" i="10"/>
  <c r="H87" i="10" s="1"/>
  <c r="N86" i="10"/>
  <c r="H86" i="10"/>
  <c r="G86" i="10"/>
  <c r="C86" i="10"/>
  <c r="B86" i="10"/>
  <c r="N85" i="10"/>
  <c r="I85" i="10"/>
  <c r="G85" i="10"/>
  <c r="E85" i="10"/>
  <c r="C85" i="10"/>
  <c r="B85" i="10"/>
  <c r="H85" i="10" s="1"/>
  <c r="N84" i="10"/>
  <c r="H84" i="10"/>
  <c r="G84" i="10"/>
  <c r="C84" i="10"/>
  <c r="I84" i="10" s="1"/>
  <c r="B84" i="10"/>
  <c r="N83" i="10"/>
  <c r="I83" i="10"/>
  <c r="G83" i="10"/>
  <c r="E83" i="10"/>
  <c r="C83" i="10"/>
  <c r="B83" i="10"/>
  <c r="H83" i="10" s="1"/>
  <c r="N82" i="10"/>
  <c r="H82" i="10"/>
  <c r="G82" i="10"/>
  <c r="C82" i="10"/>
  <c r="B82" i="10"/>
  <c r="N81" i="10"/>
  <c r="I81" i="10"/>
  <c r="G81" i="10"/>
  <c r="E81" i="10"/>
  <c r="C81" i="10"/>
  <c r="B81" i="10"/>
  <c r="H81" i="10" s="1"/>
  <c r="N80" i="10"/>
  <c r="H80" i="10"/>
  <c r="G80" i="10"/>
  <c r="C80" i="10"/>
  <c r="I80" i="10" s="1"/>
  <c r="B80" i="10"/>
  <c r="N79" i="10"/>
  <c r="I79" i="10"/>
  <c r="G79" i="10"/>
  <c r="E79" i="10"/>
  <c r="C79" i="10"/>
  <c r="B79" i="10"/>
  <c r="H79" i="10" s="1"/>
  <c r="N78" i="10"/>
  <c r="H78" i="10"/>
  <c r="G78" i="10"/>
  <c r="C78" i="10"/>
  <c r="B78" i="10"/>
  <c r="N77" i="10"/>
  <c r="K77" i="10"/>
  <c r="I77" i="10"/>
  <c r="G77" i="10"/>
  <c r="E77" i="10"/>
  <c r="C77" i="10"/>
  <c r="B77" i="10"/>
  <c r="H77" i="10" s="1"/>
  <c r="N76" i="10"/>
  <c r="H76" i="10"/>
  <c r="G76" i="10"/>
  <c r="C76" i="10"/>
  <c r="I76" i="10" s="1"/>
  <c r="B76" i="10"/>
  <c r="N75" i="10"/>
  <c r="K75" i="10"/>
  <c r="I75" i="10"/>
  <c r="G75" i="10"/>
  <c r="E75" i="10"/>
  <c r="C75" i="10"/>
  <c r="B75" i="10"/>
  <c r="H75" i="10" s="1"/>
  <c r="N74" i="10"/>
  <c r="H74" i="10"/>
  <c r="G74" i="10"/>
  <c r="C74" i="10"/>
  <c r="K74" i="10" s="1"/>
  <c r="B74" i="10"/>
  <c r="N73" i="10"/>
  <c r="K73" i="10"/>
  <c r="I73" i="10"/>
  <c r="G73" i="10"/>
  <c r="E73" i="10"/>
  <c r="C73" i="10"/>
  <c r="B73" i="10"/>
  <c r="H73" i="10" s="1"/>
  <c r="N72" i="10"/>
  <c r="H72" i="10"/>
  <c r="G72" i="10"/>
  <c r="C72" i="10"/>
  <c r="I72" i="10" s="1"/>
  <c r="B72" i="10"/>
  <c r="N71" i="10"/>
  <c r="K71" i="10"/>
  <c r="I71" i="10"/>
  <c r="G71" i="10"/>
  <c r="E71" i="10"/>
  <c r="C71" i="10"/>
  <c r="B71" i="10"/>
  <c r="H71" i="10" s="1"/>
  <c r="N70" i="10"/>
  <c r="H70" i="10"/>
  <c r="G70" i="10"/>
  <c r="C70" i="10"/>
  <c r="K70" i="10" s="1"/>
  <c r="B70" i="10"/>
  <c r="N69" i="10"/>
  <c r="K69" i="10"/>
  <c r="I69" i="10"/>
  <c r="G69" i="10"/>
  <c r="E69" i="10"/>
  <c r="C69" i="10"/>
  <c r="B69" i="10"/>
  <c r="H69" i="10" s="1"/>
  <c r="N68" i="10"/>
  <c r="H68" i="10"/>
  <c r="G68" i="10"/>
  <c r="C68" i="10"/>
  <c r="I68" i="10" s="1"/>
  <c r="B68" i="10"/>
  <c r="N67" i="10"/>
  <c r="K67" i="10"/>
  <c r="I67" i="10"/>
  <c r="G67" i="10"/>
  <c r="E67" i="10"/>
  <c r="C67" i="10"/>
  <c r="B67" i="10"/>
  <c r="H67" i="10" s="1"/>
  <c r="N66" i="10"/>
  <c r="H66" i="10"/>
  <c r="G66" i="10"/>
  <c r="C66" i="10"/>
  <c r="K66" i="10" s="1"/>
  <c r="B66" i="10"/>
  <c r="N65" i="10"/>
  <c r="K65" i="10"/>
  <c r="I65" i="10"/>
  <c r="G65" i="10"/>
  <c r="E65" i="10"/>
  <c r="C65" i="10"/>
  <c r="B65" i="10"/>
  <c r="H65" i="10" s="1"/>
  <c r="N64" i="10"/>
  <c r="H64" i="10"/>
  <c r="G64" i="10"/>
  <c r="C64" i="10"/>
  <c r="I64" i="10" s="1"/>
  <c r="B64" i="10"/>
  <c r="N63" i="10"/>
  <c r="K63" i="10"/>
  <c r="I63" i="10"/>
  <c r="G63" i="10"/>
  <c r="E63" i="10"/>
  <c r="C63" i="10"/>
  <c r="B63" i="10"/>
  <c r="H63" i="10" s="1"/>
  <c r="N62" i="10"/>
  <c r="H62" i="10"/>
  <c r="G62" i="10"/>
  <c r="C62" i="10"/>
  <c r="K62" i="10" s="1"/>
  <c r="B62" i="10"/>
  <c r="N61" i="10"/>
  <c r="K61" i="10"/>
  <c r="I61" i="10"/>
  <c r="G61" i="10"/>
  <c r="E61" i="10"/>
  <c r="C61" i="10"/>
  <c r="B61" i="10"/>
  <c r="H61" i="10" s="1"/>
  <c r="N60" i="10"/>
  <c r="H60" i="10"/>
  <c r="G60" i="10"/>
  <c r="C60" i="10"/>
  <c r="I60" i="10" s="1"/>
  <c r="B60" i="10"/>
  <c r="N59" i="10"/>
  <c r="K59" i="10"/>
  <c r="I59" i="10"/>
  <c r="G59" i="10"/>
  <c r="E59" i="10"/>
  <c r="C59" i="10"/>
  <c r="B59" i="10"/>
  <c r="H59" i="10" s="1"/>
  <c r="N58" i="10"/>
  <c r="H58" i="10"/>
  <c r="G58" i="10"/>
  <c r="C58" i="10"/>
  <c r="K58" i="10" s="1"/>
  <c r="B58" i="10"/>
  <c r="N57" i="10"/>
  <c r="K57" i="10"/>
  <c r="I57" i="10"/>
  <c r="G57" i="10"/>
  <c r="E57" i="10"/>
  <c r="C57" i="10"/>
  <c r="B57" i="10"/>
  <c r="H57" i="10" s="1"/>
  <c r="N56" i="10"/>
  <c r="H56" i="10"/>
  <c r="G56" i="10"/>
  <c r="C56" i="10"/>
  <c r="I56" i="10" s="1"/>
  <c r="B56" i="10"/>
  <c r="N55" i="10"/>
  <c r="K55" i="10"/>
  <c r="I55" i="10"/>
  <c r="G55" i="10"/>
  <c r="E55" i="10"/>
  <c r="C55" i="10"/>
  <c r="B55" i="10"/>
  <c r="H55" i="10" s="1"/>
  <c r="N54" i="10"/>
  <c r="H54" i="10"/>
  <c r="G54" i="10"/>
  <c r="C54" i="10"/>
  <c r="K54" i="10" s="1"/>
  <c r="B54" i="10"/>
  <c r="N53" i="10"/>
  <c r="K53" i="10"/>
  <c r="I53" i="10"/>
  <c r="G53" i="10"/>
  <c r="E53" i="10"/>
  <c r="C53" i="10"/>
  <c r="B53" i="10"/>
  <c r="H53" i="10" s="1"/>
  <c r="N52" i="10"/>
  <c r="H52" i="10"/>
  <c r="G52" i="10"/>
  <c r="C52" i="10"/>
  <c r="I52" i="10" s="1"/>
  <c r="B52" i="10"/>
  <c r="N51" i="10"/>
  <c r="K51" i="10"/>
  <c r="I51" i="10"/>
  <c r="G51" i="10"/>
  <c r="E51" i="10"/>
  <c r="C51" i="10"/>
  <c r="B51" i="10"/>
  <c r="H51" i="10" s="1"/>
  <c r="N50" i="10"/>
  <c r="H50" i="10"/>
  <c r="G50" i="10"/>
  <c r="C50" i="10"/>
  <c r="K50" i="10" s="1"/>
  <c r="B50" i="10"/>
  <c r="N49" i="10"/>
  <c r="K49" i="10"/>
  <c r="I49" i="10"/>
  <c r="G49" i="10"/>
  <c r="E49" i="10"/>
  <c r="C49" i="10"/>
  <c r="B49" i="10"/>
  <c r="H49" i="10" s="1"/>
  <c r="N48" i="10"/>
  <c r="H48" i="10"/>
  <c r="G48" i="10"/>
  <c r="C48" i="10"/>
  <c r="I48" i="10" s="1"/>
  <c r="B48" i="10"/>
  <c r="N47" i="10"/>
  <c r="K47" i="10"/>
  <c r="I47" i="10"/>
  <c r="G47" i="10"/>
  <c r="E47" i="10"/>
  <c r="C47" i="10"/>
  <c r="B47" i="10"/>
  <c r="H47" i="10" s="1"/>
  <c r="N46" i="10"/>
  <c r="H46" i="10"/>
  <c r="G46" i="10"/>
  <c r="C46" i="10"/>
  <c r="K46" i="10" s="1"/>
  <c r="B46" i="10"/>
  <c r="N45" i="10"/>
  <c r="K45" i="10"/>
  <c r="I45" i="10"/>
  <c r="G45" i="10"/>
  <c r="E45" i="10"/>
  <c r="C45" i="10"/>
  <c r="B45" i="10"/>
  <c r="H45" i="10" s="1"/>
  <c r="N44" i="10"/>
  <c r="H44" i="10"/>
  <c r="G44" i="10"/>
  <c r="C44" i="10"/>
  <c r="I44" i="10" s="1"/>
  <c r="B44" i="10"/>
  <c r="N43" i="10"/>
  <c r="K43" i="10"/>
  <c r="I43" i="10"/>
  <c r="G43" i="10"/>
  <c r="E43" i="10"/>
  <c r="C43" i="10"/>
  <c r="B43" i="10"/>
  <c r="H43" i="10" s="1"/>
  <c r="N42" i="10"/>
  <c r="H42" i="10"/>
  <c r="G42" i="10"/>
  <c r="C42" i="10"/>
  <c r="K42" i="10" s="1"/>
  <c r="B42" i="10"/>
  <c r="N41" i="10"/>
  <c r="K41" i="10"/>
  <c r="I41" i="10"/>
  <c r="G41" i="10"/>
  <c r="E41" i="10"/>
  <c r="C41" i="10"/>
  <c r="B41" i="10"/>
  <c r="H41" i="10" s="1"/>
  <c r="N40" i="10"/>
  <c r="H40" i="10"/>
  <c r="G40" i="10"/>
  <c r="C40" i="10"/>
  <c r="I40" i="10" s="1"/>
  <c r="B40" i="10"/>
  <c r="N39" i="10"/>
  <c r="K39" i="10"/>
  <c r="I39" i="10"/>
  <c r="G39" i="10"/>
  <c r="E39" i="10"/>
  <c r="C39" i="10"/>
  <c r="B39" i="10"/>
  <c r="H39" i="10" s="1"/>
  <c r="N38" i="10"/>
  <c r="H38" i="10"/>
  <c r="G38" i="10"/>
  <c r="C38" i="10"/>
  <c r="K38" i="10" s="1"/>
  <c r="B38" i="10"/>
  <c r="N37" i="10"/>
  <c r="K37" i="10"/>
  <c r="I37" i="10"/>
  <c r="G37" i="10"/>
  <c r="E37" i="10"/>
  <c r="C37" i="10"/>
  <c r="B37" i="10"/>
  <c r="H37" i="10" s="1"/>
  <c r="N36" i="10"/>
  <c r="H36" i="10"/>
  <c r="G36" i="10"/>
  <c r="C36" i="10"/>
  <c r="I36" i="10" s="1"/>
  <c r="B36" i="10"/>
  <c r="N35" i="10"/>
  <c r="K35" i="10"/>
  <c r="I35" i="10"/>
  <c r="G35" i="10"/>
  <c r="E35" i="10"/>
  <c r="C35" i="10"/>
  <c r="B35" i="10"/>
  <c r="H35" i="10" s="1"/>
  <c r="N34" i="10"/>
  <c r="H34" i="10"/>
  <c r="G34" i="10"/>
  <c r="C34" i="10"/>
  <c r="K34" i="10" s="1"/>
  <c r="B34" i="10"/>
  <c r="N33" i="10"/>
  <c r="K33" i="10"/>
  <c r="I33" i="10"/>
  <c r="G33" i="10"/>
  <c r="E33" i="10"/>
  <c r="C33" i="10"/>
  <c r="B33" i="10"/>
  <c r="H33" i="10" s="1"/>
  <c r="N32" i="10"/>
  <c r="H32" i="10"/>
  <c r="G32" i="10"/>
  <c r="C32" i="10"/>
  <c r="I32" i="10" s="1"/>
  <c r="B32" i="10"/>
  <c r="N31" i="10"/>
  <c r="K31" i="10"/>
  <c r="I31" i="10"/>
  <c r="G31" i="10"/>
  <c r="E31" i="10"/>
  <c r="C31" i="10"/>
  <c r="B31" i="10"/>
  <c r="H31" i="10" s="1"/>
  <c r="N30" i="10"/>
  <c r="H30" i="10"/>
  <c r="G30" i="10"/>
  <c r="C30" i="10"/>
  <c r="K30" i="10" s="1"/>
  <c r="B30" i="10"/>
  <c r="N29" i="10"/>
  <c r="K29" i="10"/>
  <c r="I29" i="10"/>
  <c r="G29" i="10"/>
  <c r="E29" i="10"/>
  <c r="C29" i="10"/>
  <c r="B29" i="10"/>
  <c r="H29" i="10" s="1"/>
  <c r="N28" i="10"/>
  <c r="H28" i="10"/>
  <c r="G28" i="10"/>
  <c r="C28" i="10"/>
  <c r="I28" i="10" s="1"/>
  <c r="B28" i="10"/>
  <c r="N27" i="10"/>
  <c r="K27" i="10"/>
  <c r="I27" i="10"/>
  <c r="G27" i="10"/>
  <c r="E27" i="10"/>
  <c r="C27" i="10"/>
  <c r="B27" i="10"/>
  <c r="H27" i="10" s="1"/>
  <c r="N26" i="10"/>
  <c r="H26" i="10"/>
  <c r="G26" i="10"/>
  <c r="C26" i="10"/>
  <c r="K26" i="10" s="1"/>
  <c r="B26" i="10"/>
  <c r="N25" i="10"/>
  <c r="K25" i="10"/>
  <c r="I25" i="10"/>
  <c r="G25" i="10"/>
  <c r="E25" i="10"/>
  <c r="C25" i="10"/>
  <c r="B25" i="10"/>
  <c r="H25" i="10" s="1"/>
  <c r="N24" i="10"/>
  <c r="H24" i="10"/>
  <c r="G24" i="10"/>
  <c r="C24" i="10"/>
  <c r="I24" i="10" s="1"/>
  <c r="B24" i="10"/>
  <c r="N23" i="10"/>
  <c r="K23" i="10"/>
  <c r="I23" i="10"/>
  <c r="G23" i="10"/>
  <c r="E23" i="10"/>
  <c r="C23" i="10"/>
  <c r="B23" i="10"/>
  <c r="H23" i="10" s="1"/>
  <c r="N22" i="10"/>
  <c r="H22" i="10"/>
  <c r="G22" i="10"/>
  <c r="C22" i="10"/>
  <c r="K22" i="10" s="1"/>
  <c r="B22" i="10"/>
  <c r="N21" i="10"/>
  <c r="K21" i="10"/>
  <c r="I21" i="10"/>
  <c r="G21" i="10"/>
  <c r="E21" i="10"/>
  <c r="C21" i="10"/>
  <c r="B21" i="10"/>
  <c r="H21" i="10" s="1"/>
  <c r="N20" i="10"/>
  <c r="H20" i="10"/>
  <c r="G20" i="10"/>
  <c r="C20" i="10"/>
  <c r="I20" i="10" s="1"/>
  <c r="B20" i="10"/>
  <c r="N19" i="10"/>
  <c r="K19" i="10"/>
  <c r="I19" i="10"/>
  <c r="G19" i="10"/>
  <c r="E19" i="10"/>
  <c r="C19" i="10"/>
  <c r="B19" i="10"/>
  <c r="H19" i="10" s="1"/>
  <c r="N18" i="10"/>
  <c r="H18" i="10"/>
  <c r="G18" i="10"/>
  <c r="C18" i="10"/>
  <c r="K18" i="10" s="1"/>
  <c r="B18" i="10"/>
  <c r="N17" i="10"/>
  <c r="K17" i="10"/>
  <c r="I17" i="10"/>
  <c r="G17" i="10"/>
  <c r="E17" i="10"/>
  <c r="C17" i="10"/>
  <c r="B17" i="10"/>
  <c r="H17" i="10" s="1"/>
  <c r="N16" i="10"/>
  <c r="H16" i="10"/>
  <c r="G16" i="10"/>
  <c r="C16" i="10"/>
  <c r="I16" i="10" s="1"/>
  <c r="B16" i="10"/>
  <c r="N15" i="10"/>
  <c r="K15" i="10"/>
  <c r="I15" i="10"/>
  <c r="G15" i="10"/>
  <c r="E15" i="10"/>
  <c r="C15" i="10"/>
  <c r="B15" i="10"/>
  <c r="H15" i="10" s="1"/>
  <c r="N14" i="10"/>
  <c r="H14" i="10"/>
  <c r="G14" i="10"/>
  <c r="C14" i="10"/>
  <c r="K14" i="10" s="1"/>
  <c r="B14" i="10"/>
  <c r="N13" i="10"/>
  <c r="K13" i="10"/>
  <c r="I13" i="10"/>
  <c r="G13" i="10"/>
  <c r="E13" i="10"/>
  <c r="C13" i="10"/>
  <c r="B13" i="10"/>
  <c r="H13" i="10" s="1"/>
  <c r="N12" i="10"/>
  <c r="H12" i="10"/>
  <c r="G12" i="10"/>
  <c r="C12" i="10"/>
  <c r="I12" i="10" s="1"/>
  <c r="B12" i="10"/>
  <c r="N11" i="10"/>
  <c r="K11" i="10"/>
  <c r="I11" i="10"/>
  <c r="G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L3" i="10"/>
  <c r="K3" i="10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AC5" i="8"/>
  <c r="AB5" i="8"/>
  <c r="J23" i="3" s="1"/>
  <c r="AA5" i="8"/>
  <c r="Z5" i="8"/>
  <c r="J19" i="3" s="1"/>
  <c r="Y5" i="8"/>
  <c r="X5" i="8"/>
  <c r="J21" i="3" s="1"/>
  <c r="W5" i="8"/>
  <c r="V5" i="8"/>
  <c r="J20" i="3" s="1"/>
  <c r="U5" i="8"/>
  <c r="T5" i="8"/>
  <c r="J10" i="3" s="1"/>
  <c r="S5" i="8"/>
  <c r="R5" i="8"/>
  <c r="P7" i="3" s="1"/>
  <c r="Q5" i="8"/>
  <c r="P5" i="8"/>
  <c r="J17" i="3" s="1"/>
  <c r="O5" i="8"/>
  <c r="N5" i="8"/>
  <c r="J18" i="3" s="1"/>
  <c r="M5" i="8"/>
  <c r="L5" i="8"/>
  <c r="J24" i="3" s="1"/>
  <c r="K5" i="8"/>
  <c r="J5" i="8"/>
  <c r="J12" i="3" s="1"/>
  <c r="I5" i="8"/>
  <c r="H5" i="8"/>
  <c r="J1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848" i="7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AF36" i="6" s="1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AF26" i="6" s="1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AF22" i="6" s="1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AF20" i="6" s="1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AF15" i="6" s="1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AF14" i="6" s="1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AF5" i="6" s="1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23" i="3" s="1"/>
  <c r="F42" i="4"/>
  <c r="G42" i="4" s="1"/>
  <c r="J41" i="4"/>
  <c r="L41" i="4" s="1"/>
  <c r="F41" i="4"/>
  <c r="H21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6" i="3" s="1"/>
  <c r="L21" i="4"/>
  <c r="F21" i="4"/>
  <c r="N18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N17" i="3" s="1"/>
  <c r="G14" i="4"/>
  <c r="F14" i="4"/>
  <c r="J12" i="4"/>
  <c r="F12" i="4"/>
  <c r="N6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4" i="3"/>
  <c r="G24" i="3"/>
  <c r="G23" i="3"/>
  <c r="G22" i="3"/>
  <c r="G21" i="3"/>
  <c r="H20" i="3"/>
  <c r="G20" i="3"/>
  <c r="N19" i="3"/>
  <c r="M19" i="3"/>
  <c r="G19" i="3"/>
  <c r="M18" i="3"/>
  <c r="H18" i="3"/>
  <c r="G18" i="3"/>
  <c r="M17" i="3"/>
  <c r="H17" i="3"/>
  <c r="G17" i="3"/>
  <c r="M16" i="3"/>
  <c r="H16" i="3"/>
  <c r="G16" i="3"/>
  <c r="M15" i="3"/>
  <c r="H15" i="3"/>
  <c r="G15" i="3"/>
  <c r="N14" i="3"/>
  <c r="M14" i="3"/>
  <c r="H14" i="3"/>
  <c r="G14" i="3"/>
  <c r="M13" i="3"/>
  <c r="H13" i="3"/>
  <c r="G13" i="3"/>
  <c r="N12" i="3"/>
  <c r="M12" i="3"/>
  <c r="H12" i="3"/>
  <c r="G12" i="3"/>
  <c r="N11" i="3"/>
  <c r="M11" i="3"/>
  <c r="H11" i="3"/>
  <c r="G11" i="3"/>
  <c r="N10" i="3"/>
  <c r="M10" i="3"/>
  <c r="H10" i="3"/>
  <c r="G10" i="3"/>
  <c r="N9" i="3"/>
  <c r="M9" i="3"/>
  <c r="G9" i="3"/>
  <c r="M8" i="3"/>
  <c r="H8" i="3"/>
  <c r="G8" i="3"/>
  <c r="M7" i="3"/>
  <c r="H7" i="3"/>
  <c r="G7" i="3"/>
  <c r="B7" i="3"/>
  <c r="M6" i="3"/>
  <c r="H6" i="3"/>
  <c r="G6" i="3"/>
  <c r="B6" i="3"/>
  <c r="T5" i="3"/>
  <c r="S5" i="3"/>
  <c r="M5" i="3"/>
  <c r="H5" i="3"/>
  <c r="G5" i="3"/>
  <c r="S4" i="3"/>
  <c r="M4" i="3"/>
  <c r="H4" i="3"/>
  <c r="G4" i="3"/>
  <c r="B38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29" i="6" l="1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93" i="7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G21" i="5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H23" i="5"/>
  <c r="G23" i="5"/>
  <c r="H31" i="5"/>
  <c r="G31" i="5"/>
  <c r="K68" i="4"/>
  <c r="L68" i="4"/>
  <c r="A2" i="8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V7" i="3"/>
  <c r="E9" i="9"/>
  <c r="D13" i="9"/>
  <c r="E13" i="9" s="1"/>
  <c r="K22" i="5"/>
  <c r="I3" i="6"/>
  <c r="E8" i="6"/>
  <c r="E11" i="6"/>
  <c r="E18" i="6"/>
  <c r="E19" i="6"/>
  <c r="E20" i="6"/>
  <c r="E21" i="6"/>
  <c r="E23" i="6"/>
  <c r="H9" i="3"/>
  <c r="H22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5" i="3"/>
  <c r="N2" i="3" s="1"/>
  <c r="H19" i="3"/>
  <c r="L12" i="4"/>
  <c r="J59" i="4"/>
  <c r="K64" i="4"/>
  <c r="F20" i="5"/>
  <c r="K20" i="5"/>
  <c r="K28" i="5"/>
  <c r="M28" i="5" s="1"/>
  <c r="U3" i="6"/>
  <c r="N13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P16" i="5" l="1"/>
  <c r="F16" i="5"/>
  <c r="G20" i="5"/>
  <c r="F34" i="5"/>
  <c r="H34" i="5" s="1"/>
  <c r="L20" i="5"/>
  <c r="K34" i="5"/>
  <c r="M34" i="5" s="1"/>
  <c r="G65" i="7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K5" i="5"/>
  <c r="L5" i="5" s="1"/>
  <c r="D52" i="6"/>
  <c r="D51" i="6"/>
  <c r="G29" i="5"/>
  <c r="D49" i="6"/>
  <c r="J14" i="3"/>
  <c r="H30" i="5"/>
  <c r="K4" i="5"/>
  <c r="M4" i="5" s="1"/>
  <c r="H22" i="5"/>
  <c r="D50" i="6"/>
  <c r="D4" i="3"/>
  <c r="D2" i="3" s="1"/>
  <c r="M26" i="5"/>
  <c r="H27" i="5"/>
  <c r="P34" i="5"/>
  <c r="G25" i="5"/>
  <c r="D45" i="6"/>
  <c r="K8" i="5"/>
  <c r="M8" i="5" s="1"/>
  <c r="F43" i="6"/>
  <c r="G43" i="6" s="1"/>
  <c r="F39" i="6"/>
  <c r="G39" i="6" s="1"/>
  <c r="F35" i="6"/>
  <c r="G35" i="6" s="1"/>
  <c r="F30" i="6"/>
  <c r="G30" i="6" s="1"/>
  <c r="F26" i="6"/>
  <c r="G26" i="6" s="1"/>
  <c r="F22" i="6"/>
  <c r="G22" i="6" s="1"/>
  <c r="F18" i="6"/>
  <c r="G18" i="6" s="1"/>
  <c r="F14" i="6"/>
  <c r="G14" i="6" s="1"/>
  <c r="F9" i="6"/>
  <c r="G9" i="6" s="1"/>
  <c r="F5" i="6"/>
  <c r="G5" i="6" s="1"/>
  <c r="V4" i="3"/>
  <c r="J22" i="3"/>
  <c r="H26" i="5"/>
  <c r="Q34" i="5"/>
  <c r="D28" i="6"/>
  <c r="J6" i="3"/>
  <c r="F29" i="6"/>
  <c r="G29" i="6" s="1"/>
  <c r="F25" i="6"/>
  <c r="G25" i="6" s="1"/>
  <c r="F21" i="6"/>
  <c r="G21" i="6" s="1"/>
  <c r="M30" i="5"/>
  <c r="D30" i="6"/>
  <c r="J16" i="3"/>
  <c r="K12" i="5"/>
  <c r="M12" i="5" s="1"/>
  <c r="F28" i="6"/>
  <c r="G28" i="6" s="1"/>
  <c r="F24" i="6"/>
  <c r="G24" i="6" s="1"/>
  <c r="F20" i="6"/>
  <c r="G20" i="6" s="1"/>
  <c r="F16" i="6"/>
  <c r="G16" i="6" s="1"/>
  <c r="F11" i="6"/>
  <c r="G11" i="6" s="1"/>
  <c r="F7" i="6"/>
  <c r="G7" i="6" s="1"/>
  <c r="K2" i="5"/>
  <c r="F17" i="6"/>
  <c r="G17" i="6" s="1"/>
  <c r="F12" i="6"/>
  <c r="G12" i="6" s="1"/>
  <c r="F8" i="6"/>
  <c r="G8" i="6" s="1"/>
  <c r="F40" i="6"/>
  <c r="G40" i="6" s="1"/>
  <c r="F36" i="6"/>
  <c r="G36" i="6" s="1"/>
  <c r="F31" i="6"/>
  <c r="G31" i="6" s="1"/>
  <c r="F27" i="6"/>
  <c r="G27" i="6" s="1"/>
  <c r="F23" i="6"/>
  <c r="G23" i="6" s="1"/>
  <c r="F19" i="6"/>
  <c r="G19" i="6" s="1"/>
  <c r="F15" i="6"/>
  <c r="G15" i="6" s="1"/>
  <c r="F10" i="6"/>
  <c r="G10" i="6" s="1"/>
  <c r="F6" i="6"/>
  <c r="G6" i="6" s="1"/>
  <c r="E54" i="6"/>
  <c r="G59" i="14"/>
  <c r="M12" i="14"/>
  <c r="K3" i="5"/>
  <c r="M21" i="5"/>
  <c r="P17" i="3"/>
  <c r="D15" i="6"/>
  <c r="F42" i="6"/>
  <c r="G42" i="6" s="1"/>
  <c r="F38" i="6"/>
  <c r="G38" i="6" s="1"/>
  <c r="F34" i="6"/>
  <c r="G34" i="6" s="1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10" i="3"/>
  <c r="P4" i="3"/>
  <c r="D6" i="6"/>
  <c r="P13" i="3"/>
  <c r="D19" i="6"/>
  <c r="G24" i="5"/>
  <c r="L28" i="5"/>
  <c r="F45" i="6"/>
  <c r="G45" i="6" s="1"/>
  <c r="K37" i="4"/>
  <c r="J39" i="4"/>
  <c r="K35" i="4"/>
  <c r="J40" i="4"/>
  <c r="L40" i="4" s="1"/>
  <c r="K38" i="4"/>
  <c r="L35" i="4"/>
  <c r="L21" i="5"/>
  <c r="D18" i="9"/>
  <c r="E18" i="9" s="1"/>
  <c r="D27" i="6"/>
  <c r="P14" i="3"/>
  <c r="D12" i="6"/>
  <c r="P6" i="3"/>
  <c r="Z20" i="11"/>
  <c r="Y20" i="11"/>
  <c r="F41" i="6"/>
  <c r="G41" i="6" s="1"/>
  <c r="F37" i="6"/>
  <c r="G37" i="6" s="1"/>
  <c r="F33" i="6"/>
  <c r="G33" i="6" s="1"/>
  <c r="M27" i="5"/>
  <c r="L27" i="5"/>
  <c r="H20" i="5"/>
  <c r="P19" i="3"/>
  <c r="D25" i="6"/>
  <c r="J4" i="3"/>
  <c r="D14" i="6"/>
  <c r="U22" i="11"/>
  <c r="T22" i="11"/>
  <c r="D23" i="6"/>
  <c r="J9" i="3"/>
  <c r="D18" i="6"/>
  <c r="J13" i="3"/>
  <c r="L22" i="5"/>
  <c r="M22" i="5"/>
  <c r="Q4" i="12"/>
  <c r="K6" i="5"/>
  <c r="M32" i="4"/>
  <c r="J6" i="4"/>
  <c r="H2" i="3"/>
  <c r="J12" i="11"/>
  <c r="K12" i="11"/>
  <c r="F11" i="11"/>
  <c r="G12" i="11" s="1"/>
  <c r="K11" i="5"/>
  <c r="M29" i="5"/>
  <c r="P15" i="3"/>
  <c r="D26" i="6"/>
  <c r="D9" i="6"/>
  <c r="P5" i="3"/>
  <c r="M23" i="5"/>
  <c r="L23" i="5"/>
  <c r="P11" i="3"/>
  <c r="D24" i="6"/>
  <c r="D10" i="6"/>
  <c r="J7" i="3"/>
  <c r="N8" i="14"/>
  <c r="C4" i="12"/>
  <c r="C5" i="12" s="1"/>
  <c r="D21" i="6"/>
  <c r="P18" i="3"/>
  <c r="D11" i="6"/>
  <c r="P8" i="3"/>
  <c r="N9" i="13"/>
  <c r="K10" i="5"/>
  <c r="G28" i="5"/>
  <c r="M11" i="13"/>
  <c r="K7" i="5"/>
  <c r="M25" i="5"/>
  <c r="P9" i="3"/>
  <c r="D16" i="6"/>
  <c r="D5" i="6"/>
  <c r="J5" i="3"/>
  <c r="E3" i="6"/>
  <c r="P12" i="11"/>
  <c r="O12" i="11"/>
  <c r="D22" i="6"/>
  <c r="P16" i="3"/>
  <c r="D7" i="6"/>
  <c r="P12" i="3"/>
  <c r="D20" i="6"/>
  <c r="J15" i="3"/>
  <c r="D8" i="6"/>
  <c r="J8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L34" i="5"/>
  <c r="T2" i="5"/>
  <c r="K16" i="5"/>
  <c r="M16" i="5" s="1"/>
  <c r="G53" i="7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T5" i="5"/>
  <c r="M5" i="5"/>
  <c r="T8" i="5"/>
  <c r="L4" i="5"/>
  <c r="L8" i="5"/>
  <c r="E4" i="3"/>
  <c r="E7" i="3"/>
  <c r="K8" i="3"/>
  <c r="Q11" i="3"/>
  <c r="K7" i="3"/>
  <c r="K13" i="3"/>
  <c r="Q8" i="3"/>
  <c r="Q15" i="3"/>
  <c r="Q5" i="3"/>
  <c r="T4" i="5"/>
  <c r="L12" i="5"/>
  <c r="L2" i="5"/>
  <c r="T12" i="5"/>
  <c r="M2" i="5"/>
  <c r="Q16" i="3"/>
  <c r="Q19" i="3"/>
  <c r="K15" i="3"/>
  <c r="Q12" i="3"/>
  <c r="K5" i="3"/>
  <c r="Q9" i="3"/>
  <c r="Q18" i="3"/>
  <c r="K9" i="3"/>
  <c r="B4" i="3"/>
  <c r="O68" i="4"/>
  <c r="P13" i="11"/>
  <c r="O13" i="11"/>
  <c r="K13" i="11"/>
  <c r="F12" i="11"/>
  <c r="G13" i="11" s="1"/>
  <c r="J13" i="11"/>
  <c r="K4" i="3"/>
  <c r="J2" i="3"/>
  <c r="K2" i="3" s="1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Q17" i="3"/>
  <c r="N10" i="13"/>
  <c r="J8" i="14" a="1"/>
  <c r="J8" i="14" s="1"/>
  <c r="N9" i="14"/>
  <c r="W7" i="3"/>
  <c r="Q14" i="3"/>
  <c r="M35" i="4"/>
  <c r="J9" i="4"/>
  <c r="L39" i="4"/>
  <c r="J42" i="4"/>
  <c r="Q13" i="3"/>
  <c r="M9" i="5"/>
  <c r="T9" i="5"/>
  <c r="L9" i="5"/>
  <c r="M6" i="5"/>
  <c r="T6" i="5"/>
  <c r="L6" i="5"/>
  <c r="U23" i="11"/>
  <c r="T23" i="11"/>
  <c r="K21" i="3"/>
  <c r="W5" i="3"/>
  <c r="K23" i="3"/>
  <c r="E6" i="3"/>
  <c r="K24" i="3"/>
  <c r="K11" i="3"/>
  <c r="K6" i="3"/>
  <c r="K14" i="3"/>
  <c r="K18" i="3"/>
  <c r="K20" i="3"/>
  <c r="E5" i="3"/>
  <c r="K10" i="3"/>
  <c r="K19" i="3"/>
  <c r="K12" i="3"/>
  <c r="K16" i="3"/>
  <c r="K22" i="3"/>
  <c r="W4" i="3"/>
  <c r="K17" i="3"/>
  <c r="Q7" i="3"/>
  <c r="Q6" i="3"/>
  <c r="P2" i="3"/>
  <c r="Q2" i="3" s="1"/>
  <c r="Q4" i="3"/>
  <c r="M3" i="5"/>
  <c r="T3" i="5"/>
  <c r="L3" i="5"/>
  <c r="G60" i="14"/>
  <c r="G1" i="7" l="1" a="1"/>
  <c r="G1" i="7" s="1"/>
  <c r="B5" i="2" s="1"/>
  <c r="B7" i="2" s="1"/>
  <c r="G19" i="7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L16" i="5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F25" i="2" l="1"/>
  <c r="F16" i="2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J9" i="10" l="1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Z25" i="11" l="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1" i="3" l="1"/>
  <c r="C7" i="3"/>
  <c r="U5" i="3"/>
  <c r="O9" i="3"/>
  <c r="I5" i="3"/>
  <c r="O19" i="3"/>
  <c r="C6" i="3"/>
  <c r="O14" i="3"/>
  <c r="O12" i="3"/>
  <c r="O10" i="3"/>
  <c r="I23" i="3"/>
  <c r="I17" i="3"/>
  <c r="O16" i="3"/>
  <c r="I12" i="3"/>
  <c r="I18" i="3"/>
  <c r="I7" i="3"/>
  <c r="I15" i="3"/>
  <c r="O18" i="3"/>
  <c r="O4" i="3"/>
  <c r="I21" i="3"/>
  <c r="I6" i="3"/>
  <c r="I14" i="3"/>
  <c r="I10" i="3"/>
  <c r="O6" i="3"/>
  <c r="I11" i="3"/>
  <c r="O17" i="3"/>
  <c r="I8" i="3"/>
  <c r="I16" i="3"/>
  <c r="I20" i="3"/>
  <c r="I13" i="3"/>
  <c r="I24" i="3"/>
  <c r="I4" i="3"/>
  <c r="O2" i="3"/>
  <c r="I9" i="3"/>
  <c r="O7" i="3"/>
  <c r="O15" i="3"/>
  <c r="O8" i="3"/>
  <c r="I19" i="3"/>
  <c r="O13" i="3"/>
  <c r="O5" i="3"/>
  <c r="I22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T32" i="11" l="1"/>
  <c r="U32" i="11"/>
  <c r="J18" i="13" a="1"/>
  <c r="J18" i="13" s="1"/>
  <c r="N19" i="13"/>
  <c r="M22" i="14"/>
  <c r="O22" i="11"/>
  <c r="P22" i="11"/>
  <c r="F46" i="6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A98" i="1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80" i="11"/>
  <c r="A96" i="11"/>
  <c r="A74" i="11"/>
  <c r="N79" i="13" l="1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8" i="12" s="1"/>
  <c r="E2" i="11"/>
  <c r="B22" i="2"/>
  <c r="K11" i="14"/>
  <c r="L11" i="14" s="1"/>
  <c r="N80" i="13"/>
  <c r="J79" i="13" a="1"/>
  <c r="J79" i="13" s="1"/>
  <c r="I12" i="14" l="1"/>
  <c r="R14" i="10" a="1"/>
  <c r="R14" i="10" s="1"/>
  <c r="M83" i="13"/>
  <c r="O26" i="2"/>
  <c r="B26" i="2"/>
  <c r="O22" i="2"/>
  <c r="O19" i="2"/>
  <c r="N81" i="13"/>
  <c r="J80" i="13" a="1"/>
  <c r="J80" i="13" s="1"/>
  <c r="N80" i="14"/>
  <c r="J79" i="14" a="1"/>
  <c r="J79" i="14" s="1"/>
  <c r="M84" i="14"/>
  <c r="B1" i="13"/>
  <c r="C8" i="12"/>
  <c r="F29" i="2" l="1"/>
  <c r="O18" i="2"/>
  <c r="P26" i="2" s="1"/>
  <c r="F1" i="2"/>
  <c r="F3" i="2" s="1"/>
  <c r="O35" i="2"/>
  <c r="M84" i="13"/>
  <c r="M85" i="14"/>
  <c r="N82" i="13"/>
  <c r="J81" i="13" a="1"/>
  <c r="J81" i="13" s="1"/>
  <c r="O37" i="2"/>
  <c r="I8" i="13"/>
  <c r="B8" i="13"/>
  <c r="N81" i="14"/>
  <c r="J80" i="14" a="1"/>
  <c r="J80" i="14" s="1"/>
  <c r="P22" i="2"/>
  <c r="O36" i="2"/>
  <c r="P36" i="2" s="1"/>
  <c r="K12" i="14"/>
  <c r="L12" i="14" s="1"/>
  <c r="P37" i="2" l="1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8" i="2"/>
  <c r="L5" i="2"/>
  <c r="C31" i="2"/>
  <c r="C19" i="2"/>
  <c r="L15" i="2"/>
  <c r="L6" i="2"/>
  <c r="L8" i="2"/>
  <c r="C7" i="2"/>
  <c r="L12" i="2"/>
  <c r="K8" i="13"/>
  <c r="L8" i="13" s="1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P40" i="2" l="1"/>
  <c r="I9" i="13"/>
  <c r="Q11" i="10" a="1"/>
  <c r="Q11" i="10" s="1"/>
  <c r="S11" i="10" s="1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M88" i="14" l="1"/>
  <c r="I14" i="14"/>
  <c r="R16" i="10" a="1"/>
  <c r="R16" i="10" s="1"/>
  <c r="M87" i="13"/>
  <c r="N85" i="13"/>
  <c r="J84" i="13" a="1"/>
  <c r="J84" i="13" s="1"/>
  <c r="N84" i="14"/>
  <c r="J83" i="14" a="1"/>
  <c r="J83" i="14" s="1"/>
  <c r="K9" i="13"/>
  <c r="N86" i="13" l="1"/>
  <c r="J85" i="13" a="1"/>
  <c r="J85" i="13" s="1"/>
  <c r="K14" i="14"/>
  <c r="L14" i="14" s="1"/>
  <c r="I15" i="14" s="1"/>
  <c r="M88" i="13"/>
  <c r="M89" i="14"/>
  <c r="L9" i="13"/>
  <c r="N85" i="14"/>
  <c r="J84" i="14" a="1"/>
  <c r="J84" i="14" s="1"/>
  <c r="K15" i="14" l="1"/>
  <c r="L15" i="14" s="1"/>
  <c r="I16" i="14" s="1"/>
  <c r="M90" i="14"/>
  <c r="N86" i="14"/>
  <c r="J85" i="14" a="1"/>
  <c r="J85" i="14" s="1"/>
  <c r="M89" i="13"/>
  <c r="I10" i="13"/>
  <c r="Q12" i="10" a="1"/>
  <c r="Q12" i="10" s="1"/>
  <c r="S12" i="10" s="1"/>
  <c r="N87" i="13"/>
  <c r="J86" i="13" a="1"/>
  <c r="J86" i="13" s="1"/>
  <c r="K16" i="14" l="1"/>
  <c r="L16" i="14" s="1"/>
  <c r="I17" i="14" s="1"/>
  <c r="M90" i="13"/>
  <c r="M91" i="14"/>
  <c r="N88" i="13"/>
  <c r="J87" i="13" a="1"/>
  <c r="J87" i="13" s="1"/>
  <c r="K10" i="13"/>
  <c r="N87" i="14"/>
  <c r="J86" i="14" a="1"/>
  <c r="J86" i="14" s="1"/>
  <c r="K17" i="14" l="1"/>
  <c r="L17" i="14" s="1"/>
  <c r="I18" i="14" s="1"/>
  <c r="M91" i="13"/>
  <c r="N89" i="13"/>
  <c r="J88" i="13" a="1"/>
  <c r="J88" i="13" s="1"/>
  <c r="N88" i="14"/>
  <c r="J87" i="14" a="1"/>
  <c r="J87" i="14" s="1"/>
  <c r="M92" i="14"/>
  <c r="L10" i="13"/>
  <c r="K18" i="14" l="1"/>
  <c r="L18" i="14" s="1"/>
  <c r="I19" i="14" s="1"/>
  <c r="M92" i="13"/>
  <c r="I11" i="13"/>
  <c r="Q13" i="10" a="1"/>
  <c r="Q13" i="10" s="1"/>
  <c r="S13" i="10" s="1"/>
  <c r="M93" i="14"/>
  <c r="N89" i="14"/>
  <c r="J88" i="14" a="1"/>
  <c r="J88" i="14" s="1"/>
  <c r="N90" i="13"/>
  <c r="J89" i="13" a="1"/>
  <c r="J89" i="13" s="1"/>
  <c r="K19" i="14" l="1"/>
  <c r="L19" i="14" s="1"/>
  <c r="I20" i="14" s="1"/>
  <c r="M93" i="13"/>
  <c r="N90" i="14"/>
  <c r="J89" i="14" a="1"/>
  <c r="J89" i="14" s="1"/>
  <c r="M94" i="14"/>
  <c r="N91" i="13"/>
  <c r="J90" i="13" a="1"/>
  <c r="J90" i="13" s="1"/>
  <c r="K11" i="13"/>
  <c r="L11" i="13" s="1"/>
  <c r="I12" i="13" l="1"/>
  <c r="Q14" i="10" a="1"/>
  <c r="Q14" i="10" s="1"/>
  <c r="S14" i="10" s="1"/>
  <c r="K20" i="14"/>
  <c r="M95" i="14"/>
  <c r="M94" i="13"/>
  <c r="N92" i="13"/>
  <c r="J91" i="13" a="1"/>
  <c r="J91" i="13" s="1"/>
  <c r="N91" i="14"/>
  <c r="J90" i="14" a="1"/>
  <c r="J90" i="14" s="1"/>
  <c r="M96" i="14" l="1"/>
  <c r="N93" i="13"/>
  <c r="J92" i="13" a="1"/>
  <c r="J92" i="13" s="1"/>
  <c r="M95" i="13"/>
  <c r="N92" i="14"/>
  <c r="J91" i="14" a="1"/>
  <c r="J91" i="14" s="1"/>
  <c r="L20" i="14"/>
  <c r="I21" i="14" s="1"/>
  <c r="K12" i="13"/>
  <c r="L12" i="13" s="1"/>
  <c r="I13" i="13" l="1"/>
  <c r="Q15" i="10" a="1"/>
  <c r="Q15" i="10" s="1"/>
  <c r="S15" i="10" s="1"/>
  <c r="N94" i="13"/>
  <c r="J93" i="13" a="1"/>
  <c r="J93" i="13" s="1"/>
  <c r="N93" i="14"/>
  <c r="J92" i="14" a="1"/>
  <c r="J92" i="14" s="1"/>
  <c r="M96" i="13"/>
  <c r="K21" i="14"/>
  <c r="M97" i="14"/>
  <c r="N95" i="13" l="1"/>
  <c r="J94" i="13" a="1"/>
  <c r="J94" i="13" s="1"/>
  <c r="L21" i="14"/>
  <c r="I22" i="14" s="1"/>
  <c r="N94" i="14"/>
  <c r="J93" i="14" a="1"/>
  <c r="J93" i="14" s="1"/>
  <c r="M98" i="14"/>
  <c r="M97" i="13"/>
  <c r="K13" i="13"/>
  <c r="L13" i="13" s="1"/>
  <c r="I14" i="13" s="1"/>
  <c r="K14" i="13" l="1"/>
  <c r="L14" i="13" s="1"/>
  <c r="M98" i="13"/>
  <c r="N95" i="14"/>
  <c r="J94" i="14" a="1"/>
  <c r="J94" i="14" s="1"/>
  <c r="N96" i="13"/>
  <c r="J95" i="13" a="1"/>
  <c r="J95" i="13" s="1"/>
  <c r="M99" i="14"/>
  <c r="K22" i="14"/>
  <c r="I15" i="13" l="1"/>
  <c r="Q17" i="10" a="1"/>
  <c r="Q17" i="10" s="1"/>
  <c r="M100" i="14"/>
  <c r="N96" i="14"/>
  <c r="J95" i="14" a="1"/>
  <c r="J95" i="14" s="1"/>
  <c r="M99" i="13"/>
  <c r="L22" i="14"/>
  <c r="I23" i="14" s="1"/>
  <c r="N97" i="13"/>
  <c r="J96" i="13" a="1"/>
  <c r="J96" i="13" s="1"/>
  <c r="M100" i="13" l="1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/>
  <c r="L15" i="13" s="1"/>
  <c r="I16" i="13" s="1"/>
  <c r="K24" i="14" l="1"/>
  <c r="L24" i="14" s="1"/>
  <c r="I25" i="14" s="1"/>
  <c r="N98" i="14"/>
  <c r="J97" i="14" a="1"/>
  <c r="J97" i="14" s="1"/>
  <c r="M101" i="13"/>
  <c r="K16" i="13"/>
  <c r="L16" i="13" s="1"/>
  <c r="I17" i="13" s="1"/>
  <c r="M102" i="14"/>
  <c r="N99" i="13"/>
  <c r="J98" i="13" a="1"/>
  <c r="J98" i="13" s="1"/>
  <c r="K17" i="13" l="1"/>
  <c r="L17" i="13" s="1"/>
  <c r="I18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26" i="14" l="1"/>
  <c r="L26" i="14" s="1"/>
  <c r="I27" i="14" s="1"/>
  <c r="K18" i="13"/>
  <c r="L18" i="13" s="1"/>
  <c r="I19" i="13" s="1"/>
  <c r="M103" i="13"/>
  <c r="N100" i="14"/>
  <c r="J99" i="14" a="1"/>
  <c r="J99" i="14" s="1"/>
  <c r="M104" i="14"/>
  <c r="N101" i="13"/>
  <c r="J100" i="13" a="1"/>
  <c r="J100" i="13" s="1"/>
  <c r="K19" i="13" l="1"/>
  <c r="L19" i="13" s="1"/>
  <c r="I20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28" i="14" l="1"/>
  <c r="L28" i="14" s="1"/>
  <c r="I29" i="14" s="1"/>
  <c r="K20" i="13"/>
  <c r="M105" i="13"/>
  <c r="M106" i="14"/>
  <c r="N103" i="13"/>
  <c r="J102" i="13" a="1"/>
  <c r="J102" i="13" s="1"/>
  <c r="N102" i="14"/>
  <c r="J101" i="14" a="1"/>
  <c r="J101" i="14" s="1"/>
  <c r="K29" i="14" l="1"/>
  <c r="L29" i="14" s="1"/>
  <c r="I30" i="14" s="1"/>
  <c r="N103" i="14"/>
  <c r="J102" i="14" a="1"/>
  <c r="J102" i="14" s="1"/>
  <c r="L20" i="13"/>
  <c r="I21" i="13" s="1"/>
  <c r="M106" i="13"/>
  <c r="M107" i="14"/>
  <c r="N104" i="13"/>
  <c r="J103" i="13" a="1"/>
  <c r="J103" i="13" s="1"/>
  <c r="K30" i="14" l="1"/>
  <c r="L30" i="14" s="1"/>
  <c r="I31" i="14" s="1"/>
  <c r="M107" i="13"/>
  <c r="N104" i="14"/>
  <c r="J103" i="14" a="1"/>
  <c r="J103" i="14" s="1"/>
  <c r="M108" i="14"/>
  <c r="K21" i="13"/>
  <c r="N105" i="13"/>
  <c r="J104" i="13" a="1"/>
  <c r="J104" i="13" s="1"/>
  <c r="K31" i="14" l="1"/>
  <c r="L31" i="14" s="1"/>
  <c r="I32" i="14" s="1"/>
  <c r="M109" i="14"/>
  <c r="M108" i="13"/>
  <c r="N106" i="13"/>
  <c r="J105" i="13" a="1"/>
  <c r="J105" i="13" s="1"/>
  <c r="L21" i="13"/>
  <c r="I22" i="13" s="1"/>
  <c r="N105" i="14"/>
  <c r="J104" i="14" a="1"/>
  <c r="J104" i="14" s="1"/>
  <c r="K32" i="14" l="1"/>
  <c r="N107" i="13"/>
  <c r="J106" i="13" a="1"/>
  <c r="J106" i="13" s="1"/>
  <c r="K22" i="13"/>
  <c r="M109" i="13"/>
  <c r="N106" i="14"/>
  <c r="J105" i="14" a="1"/>
  <c r="J105" i="14" s="1"/>
  <c r="M110" i="14"/>
  <c r="N108" i="13" l="1"/>
  <c r="J107" i="13" a="1"/>
  <c r="J107" i="13" s="1"/>
  <c r="M110" i="13"/>
  <c r="M111" i="14"/>
  <c r="N107" i="14"/>
  <c r="J106" i="14" a="1"/>
  <c r="J106" i="14" s="1"/>
  <c r="L22" i="13"/>
  <c r="I23" i="13" s="1"/>
  <c r="L32" i="14"/>
  <c r="I33" i="14" s="1"/>
  <c r="N108" i="14" l="1"/>
  <c r="J107" i="14" a="1"/>
  <c r="J107" i="14" s="1"/>
  <c r="M111" i="13"/>
  <c r="N109" i="13"/>
  <c r="J108" i="13" a="1"/>
  <c r="J108" i="13" s="1"/>
  <c r="K33" i="14"/>
  <c r="M112" i="14"/>
  <c r="K23" i="13"/>
  <c r="L23" i="13" s="1"/>
  <c r="I24" i="13" s="1"/>
  <c r="K24" i="13" l="1"/>
  <c r="L24" i="13" s="1"/>
  <c r="I25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5" i="13" l="1"/>
  <c r="L25" i="13" s="1"/>
  <c r="I26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35" i="14" l="1"/>
  <c r="L35" i="14" s="1"/>
  <c r="I36" i="14" s="1"/>
  <c r="K26" i="13"/>
  <c r="L26" i="13" s="1"/>
  <c r="I27" i="13" s="1"/>
  <c r="M114" i="13"/>
  <c r="N112" i="13"/>
  <c r="J111" i="13" a="1"/>
  <c r="J111" i="13" s="1"/>
  <c r="M115" i="14"/>
  <c r="N111" i="14"/>
  <c r="J110" i="14" a="1"/>
  <c r="J110" i="14" s="1"/>
  <c r="K27" i="13" l="1"/>
  <c r="L27" i="13" s="1"/>
  <c r="I28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37" i="14" l="1"/>
  <c r="L37" i="14" s="1"/>
  <c r="I38" i="14" s="1"/>
  <c r="K28" i="13"/>
  <c r="L28" i="13" s="1"/>
  <c r="I29" i="13" s="1"/>
  <c r="M116" i="13"/>
  <c r="N113" i="14"/>
  <c r="J112" i="14" a="1"/>
  <c r="J112" i="14" s="1"/>
  <c r="M117" i="14"/>
  <c r="N114" i="13"/>
  <c r="J113" i="13" a="1"/>
  <c r="J113" i="13" s="1"/>
  <c r="K38" i="14" l="1"/>
  <c r="L38" i="14" s="1"/>
  <c r="I39" i="14" s="1"/>
  <c r="N114" i="14"/>
  <c r="J113" i="14" a="1"/>
  <c r="J113" i="14" s="1"/>
  <c r="M118" i="14"/>
  <c r="N115" i="13"/>
  <c r="J114" i="13" a="1"/>
  <c r="J114" i="13" s="1"/>
  <c r="K29" i="13"/>
  <c r="L29" i="13" s="1"/>
  <c r="I30" i="13" s="1"/>
  <c r="M117" i="13"/>
  <c r="K30" i="13" l="1"/>
  <c r="L30" i="13" s="1"/>
  <c r="I31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40" i="14" l="1"/>
  <c r="L40" i="14" s="1"/>
  <c r="I41" i="14" s="1"/>
  <c r="K31" i="13"/>
  <c r="L31" i="13" s="1"/>
  <c r="I32" i="13" s="1"/>
  <c r="N116" i="14"/>
  <c r="J115" i="14" a="1"/>
  <c r="J115" i="14" s="1"/>
  <c r="M119" i="13"/>
  <c r="M120" i="14"/>
  <c r="N117" i="13"/>
  <c r="J116" i="13" a="1"/>
  <c r="J116" i="13" s="1"/>
  <c r="K32" i="13" l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42" i="14" l="1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/>
  <c r="I33" i="13" s="1"/>
  <c r="K43" i="14" l="1"/>
  <c r="L43" i="14" s="1"/>
  <c r="I44" i="14" s="1"/>
  <c r="N119" i="14"/>
  <c r="J118" i="14" a="1"/>
  <c r="J118" i="14" s="1"/>
  <c r="M122" i="13"/>
  <c r="N120" i="13"/>
  <c r="J119" i="13" a="1"/>
  <c r="J119" i="13" s="1"/>
  <c r="K33" i="13"/>
  <c r="M123" i="14"/>
  <c r="K44" i="14" l="1"/>
  <c r="N120" i="14"/>
  <c r="J119" i="14" a="1"/>
  <c r="J119" i="14" s="1"/>
  <c r="N121" i="13"/>
  <c r="J120" i="13" a="1"/>
  <c r="J120" i="13" s="1"/>
  <c r="L33" i="13"/>
  <c r="I34" i="13" s="1"/>
  <c r="M123" i="13"/>
  <c r="M124" i="14"/>
  <c r="K34" i="13" l="1"/>
  <c r="M124" i="13"/>
  <c r="N121" i="14"/>
  <c r="J120" i="14" a="1"/>
  <c r="J120" i="14" s="1"/>
  <c r="N122" i="13"/>
  <c r="J121" i="13" a="1"/>
  <c r="J121" i="13" s="1"/>
  <c r="M125" i="14"/>
  <c r="L44" i="14"/>
  <c r="I45" i="14" s="1"/>
  <c r="N122" i="14" l="1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/>
  <c r="I35" i="13" s="1"/>
  <c r="K46" i="14" l="1"/>
  <c r="L46" i="14" s="1"/>
  <c r="I47" i="14" s="1"/>
  <c r="K35" i="13"/>
  <c r="L35" i="13" s="1"/>
  <c r="I36" i="13" s="1"/>
  <c r="M126" i="13"/>
  <c r="M127" i="14"/>
  <c r="N124" i="13"/>
  <c r="J123" i="13" a="1"/>
  <c r="J123" i="13" s="1"/>
  <c r="N123" i="14"/>
  <c r="J122" i="14" a="1"/>
  <c r="J122" i="14" s="1"/>
  <c r="K36" i="13" l="1"/>
  <c r="L36" i="13" s="1"/>
  <c r="I37" i="13" s="1"/>
  <c r="K47" i="14"/>
  <c r="N125" i="13"/>
  <c r="J124" i="13" a="1"/>
  <c r="J124" i="13" s="1"/>
  <c r="M127" i="13"/>
  <c r="N124" i="14"/>
  <c r="J123" i="14" a="1"/>
  <c r="J123" i="14" s="1"/>
  <c r="M128" i="14"/>
  <c r="K37" i="13" l="1"/>
  <c r="L37" i="13" s="1"/>
  <c r="I38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8" i="13" l="1"/>
  <c r="L38" i="13" s="1"/>
  <c r="I39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49" i="14" l="1"/>
  <c r="L49" i="14" s="1"/>
  <c r="I50" i="14" s="1"/>
  <c r="K39" i="13"/>
  <c r="L39" i="13" s="1"/>
  <c r="I40" i="13" s="1"/>
  <c r="M130" i="13"/>
  <c r="M131" i="14"/>
  <c r="N127" i="14"/>
  <c r="J126" i="14" a="1"/>
  <c r="J126" i="14" s="1"/>
  <c r="N128" i="13"/>
  <c r="J127" i="13" a="1"/>
  <c r="J127" i="13" s="1"/>
  <c r="K40" i="13" l="1"/>
  <c r="L40" i="13" s="1"/>
  <c r="I41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51" i="14" l="1"/>
  <c r="L51" i="14" s="1"/>
  <c r="I52" i="14" s="1"/>
  <c r="K41" i="13"/>
  <c r="L41" i="13" s="1"/>
  <c r="I42" i="13" s="1"/>
  <c r="M132" i="13"/>
  <c r="N129" i="14"/>
  <c r="J128" i="14" a="1"/>
  <c r="J128" i="14" s="1"/>
  <c r="M133" i="14"/>
  <c r="N130" i="13"/>
  <c r="J129" i="13" a="1"/>
  <c r="J129" i="13" s="1"/>
  <c r="K42" i="13" l="1"/>
  <c r="L42" i="13" s="1"/>
  <c r="I43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53" i="14" l="1"/>
  <c r="L53" i="14" s="1"/>
  <c r="I54" i="14" s="1"/>
  <c r="K43" i="13"/>
  <c r="L43" i="13" s="1"/>
  <c r="I44" i="13" s="1"/>
  <c r="M135" i="14"/>
  <c r="N132" i="13"/>
  <c r="J131" i="13" a="1"/>
  <c r="J131" i="13" s="1"/>
  <c r="M134" i="13"/>
  <c r="N131" i="14"/>
  <c r="J130" i="14" a="1"/>
  <c r="J130" i="14" s="1"/>
  <c r="K44" i="13" l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M137" i="14" l="1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/>
  <c r="I45" i="13" s="1"/>
  <c r="K56" i="14" l="1"/>
  <c r="K45" i="13"/>
  <c r="M137" i="13"/>
  <c r="N135" i="13"/>
  <c r="J134" i="13" a="1"/>
  <c r="J134" i="13" s="1"/>
  <c r="N134" i="14"/>
  <c r="J133" i="14" a="1"/>
  <c r="J133" i="14" s="1"/>
  <c r="M138" i="14"/>
  <c r="N136" i="13" l="1"/>
  <c r="J135" i="13" a="1"/>
  <c r="J135" i="13" s="1"/>
  <c r="L45" i="13"/>
  <c r="I46" i="13" s="1"/>
  <c r="M139" i="14"/>
  <c r="M138" i="13"/>
  <c r="N135" i="14"/>
  <c r="J134" i="14" a="1"/>
  <c r="J134" i="14" s="1"/>
  <c r="L56" i="14"/>
  <c r="I57" i="14" s="1"/>
  <c r="M140" i="14" l="1"/>
  <c r="M139" i="13"/>
  <c r="K57" i="14"/>
  <c r="K46" i="13"/>
  <c r="N136" i="14"/>
  <c r="J135" i="14" a="1"/>
  <c r="J135" i="14" s="1"/>
  <c r="N137" i="13"/>
  <c r="J136" i="13" a="1"/>
  <c r="J136" i="13" s="1"/>
  <c r="M140" i="13" l="1"/>
  <c r="N138" i="13"/>
  <c r="J137" i="13" a="1"/>
  <c r="J137" i="13" s="1"/>
  <c r="L46" i="13"/>
  <c r="I47" i="13" s="1"/>
  <c r="M141" i="14"/>
  <c r="N137" i="14"/>
  <c r="J136" i="14" a="1"/>
  <c r="J136" i="14" s="1"/>
  <c r="L57" i="14"/>
  <c r="I58" i="14" s="1"/>
  <c r="K58" i="14" l="1"/>
  <c r="N139" i="13"/>
  <c r="J138" i="13" a="1"/>
  <c r="J138" i="13" s="1"/>
  <c r="M141" i="13"/>
  <c r="M142" i="14"/>
  <c r="N138" i="14"/>
  <c r="J137" i="14" a="1"/>
  <c r="J137" i="14" s="1"/>
  <c r="K47" i="13"/>
  <c r="L47" i="13" s="1"/>
  <c r="I48" i="13" s="1"/>
  <c r="K48" i="13" l="1"/>
  <c r="L48" i="13" s="1"/>
  <c r="I49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9" i="13" l="1"/>
  <c r="L49" i="13" s="1"/>
  <c r="I50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60" i="14" l="1"/>
  <c r="L60" i="14" s="1"/>
  <c r="I61" i="14" s="1"/>
  <c r="K50" i="13"/>
  <c r="L50" i="13" s="1"/>
  <c r="I51" i="13" s="1"/>
  <c r="N141" i="14"/>
  <c r="J140" i="14" a="1"/>
  <c r="J140" i="14" s="1"/>
  <c r="N142" i="13"/>
  <c r="J141" i="13" a="1"/>
  <c r="J141" i="13" s="1"/>
  <c r="M144" i="13"/>
  <c r="M145" i="14"/>
  <c r="K51" i="13" l="1"/>
  <c r="L51" i="13" s="1"/>
  <c r="I52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62" i="14" l="1"/>
  <c r="L62" i="14" s="1"/>
  <c r="I63" i="14" s="1"/>
  <c r="K52" i="13"/>
  <c r="L52" i="13" s="1"/>
  <c r="I53" i="13" s="1"/>
  <c r="M146" i="13"/>
  <c r="N143" i="14"/>
  <c r="J142" i="14" a="1"/>
  <c r="J142" i="14" s="1"/>
  <c r="M147" i="14"/>
  <c r="N144" i="13"/>
  <c r="J143" i="13" a="1"/>
  <c r="J143" i="13" s="1"/>
  <c r="K53" i="13" l="1"/>
  <c r="L53" i="13" s="1"/>
  <c r="I54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64" i="14" l="1"/>
  <c r="L64" i="14" s="1"/>
  <c r="I65" i="14" s="1"/>
  <c r="K54" i="13"/>
  <c r="L54" i="13" s="1"/>
  <c r="I55" i="13" s="1"/>
  <c r="M149" i="14"/>
  <c r="M148" i="13"/>
  <c r="N146" i="13"/>
  <c r="J145" i="13" a="1"/>
  <c r="J145" i="13" s="1"/>
  <c r="N145" i="14"/>
  <c r="J144" i="14" a="1"/>
  <c r="J144" i="14" s="1"/>
  <c r="K65" i="14" l="1"/>
  <c r="L65" i="14" s="1"/>
  <c r="I66" i="14" s="1"/>
  <c r="M149" i="13"/>
  <c r="K55" i="13"/>
  <c r="L55" i="13" s="1"/>
  <c r="I56" i="13" s="1"/>
  <c r="M150" i="14"/>
  <c r="N146" i="14"/>
  <c r="J145" i="14" a="1"/>
  <c r="J145" i="14" s="1"/>
  <c r="N147" i="13"/>
  <c r="J146" i="13" a="1"/>
  <c r="J146" i="13" s="1"/>
  <c r="K56" i="13" l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67" i="14" l="1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/>
  <c r="I57" i="13" s="1"/>
  <c r="K68" i="14" l="1"/>
  <c r="K57" i="13"/>
  <c r="M152" i="13"/>
  <c r="N150" i="13"/>
  <c r="J149" i="13" a="1"/>
  <c r="J149" i="13" s="1"/>
  <c r="M153" i="14"/>
  <c r="N149" i="14"/>
  <c r="J148" i="14" a="1"/>
  <c r="J148" i="14" s="1"/>
  <c r="N150" i="14" l="1"/>
  <c r="J149" i="14" a="1"/>
  <c r="J149" i="14" s="1"/>
  <c r="N151" i="13"/>
  <c r="J150" i="13" a="1"/>
  <c r="J150" i="13" s="1"/>
  <c r="L57" i="13"/>
  <c r="I58" i="13" s="1"/>
  <c r="M154" i="14"/>
  <c r="M153" i="13"/>
  <c r="L68" i="14"/>
  <c r="I69" i="14" s="1"/>
  <c r="K69" i="14" l="1"/>
  <c r="M155" i="14"/>
  <c r="N152" i="13"/>
  <c r="J151" i="13" a="1"/>
  <c r="J151" i="13" s="1"/>
  <c r="M154" i="13"/>
  <c r="K58" i="13"/>
  <c r="N151" i="14"/>
  <c r="J150" i="14" a="1"/>
  <c r="J150" i="14" s="1"/>
  <c r="M155" i="13" l="1"/>
  <c r="M156" i="14"/>
  <c r="N152" i="14"/>
  <c r="J151" i="14" a="1"/>
  <c r="J151" i="14" s="1"/>
  <c r="L58" i="13"/>
  <c r="I59" i="13" s="1"/>
  <c r="N153" i="13"/>
  <c r="J152" i="13" a="1"/>
  <c r="J152" i="13" s="1"/>
  <c r="L69" i="14"/>
  <c r="I70" i="14" s="1"/>
  <c r="M157" i="14" l="1"/>
  <c r="M156" i="13"/>
  <c r="K70" i="14"/>
  <c r="L70" i="14" s="1"/>
  <c r="I71" i="14" s="1"/>
  <c r="N154" i="13"/>
  <c r="J153" i="13" a="1"/>
  <c r="J153" i="13" s="1"/>
  <c r="K59" i="13"/>
  <c r="L59" i="13" s="1"/>
  <c r="I60" i="13" s="1"/>
  <c r="N153" i="14"/>
  <c r="J152" i="14" a="1"/>
  <c r="J152" i="14" s="1"/>
  <c r="K71" i="14" l="1"/>
  <c r="L71" i="14" s="1"/>
  <c r="I72" i="14" s="1"/>
  <c r="K60" i="13"/>
  <c r="L60" i="13" s="1"/>
  <c r="I61" i="13" s="1"/>
  <c r="N154" i="14"/>
  <c r="J153" i="14" a="1"/>
  <c r="J153" i="14" s="1"/>
  <c r="N155" i="13"/>
  <c r="J154" i="13" a="1"/>
  <c r="J154" i="13" s="1"/>
  <c r="M157" i="13"/>
  <c r="M158" i="14"/>
  <c r="K72" i="14" l="1"/>
  <c r="L72" i="14" s="1"/>
  <c r="I73" i="14" s="1"/>
  <c r="K61" i="13"/>
  <c r="L61" i="13" s="1"/>
  <c r="I62" i="13" s="1"/>
  <c r="N156" i="13"/>
  <c r="J155" i="13" a="1"/>
  <c r="J155" i="13" s="1"/>
  <c r="M159" i="14"/>
  <c r="M158" i="13"/>
  <c r="N155" i="14"/>
  <c r="J154" i="14" a="1"/>
  <c r="J154" i="14" s="1"/>
  <c r="K62" i="13" l="1"/>
  <c r="L62" i="13" s="1"/>
  <c r="I63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74" i="14" l="1"/>
  <c r="L74" i="14" s="1"/>
  <c r="I75" i="14" s="1"/>
  <c r="K63" i="13"/>
  <c r="L63" i="13" s="1"/>
  <c r="I64" i="13" s="1"/>
  <c r="N157" i="14"/>
  <c r="J156" i="14" a="1"/>
  <c r="J156" i="14" s="1"/>
  <c r="M160" i="13"/>
  <c r="M161" i="14"/>
  <c r="N158" i="13"/>
  <c r="J157" i="13" a="1"/>
  <c r="J157" i="13" s="1"/>
  <c r="K64" i="13" l="1"/>
  <c r="L64" i="13" s="1"/>
  <c r="I65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76" i="14" l="1"/>
  <c r="L76" i="14" s="1"/>
  <c r="I77" i="14" s="1"/>
  <c r="K65" i="13"/>
  <c r="L65" i="13" s="1"/>
  <c r="I66" i="13" s="1"/>
  <c r="M162" i="13"/>
  <c r="N159" i="14"/>
  <c r="J158" i="14" a="1"/>
  <c r="J158" i="14" s="1"/>
  <c r="M163" i="14"/>
  <c r="N160" i="13"/>
  <c r="J159" i="13" a="1"/>
  <c r="J159" i="13" s="1"/>
  <c r="K66" i="13" l="1"/>
  <c r="L66" i="13" s="1"/>
  <c r="I67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78" i="14" l="1"/>
  <c r="L78" i="14" s="1"/>
  <c r="I79" i="14" s="1"/>
  <c r="K67" i="13"/>
  <c r="L67" i="13" s="1"/>
  <c r="I68" i="13" s="1"/>
  <c r="N161" i="14"/>
  <c r="J160" i="14" a="1"/>
  <c r="J160" i="14" s="1"/>
  <c r="M164" i="13"/>
  <c r="M165" i="14"/>
  <c r="N162" i="13"/>
  <c r="J161" i="13" a="1"/>
  <c r="J161" i="13" s="1"/>
  <c r="K68" i="13" l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80" i="14" l="1"/>
  <c r="M166" i="13"/>
  <c r="N163" i="14"/>
  <c r="J162" i="14" a="1"/>
  <c r="J162" i="14" s="1"/>
  <c r="M167" i="14"/>
  <c r="N164" i="13"/>
  <c r="J163" i="13" a="1"/>
  <c r="J163" i="13" s="1"/>
  <c r="L68" i="13"/>
  <c r="I69" i="13" s="1"/>
  <c r="N165" i="13" l="1"/>
  <c r="J164" i="13" a="1"/>
  <c r="J164" i="13" s="1"/>
  <c r="N164" i="14"/>
  <c r="J163" i="14" a="1"/>
  <c r="J163" i="14" s="1"/>
  <c r="M168" i="14"/>
  <c r="K69" i="13"/>
  <c r="M167" i="13"/>
  <c r="L80" i="14"/>
  <c r="I81" i="14" s="1"/>
  <c r="M168" i="13" l="1"/>
  <c r="M169" i="14"/>
  <c r="K81" i="14"/>
  <c r="L69" i="13"/>
  <c r="I70" i="13" s="1"/>
  <c r="N165" i="14"/>
  <c r="J164" i="14" a="1"/>
  <c r="J164" i="14" s="1"/>
  <c r="N166" i="13"/>
  <c r="J165" i="13" a="1"/>
  <c r="J165" i="13" s="1"/>
  <c r="N166" i="14" l="1"/>
  <c r="J165" i="14" a="1"/>
  <c r="J165" i="14" s="1"/>
  <c r="M170" i="14"/>
  <c r="N167" i="13"/>
  <c r="J166" i="13" a="1"/>
  <c r="J166" i="13" s="1"/>
  <c r="K70" i="13"/>
  <c r="L70" i="13" s="1"/>
  <c r="I71" i="13" s="1"/>
  <c r="M169" i="13"/>
  <c r="L81" i="14"/>
  <c r="I82" i="14" s="1"/>
  <c r="M171" i="14" l="1"/>
  <c r="K82" i="14"/>
  <c r="L82" i="14" s="1"/>
  <c r="I83" i="14" s="1"/>
  <c r="M170" i="13"/>
  <c r="K71" i="13"/>
  <c r="L71" i="13" s="1"/>
  <c r="I72" i="13" s="1"/>
  <c r="N168" i="13"/>
  <c r="J167" i="13" a="1"/>
  <c r="J167" i="13" s="1"/>
  <c r="N167" i="14"/>
  <c r="J166" i="14" a="1"/>
  <c r="J166" i="14" s="1"/>
  <c r="K72" i="13" l="1"/>
  <c r="L72" i="13" s="1"/>
  <c r="I73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84" i="14" l="1"/>
  <c r="L84" i="14" s="1"/>
  <c r="I85" i="14" s="1"/>
  <c r="K73" i="13"/>
  <c r="L73" i="13" s="1"/>
  <c r="I74" i="13" s="1"/>
  <c r="M172" i="13"/>
  <c r="M173" i="14"/>
  <c r="N170" i="13"/>
  <c r="J169" i="13" a="1"/>
  <c r="J169" i="13" s="1"/>
  <c r="N169" i="14"/>
  <c r="J168" i="14" a="1"/>
  <c r="J168" i="14" s="1"/>
  <c r="K74" i="13" l="1"/>
  <c r="L74" i="13" s="1"/>
  <c r="I75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86" i="14" l="1"/>
  <c r="L86" i="14" s="1"/>
  <c r="I87" i="14" s="1"/>
  <c r="K75" i="13"/>
  <c r="L75" i="13" s="1"/>
  <c r="I76" i="13" s="1"/>
  <c r="N171" i="14"/>
  <c r="J170" i="14" a="1"/>
  <c r="J170" i="14" s="1"/>
  <c r="N172" i="13"/>
  <c r="J171" i="13" a="1"/>
  <c r="J171" i="13" s="1"/>
  <c r="M174" i="13"/>
  <c r="M175" i="14"/>
  <c r="K76" i="13" l="1"/>
  <c r="L76" i="13" s="1"/>
  <c r="I77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88" i="14" l="1"/>
  <c r="L88" i="14" s="1"/>
  <c r="I89" i="14" s="1"/>
  <c r="K77" i="13"/>
  <c r="L77" i="13" s="1"/>
  <c r="I78" i="13" s="1"/>
  <c r="N173" i="14"/>
  <c r="J172" i="14" a="1"/>
  <c r="J172" i="14" s="1"/>
  <c r="M177" i="14"/>
  <c r="M176" i="13"/>
  <c r="N174" i="13"/>
  <c r="J173" i="13" a="1"/>
  <c r="J173" i="13" s="1"/>
  <c r="K78" i="13" l="1"/>
  <c r="L78" i="13" s="1"/>
  <c r="I79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90" i="14" l="1"/>
  <c r="L90" i="14" s="1"/>
  <c r="I91" i="14" s="1"/>
  <c r="K79" i="13"/>
  <c r="L79" i="13" s="1"/>
  <c r="I80" i="13" s="1"/>
  <c r="N175" i="14"/>
  <c r="J174" i="14" a="1"/>
  <c r="J174" i="14" s="1"/>
  <c r="M179" i="14"/>
  <c r="M178" i="13"/>
  <c r="N176" i="13"/>
  <c r="J175" i="13" a="1"/>
  <c r="J175" i="13" s="1"/>
  <c r="K80" i="13" l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92" i="14" l="1"/>
  <c r="N178" i="13"/>
  <c r="J177" i="13" a="1"/>
  <c r="J177" i="13" s="1"/>
  <c r="N177" i="14"/>
  <c r="J176" i="14" a="1"/>
  <c r="J176" i="14" s="1"/>
  <c r="M180" i="13"/>
  <c r="M181" i="14"/>
  <c r="L80" i="13"/>
  <c r="I81" i="13" s="1"/>
  <c r="N178" i="14" l="1"/>
  <c r="J177" i="14" a="1"/>
  <c r="J177" i="14" s="1"/>
  <c r="M181" i="13"/>
  <c r="M182" i="14"/>
  <c r="N179" i="13"/>
  <c r="J178" i="13" a="1"/>
  <c r="J178" i="13" s="1"/>
  <c r="K81" i="13"/>
  <c r="L81" i="13" s="1"/>
  <c r="I82" i="13" s="1"/>
  <c r="L92" i="14"/>
  <c r="I93" i="14" s="1"/>
  <c r="M182" i="13" l="1"/>
  <c r="N180" i="13"/>
  <c r="J179" i="13" a="1"/>
  <c r="J179" i="13" s="1"/>
  <c r="K93" i="14"/>
  <c r="K82" i="13"/>
  <c r="L82" i="13" s="1"/>
  <c r="I83" i="13" s="1"/>
  <c r="M183" i="14"/>
  <c r="N179" i="14"/>
  <c r="J178" i="14" a="1"/>
  <c r="J178" i="14" s="1"/>
  <c r="N180" i="14" l="1"/>
  <c r="J179" i="14" a="1"/>
  <c r="J179" i="14" s="1"/>
  <c r="K83" i="13"/>
  <c r="L83" i="13" s="1"/>
  <c r="I84" i="13" s="1"/>
  <c r="M184" i="14"/>
  <c r="L93" i="14"/>
  <c r="I94" i="14" s="1"/>
  <c r="M183" i="13"/>
  <c r="N181" i="13"/>
  <c r="J180" i="13" a="1"/>
  <c r="J180" i="13" s="1"/>
  <c r="K94" i="14" l="1"/>
  <c r="L94" i="14" s="1"/>
  <c r="I95" i="14" s="1"/>
  <c r="K84" i="13"/>
  <c r="L84" i="13" s="1"/>
  <c r="I85" i="13" s="1"/>
  <c r="N182" i="13"/>
  <c r="J181" i="13" a="1"/>
  <c r="J181" i="13" s="1"/>
  <c r="M184" i="13"/>
  <c r="M185" i="14"/>
  <c r="N181" i="14"/>
  <c r="J180" i="14" a="1"/>
  <c r="J180" i="14" s="1"/>
  <c r="K85" i="13" l="1"/>
  <c r="L85" i="13" s="1"/>
  <c r="I86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96" i="14" l="1"/>
  <c r="L96" i="14" s="1"/>
  <c r="I97" i="14" s="1"/>
  <c r="K86" i="13"/>
  <c r="L86" i="13" s="1"/>
  <c r="I87" i="13" s="1"/>
  <c r="N183" i="14"/>
  <c r="J182" i="14" a="1"/>
  <c r="J182" i="14" s="1"/>
  <c r="N184" i="13"/>
  <c r="J183" i="13" a="1"/>
  <c r="J183" i="13" s="1"/>
  <c r="M187" i="14"/>
  <c r="M186" i="13"/>
  <c r="K87" i="13" l="1"/>
  <c r="L87" i="13" s="1"/>
  <c r="I88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8" i="13" l="1"/>
  <c r="L88" i="13" s="1"/>
  <c r="I89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99" i="14" l="1"/>
  <c r="L99" i="14" s="1"/>
  <c r="I100" i="14" s="1"/>
  <c r="K89" i="13"/>
  <c r="L89" i="13" s="1"/>
  <c r="I90" i="13" s="1"/>
  <c r="N187" i="13"/>
  <c r="J186" i="13" a="1"/>
  <c r="J186" i="13" s="1"/>
  <c r="M189" i="13"/>
  <c r="M190" i="14"/>
  <c r="N186" i="14"/>
  <c r="J185" i="14" a="1"/>
  <c r="J185" i="14" s="1"/>
  <c r="K90" i="13" l="1"/>
  <c r="L90" i="13" s="1"/>
  <c r="I91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101" i="14" l="1"/>
  <c r="L101" i="14" s="1"/>
  <c r="I102" i="14" s="1"/>
  <c r="K91" i="13"/>
  <c r="L91" i="13" s="1"/>
  <c r="I92" i="13" s="1"/>
  <c r="N189" i="13"/>
  <c r="J188" i="13" a="1"/>
  <c r="J188" i="13" s="1"/>
  <c r="N188" i="14"/>
  <c r="J187" i="14" a="1"/>
  <c r="J187" i="14" s="1"/>
  <c r="M192" i="14"/>
  <c r="M191" i="13"/>
  <c r="K92" i="13" l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103" i="14" l="1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/>
  <c r="I93" i="13" s="1"/>
  <c r="K104" i="14" l="1"/>
  <c r="K93" i="13"/>
  <c r="M195" i="14"/>
  <c r="N192" i="13"/>
  <c r="J191" i="13" a="1"/>
  <c r="J191" i="13" s="1"/>
  <c r="N191" i="14"/>
  <c r="J190" i="14" a="1"/>
  <c r="J190" i="14" s="1"/>
  <c r="M194" i="13"/>
  <c r="N193" i="13" l="1"/>
  <c r="J192" i="13" a="1"/>
  <c r="J192" i="13" s="1"/>
  <c r="L93" i="13"/>
  <c r="I94" i="13" s="1"/>
  <c r="M196" i="14"/>
  <c r="M195" i="13"/>
  <c r="N192" i="14"/>
  <c r="J191" i="14" a="1"/>
  <c r="J191" i="14" s="1"/>
  <c r="L104" i="14"/>
  <c r="I105" i="14" s="1"/>
  <c r="N193" i="14" l="1"/>
  <c r="J192" i="14" a="1"/>
  <c r="J192" i="14" s="1"/>
  <c r="M197" i="14"/>
  <c r="N194" i="13"/>
  <c r="J193" i="13" a="1"/>
  <c r="J193" i="13" s="1"/>
  <c r="M196" i="13"/>
  <c r="K105" i="14"/>
  <c r="K94" i="13"/>
  <c r="L94" i="13" s="1"/>
  <c r="I95" i="13" s="1"/>
  <c r="L105" i="14" l="1"/>
  <c r="I106" i="14" s="1"/>
  <c r="M197" i="13"/>
  <c r="M198" i="14"/>
  <c r="K95" i="13"/>
  <c r="L95" i="13" s="1"/>
  <c r="I96" i="13" s="1"/>
  <c r="N195" i="13"/>
  <c r="J194" i="13" a="1"/>
  <c r="J194" i="13" s="1"/>
  <c r="N194" i="14"/>
  <c r="J193" i="14" a="1"/>
  <c r="J193" i="14" s="1"/>
  <c r="K96" i="13" l="1"/>
  <c r="L96" i="13" s="1"/>
  <c r="I97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107" i="14" l="1"/>
  <c r="L107" i="14" s="1"/>
  <c r="I108" i="14" s="1"/>
  <c r="K97" i="13"/>
  <c r="L97" i="13" s="1"/>
  <c r="I98" i="13" s="1"/>
  <c r="M199" i="13"/>
  <c r="N197" i="13"/>
  <c r="J196" i="13" a="1"/>
  <c r="J196" i="13" s="1"/>
  <c r="M200" i="14"/>
  <c r="N196" i="14"/>
  <c r="J195" i="14" a="1"/>
  <c r="J195" i="14" s="1"/>
  <c r="K108" i="14" l="1"/>
  <c r="L108" i="14" s="1"/>
  <c r="I109" i="14" s="1"/>
  <c r="K98" i="13"/>
  <c r="L98" i="13" s="1"/>
  <c r="I99" i="13" s="1"/>
  <c r="N198" i="13"/>
  <c r="J197" i="13" a="1"/>
  <c r="J197" i="13" s="1"/>
  <c r="M201" i="14"/>
  <c r="N197" i="14"/>
  <c r="J196" i="14" a="1"/>
  <c r="J196" i="14" s="1"/>
  <c r="M200" i="13"/>
  <c r="K99" i="13" l="1"/>
  <c r="L99" i="13" s="1"/>
  <c r="I100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110" i="14" l="1"/>
  <c r="L110" i="14" s="1"/>
  <c r="I111" i="14" s="1"/>
  <c r="K100" i="13"/>
  <c r="L100" i="13" s="1"/>
  <c r="I101" i="13" s="1"/>
  <c r="M203" i="14"/>
  <c r="N200" i="13"/>
  <c r="J199" i="13" a="1"/>
  <c r="J199" i="13" s="1"/>
  <c r="M202" i="13"/>
  <c r="N199" i="14"/>
  <c r="J198" i="14" a="1"/>
  <c r="J198" i="14" s="1"/>
  <c r="K101" i="13" l="1"/>
  <c r="L101" i="13" s="1"/>
  <c r="I102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2" i="13" l="1"/>
  <c r="L102" i="13" s="1"/>
  <c r="I103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13" i="14" l="1"/>
  <c r="L113" i="14" s="1"/>
  <c r="I114" i="14" s="1"/>
  <c r="K103" i="13"/>
  <c r="L103" i="13" s="1"/>
  <c r="I104" i="13" s="1"/>
  <c r="M205" i="13"/>
  <c r="N202" i="14"/>
  <c r="J201" i="14" a="1"/>
  <c r="J201" i="14" s="1"/>
  <c r="N203" i="13"/>
  <c r="J202" i="13" a="1"/>
  <c r="J202" i="13" s="1"/>
  <c r="M206" i="14"/>
  <c r="K104" i="13" l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15" i="14" l="1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/>
  <c r="I105" i="13" s="1"/>
  <c r="K116" i="14" l="1"/>
  <c r="N205" i="14"/>
  <c r="J204" i="14" a="1"/>
  <c r="J204" i="14" s="1"/>
  <c r="M208" i="13"/>
  <c r="K105" i="13"/>
  <c r="M209" i="14"/>
  <c r="N206" i="13"/>
  <c r="J205" i="13" a="1"/>
  <c r="J205" i="13" s="1"/>
  <c r="N207" i="13" l="1"/>
  <c r="J206" i="13" a="1"/>
  <c r="J206" i="13" s="1"/>
  <c r="N206" i="14"/>
  <c r="J205" i="14" a="1"/>
  <c r="J205" i="14" s="1"/>
  <c r="L105" i="13"/>
  <c r="I106" i="13" s="1"/>
  <c r="M210" i="14"/>
  <c r="M209" i="13"/>
  <c r="L116" i="14"/>
  <c r="I117" i="14" s="1"/>
  <c r="K117" i="14" l="1"/>
  <c r="M211" i="14"/>
  <c r="M210" i="13"/>
  <c r="K106" i="13"/>
  <c r="L106" i="13" s="1"/>
  <c r="I107" i="13" s="1"/>
  <c r="N207" i="14"/>
  <c r="J206" i="14" a="1"/>
  <c r="J206" i="14" s="1"/>
  <c r="N208" i="13"/>
  <c r="J207" i="13" a="1"/>
  <c r="J207" i="13" s="1"/>
  <c r="K107" i="13" l="1"/>
  <c r="L107" i="13" s="1"/>
  <c r="I108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8" i="13" l="1"/>
  <c r="L108" i="13" s="1"/>
  <c r="I109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19" i="14" l="1"/>
  <c r="L119" i="14" s="1"/>
  <c r="I120" i="14" s="1"/>
  <c r="K109" i="13"/>
  <c r="L109" i="13" s="1"/>
  <c r="I110" i="13" s="1"/>
  <c r="N210" i="14"/>
  <c r="J209" i="14" a="1"/>
  <c r="J209" i="14" s="1"/>
  <c r="N211" i="13"/>
  <c r="J210" i="13" a="1"/>
  <c r="J210" i="13" s="1"/>
  <c r="M213" i="13"/>
  <c r="M214" i="14"/>
  <c r="K110" i="13" l="1"/>
  <c r="L110" i="13" s="1"/>
  <c r="I111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21" i="14" l="1"/>
  <c r="L121" i="14" s="1"/>
  <c r="I122" i="14" s="1"/>
  <c r="K111" i="13"/>
  <c r="L111" i="13" s="1"/>
  <c r="I112" i="13" s="1"/>
  <c r="M216" i="14"/>
  <c r="N212" i="14"/>
  <c r="J211" i="14" a="1"/>
  <c r="J211" i="14" s="1"/>
  <c r="M215" i="13"/>
  <c r="N213" i="13"/>
  <c r="J212" i="13" a="1"/>
  <c r="J212" i="13" s="1"/>
  <c r="K122" i="14" l="1"/>
  <c r="L122" i="14" s="1"/>
  <c r="I123" i="14" s="1"/>
  <c r="K112" i="13"/>
  <c r="L112" i="13" s="1"/>
  <c r="I113" i="13" s="1"/>
  <c r="N213" i="14"/>
  <c r="J212" i="14" a="1"/>
  <c r="J212" i="14" s="1"/>
  <c r="N214" i="13"/>
  <c r="J213" i="13" a="1"/>
  <c r="J213" i="13" s="1"/>
  <c r="M216" i="13"/>
  <c r="M217" i="14"/>
  <c r="K113" i="13" l="1"/>
  <c r="L113" i="13" s="1"/>
  <c r="I114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4" i="13" l="1"/>
  <c r="L114" i="13" s="1"/>
  <c r="I115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5" i="13" l="1"/>
  <c r="L115" i="13" s="1"/>
  <c r="I116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26" i="14" l="1"/>
  <c r="L126" i="14" s="1"/>
  <c r="I127" i="14" s="1"/>
  <c r="K116" i="13"/>
  <c r="N217" i="14"/>
  <c r="J216" i="14" a="1"/>
  <c r="J216" i="14" s="1"/>
  <c r="M220" i="13"/>
  <c r="N218" i="13"/>
  <c r="J217" i="13" a="1"/>
  <c r="J217" i="13" s="1"/>
  <c r="M221" i="14"/>
  <c r="N219" i="13" l="1"/>
  <c r="J218" i="13" a="1"/>
  <c r="J218" i="13" s="1"/>
  <c r="M222" i="14"/>
  <c r="M221" i="13"/>
  <c r="L116" i="13"/>
  <c r="I117" i="13" s="1"/>
  <c r="N218" i="14"/>
  <c r="J217" i="14" a="1"/>
  <c r="J217" i="14" s="1"/>
  <c r="K127" i="14"/>
  <c r="L127" i="14" s="1"/>
  <c r="I128" i="14" s="1"/>
  <c r="K128" i="14" l="1"/>
  <c r="K117" i="13"/>
  <c r="M223" i="14"/>
  <c r="M222" i="13"/>
  <c r="N219" i="14"/>
  <c r="J218" i="14" a="1"/>
  <c r="J218" i="14" s="1"/>
  <c r="N220" i="13"/>
  <c r="J219" i="13" a="1"/>
  <c r="J219" i="13" s="1"/>
  <c r="M223" i="13" l="1"/>
  <c r="N221" i="13"/>
  <c r="J220" i="13" a="1"/>
  <c r="J220" i="13" s="1"/>
  <c r="L117" i="13"/>
  <c r="I118" i="13" s="1"/>
  <c r="M224" i="14"/>
  <c r="N220" i="14"/>
  <c r="J219" i="14" a="1"/>
  <c r="J219" i="14" s="1"/>
  <c r="L128" i="14"/>
  <c r="I129" i="14" s="1"/>
  <c r="K118" i="13" l="1"/>
  <c r="L118" i="13" s="1"/>
  <c r="I119" i="13" s="1"/>
  <c r="M224" i="13"/>
  <c r="K129" i="14"/>
  <c r="N221" i="14"/>
  <c r="J220" i="14" a="1"/>
  <c r="J220" i="14" s="1"/>
  <c r="M225" i="14"/>
  <c r="N222" i="13"/>
  <c r="J221" i="13" a="1"/>
  <c r="J221" i="13" s="1"/>
  <c r="K119" i="13" l="1"/>
  <c r="L119" i="13" s="1"/>
  <c r="I120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20" i="13" l="1"/>
  <c r="L120" i="13" s="1"/>
  <c r="I121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31" i="14" l="1"/>
  <c r="L131" i="14" s="1"/>
  <c r="I132" i="14" s="1"/>
  <c r="K121" i="13"/>
  <c r="L121" i="13" s="1"/>
  <c r="I122" i="13" s="1"/>
  <c r="N225" i="13"/>
  <c r="J224" i="13" a="1"/>
  <c r="J224" i="13" s="1"/>
  <c r="N224" i="14"/>
  <c r="J223" i="14" a="1"/>
  <c r="J223" i="14" s="1"/>
  <c r="M228" i="14"/>
  <c r="M227" i="13"/>
  <c r="K122" i="13" l="1"/>
  <c r="L122" i="13" s="1"/>
  <c r="I123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33" i="14" l="1"/>
  <c r="L133" i="14" s="1"/>
  <c r="I134" i="14" s="1"/>
  <c r="K123" i="13"/>
  <c r="L123" i="13" s="1"/>
  <c r="I124" i="13" s="1"/>
  <c r="N226" i="14"/>
  <c r="J225" i="14" a="1"/>
  <c r="J225" i="14" s="1"/>
  <c r="N227" i="13"/>
  <c r="J226" i="13" a="1"/>
  <c r="J226" i="13" s="1"/>
  <c r="M230" i="14"/>
  <c r="M229" i="13"/>
  <c r="K124" i="13" l="1"/>
  <c r="L124" i="13" s="1"/>
  <c r="I125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5" i="13" l="1"/>
  <c r="L125" i="13" s="1"/>
  <c r="I126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36" i="14" l="1"/>
  <c r="L136" i="14" s="1"/>
  <c r="I137" i="14" s="1"/>
  <c r="K126" i="13"/>
  <c r="L126" i="13" s="1"/>
  <c r="I127" i="13" s="1"/>
  <c r="M232" i="13"/>
  <c r="M233" i="14"/>
  <c r="N230" i="13"/>
  <c r="J229" i="13" a="1"/>
  <c r="J229" i="13" s="1"/>
  <c r="N229" i="14"/>
  <c r="J228" i="14" a="1"/>
  <c r="J228" i="14" s="1"/>
  <c r="K127" i="13" l="1"/>
  <c r="L127" i="13" s="1"/>
  <c r="I128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38" i="14" l="1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/>
  <c r="K139" i="14" l="1"/>
  <c r="L139" i="14" s="1"/>
  <c r="I140" i="14" s="1"/>
  <c r="M235" i="13"/>
  <c r="N233" i="13"/>
  <c r="J232" i="13" a="1"/>
  <c r="J232" i="13" s="1"/>
  <c r="L128" i="13"/>
  <c r="I129" i="13" s="1"/>
  <c r="M236" i="14"/>
  <c r="N232" i="14"/>
  <c r="J231" i="14" a="1"/>
  <c r="J231" i="14" s="1"/>
  <c r="K140" i="14" l="1"/>
  <c r="L140" i="14" s="1"/>
  <c r="I141" i="14" s="1"/>
  <c r="K129" i="13"/>
  <c r="N233" i="14"/>
  <c r="J232" i="14" a="1"/>
  <c r="J232" i="14" s="1"/>
  <c r="M237" i="14"/>
  <c r="N234" i="13"/>
  <c r="J233" i="13" a="1"/>
  <c r="J233" i="13" s="1"/>
  <c r="M236" i="13"/>
  <c r="K141" i="14" l="1"/>
  <c r="L141" i="14" s="1"/>
  <c r="I142" i="14" s="1"/>
  <c r="M237" i="13"/>
  <c r="M238" i="14"/>
  <c r="L129" i="13"/>
  <c r="I130" i="13" s="1"/>
  <c r="N235" i="13"/>
  <c r="J234" i="13" a="1"/>
  <c r="J234" i="13" s="1"/>
  <c r="N234" i="14"/>
  <c r="J233" i="14" a="1"/>
  <c r="J233" i="14" s="1"/>
  <c r="K142" i="14" l="1"/>
  <c r="L142" i="14" s="1"/>
  <c r="I143" i="14" s="1"/>
  <c r="K130" i="13"/>
  <c r="L130" i="13" s="1"/>
  <c r="I131" i="13" s="1"/>
  <c r="N235" i="14"/>
  <c r="J234" i="14" a="1"/>
  <c r="J234" i="14" s="1"/>
  <c r="M239" i="14"/>
  <c r="N236" i="13"/>
  <c r="J235" i="13" a="1"/>
  <c r="J235" i="13" s="1"/>
  <c r="M238" i="13"/>
  <c r="K131" i="13" l="1"/>
  <c r="L131" i="13" s="1"/>
  <c r="I132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44" i="14" l="1"/>
  <c r="L144" i="14" s="1"/>
  <c r="I145" i="14" s="1"/>
  <c r="K132" i="13"/>
  <c r="L132" i="13" s="1"/>
  <c r="I133" i="13" s="1"/>
  <c r="M241" i="14"/>
  <c r="N237" i="14"/>
  <c r="J236" i="14" a="1"/>
  <c r="J236" i="14" s="1"/>
  <c r="M240" i="13"/>
  <c r="N238" i="13"/>
  <c r="J237" i="13" a="1"/>
  <c r="J237" i="13" s="1"/>
  <c r="K145" i="14" l="1"/>
  <c r="L145" i="14" s="1"/>
  <c r="I146" i="14" s="1"/>
  <c r="N239" i="13"/>
  <c r="J238" i="13" a="1"/>
  <c r="J238" i="13" s="1"/>
  <c r="M241" i="13"/>
  <c r="K133" i="13"/>
  <c r="L133" i="13" s="1"/>
  <c r="I134" i="13" s="1"/>
  <c r="N238" i="14"/>
  <c r="J237" i="14" a="1"/>
  <c r="J237" i="14" s="1"/>
  <c r="M242" i="14"/>
  <c r="K134" i="13" l="1"/>
  <c r="L134" i="13" s="1"/>
  <c r="I135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47" i="14" l="1"/>
  <c r="L147" i="14" s="1"/>
  <c r="I148" i="14" s="1"/>
  <c r="K135" i="13"/>
  <c r="L135" i="13" s="1"/>
  <c r="I136" i="13" s="1"/>
  <c r="M244" i="14"/>
  <c r="M243" i="13"/>
  <c r="N241" i="13"/>
  <c r="J240" i="13" a="1"/>
  <c r="J240" i="13" s="1"/>
  <c r="N240" i="14"/>
  <c r="J239" i="14" a="1"/>
  <c r="J239" i="14" s="1"/>
  <c r="K136" i="13" l="1"/>
  <c r="L136" i="13" s="1"/>
  <c r="I137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49" i="14" l="1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/>
  <c r="L137" i="13" s="1"/>
  <c r="I138" i="13" s="1"/>
  <c r="K138" i="13" l="1"/>
  <c r="L138" i="13" s="1"/>
  <c r="I139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51" i="14" l="1"/>
  <c r="L151" i="14" s="1"/>
  <c r="I152" i="14" s="1"/>
  <c r="K139" i="13"/>
  <c r="L139" i="13" s="1"/>
  <c r="I140" i="13" s="1"/>
  <c r="M248" i="14"/>
  <c r="M247" i="13"/>
  <c r="N245" i="13"/>
  <c r="J244" i="13" a="1"/>
  <c r="J244" i="13" s="1"/>
  <c r="N244" i="14"/>
  <c r="J243" i="14" a="1"/>
  <c r="J243" i="14" s="1"/>
  <c r="K140" i="13" l="1"/>
  <c r="K152" i="14"/>
  <c r="M248" i="13"/>
  <c r="N245" i="14"/>
  <c r="J244" i="14" a="1"/>
  <c r="J244" i="14" s="1"/>
  <c r="M249" i="14"/>
  <c r="N246" i="13"/>
  <c r="J245" i="13" a="1"/>
  <c r="J245" i="13" s="1"/>
  <c r="N247" i="13" l="1"/>
  <c r="J246" i="13" a="1"/>
  <c r="J246" i="13" s="1"/>
  <c r="N246" i="14"/>
  <c r="J245" i="14" a="1"/>
  <c r="J245" i="14" s="1"/>
  <c r="L152" i="14"/>
  <c r="I153" i="14" s="1"/>
  <c r="M250" i="14"/>
  <c r="M249" i="13"/>
  <c r="L140" i="13"/>
  <c r="I141" i="13" s="1"/>
  <c r="K141" i="13" l="1"/>
  <c r="M251" i="14"/>
  <c r="N247" i="14"/>
  <c r="J246" i="14" a="1"/>
  <c r="J246" i="14" s="1"/>
  <c r="M250" i="13"/>
  <c r="K153" i="14"/>
  <c r="N248" i="13"/>
  <c r="J247" i="13" a="1"/>
  <c r="J247" i="13" s="1"/>
  <c r="M251" i="13" l="1"/>
  <c r="M252" i="14"/>
  <c r="N249" i="13"/>
  <c r="J248" i="13" a="1"/>
  <c r="J248" i="13" s="1"/>
  <c r="L153" i="14"/>
  <c r="I154" i="14" s="1"/>
  <c r="N248" i="14"/>
  <c r="J247" i="14" a="1"/>
  <c r="J247" i="14" s="1"/>
  <c r="L141" i="13"/>
  <c r="I142" i="13" s="1"/>
  <c r="K142" i="13" l="1"/>
  <c r="L142" i="13" s="1"/>
  <c r="I143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55" i="14" l="1"/>
  <c r="L155" i="14" s="1"/>
  <c r="I156" i="14" s="1"/>
  <c r="K143" i="13"/>
  <c r="L143" i="13" s="1"/>
  <c r="I144" i="13" s="1"/>
  <c r="N251" i="13"/>
  <c r="J250" i="13" a="1"/>
  <c r="J250" i="13" s="1"/>
  <c r="N250" i="14"/>
  <c r="J249" i="14" a="1"/>
  <c r="J249" i="14" s="1"/>
  <c r="M254" i="14"/>
  <c r="M253" i="13"/>
  <c r="K144" i="13" l="1"/>
  <c r="L144" i="13" s="1"/>
  <c r="I145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5" i="13" l="1"/>
  <c r="L145" i="13" s="1"/>
  <c r="I146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58" i="14" l="1"/>
  <c r="L158" i="14" s="1"/>
  <c r="I159" i="14" s="1"/>
  <c r="K146" i="13"/>
  <c r="L146" i="13" s="1"/>
  <c r="I147" i="13" s="1"/>
  <c r="M256" i="13"/>
  <c r="M257" i="14"/>
  <c r="N254" i="13"/>
  <c r="J253" i="13" a="1"/>
  <c r="J253" i="13" s="1"/>
  <c r="N253" i="14"/>
  <c r="J252" i="14" a="1"/>
  <c r="J252" i="14" s="1"/>
  <c r="K147" i="13" l="1"/>
  <c r="L147" i="13" s="1"/>
  <c r="I148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60" i="14" l="1"/>
  <c r="L160" i="14" s="1"/>
  <c r="I161" i="14" s="1"/>
  <c r="K148" i="13"/>
  <c r="L148" i="13" s="1"/>
  <c r="I149" i="13" s="1"/>
  <c r="M259" i="14"/>
  <c r="M258" i="13"/>
  <c r="N256" i="13"/>
  <c r="J255" i="13" a="1"/>
  <c r="J255" i="13" s="1"/>
  <c r="N255" i="14"/>
  <c r="J254" i="14" a="1"/>
  <c r="J254" i="14" s="1"/>
  <c r="K149" i="13" l="1"/>
  <c r="L149" i="13" s="1"/>
  <c r="I150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62" i="14" l="1"/>
  <c r="L162" i="14" s="1"/>
  <c r="I163" i="14" s="1"/>
  <c r="K150" i="13"/>
  <c r="L150" i="13" s="1"/>
  <c r="I151" i="13" s="1"/>
  <c r="N258" i="13"/>
  <c r="J257" i="13" a="1"/>
  <c r="J257" i="13" s="1"/>
  <c r="N257" i="14"/>
  <c r="J256" i="14" a="1"/>
  <c r="J256" i="14" s="1"/>
  <c r="M261" i="14"/>
  <c r="M260" i="13"/>
  <c r="K151" i="13" l="1"/>
  <c r="L151" i="13" s="1"/>
  <c r="I152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64" i="14" l="1"/>
  <c r="K152" i="13"/>
  <c r="M262" i="13"/>
  <c r="N260" i="13"/>
  <c r="J259" i="13" a="1"/>
  <c r="J259" i="13" s="1"/>
  <c r="M263" i="14"/>
  <c r="N259" i="14"/>
  <c r="J258" i="14" a="1"/>
  <c r="J258" i="14" s="1"/>
  <c r="N261" i="13" l="1"/>
  <c r="J260" i="13" a="1"/>
  <c r="J260" i="13" s="1"/>
  <c r="L152" i="13"/>
  <c r="I153" i="13" s="1"/>
  <c r="N260" i="14"/>
  <c r="J259" i="14" a="1"/>
  <c r="J259" i="14" s="1"/>
  <c r="M264" i="14"/>
  <c r="M263" i="13"/>
  <c r="L164" i="14"/>
  <c r="I165" i="14" s="1"/>
  <c r="M264" i="13" l="1"/>
  <c r="M265" i="14"/>
  <c r="K165" i="14"/>
  <c r="K153" i="13"/>
  <c r="N261" i="14"/>
  <c r="J260" i="14" a="1"/>
  <c r="J260" i="14" s="1"/>
  <c r="N262" i="13"/>
  <c r="J261" i="13" a="1"/>
  <c r="J261" i="13" s="1"/>
  <c r="M266" i="14" l="1"/>
  <c r="L153" i="13"/>
  <c r="I154" i="13" s="1"/>
  <c r="N263" i="13"/>
  <c r="J262" i="13" a="1"/>
  <c r="J262" i="13" s="1"/>
  <c r="N262" i="14"/>
  <c r="J261" i="14" a="1"/>
  <c r="J261" i="14" s="1"/>
  <c r="M265" i="13"/>
  <c r="L165" i="14"/>
  <c r="I166" i="14" s="1"/>
  <c r="K166" i="14" l="1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/>
  <c r="L154" i="13" s="1"/>
  <c r="I155" i="13" s="1"/>
  <c r="K155" i="13" l="1"/>
  <c r="L155" i="13" s="1"/>
  <c r="I156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68" i="14" l="1"/>
  <c r="L168" i="14" s="1"/>
  <c r="I169" i="14" s="1"/>
  <c r="K156" i="13"/>
  <c r="L156" i="13" s="1"/>
  <c r="I157" i="13" s="1"/>
  <c r="N265" i="14"/>
  <c r="J264" i="14" a="1"/>
  <c r="J264" i="14" s="1"/>
  <c r="M269" i="14"/>
  <c r="M268" i="13"/>
  <c r="N266" i="13"/>
  <c r="J265" i="13" a="1"/>
  <c r="J265" i="13" s="1"/>
  <c r="K157" i="13" l="1"/>
  <c r="L157" i="13" s="1"/>
  <c r="I158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70" i="14" l="1"/>
  <c r="L170" i="14" s="1"/>
  <c r="I171" i="14" s="1"/>
  <c r="K158" i="13"/>
  <c r="L158" i="13" s="1"/>
  <c r="I159" i="13" s="1"/>
  <c r="N268" i="13"/>
  <c r="J267" i="13" a="1"/>
  <c r="J267" i="13" s="1"/>
  <c r="N267" i="14"/>
  <c r="J266" i="14" a="1"/>
  <c r="J266" i="14" s="1"/>
  <c r="M270" i="13"/>
  <c r="M271" i="14"/>
  <c r="K159" i="13" l="1"/>
  <c r="L159" i="13" s="1"/>
  <c r="I160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72" i="14" l="1"/>
  <c r="L172" i="14" s="1"/>
  <c r="I173" i="14" s="1"/>
  <c r="K160" i="13"/>
  <c r="L160" i="13" s="1"/>
  <c r="I161" i="13" s="1"/>
  <c r="N269" i="14"/>
  <c r="J268" i="14" a="1"/>
  <c r="J268" i="14" s="1"/>
  <c r="M273" i="14"/>
  <c r="N270" i="13"/>
  <c r="J269" i="13" a="1"/>
  <c r="J269" i="13" s="1"/>
  <c r="M272" i="13"/>
  <c r="K161" i="13" l="1"/>
  <c r="L161" i="13" s="1"/>
  <c r="I162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74" i="14" l="1"/>
  <c r="L174" i="14" s="1"/>
  <c r="I175" i="14" s="1"/>
  <c r="K162" i="13"/>
  <c r="L162" i="13" s="1"/>
  <c r="I163" i="13" s="1"/>
  <c r="M275" i="14"/>
  <c r="M274" i="13"/>
  <c r="N271" i="14"/>
  <c r="J270" i="14" a="1"/>
  <c r="J270" i="14" s="1"/>
  <c r="N272" i="13"/>
  <c r="J271" i="13" a="1"/>
  <c r="J271" i="13" s="1"/>
  <c r="K163" i="13" l="1"/>
  <c r="L163" i="13" s="1"/>
  <c r="I164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76" i="14" l="1"/>
  <c r="K164" i="13"/>
  <c r="N273" i="14"/>
  <c r="J272" i="14" a="1"/>
  <c r="J272" i="14" s="1"/>
  <c r="M277" i="14"/>
  <c r="M276" i="13"/>
  <c r="N274" i="13"/>
  <c r="J273" i="13" a="1"/>
  <c r="J273" i="13" s="1"/>
  <c r="N275" i="13" l="1"/>
  <c r="J274" i="13" a="1"/>
  <c r="J274" i="13" s="1"/>
  <c r="M278" i="14"/>
  <c r="M277" i="13"/>
  <c r="L164" i="13"/>
  <c r="I165" i="13" s="1"/>
  <c r="N274" i="14"/>
  <c r="J273" i="14" a="1"/>
  <c r="J273" i="14" s="1"/>
  <c r="L176" i="14"/>
  <c r="I177" i="14" s="1"/>
  <c r="N276" i="13" l="1"/>
  <c r="J275" i="13" a="1"/>
  <c r="J275" i="13" s="1"/>
  <c r="N275" i="14"/>
  <c r="J274" i="14" a="1"/>
  <c r="J274" i="14" s="1"/>
  <c r="M278" i="13"/>
  <c r="K177" i="14"/>
  <c r="L177" i="14" s="1"/>
  <c r="I178" i="14" s="1"/>
  <c r="K165" i="13"/>
  <c r="M279" i="14"/>
  <c r="K178" i="14" l="1"/>
  <c r="L178" i="14" s="1"/>
  <c r="I179" i="14" s="1"/>
  <c r="N276" i="14"/>
  <c r="J275" i="14" a="1"/>
  <c r="J275" i="14" s="1"/>
  <c r="M280" i="14"/>
  <c r="M279" i="13"/>
  <c r="L165" i="13"/>
  <c r="I166" i="13" s="1"/>
  <c r="N277" i="13"/>
  <c r="J276" i="13" a="1"/>
  <c r="J276" i="13" s="1"/>
  <c r="K179" i="14" l="1"/>
  <c r="L179" i="14" s="1"/>
  <c r="I180" i="14" s="1"/>
  <c r="K166" i="13"/>
  <c r="L166" i="13" s="1"/>
  <c r="I167" i="13" s="1"/>
  <c r="M281" i="14"/>
  <c r="N277" i="14"/>
  <c r="J276" i="14" a="1"/>
  <c r="J276" i="14" s="1"/>
  <c r="M280" i="13"/>
  <c r="N278" i="13"/>
  <c r="J277" i="13" a="1"/>
  <c r="J277" i="13" s="1"/>
  <c r="K167" i="13" l="1"/>
  <c r="L167" i="13" s="1"/>
  <c r="I168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81" i="14" l="1"/>
  <c r="L181" i="14" s="1"/>
  <c r="I182" i="14" s="1"/>
  <c r="K168" i="13"/>
  <c r="L168" i="13" s="1"/>
  <c r="I169" i="13" s="1"/>
  <c r="M283" i="14"/>
  <c r="M282" i="13"/>
  <c r="N280" i="13"/>
  <c r="J279" i="13" a="1"/>
  <c r="J279" i="13" s="1"/>
  <c r="N279" i="14"/>
  <c r="J278" i="14" a="1"/>
  <c r="J278" i="14" s="1"/>
  <c r="K169" i="13" l="1"/>
  <c r="L169" i="13" s="1"/>
  <c r="I170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83" i="14" l="1"/>
  <c r="L183" i="14" s="1"/>
  <c r="I184" i="14" s="1"/>
  <c r="K170" i="13"/>
  <c r="L170" i="13" s="1"/>
  <c r="I171" i="13" s="1"/>
  <c r="N282" i="13"/>
  <c r="J281" i="13" a="1"/>
  <c r="J281" i="13" s="1"/>
  <c r="M285" i="14"/>
  <c r="N281" i="14"/>
  <c r="J280" i="14" a="1"/>
  <c r="J280" i="14" s="1"/>
  <c r="M284" i="13"/>
  <c r="K171" i="13" l="1"/>
  <c r="L171" i="13" s="1"/>
  <c r="I172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85" i="14" l="1"/>
  <c r="L185" i="14" s="1"/>
  <c r="I186" i="14" s="1"/>
  <c r="K172" i="13"/>
  <c r="L172" i="13" s="1"/>
  <c r="I173" i="13" s="1"/>
  <c r="M287" i="14"/>
  <c r="M286" i="13"/>
  <c r="N284" i="13"/>
  <c r="J283" i="13" a="1"/>
  <c r="J283" i="13" s="1"/>
  <c r="N283" i="14"/>
  <c r="J282" i="14" a="1"/>
  <c r="J282" i="14" s="1"/>
  <c r="K173" i="13" l="1"/>
  <c r="L173" i="13" s="1"/>
  <c r="I174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N286" i="13" l="1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/>
  <c r="L174" i="13" s="1"/>
  <c r="I175" i="13" s="1"/>
  <c r="K175" i="13" l="1"/>
  <c r="L175" i="13" s="1"/>
  <c r="I176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6" i="13" l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90" i="14" l="1"/>
  <c r="M292" i="14"/>
  <c r="N289" i="13"/>
  <c r="J288" i="13" a="1"/>
  <c r="J288" i="13" s="1"/>
  <c r="N288" i="14"/>
  <c r="J287" i="14" a="1"/>
  <c r="J287" i="14" s="1"/>
  <c r="M291" i="13"/>
  <c r="L176" i="13"/>
  <c r="I177" i="13" s="1"/>
  <c r="M292" i="13" l="1"/>
  <c r="M293" i="14"/>
  <c r="N290" i="13"/>
  <c r="J289" i="13" a="1"/>
  <c r="J289" i="13" s="1"/>
  <c r="K177" i="13"/>
  <c r="L177" i="13" s="1"/>
  <c r="I178" i="13" s="1"/>
  <c r="N289" i="14"/>
  <c r="J288" i="14" a="1"/>
  <c r="J288" i="14" s="1"/>
  <c r="L190" i="14"/>
  <c r="I191" i="14" s="1"/>
  <c r="K191" i="14" l="1"/>
  <c r="L191" i="14" s="1"/>
  <c r="I192" i="14" s="1"/>
  <c r="K178" i="13"/>
  <c r="L178" i="13" s="1"/>
  <c r="I179" i="13" s="1"/>
  <c r="N290" i="14"/>
  <c r="J289" i="14" a="1"/>
  <c r="J289" i="14" s="1"/>
  <c r="N291" i="13"/>
  <c r="J290" i="13" a="1"/>
  <c r="J290" i="13" s="1"/>
  <c r="M293" i="13"/>
  <c r="M294" i="14"/>
  <c r="K179" i="13" l="1"/>
  <c r="L179" i="13" s="1"/>
  <c r="I180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93" i="14" l="1"/>
  <c r="L193" i="14" s="1"/>
  <c r="I194" i="14" s="1"/>
  <c r="K180" i="13"/>
  <c r="L180" i="13" s="1"/>
  <c r="I181" i="13" s="1"/>
  <c r="M295" i="13"/>
  <c r="N292" i="14"/>
  <c r="J291" i="14" a="1"/>
  <c r="J291" i="14" s="1"/>
  <c r="M296" i="14"/>
  <c r="N293" i="13"/>
  <c r="J292" i="13" a="1"/>
  <c r="J292" i="13" s="1"/>
  <c r="K181" i="13" l="1"/>
  <c r="L181" i="13" s="1"/>
  <c r="I182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95" i="14" l="1"/>
  <c r="L195" i="14" s="1"/>
  <c r="I196" i="14" s="1"/>
  <c r="K182" i="13"/>
  <c r="L182" i="13" s="1"/>
  <c r="I183" i="13" s="1"/>
  <c r="M297" i="13"/>
  <c r="N295" i="13"/>
  <c r="J294" i="13" a="1"/>
  <c r="J294" i="13" s="1"/>
  <c r="M298" i="14"/>
  <c r="N294" i="14"/>
  <c r="J293" i="14" a="1"/>
  <c r="J293" i="14" s="1"/>
  <c r="K183" i="13" l="1"/>
  <c r="L183" i="13" s="1"/>
  <c r="I184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97" i="14" l="1"/>
  <c r="L197" i="14" s="1"/>
  <c r="I198" i="14" s="1"/>
  <c r="K184" i="13"/>
  <c r="L184" i="13" s="1"/>
  <c r="I185" i="13" s="1"/>
  <c r="N296" i="14"/>
  <c r="J295" i="14" a="1"/>
  <c r="J295" i="14" s="1"/>
  <c r="M300" i="14"/>
  <c r="M299" i="13"/>
  <c r="N297" i="13"/>
  <c r="J296" i="13" a="1"/>
  <c r="J296" i="13" s="1"/>
  <c r="K185" i="13" l="1"/>
  <c r="L185" i="13" s="1"/>
  <c r="I186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99" i="14" l="1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/>
  <c r="L186" i="13" s="1"/>
  <c r="I187" i="13" s="1"/>
  <c r="K200" i="14" l="1"/>
  <c r="K187" i="13"/>
  <c r="L187" i="13" s="1"/>
  <c r="I188" i="13" s="1"/>
  <c r="N299" i="14"/>
  <c r="J298" i="14" a="1"/>
  <c r="J298" i="14" s="1"/>
  <c r="N300" i="13"/>
  <c r="J299" i="13" a="1"/>
  <c r="J299" i="13" s="1"/>
  <c r="M302" i="13"/>
  <c r="M303" i="14"/>
  <c r="M303" i="13" l="1"/>
  <c r="K188" i="13"/>
  <c r="L188" i="13" s="1"/>
  <c r="I189" i="13" s="1"/>
  <c r="M304" i="14"/>
  <c r="N300" i="14"/>
  <c r="J299" i="14" a="1"/>
  <c r="J299" i="14" s="1"/>
  <c r="L200" i="14"/>
  <c r="I201" i="14" s="1"/>
  <c r="N301" i="13"/>
  <c r="J300" i="13" a="1"/>
  <c r="J300" i="13" s="1"/>
  <c r="K189" i="13" l="1"/>
  <c r="L189" i="13" s="1"/>
  <c r="I190" i="13" s="1"/>
  <c r="N301" i="14"/>
  <c r="J300" i="14" a="1"/>
  <c r="J300" i="14" s="1"/>
  <c r="N302" i="13"/>
  <c r="J301" i="13" a="1"/>
  <c r="J301" i="13" s="1"/>
  <c r="M305" i="14"/>
  <c r="K201" i="14"/>
  <c r="M304" i="13"/>
  <c r="K190" i="13" l="1"/>
  <c r="N302" i="14"/>
  <c r="J301" i="14" a="1"/>
  <c r="J301" i="14" s="1"/>
  <c r="L201" i="14"/>
  <c r="I202" i="14" s="1"/>
  <c r="M306" i="14"/>
  <c r="M305" i="13"/>
  <c r="N303" i="13"/>
  <c r="J302" i="13" a="1"/>
  <c r="J302" i="13" s="1"/>
  <c r="K202" i="14" l="1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/>
  <c r="I191" i="13" s="1"/>
  <c r="K203" i="14" l="1"/>
  <c r="L203" i="14" s="1"/>
  <c r="I204" i="14" s="1"/>
  <c r="N304" i="14"/>
  <c r="J303" i="14" a="1"/>
  <c r="J303" i="14" s="1"/>
  <c r="K191" i="13"/>
  <c r="L191" i="13" s="1"/>
  <c r="I192" i="13" s="1"/>
  <c r="N305" i="13"/>
  <c r="J304" i="13" a="1"/>
  <c r="J304" i="13" s="1"/>
  <c r="M307" i="13"/>
  <c r="M308" i="14"/>
  <c r="K192" i="13" l="1"/>
  <c r="L192" i="13" s="1"/>
  <c r="I193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205" i="14" l="1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/>
  <c r="L193" i="13" s="1"/>
  <c r="I194" i="13" s="1"/>
  <c r="K194" i="13" l="1"/>
  <c r="L194" i="13" s="1"/>
  <c r="I195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207" i="14" l="1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/>
  <c r="L195" i="13" s="1"/>
  <c r="I196" i="13" s="1"/>
  <c r="K196" i="13" l="1"/>
  <c r="L196" i="13" s="1"/>
  <c r="I197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209" i="14" l="1"/>
  <c r="L209" i="14" s="1"/>
  <c r="I210" i="14" s="1"/>
  <c r="K197" i="13"/>
  <c r="L197" i="13" s="1"/>
  <c r="I198" i="13" s="1"/>
  <c r="N310" i="14"/>
  <c r="J309" i="14" a="1"/>
  <c r="J309" i="14" s="1"/>
  <c r="M313" i="13"/>
  <c r="M314" i="14"/>
  <c r="N311" i="13"/>
  <c r="J310" i="13" a="1"/>
  <c r="J310" i="13" s="1"/>
  <c r="K198" i="13" l="1"/>
  <c r="L198" i="13" s="1"/>
  <c r="I199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9" i="13" l="1"/>
  <c r="L199" i="13" s="1"/>
  <c r="I200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212" i="14" l="1"/>
  <c r="K200" i="13"/>
  <c r="N314" i="13"/>
  <c r="J313" i="13" a="1"/>
  <c r="J313" i="13" s="1"/>
  <c r="M316" i="13"/>
  <c r="M317" i="14"/>
  <c r="N313" i="14"/>
  <c r="J312" i="14" a="1"/>
  <c r="J312" i="14" s="1"/>
  <c r="N314" i="14" l="1"/>
  <c r="J313" i="14" a="1"/>
  <c r="J313" i="14" s="1"/>
  <c r="L200" i="13"/>
  <c r="I201" i="13" s="1"/>
  <c r="M317" i="13"/>
  <c r="M318" i="14"/>
  <c r="N315" i="13"/>
  <c r="J314" i="13" a="1"/>
  <c r="J314" i="13" s="1"/>
  <c r="L212" i="14"/>
  <c r="I213" i="14" s="1"/>
  <c r="M318" i="13" l="1"/>
  <c r="N316" i="13"/>
  <c r="J315" i="13" a="1"/>
  <c r="J315" i="13" s="1"/>
  <c r="N315" i="14"/>
  <c r="J314" i="14" a="1"/>
  <c r="J314" i="14" s="1"/>
  <c r="K213" i="14"/>
  <c r="K201" i="13"/>
  <c r="M319" i="14"/>
  <c r="L213" i="14" l="1"/>
  <c r="I214" i="14" s="1"/>
  <c r="N317" i="13"/>
  <c r="J316" i="13" a="1"/>
  <c r="J316" i="13" s="1"/>
  <c r="M320" i="14"/>
  <c r="M319" i="13"/>
  <c r="L201" i="13"/>
  <c r="I202" i="13" s="1"/>
  <c r="N316" i="14"/>
  <c r="J315" i="14" a="1"/>
  <c r="J315" i="14" s="1"/>
  <c r="N317" i="14" l="1"/>
  <c r="J316" i="14" a="1"/>
  <c r="J316" i="14" s="1"/>
  <c r="N318" i="13"/>
  <c r="J317" i="13" a="1"/>
  <c r="J317" i="13" s="1"/>
  <c r="M320" i="13"/>
  <c r="K202" i="13"/>
  <c r="L202" i="13" s="1"/>
  <c r="I203" i="13" s="1"/>
  <c r="M321" i="14"/>
  <c r="K214" i="14"/>
  <c r="L214" i="14" s="1"/>
  <c r="I215" i="14" s="1"/>
  <c r="K215" i="14" l="1"/>
  <c r="L215" i="14" s="1"/>
  <c r="I216" i="14" s="1"/>
  <c r="K203" i="13"/>
  <c r="L203" i="13" s="1"/>
  <c r="I204" i="13" s="1"/>
  <c r="N319" i="13"/>
  <c r="J318" i="13" a="1"/>
  <c r="J318" i="13" s="1"/>
  <c r="M322" i="14"/>
  <c r="M321" i="13"/>
  <c r="N318" i="14"/>
  <c r="J317" i="14" a="1"/>
  <c r="J317" i="14" s="1"/>
  <c r="K204" i="13" l="1"/>
  <c r="L204" i="13" s="1"/>
  <c r="I205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17" i="14" l="1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/>
  <c r="L205" i="13" s="1"/>
  <c r="I206" i="13" s="1"/>
  <c r="K218" i="14" l="1"/>
  <c r="L218" i="14" s="1"/>
  <c r="I219" i="14" s="1"/>
  <c r="K206" i="13"/>
  <c r="L206" i="13" s="1"/>
  <c r="I207" i="13" s="1"/>
  <c r="M324" i="13"/>
  <c r="N322" i="13"/>
  <c r="J321" i="13" a="1"/>
  <c r="J321" i="13" s="1"/>
  <c r="M325" i="14"/>
  <c r="N321" i="14"/>
  <c r="J320" i="14" a="1"/>
  <c r="J320" i="14" s="1"/>
  <c r="K207" i="13" l="1"/>
  <c r="L207" i="13" s="1"/>
  <c r="I208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8" i="13" l="1"/>
  <c r="L208" i="13" s="1"/>
  <c r="I209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21" i="14" l="1"/>
  <c r="L221" i="14" s="1"/>
  <c r="I222" i="14" s="1"/>
  <c r="K209" i="13"/>
  <c r="L209" i="13" s="1"/>
  <c r="I210" i="13" s="1"/>
  <c r="N324" i="14"/>
  <c r="J323" i="14" a="1"/>
  <c r="J323" i="14" s="1"/>
  <c r="M328" i="14"/>
  <c r="M327" i="13"/>
  <c r="N325" i="13"/>
  <c r="J324" i="13" a="1"/>
  <c r="J324" i="13" s="1"/>
  <c r="K210" i="13" l="1"/>
  <c r="L210" i="13" s="1"/>
  <c r="I211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23" i="14" l="1"/>
  <c r="L223" i="14" s="1"/>
  <c r="I224" i="14" s="1"/>
  <c r="K211" i="13"/>
  <c r="L211" i="13" s="1"/>
  <c r="I212" i="13" s="1"/>
  <c r="N327" i="13"/>
  <c r="J326" i="13" a="1"/>
  <c r="J326" i="13" s="1"/>
  <c r="M330" i="14"/>
  <c r="N326" i="14"/>
  <c r="J325" i="14" a="1"/>
  <c r="J325" i="14" s="1"/>
  <c r="M329" i="13"/>
  <c r="K212" i="13" l="1"/>
  <c r="K224" i="14"/>
  <c r="M331" i="14"/>
  <c r="M330" i="13"/>
  <c r="N327" i="14"/>
  <c r="J326" i="14" a="1"/>
  <c r="J326" i="14" s="1"/>
  <c r="N328" i="13"/>
  <c r="J327" i="13" a="1"/>
  <c r="J327" i="13" s="1"/>
  <c r="M332" i="14" l="1"/>
  <c r="M331" i="13"/>
  <c r="N329" i="13"/>
  <c r="J328" i="13" a="1"/>
  <c r="J328" i="13" s="1"/>
  <c r="L224" i="14"/>
  <c r="I225" i="14" s="1"/>
  <c r="N328" i="14"/>
  <c r="J327" i="14" a="1"/>
  <c r="J327" i="14" s="1"/>
  <c r="L212" i="13"/>
  <c r="I213" i="13" s="1"/>
  <c r="K213" i="13" l="1"/>
  <c r="M333" i="14"/>
  <c r="K225" i="14"/>
  <c r="N329" i="14"/>
  <c r="J328" i="14" a="1"/>
  <c r="J328" i="14" s="1"/>
  <c r="N330" i="13"/>
  <c r="J329" i="13" a="1"/>
  <c r="J329" i="13" s="1"/>
  <c r="M332" i="13"/>
  <c r="M334" i="14" l="1"/>
  <c r="M333" i="13"/>
  <c r="N330" i="14"/>
  <c r="J329" i="14" a="1"/>
  <c r="J329" i="14" s="1"/>
  <c r="N331" i="13"/>
  <c r="J330" i="13" a="1"/>
  <c r="J330" i="13" s="1"/>
  <c r="L225" i="14"/>
  <c r="I226" i="14" s="1"/>
  <c r="L213" i="13"/>
  <c r="I214" i="13" s="1"/>
  <c r="K214" i="13" l="1"/>
  <c r="L214" i="13" s="1"/>
  <c r="I215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27" i="14" l="1"/>
  <c r="L227" i="14" s="1"/>
  <c r="I228" i="14" s="1"/>
  <c r="K215" i="13"/>
  <c r="L215" i="13" s="1"/>
  <c r="I216" i="13" s="1"/>
  <c r="N332" i="14"/>
  <c r="J331" i="14" a="1"/>
  <c r="J331" i="14" s="1"/>
  <c r="M336" i="14"/>
  <c r="M335" i="13"/>
  <c r="N333" i="13"/>
  <c r="J332" i="13" a="1"/>
  <c r="J332" i="13" s="1"/>
  <c r="K216" i="13" l="1"/>
  <c r="L216" i="13" s="1"/>
  <c r="I217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29" i="14" l="1"/>
  <c r="L229" i="14" s="1"/>
  <c r="I230" i="14" s="1"/>
  <c r="K217" i="13"/>
  <c r="L217" i="13" s="1"/>
  <c r="I218" i="13" s="1"/>
  <c r="M337" i="13"/>
  <c r="N335" i="13"/>
  <c r="J334" i="13" a="1"/>
  <c r="J334" i="13" s="1"/>
  <c r="N334" i="14"/>
  <c r="J333" i="14" a="1"/>
  <c r="J333" i="14" s="1"/>
  <c r="M338" i="14"/>
  <c r="K230" i="14" l="1"/>
  <c r="L230" i="14" s="1"/>
  <c r="I231" i="14" s="1"/>
  <c r="K218" i="13"/>
  <c r="L218" i="13" s="1"/>
  <c r="I219" i="13" s="1"/>
  <c r="N336" i="13"/>
  <c r="J335" i="13" a="1"/>
  <c r="J335" i="13" s="1"/>
  <c r="N335" i="14"/>
  <c r="J334" i="14" a="1"/>
  <c r="J334" i="14" s="1"/>
  <c r="M338" i="13"/>
  <c r="M339" i="14"/>
  <c r="K231" i="14" l="1"/>
  <c r="L231" i="14" s="1"/>
  <c r="I232" i="14" s="1"/>
  <c r="M340" i="14"/>
  <c r="N336" i="14"/>
  <c r="J335" i="14" a="1"/>
  <c r="J335" i="14" s="1"/>
  <c r="K219" i="13"/>
  <c r="L219" i="13" s="1"/>
  <c r="I220" i="13" s="1"/>
  <c r="M339" i="13"/>
  <c r="N337" i="13"/>
  <c r="J336" i="13" a="1"/>
  <c r="J336" i="13" s="1"/>
  <c r="K220" i="13" l="1"/>
  <c r="L220" i="13" s="1"/>
  <c r="I221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33" i="14" l="1"/>
  <c r="L233" i="14" s="1"/>
  <c r="I234" i="14" s="1"/>
  <c r="K221" i="13"/>
  <c r="L221" i="13" s="1"/>
  <c r="I222" i="13" s="1"/>
  <c r="N338" i="14"/>
  <c r="J337" i="14" a="1"/>
  <c r="J337" i="14" s="1"/>
  <c r="N339" i="13"/>
  <c r="J338" i="13" a="1"/>
  <c r="J338" i="13" s="1"/>
  <c r="M341" i="13"/>
  <c r="M342" i="14"/>
  <c r="K222" i="13" l="1"/>
  <c r="L222" i="13" s="1"/>
  <c r="I223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3" i="13" l="1"/>
  <c r="L223" i="13" s="1"/>
  <c r="I224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4" i="13" l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37" i="14" l="1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/>
  <c r="I225" i="13" s="1"/>
  <c r="N344" i="13" l="1"/>
  <c r="J343" i="13" a="1"/>
  <c r="J343" i="13" s="1"/>
  <c r="M347" i="14"/>
  <c r="K225" i="13"/>
  <c r="M346" i="13"/>
  <c r="N343" i="14"/>
  <c r="J342" i="14" a="1"/>
  <c r="J342" i="14" s="1"/>
  <c r="K238" i="14"/>
  <c r="L238" i="14" s="1"/>
  <c r="I239" i="14" s="1"/>
  <c r="K239" i="14" l="1"/>
  <c r="L239" i="14" s="1"/>
  <c r="I240" i="14" s="1"/>
  <c r="M347" i="13"/>
  <c r="M348" i="14"/>
  <c r="N344" i="14"/>
  <c r="J343" i="14" a="1"/>
  <c r="J343" i="14" s="1"/>
  <c r="L225" i="13"/>
  <c r="I226" i="13" s="1"/>
  <c r="N345" i="13"/>
  <c r="J344" i="13" a="1"/>
  <c r="J344" i="13" s="1"/>
  <c r="K240" i="14" l="1"/>
  <c r="L240" i="14" s="1"/>
  <c r="I241" i="14" s="1"/>
  <c r="N345" i="14"/>
  <c r="J344" i="14" a="1"/>
  <c r="J344" i="14" s="1"/>
  <c r="M348" i="13"/>
  <c r="N346" i="13"/>
  <c r="J345" i="13" a="1"/>
  <c r="J345" i="13" s="1"/>
  <c r="K226" i="13"/>
  <c r="L226" i="13" s="1"/>
  <c r="I227" i="13" s="1"/>
  <c r="M349" i="14"/>
  <c r="K227" i="13" l="1"/>
  <c r="L227" i="13" s="1"/>
  <c r="I228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42" i="14" l="1"/>
  <c r="L242" i="14" s="1"/>
  <c r="I243" i="14" s="1"/>
  <c r="K228" i="13"/>
  <c r="L228" i="13" s="1"/>
  <c r="I229" i="13" s="1"/>
  <c r="M350" i="13"/>
  <c r="M351" i="14"/>
  <c r="N347" i="14"/>
  <c r="J346" i="14" a="1"/>
  <c r="J346" i="14" s="1"/>
  <c r="N348" i="13"/>
  <c r="J347" i="13" a="1"/>
  <c r="J347" i="13" s="1"/>
  <c r="K243" i="14" l="1"/>
  <c r="L243" i="14" s="1"/>
  <c r="I244" i="14" s="1"/>
  <c r="K229" i="13"/>
  <c r="L229" i="13" s="1"/>
  <c r="I230" i="13" s="1"/>
  <c r="M351" i="13"/>
  <c r="M352" i="14"/>
  <c r="N349" i="13"/>
  <c r="J348" i="13" a="1"/>
  <c r="J348" i="13" s="1"/>
  <c r="N348" i="14"/>
  <c r="J347" i="14" a="1"/>
  <c r="J347" i="14" s="1"/>
  <c r="K230" i="13" l="1"/>
  <c r="L230" i="13" s="1"/>
  <c r="I231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45" i="14" l="1"/>
  <c r="L245" i="14" s="1"/>
  <c r="I246" i="14" s="1"/>
  <c r="K231" i="13"/>
  <c r="L231" i="13" s="1"/>
  <c r="I232" i="13" s="1"/>
  <c r="M354" i="14"/>
  <c r="M353" i="13"/>
  <c r="N351" i="13"/>
  <c r="J350" i="13" a="1"/>
  <c r="J350" i="13" s="1"/>
  <c r="N350" i="14"/>
  <c r="J349" i="14" a="1"/>
  <c r="J349" i="14" s="1"/>
  <c r="K232" i="13" l="1"/>
  <c r="L232" i="13" s="1"/>
  <c r="I233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47" i="14" l="1"/>
  <c r="L247" i="14" s="1"/>
  <c r="I248" i="14" s="1"/>
  <c r="K233" i="13"/>
  <c r="L233" i="13" s="1"/>
  <c r="I234" i="13" s="1"/>
  <c r="M356" i="14"/>
  <c r="M355" i="13"/>
  <c r="N353" i="13"/>
  <c r="J352" i="13" a="1"/>
  <c r="J352" i="13" s="1"/>
  <c r="N352" i="14"/>
  <c r="J351" i="14" a="1"/>
  <c r="J351" i="14" s="1"/>
  <c r="K234" i="13" l="1"/>
  <c r="L234" i="13" s="1"/>
  <c r="I235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49" i="14" l="1"/>
  <c r="L249" i="14" s="1"/>
  <c r="I250" i="14" s="1"/>
  <c r="K235" i="13"/>
  <c r="L235" i="13" s="1"/>
  <c r="I236" i="13" s="1"/>
  <c r="M357" i="13"/>
  <c r="N355" i="13"/>
  <c r="J354" i="13" a="1"/>
  <c r="J354" i="13" s="1"/>
  <c r="M358" i="14"/>
  <c r="N354" i="14"/>
  <c r="J353" i="14" a="1"/>
  <c r="J353" i="14" s="1"/>
  <c r="K236" i="13" l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51" i="14" l="1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/>
  <c r="I237" i="13" s="1"/>
  <c r="K252" i="14" l="1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/>
  <c r="K253" i="14" l="1"/>
  <c r="L253" i="14" s="1"/>
  <c r="I254" i="14" s="1"/>
  <c r="M361" i="13"/>
  <c r="L237" i="13"/>
  <c r="I238" i="13" s="1"/>
  <c r="N359" i="13"/>
  <c r="J358" i="13" a="1"/>
  <c r="J358" i="13" s="1"/>
  <c r="N358" i="14"/>
  <c r="J357" i="14" a="1"/>
  <c r="J357" i="14" s="1"/>
  <c r="M362" i="14"/>
  <c r="K254" i="14" l="1"/>
  <c r="L254" i="14" s="1"/>
  <c r="I255" i="14" s="1"/>
  <c r="N360" i="13"/>
  <c r="J359" i="13" a="1"/>
  <c r="J359" i="13" s="1"/>
  <c r="N359" i="14"/>
  <c r="J358" i="14" a="1"/>
  <c r="J358" i="14" s="1"/>
  <c r="K238" i="13"/>
  <c r="L238" i="13" s="1"/>
  <c r="I239" i="13" s="1"/>
  <c r="M363" i="14"/>
  <c r="M362" i="13"/>
  <c r="K255" i="14" l="1"/>
  <c r="L255" i="14" s="1"/>
  <c r="I256" i="14" s="1"/>
  <c r="K239" i="13"/>
  <c r="L239" i="13" s="1"/>
  <c r="I240" i="13" s="1"/>
  <c r="N360" i="14"/>
  <c r="J359" i="14" a="1"/>
  <c r="J359" i="14" s="1"/>
  <c r="M363" i="13"/>
  <c r="M364" i="14"/>
  <c r="N361" i="13"/>
  <c r="J360" i="13" a="1"/>
  <c r="J360" i="13" s="1"/>
  <c r="K256" i="14" l="1"/>
  <c r="L256" i="14" s="1"/>
  <c r="I257" i="14" s="1"/>
  <c r="K240" i="13"/>
  <c r="L240" i="13" s="1"/>
  <c r="I241" i="13" s="1"/>
  <c r="N362" i="13"/>
  <c r="J361" i="13" a="1"/>
  <c r="J361" i="13" s="1"/>
  <c r="M364" i="13"/>
  <c r="M365" i="14"/>
  <c r="N361" i="14"/>
  <c r="J360" i="14" a="1"/>
  <c r="J360" i="14" s="1"/>
  <c r="K241" i="13" l="1"/>
  <c r="L241" i="13" s="1"/>
  <c r="I242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58" i="14" l="1"/>
  <c r="L258" i="14" s="1"/>
  <c r="I259" i="14" s="1"/>
  <c r="K242" i="13"/>
  <c r="L242" i="13" s="1"/>
  <c r="I243" i="13" s="1"/>
  <c r="M366" i="13"/>
  <c r="N364" i="13"/>
  <c r="J363" i="13" a="1"/>
  <c r="J363" i="13" s="1"/>
  <c r="M367" i="14"/>
  <c r="N363" i="14"/>
  <c r="J362" i="14" a="1"/>
  <c r="J362" i="14" s="1"/>
  <c r="K243" i="13" l="1"/>
  <c r="L243" i="13" s="1"/>
  <c r="I244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60" i="14" l="1"/>
  <c r="L260" i="14" s="1"/>
  <c r="I261" i="14" s="1"/>
  <c r="K244" i="13"/>
  <c r="L244" i="13" s="1"/>
  <c r="I245" i="13" s="1"/>
  <c r="M368" i="13"/>
  <c r="N366" i="13"/>
  <c r="J365" i="13" a="1"/>
  <c r="J365" i="13" s="1"/>
  <c r="M369" i="14"/>
  <c r="N365" i="14"/>
  <c r="J364" i="14" a="1"/>
  <c r="J364" i="14" s="1"/>
  <c r="K245" i="13" l="1"/>
  <c r="L245" i="13" s="1"/>
  <c r="I246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6" i="13" l="1"/>
  <c r="L246" i="13" s="1"/>
  <c r="I247" i="13" s="1"/>
  <c r="K262" i="14"/>
  <c r="M371" i="14"/>
  <c r="N367" i="14"/>
  <c r="J366" i="14" a="1"/>
  <c r="J366" i="14" s="1"/>
  <c r="M370" i="13"/>
  <c r="N368" i="13"/>
  <c r="J367" i="13" a="1"/>
  <c r="J367" i="13" s="1"/>
  <c r="K247" i="13" l="1"/>
  <c r="L247" i="13" s="1"/>
  <c r="I248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8" i="13" l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N371" i="13" l="1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/>
  <c r="I249" i="13" s="1"/>
  <c r="K265" i="14" l="1"/>
  <c r="L265" i="14" s="1"/>
  <c r="I266" i="14" s="1"/>
  <c r="N371" i="14"/>
  <c r="J370" i="14" a="1"/>
  <c r="J370" i="14" s="1"/>
  <c r="M375" i="14"/>
  <c r="M374" i="13"/>
  <c r="K249" i="13"/>
  <c r="N372" i="13"/>
  <c r="J371" i="13" a="1"/>
  <c r="J371" i="13" s="1"/>
  <c r="K266" i="14" l="1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/>
  <c r="I250" i="13" s="1"/>
  <c r="K267" i="14" l="1"/>
  <c r="L267" i="14" s="1"/>
  <c r="I268" i="14" s="1"/>
  <c r="M376" i="13"/>
  <c r="M377" i="14"/>
  <c r="N373" i="14"/>
  <c r="J372" i="14" a="1"/>
  <c r="J372" i="14" s="1"/>
  <c r="K250" i="13"/>
  <c r="L250" i="13" s="1"/>
  <c r="I251" i="13" s="1"/>
  <c r="N374" i="13"/>
  <c r="J373" i="13" a="1"/>
  <c r="J373" i="13" s="1"/>
  <c r="K251" i="13" l="1"/>
  <c r="L251" i="13" s="1"/>
  <c r="I252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69" i="14" l="1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/>
  <c r="L252" i="13" s="1"/>
  <c r="I253" i="13" s="1"/>
  <c r="K253" i="13" l="1"/>
  <c r="L253" i="13" s="1"/>
  <c r="I254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71" i="14" l="1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/>
  <c r="L254" i="13" s="1"/>
  <c r="I255" i="13" s="1"/>
  <c r="K255" i="13" l="1"/>
  <c r="L255" i="13" s="1"/>
  <c r="I256" i="13" s="1"/>
  <c r="K272" i="14"/>
  <c r="N378" i="14"/>
  <c r="J377" i="14" a="1"/>
  <c r="J377" i="14" s="1"/>
  <c r="M382" i="14"/>
  <c r="N379" i="13"/>
  <c r="J378" i="13" a="1"/>
  <c r="J378" i="13" s="1"/>
  <c r="M381" i="13"/>
  <c r="K256" i="13" l="1"/>
  <c r="L256" i="13" s="1"/>
  <c r="I257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7" i="13" l="1"/>
  <c r="L257" i="13" s="1"/>
  <c r="I258" i="13" s="1"/>
  <c r="N380" i="14"/>
  <c r="J379" i="14" a="1"/>
  <c r="J379" i="14" s="1"/>
  <c r="M384" i="14"/>
  <c r="K273" i="14"/>
  <c r="M383" i="13"/>
  <c r="N381" i="13"/>
  <c r="J380" i="13" a="1"/>
  <c r="J380" i="13" s="1"/>
  <c r="K258" i="13" l="1"/>
  <c r="L258" i="13" s="1"/>
  <c r="I259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9" i="13" l="1"/>
  <c r="L259" i="13" s="1"/>
  <c r="I260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75" i="14" l="1"/>
  <c r="L275" i="14" s="1"/>
  <c r="I276" i="14" s="1"/>
  <c r="K260" i="13"/>
  <c r="L260" i="13" s="1"/>
  <c r="I261" i="13" s="1"/>
  <c r="N383" i="14"/>
  <c r="J382" i="14" a="1"/>
  <c r="J382" i="14" s="1"/>
  <c r="N384" i="13"/>
  <c r="J383" i="13" a="1"/>
  <c r="J383" i="13" s="1"/>
  <c r="M387" i="14"/>
  <c r="M386" i="13"/>
  <c r="K276" i="14" l="1"/>
  <c r="L276" i="14" s="1"/>
  <c r="I277" i="14" s="1"/>
  <c r="K261" i="13"/>
  <c r="L261" i="13" s="1"/>
  <c r="I262" i="13" s="1"/>
  <c r="N385" i="13"/>
  <c r="J384" i="13" a="1"/>
  <c r="J384" i="13" s="1"/>
  <c r="M388" i="14"/>
  <c r="N384" i="14"/>
  <c r="J383" i="14" a="1"/>
  <c r="J383" i="14" s="1"/>
  <c r="M387" i="13"/>
  <c r="K262" i="13" l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78" i="14" l="1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/>
  <c r="I263" i="13" s="1"/>
  <c r="K279" i="14" l="1"/>
  <c r="L279" i="14" s="1"/>
  <c r="I280" i="14" s="1"/>
  <c r="N387" i="14"/>
  <c r="J386" i="14" a="1"/>
  <c r="J386" i="14" s="1"/>
  <c r="K263" i="13"/>
  <c r="L263" i="13" s="1"/>
  <c r="I264" i="13" s="1"/>
  <c r="M391" i="14"/>
  <c r="M390" i="13"/>
  <c r="N388" i="13"/>
  <c r="J387" i="13" a="1"/>
  <c r="J387" i="13" s="1"/>
  <c r="K280" i="14" l="1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/>
  <c r="L264" i="13" s="1"/>
  <c r="I265" i="13" s="1"/>
  <c r="K265" i="13" l="1"/>
  <c r="L265" i="13" s="1"/>
  <c r="I266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82" i="14" l="1"/>
  <c r="L282" i="14" s="1"/>
  <c r="I283" i="14" s="1"/>
  <c r="K266" i="13"/>
  <c r="L266" i="13" s="1"/>
  <c r="I267" i="13" s="1"/>
  <c r="M394" i="14"/>
  <c r="N391" i="13"/>
  <c r="J390" i="13" a="1"/>
  <c r="J390" i="13" s="1"/>
  <c r="M393" i="13"/>
  <c r="N390" i="14"/>
  <c r="J389" i="14" a="1"/>
  <c r="J389" i="14" s="1"/>
  <c r="K267" i="13" l="1"/>
  <c r="L267" i="13" s="1"/>
  <c r="I268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84" i="14" l="1"/>
  <c r="K268" i="13"/>
  <c r="L268" i="13" s="1"/>
  <c r="I269" i="13" s="1"/>
  <c r="M396" i="14"/>
  <c r="N393" i="13"/>
  <c r="J392" i="13" a="1"/>
  <c r="J392" i="13" s="1"/>
  <c r="M395" i="13"/>
  <c r="N392" i="14"/>
  <c r="J391" i="14" a="1"/>
  <c r="J391" i="14" s="1"/>
  <c r="K269" i="13" l="1"/>
  <c r="L269" i="13" s="1"/>
  <c r="I270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70" i="13" l="1"/>
  <c r="L270" i="13" s="1"/>
  <c r="I271" i="13" s="1"/>
  <c r="M398" i="14"/>
  <c r="N395" i="13"/>
  <c r="J394" i="13" a="1"/>
  <c r="J394" i="13" s="1"/>
  <c r="M397" i="13"/>
  <c r="K285" i="14"/>
  <c r="N394" i="14"/>
  <c r="J393" i="14" a="1"/>
  <c r="J393" i="14" s="1"/>
  <c r="K271" i="13" l="1"/>
  <c r="L271" i="13" s="1"/>
  <c r="I272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2" i="13" l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87" i="14" l="1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/>
  <c r="I273" i="13" s="1"/>
  <c r="K288" i="14" l="1"/>
  <c r="L288" i="14" s="1"/>
  <c r="I289" i="14" s="1"/>
  <c r="M402" i="14"/>
  <c r="N398" i="14"/>
  <c r="J397" i="14" a="1"/>
  <c r="J397" i="14" s="1"/>
  <c r="K273" i="13"/>
  <c r="N399" i="13"/>
  <c r="J398" i="13" a="1"/>
  <c r="J398" i="13" s="1"/>
  <c r="M401" i="13"/>
  <c r="M402" i="13" l="1"/>
  <c r="M403" i="14"/>
  <c r="L273" i="13"/>
  <c r="I274" i="13" s="1"/>
  <c r="N400" i="13"/>
  <c r="J399" i="13" a="1"/>
  <c r="J399" i="13" s="1"/>
  <c r="N399" i="14"/>
  <c r="J398" i="14" a="1"/>
  <c r="J398" i="14" s="1"/>
  <c r="K289" i="14"/>
  <c r="L289" i="14" s="1"/>
  <c r="I290" i="14" s="1"/>
  <c r="K290" i="14" l="1"/>
  <c r="L290" i="14" s="1"/>
  <c r="I291" i="14" s="1"/>
  <c r="N401" i="13"/>
  <c r="J400" i="13" a="1"/>
  <c r="J400" i="13" s="1"/>
  <c r="K274" i="13"/>
  <c r="L274" i="13" s="1"/>
  <c r="I275" i="13" s="1"/>
  <c r="M403" i="13"/>
  <c r="N400" i="14"/>
  <c r="J399" i="14" a="1"/>
  <c r="J399" i="14" s="1"/>
  <c r="M404" i="14"/>
  <c r="K275" i="13" l="1"/>
  <c r="L275" i="13" s="1"/>
  <c r="I276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92" i="14" l="1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/>
  <c r="L276" i="13" s="1"/>
  <c r="I277" i="13" s="1"/>
  <c r="K277" i="13" l="1"/>
  <c r="L277" i="13" s="1"/>
  <c r="I278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94" i="14" l="1"/>
  <c r="L294" i="14" s="1"/>
  <c r="I295" i="14" s="1"/>
  <c r="K278" i="13"/>
  <c r="L278" i="13" s="1"/>
  <c r="I279" i="13" s="1"/>
  <c r="N405" i="13"/>
  <c r="J404" i="13" a="1"/>
  <c r="J404" i="13" s="1"/>
  <c r="N404" i="14"/>
  <c r="J403" i="14" a="1"/>
  <c r="J403" i="14" s="1"/>
  <c r="M408" i="14"/>
  <c r="M407" i="13"/>
  <c r="K295" i="14" l="1"/>
  <c r="L295" i="14" s="1"/>
  <c r="I296" i="14" s="1"/>
  <c r="N405" i="14"/>
  <c r="J404" i="14" a="1"/>
  <c r="J404" i="14" s="1"/>
  <c r="M408" i="13"/>
  <c r="K279" i="13"/>
  <c r="L279" i="13" s="1"/>
  <c r="I280" i="13" s="1"/>
  <c r="M409" i="14"/>
  <c r="N406" i="13"/>
  <c r="J405" i="13" a="1"/>
  <c r="J405" i="13" s="1"/>
  <c r="K296" i="14" l="1"/>
  <c r="N407" i="13"/>
  <c r="J406" i="13" a="1"/>
  <c r="J406" i="13" s="1"/>
  <c r="K280" i="13"/>
  <c r="L280" i="13" s="1"/>
  <c r="I281" i="13" s="1"/>
  <c r="N406" i="14"/>
  <c r="J405" i="14" a="1"/>
  <c r="J405" i="14" s="1"/>
  <c r="M410" i="14"/>
  <c r="M409" i="13"/>
  <c r="K281" i="13" l="1"/>
  <c r="L281" i="13" s="1"/>
  <c r="I282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97" i="14" l="1"/>
  <c r="M411" i="13"/>
  <c r="N408" i="14"/>
  <c r="J407" i="14" a="1"/>
  <c r="J407" i="14" s="1"/>
  <c r="N409" i="13"/>
  <c r="J408" i="13" a="1"/>
  <c r="J408" i="13" s="1"/>
  <c r="M412" i="14"/>
  <c r="K282" i="13"/>
  <c r="L282" i="13" s="1"/>
  <c r="I283" i="13" s="1"/>
  <c r="K283" i="13" l="1"/>
  <c r="L283" i="13" s="1"/>
  <c r="I284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4" i="13" l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99" i="14" l="1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/>
  <c r="I285" i="13" s="1"/>
  <c r="K300" i="14" l="1"/>
  <c r="L300" i="14" s="1"/>
  <c r="I301" i="14" s="1"/>
  <c r="K285" i="13"/>
  <c r="L285" i="13" s="1"/>
  <c r="I286" i="13" s="1"/>
  <c r="N412" i="14"/>
  <c r="J411" i="14" a="1"/>
  <c r="J411" i="14" s="1"/>
  <c r="M415" i="13"/>
  <c r="N413" i="13"/>
  <c r="J412" i="13" a="1"/>
  <c r="J412" i="13" s="1"/>
  <c r="M416" i="14"/>
  <c r="K286" i="13" l="1"/>
  <c r="L286" i="13" s="1"/>
  <c r="I287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302" i="14" l="1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/>
  <c r="L287" i="13" s="1"/>
  <c r="I288" i="13" s="1"/>
  <c r="K288" i="13" l="1"/>
  <c r="L288" i="13" s="1"/>
  <c r="I289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9" i="13" l="1"/>
  <c r="L289" i="13" s="1"/>
  <c r="I290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305" i="14" l="1"/>
  <c r="L305" i="14" s="1"/>
  <c r="I306" i="14" s="1"/>
  <c r="K290" i="13"/>
  <c r="L290" i="13" s="1"/>
  <c r="I291" i="13" s="1"/>
  <c r="M420" i="13"/>
  <c r="N417" i="14"/>
  <c r="J416" i="14" a="1"/>
  <c r="J416" i="14" s="1"/>
  <c r="M421" i="14"/>
  <c r="N418" i="13"/>
  <c r="J417" i="13" a="1"/>
  <c r="J417" i="13" s="1"/>
  <c r="K291" i="13" l="1"/>
  <c r="L291" i="13" s="1"/>
  <c r="I292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2" i="13" l="1"/>
  <c r="L292" i="13" s="1"/>
  <c r="I293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308" i="14" l="1"/>
  <c r="L308" i="14" s="1"/>
  <c r="I309" i="14" s="1"/>
  <c r="K293" i="13"/>
  <c r="L293" i="13" s="1"/>
  <c r="I294" i="13" s="1"/>
  <c r="M424" i="14"/>
  <c r="N420" i="14"/>
  <c r="J419" i="14" a="1"/>
  <c r="J419" i="14" s="1"/>
  <c r="M423" i="13"/>
  <c r="N421" i="13"/>
  <c r="J420" i="13" a="1"/>
  <c r="J420" i="13" s="1"/>
  <c r="K294" i="13" l="1"/>
  <c r="L294" i="13" s="1"/>
  <c r="I295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5" i="13" l="1"/>
  <c r="L295" i="13" s="1"/>
  <c r="I296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6" i="13" l="1"/>
  <c r="L296" i="13" s="1"/>
  <c r="I297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312" i="14" l="1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/>
  <c r="L297" i="13" s="1"/>
  <c r="I298" i="13" s="1"/>
  <c r="K313" i="14" l="1"/>
  <c r="L313" i="14" s="1"/>
  <c r="I314" i="14" s="1"/>
  <c r="M429" i="14"/>
  <c r="K298" i="13"/>
  <c r="N426" i="13"/>
  <c r="J425" i="13" a="1"/>
  <c r="J425" i="13" s="1"/>
  <c r="M428" i="13"/>
  <c r="N425" i="14"/>
  <c r="J424" i="14" a="1"/>
  <c r="J424" i="14" s="1"/>
  <c r="K314" i="14" l="1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/>
  <c r="I299" i="13" s="1"/>
  <c r="K315" i="14" l="1"/>
  <c r="L315" i="14" s="1"/>
  <c r="I316" i="14" s="1"/>
  <c r="K299" i="13"/>
  <c r="L299" i="13" s="1"/>
  <c r="I300" i="13" s="1"/>
  <c r="M431" i="14"/>
  <c r="N428" i="13"/>
  <c r="J427" i="13" a="1"/>
  <c r="J427" i="13" s="1"/>
  <c r="M430" i="13"/>
  <c r="N427" i="14"/>
  <c r="J426" i="14" a="1"/>
  <c r="J426" i="14" s="1"/>
  <c r="K300" i="13" l="1"/>
  <c r="L300" i="13" s="1"/>
  <c r="I301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17" i="14" l="1"/>
  <c r="L317" i="14" s="1"/>
  <c r="I318" i="14" s="1"/>
  <c r="K301" i="13"/>
  <c r="L301" i="13" s="1"/>
  <c r="I302" i="13" s="1"/>
  <c r="M433" i="14"/>
  <c r="M432" i="13"/>
  <c r="N429" i="14"/>
  <c r="J428" i="14" a="1"/>
  <c r="J428" i="14" s="1"/>
  <c r="N430" i="13"/>
  <c r="J429" i="13" a="1"/>
  <c r="J429" i="13" s="1"/>
  <c r="K302" i="13" l="1"/>
  <c r="L302" i="13" s="1"/>
  <c r="I303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3" i="13" l="1"/>
  <c r="L303" i="13" s="1"/>
  <c r="I304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20" i="14" l="1"/>
  <c r="L320" i="14" s="1"/>
  <c r="I321" i="14" s="1"/>
  <c r="K304" i="13"/>
  <c r="L304" i="13" s="1"/>
  <c r="I305" i="13" s="1"/>
  <c r="M436" i="14"/>
  <c r="N432" i="14"/>
  <c r="J431" i="14" a="1"/>
  <c r="J431" i="14" s="1"/>
  <c r="N433" i="13"/>
  <c r="J432" i="13" a="1"/>
  <c r="J432" i="13" s="1"/>
  <c r="M435" i="13"/>
  <c r="K305" i="13" l="1"/>
  <c r="L305" i="13" s="1"/>
  <c r="I306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6" i="13" l="1"/>
  <c r="L306" i="13" s="1"/>
  <c r="I307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23" i="14" l="1"/>
  <c r="L323" i="14" s="1"/>
  <c r="I324" i="14" s="1"/>
  <c r="K307" i="13"/>
  <c r="L307" i="13" s="1"/>
  <c r="I308" i="13" s="1"/>
  <c r="N436" i="13"/>
  <c r="J435" i="13" a="1"/>
  <c r="J435" i="13" s="1"/>
  <c r="M439" i="14"/>
  <c r="M438" i="13"/>
  <c r="N435" i="14"/>
  <c r="J434" i="14" a="1"/>
  <c r="J434" i="14" s="1"/>
  <c r="K308" i="13" l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25" i="14" l="1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/>
  <c r="I309" i="13" s="1"/>
  <c r="K326" i="14" l="1"/>
  <c r="L326" i="14" s="1"/>
  <c r="I327" i="14" s="1"/>
  <c r="K309" i="13"/>
  <c r="L309" i="13" s="1"/>
  <c r="I310" i="13" s="1"/>
  <c r="M441" i="13"/>
  <c r="N438" i="14"/>
  <c r="J437" i="14" a="1"/>
  <c r="J437" i="14" s="1"/>
  <c r="M442" i="14"/>
  <c r="N439" i="13"/>
  <c r="J438" i="13" a="1"/>
  <c r="J438" i="13" s="1"/>
  <c r="K310" i="13" l="1"/>
  <c r="L310" i="13" s="1"/>
  <c r="I311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28" i="14" l="1"/>
  <c r="L328" i="14" s="1"/>
  <c r="I329" i="14" s="1"/>
  <c r="K311" i="13"/>
  <c r="L311" i="13" s="1"/>
  <c r="I312" i="13" s="1"/>
  <c r="N441" i="13"/>
  <c r="J440" i="13" a="1"/>
  <c r="J440" i="13" s="1"/>
  <c r="M444" i="14"/>
  <c r="M443" i="13"/>
  <c r="N440" i="14"/>
  <c r="J439" i="14" a="1"/>
  <c r="J439" i="14" s="1"/>
  <c r="K312" i="13" l="1"/>
  <c r="L312" i="13" s="1"/>
  <c r="I313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3" i="13" l="1"/>
  <c r="L313" i="13" s="1"/>
  <c r="I314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31" i="14" l="1"/>
  <c r="L331" i="14" s="1"/>
  <c r="I332" i="14" s="1"/>
  <c r="M447" i="14"/>
  <c r="N443" i="14"/>
  <c r="J442" i="14" a="1"/>
  <c r="J442" i="14" s="1"/>
  <c r="N444" i="13"/>
  <c r="J443" i="13" a="1"/>
  <c r="J443" i="13" s="1"/>
  <c r="K314" i="13"/>
  <c r="L314" i="13" s="1"/>
  <c r="I315" i="13" s="1"/>
  <c r="M446" i="13"/>
  <c r="K315" i="13" l="1"/>
  <c r="L315" i="13" s="1"/>
  <c r="I316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6" i="13" l="1"/>
  <c r="L316" i="13" s="1"/>
  <c r="I317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7" i="13" l="1"/>
  <c r="L317" i="13" s="1"/>
  <c r="I318" i="13" s="1"/>
  <c r="K334" i="14"/>
  <c r="N446" i="14"/>
  <c r="J445" i="14" a="1"/>
  <c r="J445" i="14" s="1"/>
  <c r="M450" i="14"/>
  <c r="M449" i="13"/>
  <c r="N447" i="13"/>
  <c r="J446" i="13" a="1"/>
  <c r="J446" i="13" s="1"/>
  <c r="K318" i="13" l="1"/>
  <c r="L318" i="13" s="1"/>
  <c r="I319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9" i="13" l="1"/>
  <c r="L319" i="13" s="1"/>
  <c r="I320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36" i="14" l="1"/>
  <c r="L336" i="14" s="1"/>
  <c r="I337" i="14" s="1"/>
  <c r="K320" i="13"/>
  <c r="M453" i="14"/>
  <c r="N450" i="13"/>
  <c r="J449" i="13" a="1"/>
  <c r="J449" i="13" s="1"/>
  <c r="M452" i="13"/>
  <c r="N449" i="14"/>
  <c r="J448" i="14" a="1"/>
  <c r="J448" i="14" s="1"/>
  <c r="K337" i="14" l="1"/>
  <c r="L337" i="14" s="1"/>
  <c r="I338" i="14" s="1"/>
  <c r="N450" i="14"/>
  <c r="J449" i="14" a="1"/>
  <c r="J449" i="14" s="1"/>
  <c r="L320" i="13"/>
  <c r="I321" i="13" s="1"/>
  <c r="N451" i="13"/>
  <c r="J450" i="13" a="1"/>
  <c r="J450" i="13" s="1"/>
  <c r="M453" i="13"/>
  <c r="M454" i="14"/>
  <c r="K338" i="14" l="1"/>
  <c r="L338" i="14" s="1"/>
  <c r="I339" i="14" s="1"/>
  <c r="N451" i="14"/>
  <c r="J450" i="14" a="1"/>
  <c r="J450" i="14" s="1"/>
  <c r="N452" i="13"/>
  <c r="J451" i="13" a="1"/>
  <c r="J451" i="13" s="1"/>
  <c r="M454" i="13"/>
  <c r="K321" i="13"/>
  <c r="M455" i="14"/>
  <c r="K339" i="14" l="1"/>
  <c r="L339" i="14" s="1"/>
  <c r="I340" i="14" s="1"/>
  <c r="M456" i="14"/>
  <c r="M455" i="13"/>
  <c r="N452" i="14"/>
  <c r="J451" i="14" a="1"/>
  <c r="J451" i="14" s="1"/>
  <c r="L321" i="13"/>
  <c r="I322" i="13" s="1"/>
  <c r="N453" i="13"/>
  <c r="J452" i="13" a="1"/>
  <c r="J452" i="13" s="1"/>
  <c r="K340" i="14" l="1"/>
  <c r="L340" i="14" s="1"/>
  <c r="I341" i="14" s="1"/>
  <c r="M457" i="14"/>
  <c r="N453" i="14"/>
  <c r="J452" i="14" a="1"/>
  <c r="J452" i="14" s="1"/>
  <c r="N454" i="13"/>
  <c r="J453" i="13" a="1"/>
  <c r="J453" i="13" s="1"/>
  <c r="K322" i="13"/>
  <c r="L322" i="13" s="1"/>
  <c r="I323" i="13" s="1"/>
  <c r="M456" i="13"/>
  <c r="K323" i="13" l="1"/>
  <c r="L323" i="13" s="1"/>
  <c r="I324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42" i="14" l="1"/>
  <c r="L342" i="14" s="1"/>
  <c r="I343" i="14" s="1"/>
  <c r="K324" i="13"/>
  <c r="L324" i="13" s="1"/>
  <c r="I325" i="13" s="1"/>
  <c r="N455" i="14"/>
  <c r="J454" i="14" a="1"/>
  <c r="J454" i="14" s="1"/>
  <c r="N456" i="13"/>
  <c r="J455" i="13" a="1"/>
  <c r="J455" i="13" s="1"/>
  <c r="M459" i="14"/>
  <c r="M458" i="13"/>
  <c r="K325" i="13" l="1"/>
  <c r="L325" i="13" s="1"/>
  <c r="I326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44" i="14" l="1"/>
  <c r="K326" i="13"/>
  <c r="L326" i="13" s="1"/>
  <c r="I327" i="13" s="1"/>
  <c r="N457" i="14"/>
  <c r="J456" i="14" a="1"/>
  <c r="J456" i="14" s="1"/>
  <c r="M461" i="14"/>
  <c r="M460" i="13"/>
  <c r="N458" i="13"/>
  <c r="J457" i="13" a="1"/>
  <c r="J457" i="13" s="1"/>
  <c r="K327" i="13" l="1"/>
  <c r="L327" i="13" s="1"/>
  <c r="I328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8" i="13" l="1"/>
  <c r="L328" i="13" s="1"/>
  <c r="I329" i="13" s="1"/>
  <c r="M463" i="14"/>
  <c r="N460" i="13"/>
  <c r="J459" i="13" a="1"/>
  <c r="J459" i="13" s="1"/>
  <c r="K345" i="14"/>
  <c r="N459" i="14"/>
  <c r="J458" i="14" a="1"/>
  <c r="J458" i="14" s="1"/>
  <c r="M462" i="13"/>
  <c r="K329" i="13" l="1"/>
  <c r="L329" i="13" s="1"/>
  <c r="I330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30" i="13" l="1"/>
  <c r="L330" i="13" s="1"/>
  <c r="I331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1" i="13" l="1"/>
  <c r="L331" i="13" s="1"/>
  <c r="I332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48" i="14" l="1"/>
  <c r="L348" i="14" s="1"/>
  <c r="I349" i="14" s="1"/>
  <c r="K332" i="13"/>
  <c r="L332" i="13" s="1"/>
  <c r="I333" i="13" s="1"/>
  <c r="N464" i="13"/>
  <c r="J463" i="13" a="1"/>
  <c r="J463" i="13" s="1"/>
  <c r="M467" i="14"/>
  <c r="M466" i="13"/>
  <c r="N463" i="14"/>
  <c r="J462" i="14" a="1"/>
  <c r="J462" i="14" s="1"/>
  <c r="K333" i="13" l="1"/>
  <c r="L333" i="13" s="1"/>
  <c r="I334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4" i="13" l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51" i="14" l="1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/>
  <c r="I335" i="13" s="1"/>
  <c r="K352" i="14" l="1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/>
  <c r="L335" i="13" s="1"/>
  <c r="I336" i="13" s="1"/>
  <c r="K336" i="13" l="1"/>
  <c r="L336" i="13" s="1"/>
  <c r="I337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54" i="14" l="1"/>
  <c r="L354" i="14" s="1"/>
  <c r="I355" i="14" s="1"/>
  <c r="K337" i="13"/>
  <c r="L337" i="13" s="1"/>
  <c r="I338" i="13" s="1"/>
  <c r="N469" i="14"/>
  <c r="J468" i="14" a="1"/>
  <c r="J468" i="14" s="1"/>
  <c r="M473" i="14"/>
  <c r="M472" i="13"/>
  <c r="N470" i="13"/>
  <c r="J469" i="13" a="1"/>
  <c r="J469" i="13" s="1"/>
  <c r="K338" i="13" l="1"/>
  <c r="L338" i="13" s="1"/>
  <c r="I339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56" i="14" l="1"/>
  <c r="K339" i="13"/>
  <c r="L339" i="13" s="1"/>
  <c r="I340" i="13" s="1"/>
  <c r="N472" i="13"/>
  <c r="J471" i="13" a="1"/>
  <c r="J471" i="13" s="1"/>
  <c r="N471" i="14"/>
  <c r="J470" i="14" a="1"/>
  <c r="J470" i="14" s="1"/>
  <c r="M474" i="13"/>
  <c r="M475" i="14"/>
  <c r="K340" i="13" l="1"/>
  <c r="L340" i="13" s="1"/>
  <c r="I341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1" i="13" l="1"/>
  <c r="L341" i="13" s="1"/>
  <c r="I342" i="13" s="1"/>
  <c r="N474" i="13"/>
  <c r="J473" i="13" a="1"/>
  <c r="J473" i="13" s="1"/>
  <c r="M476" i="13"/>
  <c r="K357" i="14"/>
  <c r="M477" i="14"/>
  <c r="N473" i="14"/>
  <c r="J472" i="14" a="1"/>
  <c r="J472" i="14" s="1"/>
  <c r="K342" i="13" l="1"/>
  <c r="L342" i="13" s="1"/>
  <c r="I343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3" i="13" l="1"/>
  <c r="L343" i="13" s="1"/>
  <c r="I344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59" i="14" l="1"/>
  <c r="L359" i="14" s="1"/>
  <c r="I360" i="14" s="1"/>
  <c r="K344" i="13"/>
  <c r="N477" i="13"/>
  <c r="J476" i="13" a="1"/>
  <c r="J476" i="13" s="1"/>
  <c r="M479" i="13"/>
  <c r="M480" i="14"/>
  <c r="N476" i="14"/>
  <c r="J475" i="14" a="1"/>
  <c r="J475" i="14" s="1"/>
  <c r="K360" i="14" l="1"/>
  <c r="L360" i="14" s="1"/>
  <c r="I361" i="14" s="1"/>
  <c r="M480" i="13"/>
  <c r="N477" i="14"/>
  <c r="J476" i="14" a="1"/>
  <c r="J476" i="14" s="1"/>
  <c r="L344" i="13"/>
  <c r="I345" i="13" s="1"/>
  <c r="M481" i="14"/>
  <c r="N478" i="13"/>
  <c r="J477" i="13" a="1"/>
  <c r="J477" i="13" s="1"/>
  <c r="K361" i="14" l="1"/>
  <c r="L361" i="14" s="1"/>
  <c r="I362" i="14" s="1"/>
  <c r="M482" i="14"/>
  <c r="N478" i="14"/>
  <c r="J477" i="14" a="1"/>
  <c r="J477" i="14" s="1"/>
  <c r="N479" i="13"/>
  <c r="J478" i="13" a="1"/>
  <c r="J478" i="13" s="1"/>
  <c r="K345" i="13"/>
  <c r="L345" i="13" s="1"/>
  <c r="I346" i="13" s="1"/>
  <c r="M481" i="13"/>
  <c r="K346" i="13" l="1"/>
  <c r="L346" i="13" s="1"/>
  <c r="I347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7" i="13" l="1"/>
  <c r="L347" i="13" s="1"/>
  <c r="I348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64" i="14" l="1"/>
  <c r="L364" i="14" s="1"/>
  <c r="I365" i="14" s="1"/>
  <c r="K348" i="13"/>
  <c r="L348" i="13" s="1"/>
  <c r="I349" i="13" s="1"/>
  <c r="M484" i="13"/>
  <c r="N482" i="13"/>
  <c r="J481" i="13" a="1"/>
  <c r="J481" i="13" s="1"/>
  <c r="M485" i="14"/>
  <c r="N481" i="14"/>
  <c r="J480" i="14" a="1"/>
  <c r="J480" i="14" s="1"/>
  <c r="K349" i="13" l="1"/>
  <c r="L349" i="13" s="1"/>
  <c r="I350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66" i="14" l="1"/>
  <c r="L366" i="14" s="1"/>
  <c r="I367" i="14" s="1"/>
  <c r="K350" i="13"/>
  <c r="L350" i="13" s="1"/>
  <c r="I351" i="13" s="1"/>
  <c r="M486" i="13"/>
  <c r="N484" i="13"/>
  <c r="J483" i="13" a="1"/>
  <c r="J483" i="13" s="1"/>
  <c r="M487" i="14"/>
  <c r="N483" i="14"/>
  <c r="J482" i="14" a="1"/>
  <c r="J482" i="14" s="1"/>
  <c r="K351" i="13" l="1"/>
  <c r="L351" i="13" s="1"/>
  <c r="I352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68" i="14" l="1"/>
  <c r="L368" i="14" s="1"/>
  <c r="I369" i="14" s="1"/>
  <c r="K352" i="13"/>
  <c r="L352" i="13" s="1"/>
  <c r="I353" i="13" s="1"/>
  <c r="M489" i="14"/>
  <c r="N485" i="14"/>
  <c r="J484" i="14" a="1"/>
  <c r="J484" i="14" s="1"/>
  <c r="M488" i="13"/>
  <c r="N486" i="13"/>
  <c r="J485" i="13" a="1"/>
  <c r="J485" i="13" s="1"/>
  <c r="N487" i="13" l="1"/>
  <c r="J486" i="13" a="1"/>
  <c r="J486" i="13" s="1"/>
  <c r="N486" i="14"/>
  <c r="J485" i="14" a="1"/>
  <c r="J485" i="14" s="1"/>
  <c r="K353" i="13"/>
  <c r="L353" i="13" s="1"/>
  <c r="I354" i="13" s="1"/>
  <c r="M489" i="13"/>
  <c r="M490" i="14"/>
  <c r="K369" i="14"/>
  <c r="L369" i="14" s="1"/>
  <c r="I370" i="14" s="1"/>
  <c r="K354" i="13" l="1"/>
  <c r="L354" i="13" s="1"/>
  <c r="I355" i="13" s="1"/>
  <c r="N487" i="14"/>
  <c r="J486" i="14" a="1"/>
  <c r="J486" i="14" s="1"/>
  <c r="K370" i="14"/>
  <c r="M490" i="13"/>
  <c r="M491" i="14"/>
  <c r="N488" i="13"/>
  <c r="J487" i="13" a="1"/>
  <c r="J487" i="13" s="1"/>
  <c r="K355" i="13" l="1"/>
  <c r="L355" i="13" s="1"/>
  <c r="I356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6" i="13" l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N490" i="14" l="1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/>
  <c r="I357" i="13" s="1"/>
  <c r="K373" i="14" l="1"/>
  <c r="L373" i="14" s="1"/>
  <c r="I374" i="14" s="1"/>
  <c r="N492" i="13"/>
  <c r="J491" i="13" a="1"/>
  <c r="J491" i="13" s="1"/>
  <c r="M494" i="13"/>
  <c r="K357" i="13"/>
  <c r="M495" i="14"/>
  <c r="N491" i="14"/>
  <c r="J490" i="14" a="1"/>
  <c r="J490" i="14" s="1"/>
  <c r="K374" i="14" l="1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/>
  <c r="I358" i="13" s="1"/>
  <c r="K375" i="14" l="1"/>
  <c r="L375" i="14" s="1"/>
  <c r="I376" i="14" s="1"/>
  <c r="K358" i="13"/>
  <c r="L358" i="13" s="1"/>
  <c r="I359" i="13" s="1"/>
  <c r="N494" i="13"/>
  <c r="J493" i="13" a="1"/>
  <c r="J493" i="13" s="1"/>
  <c r="M497" i="14"/>
  <c r="N493" i="14"/>
  <c r="J492" i="14" a="1"/>
  <c r="J492" i="14" s="1"/>
  <c r="M496" i="13"/>
  <c r="K376" i="14" l="1"/>
  <c r="L376" i="14" s="1"/>
  <c r="I377" i="14" s="1"/>
  <c r="K359" i="13"/>
  <c r="L359" i="13" s="1"/>
  <c r="I360" i="13" s="1"/>
  <c r="N494" i="14"/>
  <c r="J493" i="14" a="1"/>
  <c r="J493" i="14" s="1"/>
  <c r="M497" i="13"/>
  <c r="M498" i="14"/>
  <c r="N495" i="13"/>
  <c r="J494" i="13" a="1"/>
  <c r="J494" i="13" s="1"/>
  <c r="K377" i="14" l="1"/>
  <c r="L377" i="14" s="1"/>
  <c r="I378" i="14" s="1"/>
  <c r="K360" i="13"/>
  <c r="L360" i="13" s="1"/>
  <c r="I361" i="13" s="1"/>
  <c r="N496" i="13"/>
  <c r="J495" i="13" a="1"/>
  <c r="J495" i="13" s="1"/>
  <c r="M498" i="13"/>
  <c r="M499" i="14"/>
  <c r="N495" i="14"/>
  <c r="J494" i="14" a="1"/>
  <c r="J494" i="14" s="1"/>
  <c r="K361" i="13" l="1"/>
  <c r="L361" i="13" s="1"/>
  <c r="I362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79" i="14" l="1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/>
  <c r="L362" i="13" s="1"/>
  <c r="I363" i="13" s="1"/>
  <c r="K363" i="13" l="1"/>
  <c r="L363" i="13" s="1"/>
  <c r="I364" i="13" s="1"/>
  <c r="K380" i="14"/>
  <c r="M502" i="14"/>
  <c r="N499" i="13"/>
  <c r="J498" i="13" a="1"/>
  <c r="J498" i="13" s="1"/>
  <c r="M501" i="13"/>
  <c r="N498" i="14"/>
  <c r="J497" i="14" a="1"/>
  <c r="J497" i="14" s="1"/>
  <c r="K364" i="13" l="1"/>
  <c r="L364" i="13" s="1"/>
  <c r="I365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5" i="13" l="1"/>
  <c r="L365" i="13" s="1"/>
  <c r="I366" i="13" s="1"/>
  <c r="N500" i="14"/>
  <c r="J499" i="14" a="1"/>
  <c r="J499" i="14" s="1"/>
  <c r="M504" i="14"/>
  <c r="K381" i="14"/>
  <c r="M503" i="13"/>
  <c r="N501" i="13"/>
  <c r="J500" i="13" a="1"/>
  <c r="J500" i="13" s="1"/>
  <c r="K366" i="13" l="1"/>
  <c r="L366" i="13" s="1"/>
  <c r="I367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7" i="13" l="1"/>
  <c r="L367" i="13" s="1"/>
  <c r="I368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8" i="13" l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84" i="14" l="1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/>
  <c r="I369" i="13" s="1"/>
  <c r="K385" i="14" l="1"/>
  <c r="L385" i="14" s="1"/>
  <c r="I386" i="14" s="1"/>
  <c r="K369" i="13"/>
  <c r="L369" i="13" s="1"/>
  <c r="I370" i="13" s="1"/>
  <c r="M508" i="13"/>
  <c r="M509" i="14"/>
  <c r="N505" i="14"/>
  <c r="J504" i="14" a="1"/>
  <c r="J504" i="14" s="1"/>
  <c r="N506" i="13"/>
  <c r="J505" i="13" a="1"/>
  <c r="J505" i="13" s="1"/>
  <c r="K370" i="13" l="1"/>
  <c r="L370" i="13" s="1"/>
  <c r="I371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1" i="13" l="1"/>
  <c r="L371" i="13" s="1"/>
  <c r="I372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88" i="14" l="1"/>
  <c r="L388" i="14" s="1"/>
  <c r="I389" i="14" s="1"/>
  <c r="K372" i="13"/>
  <c r="L372" i="13" s="1"/>
  <c r="I373" i="13" s="1"/>
  <c r="N508" i="14"/>
  <c r="J507" i="14" a="1"/>
  <c r="J507" i="14" s="1"/>
  <c r="N509" i="13"/>
  <c r="J508" i="13" a="1"/>
  <c r="J508" i="13" s="1"/>
  <c r="M511" i="13"/>
  <c r="M512" i="14"/>
  <c r="K373" i="13" l="1"/>
  <c r="L373" i="13" s="1"/>
  <c r="I374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90" i="14" l="1"/>
  <c r="L390" i="14" s="1"/>
  <c r="I391" i="14" s="1"/>
  <c r="K374" i="13"/>
  <c r="L374" i="13" s="1"/>
  <c r="I375" i="13" s="1"/>
  <c r="M513" i="13"/>
  <c r="J509" i="14" a="1"/>
  <c r="J509" i="14" s="1"/>
  <c r="N510" i="14"/>
  <c r="M514" i="14"/>
  <c r="N511" i="13"/>
  <c r="J510" i="13" a="1"/>
  <c r="J510" i="13" s="1"/>
  <c r="K375" i="13" l="1"/>
  <c r="L375" i="13" s="1"/>
  <c r="I376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92" i="14" l="1"/>
  <c r="L392" i="14" s="1"/>
  <c r="I393" i="14" s="1"/>
  <c r="K376" i="13"/>
  <c r="L376" i="13" s="1"/>
  <c r="I377" i="13" s="1"/>
  <c r="M515" i="13"/>
  <c r="N513" i="13"/>
  <c r="J512" i="13" a="1"/>
  <c r="J512" i="13" s="1"/>
  <c r="M516" i="14"/>
  <c r="J511" i="14" a="1"/>
  <c r="J511" i="14" s="1"/>
  <c r="N512" i="14"/>
  <c r="K377" i="13" l="1"/>
  <c r="L377" i="13" s="1"/>
  <c r="I378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94" i="14" l="1"/>
  <c r="K378" i="13"/>
  <c r="L378" i="13" s="1"/>
  <c r="I379" i="13" s="1"/>
  <c r="J513" i="14" a="1"/>
  <c r="J513" i="14" s="1"/>
  <c r="N514" i="14"/>
  <c r="N515" i="13"/>
  <c r="J514" i="13" a="1"/>
  <c r="J514" i="13" s="1"/>
  <c r="M517" i="13"/>
  <c r="M518" i="14"/>
  <c r="K379" i="13" l="1"/>
  <c r="L379" i="13" s="1"/>
  <c r="I380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80" i="13" l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N518" i="13" l="1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/>
  <c r="I381" i="13" s="1"/>
  <c r="K397" i="14" l="1"/>
  <c r="L397" i="14" s="1"/>
  <c r="I398" i="14" s="1"/>
  <c r="K381" i="13"/>
  <c r="J517" i="14" a="1"/>
  <c r="J517" i="14" s="1"/>
  <c r="N518" i="14"/>
  <c r="M522" i="14"/>
  <c r="M521" i="13"/>
  <c r="N519" i="13"/>
  <c r="J518" i="13" a="1"/>
  <c r="J518" i="13" s="1"/>
  <c r="K398" i="14" l="1"/>
  <c r="L398" i="14" s="1"/>
  <c r="I399" i="14" s="1"/>
  <c r="N520" i="13"/>
  <c r="J519" i="13" a="1"/>
  <c r="J519" i="13" s="1"/>
  <c r="L381" i="13"/>
  <c r="I382" i="13" s="1"/>
  <c r="M523" i="14"/>
  <c r="M522" i="13"/>
  <c r="J518" i="14" a="1"/>
  <c r="J518" i="14" s="1"/>
  <c r="N519" i="14"/>
  <c r="J519" i="14" l="1" a="1"/>
  <c r="J519" i="14" s="1"/>
  <c r="N520" i="14"/>
  <c r="M524" i="14"/>
  <c r="N521" i="13"/>
  <c r="J520" i="13" a="1"/>
  <c r="J520" i="13" s="1"/>
  <c r="M523" i="13"/>
  <c r="K382" i="13"/>
  <c r="L382" i="13" s="1"/>
  <c r="I383" i="13" s="1"/>
  <c r="K399" i="14"/>
  <c r="L399" i="14" s="1"/>
  <c r="I400" i="14" s="1"/>
  <c r="K383" i="13" l="1"/>
  <c r="L383" i="13" s="1"/>
  <c r="I384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401" i="14" l="1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/>
  <c r="L384" i="13" s="1"/>
  <c r="I385" i="13" s="1"/>
  <c r="K385" i="13" l="1"/>
  <c r="L385" i="13" s="1"/>
  <c r="I386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403" i="14" l="1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/>
  <c r="L386" i="13" s="1"/>
  <c r="I387" i="13" s="1"/>
  <c r="K387" i="13" l="1"/>
  <c r="L387" i="13" s="1"/>
  <c r="I388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N527" i="13" l="1"/>
  <c r="J526" i="13" a="1"/>
  <c r="J526" i="13" s="1"/>
  <c r="M530" i="14"/>
  <c r="K405" i="14"/>
  <c r="J525" i="14" a="1"/>
  <c r="J525" i="14" s="1"/>
  <c r="N526" i="14"/>
  <c r="M529" i="13"/>
  <c r="K388" i="13"/>
  <c r="L388" i="13" s="1"/>
  <c r="I389" i="13" s="1"/>
  <c r="K389" i="13" l="1"/>
  <c r="L389" i="13" s="1"/>
  <c r="I390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90" i="13" l="1"/>
  <c r="L390" i="13" s="1"/>
  <c r="I391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407" i="14" l="1"/>
  <c r="L407" i="14" s="1"/>
  <c r="I408" i="14" s="1"/>
  <c r="K391" i="13"/>
  <c r="L391" i="13" s="1"/>
  <c r="I392" i="13" s="1"/>
  <c r="J528" i="14" a="1"/>
  <c r="J528" i="14" s="1"/>
  <c r="N529" i="14"/>
  <c r="M532" i="13"/>
  <c r="N530" i="13"/>
  <c r="J529" i="13" a="1"/>
  <c r="J529" i="13" s="1"/>
  <c r="M533" i="14"/>
  <c r="K408" i="14" l="1"/>
  <c r="L408" i="14" s="1"/>
  <c r="I409" i="14" s="1"/>
  <c r="N531" i="13"/>
  <c r="J530" i="13" a="1"/>
  <c r="J530" i="13" s="1"/>
  <c r="M534" i="14"/>
  <c r="M533" i="13"/>
  <c r="K392" i="13"/>
  <c r="J529" i="14" a="1"/>
  <c r="J529" i="14" s="1"/>
  <c r="N530" i="14"/>
  <c r="K409" i="14" l="1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/>
  <c r="I393" i="13" s="1"/>
  <c r="K410" i="14" l="1"/>
  <c r="L410" i="14" s="1"/>
  <c r="I411" i="14" s="1"/>
  <c r="J531" i="14" a="1"/>
  <c r="J531" i="14" s="1"/>
  <c r="N532" i="14"/>
  <c r="K393" i="13"/>
  <c r="M536" i="14"/>
  <c r="N533" i="13"/>
  <c r="J532" i="13" a="1"/>
  <c r="J532" i="13" s="1"/>
  <c r="M535" i="13"/>
  <c r="K411" i="14" l="1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/>
  <c r="I394" i="13" s="1"/>
  <c r="K412" i="14" l="1"/>
  <c r="L412" i="14" s="1"/>
  <c r="I413" i="14" s="1"/>
  <c r="J533" i="14" a="1"/>
  <c r="J533" i="14" s="1"/>
  <c r="N534" i="14"/>
  <c r="M537" i="13"/>
  <c r="K394" i="13"/>
  <c r="L394" i="13" s="1"/>
  <c r="I395" i="13" s="1"/>
  <c r="N535" i="13"/>
  <c r="J534" i="13" a="1"/>
  <c r="J534" i="13" s="1"/>
  <c r="M538" i="14"/>
  <c r="K395" i="13" l="1"/>
  <c r="L395" i="13" s="1"/>
  <c r="I396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414" i="14" l="1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/>
  <c r="L396" i="13" s="1"/>
  <c r="I397" i="13" s="1"/>
  <c r="K397" i="13" l="1"/>
  <c r="L397" i="13" s="1"/>
  <c r="I398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416" i="14" l="1"/>
  <c r="K398" i="13"/>
  <c r="L398" i="13" s="1"/>
  <c r="I399" i="13" s="1"/>
  <c r="J537" i="14" a="1"/>
  <c r="J537" i="14" s="1"/>
  <c r="N538" i="14"/>
  <c r="M541" i="13"/>
  <c r="N539" i="13"/>
  <c r="J538" i="13" a="1"/>
  <c r="J538" i="13" s="1"/>
  <c r="M542" i="14"/>
  <c r="K399" i="13" l="1"/>
  <c r="L399" i="13" s="1"/>
  <c r="I400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400" i="13" l="1"/>
  <c r="L400" i="13" s="1"/>
  <c r="I401" i="13" s="1"/>
  <c r="M544" i="14"/>
  <c r="J539" i="14" a="1"/>
  <c r="J539" i="14" s="1"/>
  <c r="N540" i="14"/>
  <c r="M543" i="13"/>
  <c r="K417" i="14"/>
  <c r="N541" i="13"/>
  <c r="J540" i="13" a="1"/>
  <c r="J540" i="13" s="1"/>
  <c r="K401" i="13" l="1"/>
  <c r="L401" i="13" s="1"/>
  <c r="I402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2" i="13" l="1"/>
  <c r="L402" i="13" s="1"/>
  <c r="I403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19" i="14" l="1"/>
  <c r="L419" i="14" s="1"/>
  <c r="I420" i="14" s="1"/>
  <c r="K403" i="13"/>
  <c r="L403" i="13" s="1"/>
  <c r="I404" i="13" s="1"/>
  <c r="M546" i="13"/>
  <c r="M547" i="14"/>
  <c r="N544" i="13"/>
  <c r="J543" i="13" a="1"/>
  <c r="J543" i="13" s="1"/>
  <c r="J542" i="14" a="1"/>
  <c r="J542" i="14" s="1"/>
  <c r="N543" i="14"/>
  <c r="K404" i="13" l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21" i="14" l="1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/>
  <c r="I405" i="13" s="1"/>
  <c r="K422" i="14" l="1"/>
  <c r="L422" i="14" s="1"/>
  <c r="I423" i="14" s="1"/>
  <c r="K405" i="13"/>
  <c r="M549" i="13"/>
  <c r="M550" i="14"/>
  <c r="J545" i="14" a="1"/>
  <c r="J545" i="14" s="1"/>
  <c r="N546" i="14"/>
  <c r="N547" i="13"/>
  <c r="J546" i="13" a="1"/>
  <c r="J546" i="13" s="1"/>
  <c r="K423" i="14" l="1"/>
  <c r="L423" i="14" s="1"/>
  <c r="I424" i="14" s="1"/>
  <c r="L405" i="13"/>
  <c r="I406" i="13" s="1"/>
  <c r="J546" i="14" a="1"/>
  <c r="J546" i="14" s="1"/>
  <c r="N547" i="14"/>
  <c r="M550" i="13"/>
  <c r="M551" i="14"/>
  <c r="N548" i="13"/>
  <c r="J547" i="13" a="1"/>
  <c r="J547" i="13" s="1"/>
  <c r="K424" i="14" l="1"/>
  <c r="L424" i="14" s="1"/>
  <c r="I425" i="14" s="1"/>
  <c r="K406" i="13"/>
  <c r="L406" i="13" s="1"/>
  <c r="I407" i="13" s="1"/>
  <c r="J547" i="14" a="1"/>
  <c r="J547" i="14" s="1"/>
  <c r="N548" i="14"/>
  <c r="M551" i="13"/>
  <c r="N549" i="13"/>
  <c r="J548" i="13" a="1"/>
  <c r="J548" i="13" s="1"/>
  <c r="M552" i="14"/>
  <c r="K407" i="13" l="1"/>
  <c r="L407" i="13" s="1"/>
  <c r="I408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26" i="14" l="1"/>
  <c r="L426" i="14" s="1"/>
  <c r="I427" i="14" s="1"/>
  <c r="K408" i="13"/>
  <c r="L408" i="13" s="1"/>
  <c r="I409" i="13" s="1"/>
  <c r="M554" i="14"/>
  <c r="M553" i="13"/>
  <c r="J549" i="14" a="1"/>
  <c r="J549" i="14" s="1"/>
  <c r="N550" i="14"/>
  <c r="N551" i="13"/>
  <c r="J550" i="13" a="1"/>
  <c r="J550" i="13" s="1"/>
  <c r="K409" i="13" l="1"/>
  <c r="L409" i="13" s="1"/>
  <c r="I410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10" i="13" l="1"/>
  <c r="L410" i="13" s="1"/>
  <c r="I411" i="13" s="1"/>
  <c r="K428" i="14"/>
  <c r="N553" i="13"/>
  <c r="J552" i="13" a="1"/>
  <c r="J552" i="13" s="1"/>
  <c r="J551" i="14" a="1"/>
  <c r="J551" i="14" s="1"/>
  <c r="N552" i="14"/>
  <c r="M556" i="14"/>
  <c r="M555" i="13"/>
  <c r="K411" i="13" l="1"/>
  <c r="L411" i="13" s="1"/>
  <c r="I412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2" i="13" l="1"/>
  <c r="L412" i="13" s="1"/>
  <c r="I413" i="13" s="1"/>
  <c r="K429" i="14"/>
  <c r="J553" i="14" a="1"/>
  <c r="J553" i="14" s="1"/>
  <c r="N554" i="14"/>
  <c r="M558" i="14"/>
  <c r="N555" i="13"/>
  <c r="J554" i="13" a="1"/>
  <c r="J554" i="13" s="1"/>
  <c r="M557" i="13"/>
  <c r="K413" i="13" l="1"/>
  <c r="L413" i="13" s="1"/>
  <c r="I414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4" i="13" l="1"/>
  <c r="L414" i="13" s="1"/>
  <c r="I415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31" i="14" l="1"/>
  <c r="L431" i="14" s="1"/>
  <c r="I432" i="14" s="1"/>
  <c r="K415" i="13"/>
  <c r="L415" i="13" s="1"/>
  <c r="I416" i="13" s="1"/>
  <c r="M561" i="14"/>
  <c r="M560" i="13"/>
  <c r="N558" i="13"/>
  <c r="J557" i="13" a="1"/>
  <c r="J557" i="13" s="1"/>
  <c r="J556" i="14" a="1"/>
  <c r="J556" i="14" s="1"/>
  <c r="N557" i="14"/>
  <c r="K416" i="13" l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33" i="14" l="1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/>
  <c r="I417" i="13" s="1"/>
  <c r="K434" i="14" l="1"/>
  <c r="L434" i="14" s="1"/>
  <c r="I435" i="14" s="1"/>
  <c r="M564" i="14"/>
  <c r="K417" i="13"/>
  <c r="J559" i="14" a="1"/>
  <c r="J559" i="14" s="1"/>
  <c r="N560" i="14"/>
  <c r="M563" i="13"/>
  <c r="N561" i="13"/>
  <c r="J560" i="13" a="1"/>
  <c r="J560" i="13" s="1"/>
  <c r="K435" i="14" l="1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/>
  <c r="I418" i="13" s="1"/>
  <c r="K436" i="14" l="1"/>
  <c r="L436" i="14" s="1"/>
  <c r="I437" i="14" s="1"/>
  <c r="K418" i="13"/>
  <c r="L418" i="13" s="1"/>
  <c r="I419" i="13" s="1"/>
  <c r="J561" i="14" a="1"/>
  <c r="J561" i="14" s="1"/>
  <c r="N562" i="14"/>
  <c r="M565" i="13"/>
  <c r="N563" i="13"/>
  <c r="J562" i="13" a="1"/>
  <c r="J562" i="13" s="1"/>
  <c r="M566" i="14"/>
  <c r="K419" i="13" l="1"/>
  <c r="L419" i="13" s="1"/>
  <c r="I420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38" i="14" l="1"/>
  <c r="L438" i="14" s="1"/>
  <c r="I439" i="14" s="1"/>
  <c r="K420" i="13"/>
  <c r="L420" i="13" s="1"/>
  <c r="I421" i="13" s="1"/>
  <c r="M568" i="14"/>
  <c r="N565" i="13"/>
  <c r="J564" i="13" a="1"/>
  <c r="J564" i="13" s="1"/>
  <c r="J563" i="14" a="1"/>
  <c r="J563" i="14" s="1"/>
  <c r="N564" i="14"/>
  <c r="M567" i="13"/>
  <c r="K421" i="13" l="1"/>
  <c r="L421" i="13" s="1"/>
  <c r="I422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40" i="14" l="1"/>
  <c r="K422" i="13"/>
  <c r="L422" i="13" s="1"/>
  <c r="I423" i="13" s="1"/>
  <c r="M570" i="14"/>
  <c r="N567" i="13"/>
  <c r="J566" i="13" a="1"/>
  <c r="J566" i="13" s="1"/>
  <c r="J565" i="14" a="1"/>
  <c r="J565" i="14" s="1"/>
  <c r="N566" i="14"/>
  <c r="M569" i="13"/>
  <c r="K423" i="13" l="1"/>
  <c r="L423" i="13" s="1"/>
  <c r="I424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4" i="13" l="1"/>
  <c r="L424" i="13" s="1"/>
  <c r="I425" i="13" s="1"/>
  <c r="M572" i="14"/>
  <c r="N569" i="13"/>
  <c r="J568" i="13" a="1"/>
  <c r="J568" i="13" s="1"/>
  <c r="K441" i="14"/>
  <c r="J567" i="14" a="1"/>
  <c r="J567" i="14" s="1"/>
  <c r="N568" i="14"/>
  <c r="M571" i="13"/>
  <c r="K425" i="13" l="1"/>
  <c r="L425" i="13" s="1"/>
  <c r="I426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6" i="13" l="1"/>
  <c r="L426" i="13" s="1"/>
  <c r="I427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43" i="14" l="1"/>
  <c r="L443" i="14" s="1"/>
  <c r="I444" i="14" s="1"/>
  <c r="K427" i="13"/>
  <c r="L427" i="13" s="1"/>
  <c r="I428" i="13" s="1"/>
  <c r="M575" i="14"/>
  <c r="M574" i="13"/>
  <c r="J570" i="14" a="1"/>
  <c r="J570" i="14" s="1"/>
  <c r="N571" i="14"/>
  <c r="N572" i="13"/>
  <c r="J571" i="13" a="1"/>
  <c r="J571" i="13" s="1"/>
  <c r="K428" i="13" l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45" i="14" l="1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/>
  <c r="I429" i="13" s="1"/>
  <c r="K446" i="14" l="1"/>
  <c r="L446" i="14" s="1"/>
  <c r="I447" i="14" s="1"/>
  <c r="J573" i="14" a="1"/>
  <c r="J573" i="14" s="1"/>
  <c r="N574" i="14"/>
  <c r="N575" i="13"/>
  <c r="J574" i="13" a="1"/>
  <c r="J574" i="13" s="1"/>
  <c r="M578" i="14"/>
  <c r="K429" i="13"/>
  <c r="L429" i="13" s="1"/>
  <c r="I430" i="13" s="1"/>
  <c r="M577" i="13"/>
  <c r="K430" i="13" l="1"/>
  <c r="L430" i="13" s="1"/>
  <c r="I431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1" i="13" l="1"/>
  <c r="L431" i="13" s="1"/>
  <c r="I432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2" i="13" l="1"/>
  <c r="L432" i="13" s="1"/>
  <c r="I433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50" i="14" l="1"/>
  <c r="L450" i="14" s="1"/>
  <c r="I451" i="14" s="1"/>
  <c r="K433" i="13"/>
  <c r="L433" i="13" s="1"/>
  <c r="I434" i="13" s="1"/>
  <c r="J577" i="14" a="1"/>
  <c r="J577" i="14" s="1"/>
  <c r="N578" i="14"/>
  <c r="M581" i="13"/>
  <c r="M582" i="14"/>
  <c r="N579" i="13"/>
  <c r="J578" i="13" a="1"/>
  <c r="J578" i="13" s="1"/>
  <c r="K434" i="13" l="1"/>
  <c r="L434" i="13" s="1"/>
  <c r="I435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52" i="14" l="1"/>
  <c r="K435" i="13"/>
  <c r="L435" i="13" s="1"/>
  <c r="I436" i="13" s="1"/>
  <c r="M584" i="14"/>
  <c r="M583" i="13"/>
  <c r="J579" i="14" a="1"/>
  <c r="J579" i="14" s="1"/>
  <c r="N580" i="14"/>
  <c r="N581" i="13"/>
  <c r="J580" i="13" a="1"/>
  <c r="J580" i="13" s="1"/>
  <c r="K436" i="13" l="1"/>
  <c r="L436" i="13" s="1"/>
  <c r="I437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7" i="13" l="1"/>
  <c r="L437" i="13" s="1"/>
  <c r="I438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54" i="14" l="1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/>
  <c r="L438" i="13" s="1"/>
  <c r="I439" i="13" s="1"/>
  <c r="K439" i="13" l="1"/>
  <c r="L439" i="13" s="1"/>
  <c r="I440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56" i="14" l="1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/>
  <c r="L440" i="13" s="1"/>
  <c r="I441" i="13" s="1"/>
  <c r="K457" i="14" l="1"/>
  <c r="L457" i="14" s="1"/>
  <c r="I458" i="14" s="1"/>
  <c r="K441" i="13"/>
  <c r="L441" i="13" s="1"/>
  <c r="I442" i="13" s="1"/>
  <c r="M589" i="13"/>
  <c r="N587" i="13"/>
  <c r="J586" i="13" a="1"/>
  <c r="J586" i="13" s="1"/>
  <c r="J585" i="14" a="1"/>
  <c r="J585" i="14" s="1"/>
  <c r="N586" i="14"/>
  <c r="M590" i="14"/>
  <c r="K442" i="13" l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59" i="14" l="1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/>
  <c r="I443" i="13" s="1"/>
  <c r="K460" i="14" l="1"/>
  <c r="L460" i="14" s="1"/>
  <c r="I461" i="14" s="1"/>
  <c r="M592" i="13"/>
  <c r="M593" i="14"/>
  <c r="J588" i="14" a="1"/>
  <c r="J588" i="14" s="1"/>
  <c r="N589" i="14"/>
  <c r="K443" i="13"/>
  <c r="L443" i="13" s="1"/>
  <c r="I444" i="13" s="1"/>
  <c r="N590" i="13"/>
  <c r="J589" i="13" a="1"/>
  <c r="J589" i="13" s="1"/>
  <c r="K444" i="13" l="1"/>
  <c r="L444" i="13" s="1"/>
  <c r="I445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62" i="14" l="1"/>
  <c r="L462" i="14" s="1"/>
  <c r="I463" i="14" s="1"/>
  <c r="K445" i="13"/>
  <c r="L445" i="13" s="1"/>
  <c r="I446" i="13" s="1"/>
  <c r="M595" i="14"/>
  <c r="M594" i="13"/>
  <c r="J590" i="14" a="1"/>
  <c r="J590" i="14" s="1"/>
  <c r="N591" i="14"/>
  <c r="N592" i="13"/>
  <c r="J591" i="13" a="1"/>
  <c r="J591" i="13" s="1"/>
  <c r="K446" i="13" l="1"/>
  <c r="L446" i="13" s="1"/>
  <c r="I447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64" i="14" l="1"/>
  <c r="K447" i="13"/>
  <c r="L447" i="13" s="1"/>
  <c r="I448" i="13" s="1"/>
  <c r="M597" i="14"/>
  <c r="N594" i="13"/>
  <c r="J593" i="13" a="1"/>
  <c r="J593" i="13" s="1"/>
  <c r="J592" i="14" a="1"/>
  <c r="J592" i="14" s="1"/>
  <c r="N593" i="14"/>
  <c r="M596" i="13"/>
  <c r="K448" i="13" l="1"/>
  <c r="L448" i="13" s="1"/>
  <c r="I449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9" i="13" l="1"/>
  <c r="L449" i="13" s="1"/>
  <c r="I450" i="13" s="1"/>
  <c r="M598" i="13"/>
  <c r="K465" i="14"/>
  <c r="M599" i="14"/>
  <c r="J594" i="14" a="1"/>
  <c r="J594" i="14" s="1"/>
  <c r="N595" i="14"/>
  <c r="N596" i="13"/>
  <c r="J595" i="13" a="1"/>
  <c r="J595" i="13" s="1"/>
  <c r="K450" i="13" l="1"/>
  <c r="L450" i="13" s="1"/>
  <c r="I451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1" i="13" l="1"/>
  <c r="L451" i="13" s="1"/>
  <c r="I452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M602" i="14" l="1"/>
  <c r="K452" i="13"/>
  <c r="L452" i="13" s="1"/>
  <c r="I453" i="13" s="1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68" i="14" l="1"/>
  <c r="L468" i="14" s="1"/>
  <c r="I469" i="14" s="1"/>
  <c r="K453" i="13"/>
  <c r="L453" i="13" s="1"/>
  <c r="I454" i="13" s="1"/>
  <c r="M602" i="13"/>
  <c r="J598" i="14" a="1"/>
  <c r="J598" i="14" s="1"/>
  <c r="N599" i="14"/>
  <c r="M603" i="14"/>
  <c r="N600" i="13"/>
  <c r="J599" i="13" a="1"/>
  <c r="J599" i="13" s="1"/>
  <c r="K454" i="13" l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70" i="14" l="1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/>
  <c r="I455" i="13" s="1"/>
  <c r="K471" i="14" l="1"/>
  <c r="L471" i="14" s="1"/>
  <c r="I472" i="14" s="1"/>
  <c r="K455" i="13"/>
  <c r="L455" i="13" s="1"/>
  <c r="I456" i="13" s="1"/>
  <c r="M606" i="14"/>
  <c r="M605" i="13"/>
  <c r="J601" i="14" a="1"/>
  <c r="J601" i="14" s="1"/>
  <c r="N602" i="14"/>
  <c r="N603" i="13"/>
  <c r="J602" i="13" a="1"/>
  <c r="J602" i="13" s="1"/>
  <c r="K456" i="13" l="1"/>
  <c r="L456" i="13" s="1"/>
  <c r="I457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73" i="14" l="1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/>
  <c r="L457" i="13" s="1"/>
  <c r="I458" i="13" s="1"/>
  <c r="K474" i="14" l="1"/>
  <c r="L474" i="14" s="1"/>
  <c r="I475" i="14" s="1"/>
  <c r="K458" i="13"/>
  <c r="L458" i="13" s="1"/>
  <c r="I459" i="13" s="1"/>
  <c r="J604" i="14" a="1"/>
  <c r="J604" i="14" s="1"/>
  <c r="N605" i="14"/>
  <c r="M609" i="14"/>
  <c r="M608" i="13"/>
  <c r="N606" i="13"/>
  <c r="J605" i="13" a="1"/>
  <c r="J605" i="13" s="1"/>
  <c r="K475" i="14" l="1"/>
  <c r="L475" i="14" s="1"/>
  <c r="I476" i="14" s="1"/>
  <c r="M610" i="14"/>
  <c r="K459" i="13"/>
  <c r="L459" i="13" s="1"/>
  <c r="I460" i="13" s="1"/>
  <c r="J605" i="14" a="1"/>
  <c r="J605" i="14" s="1"/>
  <c r="N606" i="14"/>
  <c r="N607" i="13"/>
  <c r="J606" i="13" a="1"/>
  <c r="J606" i="13" s="1"/>
  <c r="M609" i="13"/>
  <c r="K476" i="14" l="1"/>
  <c r="L476" i="14" s="1"/>
  <c r="I477" i="14" s="1"/>
  <c r="K460" i="13"/>
  <c r="L460" i="13" s="1"/>
  <c r="I461" i="13" s="1"/>
  <c r="J606" i="14" a="1"/>
  <c r="J606" i="14" s="1"/>
  <c r="N607" i="14"/>
  <c r="M611" i="14"/>
  <c r="M610" i="13"/>
  <c r="N608" i="13"/>
  <c r="J607" i="13" a="1"/>
  <c r="J607" i="13" s="1"/>
  <c r="K461" i="13" l="1"/>
  <c r="L461" i="13" s="1"/>
  <c r="I462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2" i="13" l="1"/>
  <c r="L462" i="13" s="1"/>
  <c r="I463" i="13" s="1"/>
  <c r="K478" i="14"/>
  <c r="M613" i="14"/>
  <c r="J608" i="14" a="1"/>
  <c r="J608" i="14" s="1"/>
  <c r="N609" i="14"/>
  <c r="M612" i="13"/>
  <c r="N610" i="13"/>
  <c r="J609" i="13" a="1"/>
  <c r="J609" i="13" s="1"/>
  <c r="K463" i="13" l="1"/>
  <c r="L463" i="13" s="1"/>
  <c r="I464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4" i="13" l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80" i="14" l="1"/>
  <c r="L480" i="14" s="1"/>
  <c r="I481" i="14" s="1"/>
  <c r="N613" i="13"/>
  <c r="J612" i="13" a="1"/>
  <c r="J612" i="13" s="1"/>
  <c r="L464" i="13"/>
  <c r="I465" i="13" s="1"/>
  <c r="J611" i="14" a="1"/>
  <c r="J611" i="14" s="1"/>
  <c r="N612" i="14"/>
  <c r="M616" i="14"/>
  <c r="M615" i="13"/>
  <c r="K481" i="14" l="1"/>
  <c r="L481" i="14" s="1"/>
  <c r="I482" i="14" s="1"/>
  <c r="J612" i="14" a="1"/>
  <c r="J612" i="14" s="1"/>
  <c r="N613" i="14"/>
  <c r="M617" i="14"/>
  <c r="K465" i="13"/>
  <c r="M616" i="13"/>
  <c r="N614" i="13"/>
  <c r="J613" i="13" a="1"/>
  <c r="J613" i="13" s="1"/>
  <c r="K482" i="14" l="1"/>
  <c r="L482" i="14" s="1"/>
  <c r="I483" i="14" s="1"/>
  <c r="N615" i="13"/>
  <c r="J614" i="13" a="1"/>
  <c r="J614" i="13" s="1"/>
  <c r="M617" i="13"/>
  <c r="J613" i="14" a="1"/>
  <c r="J613" i="14" s="1"/>
  <c r="N614" i="14"/>
  <c r="L465" i="13"/>
  <c r="I466" i="13" s="1"/>
  <c r="M618" i="14"/>
  <c r="K483" i="14" l="1"/>
  <c r="L483" i="14" s="1"/>
  <c r="I484" i="14" s="1"/>
  <c r="M619" i="14"/>
  <c r="N616" i="13"/>
  <c r="J615" i="13" a="1"/>
  <c r="J615" i="13" s="1"/>
  <c r="M618" i="13"/>
  <c r="K466" i="13"/>
  <c r="L466" i="13" s="1"/>
  <c r="I467" i="13" s="1"/>
  <c r="J614" i="14" a="1"/>
  <c r="J614" i="14" s="1"/>
  <c r="N615" i="14"/>
  <c r="K467" i="13" l="1"/>
  <c r="L467" i="13" s="1"/>
  <c r="I468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85" i="14" l="1"/>
  <c r="L485" i="14" s="1"/>
  <c r="I486" i="14" s="1"/>
  <c r="K468" i="13"/>
  <c r="L468" i="13" s="1"/>
  <c r="I469" i="13" s="1"/>
  <c r="N618" i="13"/>
  <c r="J617" i="13" a="1"/>
  <c r="J617" i="13" s="1"/>
  <c r="M621" i="14"/>
  <c r="J616" i="14" a="1"/>
  <c r="J616" i="14" s="1"/>
  <c r="N617" i="14"/>
  <c r="M620" i="13"/>
  <c r="K469" i="13" l="1"/>
  <c r="L469" i="13" s="1"/>
  <c r="I470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87" i="14" l="1"/>
  <c r="L487" i="14" s="1"/>
  <c r="I488" i="14" s="1"/>
  <c r="K470" i="13"/>
  <c r="L470" i="13" s="1"/>
  <c r="I471" i="13" s="1"/>
  <c r="M623" i="14"/>
  <c r="N620" i="13"/>
  <c r="J619" i="13" a="1"/>
  <c r="J619" i="13" s="1"/>
  <c r="J618" i="14" a="1"/>
  <c r="J618" i="14" s="1"/>
  <c r="N619" i="14"/>
  <c r="M622" i="13"/>
  <c r="K471" i="13" l="1"/>
  <c r="L471" i="13" s="1"/>
  <c r="I472" i="13" s="1"/>
  <c r="K488" i="14"/>
  <c r="M623" i="13"/>
  <c r="N621" i="13"/>
  <c r="J620" i="13" a="1"/>
  <c r="J620" i="13" s="1"/>
  <c r="M624" i="14"/>
  <c r="J619" i="14" a="1"/>
  <c r="J619" i="14" s="1"/>
  <c r="N620" i="14"/>
  <c r="K472" i="13" l="1"/>
  <c r="L472" i="13" s="1"/>
  <c r="I473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3" i="13" l="1"/>
  <c r="L473" i="13" s="1"/>
  <c r="I474" i="13" s="1"/>
  <c r="M626" i="14"/>
  <c r="M625" i="13"/>
  <c r="K489" i="14"/>
  <c r="N623" i="13"/>
  <c r="J622" i="13" a="1"/>
  <c r="J622" i="13" s="1"/>
  <c r="J621" i="14" a="1"/>
  <c r="J621" i="14" s="1"/>
  <c r="N622" i="14"/>
  <c r="K474" i="13" l="1"/>
  <c r="L474" i="13" s="1"/>
  <c r="I475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5" i="13" l="1"/>
  <c r="L475" i="13" s="1"/>
  <c r="I476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91" i="14" l="1"/>
  <c r="L491" i="14" s="1"/>
  <c r="I492" i="14" s="1"/>
  <c r="K476" i="13"/>
  <c r="M628" i="13"/>
  <c r="M629" i="14"/>
  <c r="J624" i="14" a="1"/>
  <c r="J624" i="14" s="1"/>
  <c r="N625" i="14"/>
  <c r="N626" i="13"/>
  <c r="J625" i="13" a="1"/>
  <c r="J625" i="13" s="1"/>
  <c r="K492" i="14" l="1"/>
  <c r="L492" i="14" s="1"/>
  <c r="I493" i="14" s="1"/>
  <c r="L476" i="13"/>
  <c r="I477" i="13" s="1"/>
  <c r="J625" i="14" a="1"/>
  <c r="J625" i="14" s="1"/>
  <c r="N626" i="14"/>
  <c r="M629" i="13"/>
  <c r="M630" i="14"/>
  <c r="N627" i="13"/>
  <c r="J626" i="13" a="1"/>
  <c r="J626" i="13" s="1"/>
  <c r="K493" i="14" l="1"/>
  <c r="L493" i="14" s="1"/>
  <c r="I494" i="14" s="1"/>
  <c r="M630" i="13"/>
  <c r="K477" i="13"/>
  <c r="L477" i="13" s="1"/>
  <c r="I478" i="13" s="1"/>
  <c r="N628" i="13"/>
  <c r="J627" i="13" a="1"/>
  <c r="J627" i="13" s="1"/>
  <c r="M631" i="14"/>
  <c r="J626" i="14" a="1"/>
  <c r="J626" i="14" s="1"/>
  <c r="N627" i="14"/>
  <c r="M631" i="13" l="1"/>
  <c r="J627" i="14" a="1"/>
  <c r="J627" i="14" s="1"/>
  <c r="N628" i="14"/>
  <c r="N629" i="13"/>
  <c r="J628" i="13" a="1"/>
  <c r="J628" i="13" s="1"/>
  <c r="M632" i="14"/>
  <c r="K478" i="13"/>
  <c r="L478" i="13" s="1"/>
  <c r="I479" i="13" s="1"/>
  <c r="K494" i="14"/>
  <c r="L494" i="14" s="1"/>
  <c r="I495" i="14" s="1"/>
  <c r="K479" i="13" l="1"/>
  <c r="L479" i="13" s="1"/>
  <c r="I480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96" i="14" l="1"/>
  <c r="L496" i="14" s="1"/>
  <c r="I497" i="14" s="1"/>
  <c r="K480" i="13"/>
  <c r="L480" i="13" s="1"/>
  <c r="I481" i="13" s="1"/>
  <c r="J629" i="14" a="1"/>
  <c r="J629" i="14" s="1"/>
  <c r="N630" i="14"/>
  <c r="N631" i="13"/>
  <c r="J630" i="13" a="1"/>
  <c r="J630" i="13" s="1"/>
  <c r="M634" i="14"/>
  <c r="M633" i="13"/>
  <c r="K497" i="14" l="1"/>
  <c r="L497" i="14" s="1"/>
  <c r="I498" i="14" s="1"/>
  <c r="K481" i="13"/>
  <c r="L481" i="13" s="1"/>
  <c r="I482" i="13" s="1"/>
  <c r="M635" i="14"/>
  <c r="J630" i="14" a="1"/>
  <c r="J630" i="14" s="1"/>
  <c r="N631" i="14"/>
  <c r="M634" i="13"/>
  <c r="N632" i="13"/>
  <c r="J631" i="13" a="1"/>
  <c r="J631" i="13" s="1"/>
  <c r="K482" i="13" l="1"/>
  <c r="L482" i="13" s="1"/>
  <c r="I483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99" i="14" l="1"/>
  <c r="L499" i="14" s="1"/>
  <c r="I500" i="14" s="1"/>
  <c r="K483" i="13"/>
  <c r="L483" i="13" s="1"/>
  <c r="I484" i="13" s="1"/>
  <c r="M636" i="13"/>
  <c r="N634" i="13"/>
  <c r="J633" i="13" a="1"/>
  <c r="J633" i="13" s="1"/>
  <c r="M637" i="14"/>
  <c r="J632" i="14" a="1"/>
  <c r="J632" i="14" s="1"/>
  <c r="N633" i="14"/>
  <c r="K484" i="13" l="1"/>
  <c r="L484" i="13" s="1"/>
  <c r="I485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501" i="14" l="1"/>
  <c r="L501" i="14" s="1"/>
  <c r="I502" i="14" s="1"/>
  <c r="K485" i="13"/>
  <c r="L485" i="13" s="1"/>
  <c r="I486" i="13" s="1"/>
  <c r="J634" i="14" a="1"/>
  <c r="J634" i="14" s="1"/>
  <c r="N635" i="14"/>
  <c r="M639" i="14"/>
  <c r="M638" i="13"/>
  <c r="N636" i="13"/>
  <c r="J635" i="13" a="1"/>
  <c r="J635" i="13" s="1"/>
  <c r="K486" i="13" l="1"/>
  <c r="L486" i="13" s="1"/>
  <c r="I487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503" i="14" l="1"/>
  <c r="L503" i="14" s="1"/>
  <c r="I504" i="14" s="1"/>
  <c r="K487" i="13"/>
  <c r="L487" i="13" s="1"/>
  <c r="I488" i="13" s="1"/>
  <c r="M641" i="14"/>
  <c r="M640" i="13"/>
  <c r="J636" i="14" a="1"/>
  <c r="J636" i="14" s="1"/>
  <c r="N637" i="14"/>
  <c r="N638" i="13"/>
  <c r="J637" i="13" a="1"/>
  <c r="J637" i="13" s="1"/>
  <c r="K488" i="13" l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505" i="14" l="1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/>
  <c r="I489" i="13" s="1"/>
  <c r="K506" i="14" l="1"/>
  <c r="L506" i="14" s="1"/>
  <c r="I507" i="14" s="1"/>
  <c r="K489" i="13"/>
  <c r="J639" i="14" a="1"/>
  <c r="J639" i="14" s="1"/>
  <c r="N640" i="14"/>
  <c r="M644" i="14"/>
  <c r="M643" i="13"/>
  <c r="N641" i="13"/>
  <c r="J640" i="13" a="1"/>
  <c r="J640" i="13" s="1"/>
  <c r="K507" i="14" l="1"/>
  <c r="L507" i="14" s="1"/>
  <c r="I508" i="14" s="1"/>
  <c r="M645" i="14"/>
  <c r="N642" i="13"/>
  <c r="J641" i="13" a="1"/>
  <c r="J641" i="13" s="1"/>
  <c r="L489" i="13"/>
  <c r="I490" i="13" s="1"/>
  <c r="M644" i="13"/>
  <c r="J640" i="14" a="1"/>
  <c r="J640" i="14" s="1"/>
  <c r="N641" i="14"/>
  <c r="K508" i="14" l="1"/>
  <c r="L508" i="14" s="1"/>
  <c r="I509" i="14" s="1"/>
  <c r="J641" i="14" a="1"/>
  <c r="J641" i="14" s="1"/>
  <c r="N642" i="14"/>
  <c r="K490" i="13"/>
  <c r="L490" i="13" s="1"/>
  <c r="I491" i="13" s="1"/>
  <c r="M646" i="14"/>
  <c r="M645" i="13"/>
  <c r="N643" i="13"/>
  <c r="J642" i="13" a="1"/>
  <c r="J642" i="13" s="1"/>
  <c r="K491" i="13" l="1"/>
  <c r="L491" i="13" s="1"/>
  <c r="I492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510" i="14" l="1"/>
  <c r="L510" i="14" s="1"/>
  <c r="I511" i="14" s="1"/>
  <c r="K492" i="13"/>
  <c r="L492" i="13" s="1"/>
  <c r="I493" i="13" s="1"/>
  <c r="M647" i="13"/>
  <c r="J643" i="14" a="1"/>
  <c r="J643" i="14" s="1"/>
  <c r="N644" i="14"/>
  <c r="M648" i="14"/>
  <c r="N645" i="13"/>
  <c r="J644" i="13" a="1"/>
  <c r="J644" i="13" s="1"/>
  <c r="K493" i="13" l="1"/>
  <c r="L493" i="13" s="1"/>
  <c r="I494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512" i="14" l="1"/>
  <c r="K494" i="13"/>
  <c r="L494" i="13" s="1"/>
  <c r="I495" i="13" s="1"/>
  <c r="N647" i="13"/>
  <c r="J646" i="13" a="1"/>
  <c r="J646" i="13" s="1"/>
  <c r="M650" i="14"/>
  <c r="J645" i="14" a="1"/>
  <c r="J645" i="14" s="1"/>
  <c r="N646" i="14"/>
  <c r="M649" i="13"/>
  <c r="K495" i="13" l="1"/>
  <c r="L495" i="13" s="1"/>
  <c r="I496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6" i="13" l="1"/>
  <c r="L496" i="13" s="1"/>
  <c r="I497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7" i="13" l="1"/>
  <c r="L497" i="13" s="1"/>
  <c r="I498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515" i="14" l="1"/>
  <c r="L515" i="14" s="1"/>
  <c r="I516" i="14" s="1"/>
  <c r="K498" i="13"/>
  <c r="L498" i="13" s="1"/>
  <c r="I499" i="13" s="1"/>
  <c r="N651" i="13"/>
  <c r="J650" i="13" a="1"/>
  <c r="J650" i="13" s="1"/>
  <c r="M653" i="13"/>
  <c r="J649" i="14" a="1"/>
  <c r="J649" i="14" s="1"/>
  <c r="N650" i="14"/>
  <c r="M654" i="14"/>
  <c r="K516" i="14" l="1"/>
  <c r="L516" i="14" s="1"/>
  <c r="I517" i="14" s="1"/>
  <c r="K499" i="13"/>
  <c r="L499" i="13" s="1"/>
  <c r="I500" i="13" s="1"/>
  <c r="M655" i="14"/>
  <c r="M654" i="13"/>
  <c r="J650" i="14" a="1"/>
  <c r="J650" i="14" s="1"/>
  <c r="N651" i="14"/>
  <c r="N652" i="13"/>
  <c r="J651" i="13" a="1"/>
  <c r="J651" i="13" s="1"/>
  <c r="K500" i="13" l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18" i="14" l="1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/>
  <c r="I501" i="13" s="1"/>
  <c r="K519" i="14" l="1"/>
  <c r="L519" i="14" s="1"/>
  <c r="I520" i="14" s="1"/>
  <c r="M657" i="13"/>
  <c r="M658" i="14"/>
  <c r="N655" i="13"/>
  <c r="J654" i="13" a="1"/>
  <c r="J654" i="13" s="1"/>
  <c r="K501" i="13"/>
  <c r="J653" i="14" a="1"/>
  <c r="J653" i="14" s="1"/>
  <c r="N654" i="14"/>
  <c r="K520" i="14" l="1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/>
  <c r="I502" i="13" s="1"/>
  <c r="K502" i="13" l="1"/>
  <c r="L502" i="13" s="1"/>
  <c r="I503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3" i="13" l="1"/>
  <c r="L503" i="13" s="1"/>
  <c r="I504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23" i="14" l="1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/>
  <c r="L504" i="13" s="1"/>
  <c r="I505" i="13" s="1"/>
  <c r="K505" i="13" l="1"/>
  <c r="L505" i="13" s="1"/>
  <c r="I506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25" i="14" l="1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/>
  <c r="L506" i="13" s="1"/>
  <c r="I507" i="13" s="1"/>
  <c r="K526" i="14" l="1"/>
  <c r="K507" i="13"/>
  <c r="L507" i="13" s="1"/>
  <c r="I508" i="13" s="1"/>
  <c r="M665" i="14"/>
  <c r="J660" i="14" a="1"/>
  <c r="J660" i="14" s="1"/>
  <c r="N661" i="14"/>
  <c r="N662" i="13"/>
  <c r="J661" i="13" a="1"/>
  <c r="J661" i="13" s="1"/>
  <c r="M664" i="13"/>
  <c r="M665" i="13" l="1"/>
  <c r="J661" i="14" a="1"/>
  <c r="J661" i="14" s="1"/>
  <c r="N662" i="14"/>
  <c r="K508" i="13"/>
  <c r="L508" i="13" s="1"/>
  <c r="I509" i="13" s="1"/>
  <c r="M666" i="14"/>
  <c r="N663" i="13"/>
  <c r="J662" i="13" a="1"/>
  <c r="J662" i="13" s="1"/>
  <c r="L526" i="14"/>
  <c r="I527" i="14" s="1"/>
  <c r="K509" i="13" l="1"/>
  <c r="L509" i="13" s="1"/>
  <c r="I510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28" i="14" l="1"/>
  <c r="L528" i="14" s="1"/>
  <c r="I529" i="14" s="1"/>
  <c r="K510" i="13"/>
  <c r="L510" i="13" s="1"/>
  <c r="I511" i="13" s="1"/>
  <c r="M668" i="14"/>
  <c r="N665" i="13"/>
  <c r="J664" i="13" a="1"/>
  <c r="J664" i="13" s="1"/>
  <c r="J663" i="14" a="1"/>
  <c r="J663" i="14" s="1"/>
  <c r="N664" i="14"/>
  <c r="M667" i="13"/>
  <c r="K529" i="14" l="1"/>
  <c r="L529" i="14" s="1"/>
  <c r="I530" i="14" s="1"/>
  <c r="K511" i="13"/>
  <c r="L511" i="13" s="1"/>
  <c r="I512" i="13" s="1"/>
  <c r="N666" i="13"/>
  <c r="J665" i="13" a="1"/>
  <c r="J665" i="13" s="1"/>
  <c r="M668" i="13"/>
  <c r="J664" i="14" a="1"/>
  <c r="J664" i="14" s="1"/>
  <c r="N665" i="14"/>
  <c r="M669" i="14"/>
  <c r="K530" i="14" l="1"/>
  <c r="L530" i="14" s="1"/>
  <c r="I531" i="14" s="1"/>
  <c r="K512" i="13"/>
  <c r="J665" i="14" a="1"/>
  <c r="J665" i="14" s="1"/>
  <c r="N666" i="14"/>
  <c r="M670" i="14"/>
  <c r="M669" i="13"/>
  <c r="N667" i="13"/>
  <c r="J666" i="13" a="1"/>
  <c r="J666" i="13" s="1"/>
  <c r="K531" i="14" l="1"/>
  <c r="L531" i="14" s="1"/>
  <c r="I532" i="14" s="1"/>
  <c r="N668" i="13"/>
  <c r="J667" i="13" a="1"/>
  <c r="J667" i="13" s="1"/>
  <c r="L512" i="13"/>
  <c r="I513" i="13" s="1"/>
  <c r="M670" i="13"/>
  <c r="J666" i="14" a="1"/>
  <c r="J666" i="14" s="1"/>
  <c r="N667" i="14"/>
  <c r="M671" i="14"/>
  <c r="N669" i="13" l="1"/>
  <c r="J668" i="13" a="1"/>
  <c r="J668" i="13" s="1"/>
  <c r="M672" i="14"/>
  <c r="M671" i="13"/>
  <c r="J667" i="14" a="1"/>
  <c r="J667" i="14" s="1"/>
  <c r="N668" i="14"/>
  <c r="K513" i="13"/>
  <c r="K532" i="14"/>
  <c r="L532" i="14" s="1"/>
  <c r="I533" i="14" s="1"/>
  <c r="K533" i="14" l="1"/>
  <c r="L533" i="14" s="1"/>
  <c r="I534" i="14" s="1"/>
  <c r="J668" i="14" a="1"/>
  <c r="J668" i="14" s="1"/>
  <c r="N669" i="14"/>
  <c r="M673" i="14"/>
  <c r="M672" i="13"/>
  <c r="L513" i="13"/>
  <c r="I514" i="13" s="1"/>
  <c r="N670" i="13"/>
  <c r="J669" i="13" a="1"/>
  <c r="J669" i="13" s="1"/>
  <c r="K534" i="14" l="1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/>
  <c r="L514" i="13" s="1"/>
  <c r="I515" i="13" s="1"/>
  <c r="K535" i="14" l="1"/>
  <c r="L535" i="14" s="1"/>
  <c r="I536" i="14" s="1"/>
  <c r="J670" i="14" a="1"/>
  <c r="J670" i="14" s="1"/>
  <c r="N671" i="14"/>
  <c r="M674" i="13"/>
  <c r="N672" i="13"/>
  <c r="J671" i="13" a="1"/>
  <c r="J671" i="13" s="1"/>
  <c r="K515" i="13"/>
  <c r="L515" i="13" s="1"/>
  <c r="I516" i="13" s="1"/>
  <c r="M675" i="14"/>
  <c r="K516" i="13" l="1"/>
  <c r="L516" i="13" s="1"/>
  <c r="I517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37" i="14" l="1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/>
  <c r="L517" i="13" s="1"/>
  <c r="I518" i="13" s="1"/>
  <c r="K538" i="14" l="1"/>
  <c r="J673" i="14" a="1"/>
  <c r="J673" i="14" s="1"/>
  <c r="N674" i="14"/>
  <c r="M677" i="13"/>
  <c r="K518" i="13"/>
  <c r="L518" i="13" s="1"/>
  <c r="I519" i="13" s="1"/>
  <c r="M678" i="14"/>
  <c r="N675" i="13"/>
  <c r="J674" i="13" a="1"/>
  <c r="J674" i="13" s="1"/>
  <c r="K519" i="13" l="1"/>
  <c r="L519" i="13" s="1"/>
  <c r="I520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M680" i="14" l="1"/>
  <c r="K520" i="13"/>
  <c r="L520" i="13" s="1"/>
  <c r="I521" i="13" s="1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40" i="14" l="1"/>
  <c r="L540" i="14" s="1"/>
  <c r="I541" i="14" s="1"/>
  <c r="K521" i="13"/>
  <c r="L521" i="13" s="1"/>
  <c r="I522" i="13" s="1"/>
  <c r="M680" i="13"/>
  <c r="N678" i="13"/>
  <c r="J677" i="13" a="1"/>
  <c r="J677" i="13" s="1"/>
  <c r="J676" i="14" a="1"/>
  <c r="J676" i="14" s="1"/>
  <c r="N677" i="14"/>
  <c r="M681" i="14"/>
  <c r="K522" i="13" l="1"/>
  <c r="L522" i="13" s="1"/>
  <c r="I523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3" i="13" l="1"/>
  <c r="L523" i="13" s="1"/>
  <c r="I524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43" i="14" l="1"/>
  <c r="L543" i="14" s="1"/>
  <c r="I544" i="14" s="1"/>
  <c r="K524" i="13"/>
  <c r="L524" i="13" s="1"/>
  <c r="I525" i="13" s="1"/>
  <c r="N681" i="13"/>
  <c r="J680" i="13" a="1"/>
  <c r="J680" i="13" s="1"/>
  <c r="M683" i="13"/>
  <c r="M684" i="14"/>
  <c r="J679" i="14" a="1"/>
  <c r="J679" i="14" s="1"/>
  <c r="N680" i="14"/>
  <c r="K525" i="13" l="1"/>
  <c r="L525" i="13" s="1"/>
  <c r="I526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45" i="14" l="1"/>
  <c r="L545" i="14" s="1"/>
  <c r="I546" i="14" s="1"/>
  <c r="K526" i="13"/>
  <c r="M686" i="14"/>
  <c r="M685" i="13"/>
  <c r="N683" i="13"/>
  <c r="J682" i="13" a="1"/>
  <c r="J682" i="13" s="1"/>
  <c r="J681" i="14" a="1"/>
  <c r="J681" i="14" s="1"/>
  <c r="N682" i="14"/>
  <c r="K546" i="14" l="1"/>
  <c r="L546" i="14" s="1"/>
  <c r="I547" i="14" s="1"/>
  <c r="L526" i="13"/>
  <c r="I527" i="13" s="1"/>
  <c r="M687" i="14"/>
  <c r="J682" i="14" a="1"/>
  <c r="J682" i="14" s="1"/>
  <c r="N683" i="14"/>
  <c r="M686" i="13"/>
  <c r="N684" i="13"/>
  <c r="J683" i="13" a="1"/>
  <c r="J683" i="13" s="1"/>
  <c r="K547" i="14" l="1"/>
  <c r="L547" i="14" s="1"/>
  <c r="I548" i="14" s="1"/>
  <c r="N685" i="13"/>
  <c r="J684" i="13" a="1"/>
  <c r="J684" i="13" s="1"/>
  <c r="J683" i="14" a="1"/>
  <c r="J683" i="14" s="1"/>
  <c r="N684" i="14"/>
  <c r="K527" i="13"/>
  <c r="L527" i="13" s="1"/>
  <c r="I528" i="13" s="1"/>
  <c r="M687" i="13"/>
  <c r="M688" i="14"/>
  <c r="K548" i="14" l="1"/>
  <c r="N686" i="13"/>
  <c r="J685" i="13" a="1"/>
  <c r="J685" i="13" s="1"/>
  <c r="K528" i="13"/>
  <c r="L528" i="13" s="1"/>
  <c r="I529" i="13" s="1"/>
  <c r="J684" i="14" a="1"/>
  <c r="J684" i="14" s="1"/>
  <c r="N685" i="14"/>
  <c r="M688" i="13"/>
  <c r="M689" i="14"/>
  <c r="K529" i="13" l="1"/>
  <c r="L529" i="13" s="1"/>
  <c r="I530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30" i="13" l="1"/>
  <c r="L530" i="13" s="1"/>
  <c r="I531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1" i="13" l="1"/>
  <c r="L531" i="13" s="1"/>
  <c r="I532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51" i="14" l="1"/>
  <c r="L551" i="14" s="1"/>
  <c r="I552" i="14" s="1"/>
  <c r="K532" i="13"/>
  <c r="L532" i="13" s="1"/>
  <c r="I533" i="13" s="1"/>
  <c r="N690" i="13"/>
  <c r="J689" i="13" a="1"/>
  <c r="J689" i="13" s="1"/>
  <c r="M693" i="14"/>
  <c r="M692" i="13"/>
  <c r="J688" i="14" a="1"/>
  <c r="J688" i="14" s="1"/>
  <c r="N689" i="14"/>
  <c r="K552" i="14" l="1"/>
  <c r="L552" i="14" s="1"/>
  <c r="I553" i="14" s="1"/>
  <c r="K533" i="13"/>
  <c r="L533" i="13" s="1"/>
  <c r="I534" i="13" s="1"/>
  <c r="J689" i="14" a="1"/>
  <c r="J689" i="14" s="1"/>
  <c r="N690" i="14"/>
  <c r="M694" i="14"/>
  <c r="M693" i="13"/>
  <c r="N691" i="13"/>
  <c r="J690" i="13" a="1"/>
  <c r="J690" i="13" s="1"/>
  <c r="K534" i="13" l="1"/>
  <c r="L534" i="13" s="1"/>
  <c r="I535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5" i="13" l="1"/>
  <c r="L535" i="13" s="1"/>
  <c r="I536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55" i="14" l="1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/>
  <c r="L536" i="13" s="1"/>
  <c r="I537" i="13" s="1"/>
  <c r="K537" i="13" l="1"/>
  <c r="L537" i="13" s="1"/>
  <c r="I538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57" i="14" l="1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/>
  <c r="K558" i="14" l="1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/>
  <c r="I539" i="13" s="1"/>
  <c r="K559" i="14" l="1"/>
  <c r="L559" i="14" s="1"/>
  <c r="I560" i="14" s="1"/>
  <c r="N697" i="14"/>
  <c r="J696" i="14" a="1"/>
  <c r="J696" i="14" s="1"/>
  <c r="K539" i="13"/>
  <c r="L539" i="13" s="1"/>
  <c r="I540" i="13" s="1"/>
  <c r="M700" i="13"/>
  <c r="M701" i="14"/>
  <c r="N698" i="13"/>
  <c r="J697" i="13" a="1"/>
  <c r="J697" i="13" s="1"/>
  <c r="M701" i="13" l="1"/>
  <c r="N699" i="13"/>
  <c r="J698" i="13" a="1"/>
  <c r="J698" i="13" s="1"/>
  <c r="N698" i="14"/>
  <c r="J697" i="14" a="1"/>
  <c r="J697" i="14" s="1"/>
  <c r="M702" i="14"/>
  <c r="K540" i="13"/>
  <c r="L540" i="13" s="1"/>
  <c r="I541" i="13" s="1"/>
  <c r="K560" i="14"/>
  <c r="M703" i="14" l="1"/>
  <c r="N700" i="13"/>
  <c r="J699" i="13" a="1"/>
  <c r="J699" i="13" s="1"/>
  <c r="L560" i="14"/>
  <c r="I561" i="14" s="1"/>
  <c r="M702" i="13"/>
  <c r="K541" i="13"/>
  <c r="L541" i="13" s="1"/>
  <c r="I542" i="13" s="1"/>
  <c r="N699" i="14"/>
  <c r="J698" i="14" a="1"/>
  <c r="J698" i="14" s="1"/>
  <c r="K542" i="13" l="1"/>
  <c r="L542" i="13" s="1"/>
  <c r="I543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62" i="14" l="1"/>
  <c r="L562" i="14" s="1"/>
  <c r="I563" i="14" s="1"/>
  <c r="K543" i="13"/>
  <c r="L543" i="13" s="1"/>
  <c r="I544" i="13" s="1"/>
  <c r="N702" i="13"/>
  <c r="J701" i="13" a="1"/>
  <c r="J701" i="13" s="1"/>
  <c r="M705" i="14"/>
  <c r="M704" i="13"/>
  <c r="N701" i="14"/>
  <c r="J700" i="14" a="1"/>
  <c r="J700" i="14" s="1"/>
  <c r="K544" i="13" l="1"/>
  <c r="L544" i="13" s="1"/>
  <c r="I545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64" i="14" l="1"/>
  <c r="L564" i="14" s="1"/>
  <c r="I565" i="14" s="1"/>
  <c r="K545" i="13"/>
  <c r="L545" i="13" s="1"/>
  <c r="I546" i="13" s="1"/>
  <c r="N704" i="13"/>
  <c r="J703" i="13" a="1"/>
  <c r="J703" i="13" s="1"/>
  <c r="M707" i="14"/>
  <c r="M706" i="13"/>
  <c r="N703" i="14"/>
  <c r="J702" i="14" a="1"/>
  <c r="J702" i="14" s="1"/>
  <c r="K565" i="14" l="1"/>
  <c r="L565" i="14" s="1"/>
  <c r="I566" i="14" s="1"/>
  <c r="K546" i="13"/>
  <c r="L546" i="13" s="1"/>
  <c r="I547" i="13" s="1"/>
  <c r="M708" i="14"/>
  <c r="N704" i="14"/>
  <c r="J703" i="14" a="1"/>
  <c r="J703" i="14" s="1"/>
  <c r="M707" i="13"/>
  <c r="N705" i="13"/>
  <c r="J704" i="13" a="1"/>
  <c r="J704" i="13" s="1"/>
  <c r="K566" i="14" l="1"/>
  <c r="L566" i="14" s="1"/>
  <c r="I567" i="14" s="1"/>
  <c r="K547" i="13"/>
  <c r="L547" i="13" s="1"/>
  <c r="I548" i="13" s="1"/>
  <c r="N705" i="14"/>
  <c r="J704" i="14" a="1"/>
  <c r="J704" i="14" s="1"/>
  <c r="N706" i="13"/>
  <c r="J705" i="13" a="1"/>
  <c r="J705" i="13" s="1"/>
  <c r="M708" i="13"/>
  <c r="M709" i="14"/>
  <c r="K567" i="14" l="1"/>
  <c r="L567" i="14" s="1"/>
  <c r="I568" i="14" s="1"/>
  <c r="K548" i="13"/>
  <c r="M709" i="13"/>
  <c r="M710" i="14"/>
  <c r="N707" i="13"/>
  <c r="J706" i="13" a="1"/>
  <c r="J706" i="13" s="1"/>
  <c r="N706" i="14"/>
  <c r="J705" i="14" a="1"/>
  <c r="J705" i="14" s="1"/>
  <c r="K568" i="14" l="1"/>
  <c r="L568" i="14" s="1"/>
  <c r="I569" i="14" s="1"/>
  <c r="L548" i="13"/>
  <c r="I549" i="13" s="1"/>
  <c r="M710" i="13"/>
  <c r="N707" i="14"/>
  <c r="J706" i="14" a="1"/>
  <c r="J706" i="14" s="1"/>
  <c r="M711" i="14"/>
  <c r="N708" i="13"/>
  <c r="J707" i="13" a="1"/>
  <c r="J707" i="13" s="1"/>
  <c r="K569" i="14" l="1"/>
  <c r="L569" i="14" s="1"/>
  <c r="I570" i="14" s="1"/>
  <c r="N708" i="14"/>
  <c r="J707" i="14" a="1"/>
  <c r="J707" i="14" s="1"/>
  <c r="K549" i="13"/>
  <c r="N709" i="13"/>
  <c r="J708" i="13" a="1"/>
  <c r="J708" i="13" s="1"/>
  <c r="M712" i="14"/>
  <c r="M711" i="13"/>
  <c r="K570" i="14" l="1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/>
  <c r="I550" i="13" s="1"/>
  <c r="K571" i="14" l="1"/>
  <c r="L571" i="14" s="1"/>
  <c r="I572" i="14" s="1"/>
  <c r="K550" i="13"/>
  <c r="L550" i="13" s="1"/>
  <c r="I551" i="13" s="1"/>
  <c r="N710" i="14"/>
  <c r="J709" i="14" a="1"/>
  <c r="J709" i="14" s="1"/>
  <c r="M714" i="14"/>
  <c r="N711" i="13"/>
  <c r="J710" i="13" a="1"/>
  <c r="J710" i="13" s="1"/>
  <c r="M713" i="13"/>
  <c r="K551" i="13" l="1"/>
  <c r="L551" i="13" s="1"/>
  <c r="I552" i="13" s="1"/>
  <c r="K572" i="14"/>
  <c r="M715" i="14"/>
  <c r="N712" i="13"/>
  <c r="J711" i="13" a="1"/>
  <c r="J711" i="13" s="1"/>
  <c r="M714" i="13"/>
  <c r="N711" i="14"/>
  <c r="J710" i="14" a="1"/>
  <c r="J710" i="14" s="1"/>
  <c r="K552" i="13" l="1"/>
  <c r="L552" i="13" s="1"/>
  <c r="I553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3" i="13" l="1"/>
  <c r="L553" i="13" s="1"/>
  <c r="I554" i="13" s="1"/>
  <c r="N714" i="13"/>
  <c r="J713" i="13" a="1"/>
  <c r="J713" i="13" s="1"/>
  <c r="M717" i="14"/>
  <c r="M716" i="13"/>
  <c r="K573" i="14"/>
  <c r="N713" i="14"/>
  <c r="J712" i="14" a="1"/>
  <c r="J712" i="14" s="1"/>
  <c r="K554" i="13" l="1"/>
  <c r="L554" i="13" s="1"/>
  <c r="I555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5" i="13" l="1"/>
  <c r="L555" i="13" s="1"/>
  <c r="I556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6" i="13" l="1"/>
  <c r="L556" i="13" s="1"/>
  <c r="I557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76" i="14" l="1"/>
  <c r="L576" i="14" s="1"/>
  <c r="I577" i="14" s="1"/>
  <c r="K557" i="13"/>
  <c r="L557" i="13" s="1"/>
  <c r="I558" i="13" s="1"/>
  <c r="M720" i="13"/>
  <c r="N718" i="13"/>
  <c r="J717" i="13" a="1"/>
  <c r="J717" i="13" s="1"/>
  <c r="M721" i="14"/>
  <c r="N717" i="14"/>
  <c r="J716" i="14" a="1"/>
  <c r="J716" i="14" s="1"/>
  <c r="K577" i="14" l="1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/>
  <c r="L558" i="13" s="1"/>
  <c r="I559" i="13" s="1"/>
  <c r="K578" i="14" l="1"/>
  <c r="L578" i="14" s="1"/>
  <c r="I579" i="14" s="1"/>
  <c r="N720" i="13"/>
  <c r="J719" i="13" a="1"/>
  <c r="J719" i="13" s="1"/>
  <c r="K559" i="13"/>
  <c r="L559" i="13" s="1"/>
  <c r="I560" i="13" s="1"/>
  <c r="M722" i="13"/>
  <c r="N719" i="14"/>
  <c r="J718" i="14" a="1"/>
  <c r="J718" i="14" s="1"/>
  <c r="M723" i="14"/>
  <c r="K579" i="14" l="1"/>
  <c r="L579" i="14" s="1"/>
  <c r="I580" i="14" s="1"/>
  <c r="K560" i="13"/>
  <c r="M724" i="14"/>
  <c r="M723" i="13"/>
  <c r="N721" i="13"/>
  <c r="J720" i="13" a="1"/>
  <c r="J720" i="13" s="1"/>
  <c r="N720" i="14"/>
  <c r="J719" i="14" a="1"/>
  <c r="J719" i="14" s="1"/>
  <c r="K580" i="14" l="1"/>
  <c r="L580" i="14" s="1"/>
  <c r="I581" i="14" s="1"/>
  <c r="N721" i="14"/>
  <c r="J720" i="14" a="1"/>
  <c r="J720" i="14" s="1"/>
  <c r="L560" i="13"/>
  <c r="I561" i="13" s="1"/>
  <c r="M724" i="13"/>
  <c r="M725" i="14"/>
  <c r="N722" i="13"/>
  <c r="J721" i="13" a="1"/>
  <c r="J721" i="13" s="1"/>
  <c r="K581" i="14" l="1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/>
  <c r="K582" i="14" l="1"/>
  <c r="L582" i="14" s="1"/>
  <c r="I583" i="14" s="1"/>
  <c r="M726" i="13"/>
  <c r="N724" i="13"/>
  <c r="J723" i="13" a="1"/>
  <c r="J723" i="13" s="1"/>
  <c r="L561" i="13"/>
  <c r="I562" i="13" s="1"/>
  <c r="M727" i="14"/>
  <c r="N723" i="14"/>
  <c r="J722" i="14" a="1"/>
  <c r="J722" i="14" s="1"/>
  <c r="K583" i="14" l="1"/>
  <c r="L583" i="14" s="1"/>
  <c r="I584" i="14" s="1"/>
  <c r="K562" i="13"/>
  <c r="L562" i="13" s="1"/>
  <c r="I563" i="13" s="1"/>
  <c r="M727" i="13"/>
  <c r="N724" i="14"/>
  <c r="J723" i="14" a="1"/>
  <c r="J723" i="14" s="1"/>
  <c r="M728" i="14"/>
  <c r="N725" i="13"/>
  <c r="J724" i="13" a="1"/>
  <c r="J724" i="13" s="1"/>
  <c r="K563" i="13" l="1"/>
  <c r="L563" i="13" s="1"/>
  <c r="I564" i="13" s="1"/>
  <c r="K584" i="14"/>
  <c r="N726" i="13"/>
  <c r="J725" i="13" a="1"/>
  <c r="J725" i="13" s="1"/>
  <c r="N725" i="14"/>
  <c r="J724" i="14" a="1"/>
  <c r="J724" i="14" s="1"/>
  <c r="M729" i="14"/>
  <c r="M728" i="13"/>
  <c r="K564" i="13" l="1"/>
  <c r="L564" i="13" s="1"/>
  <c r="I565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5" i="13" l="1"/>
  <c r="L565" i="13" s="1"/>
  <c r="I566" i="13" s="1"/>
  <c r="K585" i="14"/>
  <c r="N728" i="13"/>
  <c r="J727" i="13" a="1"/>
  <c r="J727" i="13" s="1"/>
  <c r="M731" i="14"/>
  <c r="N727" i="14"/>
  <c r="J726" i="14" a="1"/>
  <c r="J726" i="14" s="1"/>
  <c r="M730" i="13"/>
  <c r="K566" i="13" l="1"/>
  <c r="L566" i="13" s="1"/>
  <c r="I567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7" i="13" l="1"/>
  <c r="L567" i="13" s="1"/>
  <c r="I568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87" i="14" l="1"/>
  <c r="L587" i="14" s="1"/>
  <c r="I588" i="14" s="1"/>
  <c r="K568" i="13"/>
  <c r="L568" i="13" s="1"/>
  <c r="I569" i="13" s="1"/>
  <c r="N730" i="14"/>
  <c r="J729" i="14" a="1"/>
  <c r="J729" i="14" s="1"/>
  <c r="M733" i="13"/>
  <c r="M734" i="14"/>
  <c r="N731" i="13"/>
  <c r="J730" i="13" a="1"/>
  <c r="J730" i="13" s="1"/>
  <c r="K588" i="14" l="1"/>
  <c r="L588" i="14" s="1"/>
  <c r="I589" i="14" s="1"/>
  <c r="M734" i="13"/>
  <c r="N732" i="13"/>
  <c r="J731" i="13" a="1"/>
  <c r="J731" i="13" s="1"/>
  <c r="K569" i="13"/>
  <c r="L569" i="13" s="1"/>
  <c r="I570" i="13" s="1"/>
  <c r="M735" i="14"/>
  <c r="N731" i="14"/>
  <c r="J730" i="14" a="1"/>
  <c r="J730" i="14" s="1"/>
  <c r="K589" i="14" l="1"/>
  <c r="L589" i="14" s="1"/>
  <c r="I590" i="14" s="1"/>
  <c r="K570" i="13"/>
  <c r="L570" i="13" s="1"/>
  <c r="I571" i="13" s="1"/>
  <c r="N732" i="14"/>
  <c r="J731" i="14" a="1"/>
  <c r="J731" i="14" s="1"/>
  <c r="M736" i="14"/>
  <c r="N733" i="13"/>
  <c r="J732" i="13" a="1"/>
  <c r="J732" i="13" s="1"/>
  <c r="M735" i="13"/>
  <c r="K590" i="14" l="1"/>
  <c r="L590" i="14" s="1"/>
  <c r="I591" i="14" s="1"/>
  <c r="K571" i="13"/>
  <c r="L571" i="13" s="1"/>
  <c r="I572" i="13" s="1"/>
  <c r="M737" i="14"/>
  <c r="M736" i="13"/>
  <c r="N734" i="13"/>
  <c r="J733" i="13" a="1"/>
  <c r="J733" i="13" s="1"/>
  <c r="N733" i="14"/>
  <c r="J732" i="14" a="1"/>
  <c r="J732" i="14" s="1"/>
  <c r="K591" i="14" l="1"/>
  <c r="L591" i="14" s="1"/>
  <c r="I592" i="14" s="1"/>
  <c r="M737" i="13"/>
  <c r="M738" i="14"/>
  <c r="N734" i="14"/>
  <c r="J733" i="14" a="1"/>
  <c r="J733" i="14" s="1"/>
  <c r="K572" i="13"/>
  <c r="L572" i="13" s="1"/>
  <c r="I573" i="13" s="1"/>
  <c r="N735" i="13"/>
  <c r="J734" i="13" a="1"/>
  <c r="J734" i="13" s="1"/>
  <c r="M738" i="13" l="1"/>
  <c r="N735" i="14"/>
  <c r="J734" i="14" a="1"/>
  <c r="J734" i="14" s="1"/>
  <c r="M739" i="14"/>
  <c r="N736" i="13"/>
  <c r="J735" i="13" a="1"/>
  <c r="J735" i="13" s="1"/>
  <c r="K573" i="13"/>
  <c r="L573" i="13" s="1"/>
  <c r="I574" i="13" s="1"/>
  <c r="K592" i="14"/>
  <c r="L592" i="14" s="1"/>
  <c r="I593" i="14" s="1"/>
  <c r="K593" i="14" l="1"/>
  <c r="L593" i="14" s="1"/>
  <c r="I594" i="14" s="1"/>
  <c r="K574" i="13"/>
  <c r="N737" i="13"/>
  <c r="J736" i="13" a="1"/>
  <c r="J736" i="13" s="1"/>
  <c r="N736" i="14"/>
  <c r="J735" i="14" a="1"/>
  <c r="J735" i="14" s="1"/>
  <c r="M740" i="14"/>
  <c r="M739" i="13"/>
  <c r="N737" i="14" l="1"/>
  <c r="J736" i="14" a="1"/>
  <c r="J736" i="14" s="1"/>
  <c r="L574" i="13"/>
  <c r="I575" i="13" s="1"/>
  <c r="M740" i="13"/>
  <c r="M741" i="14"/>
  <c r="N738" i="13"/>
  <c r="J737" i="13" a="1"/>
  <c r="J737" i="13" s="1"/>
  <c r="K594" i="14"/>
  <c r="L594" i="14" s="1"/>
  <c r="I595" i="14" s="1"/>
  <c r="K595" i="14" l="1"/>
  <c r="L595" i="14" s="1"/>
  <c r="I596" i="14" s="1"/>
  <c r="M742" i="14"/>
  <c r="K575" i="13"/>
  <c r="L575" i="13" s="1"/>
  <c r="I576" i="13" s="1"/>
  <c r="N739" i="13"/>
  <c r="J738" i="13" a="1"/>
  <c r="J738" i="13" s="1"/>
  <c r="M741" i="13"/>
  <c r="N738" i="14"/>
  <c r="J737" i="14" a="1"/>
  <c r="J737" i="14" s="1"/>
  <c r="K576" i="13" l="1"/>
  <c r="L576" i="13" s="1"/>
  <c r="I577" i="13" s="1"/>
  <c r="K596" i="14"/>
  <c r="N740" i="13"/>
  <c r="J739" i="13" a="1"/>
  <c r="J739" i="13" s="1"/>
  <c r="M743" i="14"/>
  <c r="M742" i="13"/>
  <c r="N739" i="14"/>
  <c r="J738" i="14" a="1"/>
  <c r="J738" i="14" s="1"/>
  <c r="K577" i="13" l="1"/>
  <c r="L577" i="13" s="1"/>
  <c r="I578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8" i="13" l="1"/>
  <c r="L578" i="13" s="1"/>
  <c r="I579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98" i="14" l="1"/>
  <c r="L598" i="14" s="1"/>
  <c r="I599" i="14" s="1"/>
  <c r="K579" i="13"/>
  <c r="L579" i="13" s="1"/>
  <c r="I580" i="13" s="1"/>
  <c r="N743" i="13"/>
  <c r="J742" i="13" a="1"/>
  <c r="J742" i="13" s="1"/>
  <c r="M745" i="13"/>
  <c r="N742" i="14"/>
  <c r="J741" i="14" a="1"/>
  <c r="J741" i="14" s="1"/>
  <c r="M746" i="14"/>
  <c r="K580" i="13" l="1"/>
  <c r="L580" i="13" s="1"/>
  <c r="I581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600" i="14" l="1"/>
  <c r="L600" i="14" s="1"/>
  <c r="I601" i="14" s="1"/>
  <c r="N744" i="14"/>
  <c r="J743" i="14" a="1"/>
  <c r="J743" i="14" s="1"/>
  <c r="M748" i="14"/>
  <c r="N745" i="13"/>
  <c r="J744" i="13" a="1"/>
  <c r="J744" i="13" s="1"/>
  <c r="K581" i="13"/>
  <c r="L581" i="13" s="1"/>
  <c r="I582" i="13" s="1"/>
  <c r="M747" i="13"/>
  <c r="N745" i="14" l="1"/>
  <c r="J744" i="14" a="1"/>
  <c r="J744" i="14" s="1"/>
  <c r="M748" i="13"/>
  <c r="N746" i="13"/>
  <c r="J745" i="13" a="1"/>
  <c r="J745" i="13" s="1"/>
  <c r="M749" i="14"/>
  <c r="K582" i="13"/>
  <c r="L582" i="13" s="1"/>
  <c r="I583" i="13" s="1"/>
  <c r="K601" i="14"/>
  <c r="L601" i="14" s="1"/>
  <c r="I602" i="14" s="1"/>
  <c r="K602" i="14" l="1"/>
  <c r="L602" i="14" s="1"/>
  <c r="I603" i="14" s="1"/>
  <c r="K583" i="13"/>
  <c r="L583" i="13" s="1"/>
  <c r="I584" i="13" s="1"/>
  <c r="N747" i="13"/>
  <c r="J746" i="13" a="1"/>
  <c r="J746" i="13" s="1"/>
  <c r="M750" i="14"/>
  <c r="M749" i="13"/>
  <c r="N746" i="14"/>
  <c r="J745" i="14" a="1"/>
  <c r="J745" i="14" s="1"/>
  <c r="K584" i="13" l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604" i="14" l="1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/>
  <c r="I585" i="13" s="1"/>
  <c r="K605" i="14" l="1"/>
  <c r="L605" i="14" s="1"/>
  <c r="I606" i="14" s="1"/>
  <c r="M753" i="14"/>
  <c r="M752" i="13"/>
  <c r="K585" i="13"/>
  <c r="L585" i="13" s="1"/>
  <c r="I586" i="13" s="1"/>
  <c r="N750" i="13"/>
  <c r="J749" i="13" a="1"/>
  <c r="J749" i="13" s="1"/>
  <c r="N749" i="14"/>
  <c r="J748" i="14" a="1"/>
  <c r="J748" i="14" s="1"/>
  <c r="K606" i="14" l="1"/>
  <c r="L606" i="14" s="1"/>
  <c r="I607" i="14" s="1"/>
  <c r="M754" i="14"/>
  <c r="N750" i="14"/>
  <c r="J749" i="14" a="1"/>
  <c r="J749" i="14" s="1"/>
  <c r="K586" i="13"/>
  <c r="L586" i="13" s="1"/>
  <c r="I587" i="13" s="1"/>
  <c r="M753" i="13"/>
  <c r="N751" i="13"/>
  <c r="J750" i="13" a="1"/>
  <c r="J750" i="13" s="1"/>
  <c r="K587" i="13" l="1"/>
  <c r="L587" i="13" s="1"/>
  <c r="I588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608" i="14" l="1"/>
  <c r="K588" i="13"/>
  <c r="L588" i="13" s="1"/>
  <c r="I589" i="13" s="1"/>
  <c r="M755" i="13"/>
  <c r="M756" i="14"/>
  <c r="N752" i="14"/>
  <c r="J751" i="14" a="1"/>
  <c r="J751" i="14" s="1"/>
  <c r="N753" i="13"/>
  <c r="J752" i="13" a="1"/>
  <c r="J752" i="13" s="1"/>
  <c r="K589" i="13" l="1"/>
  <c r="L589" i="13" s="1"/>
  <c r="I590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N754" i="14" l="1"/>
  <c r="J753" i="14" a="1"/>
  <c r="J753" i="14" s="1"/>
  <c r="M757" i="13"/>
  <c r="N755" i="13"/>
  <c r="J754" i="13" a="1"/>
  <c r="J754" i="13" s="1"/>
  <c r="K609" i="14"/>
  <c r="M758" i="14"/>
  <c r="K590" i="13"/>
  <c r="L590" i="13" s="1"/>
  <c r="I591" i="13" s="1"/>
  <c r="K591" i="13" l="1"/>
  <c r="L591" i="13" s="1"/>
  <c r="I592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N756" i="14" l="1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/>
  <c r="L592" i="13" s="1"/>
  <c r="I593" i="13" s="1"/>
  <c r="M761" i="14" l="1"/>
  <c r="M760" i="13"/>
  <c r="K611" i="14"/>
  <c r="L611" i="14" s="1"/>
  <c r="I612" i="14" s="1"/>
  <c r="K593" i="13"/>
  <c r="L593" i="13" s="1"/>
  <c r="I594" i="13" s="1"/>
  <c r="N758" i="13"/>
  <c r="J757" i="13" a="1"/>
  <c r="J757" i="13" s="1"/>
  <c r="N757" i="14"/>
  <c r="J756" i="14" a="1"/>
  <c r="J756" i="14" s="1"/>
  <c r="K612" i="14" l="1"/>
  <c r="L612" i="14" s="1"/>
  <c r="I613" i="14" s="1"/>
  <c r="M761" i="13"/>
  <c r="K594" i="13"/>
  <c r="L594" i="13" s="1"/>
  <c r="I595" i="13" s="1"/>
  <c r="N758" i="14"/>
  <c r="J757" i="14" a="1"/>
  <c r="J757" i="14" s="1"/>
  <c r="M762" i="14"/>
  <c r="N759" i="13"/>
  <c r="J758" i="13" a="1"/>
  <c r="J758" i="13" s="1"/>
  <c r="K595" i="13" l="1"/>
  <c r="L595" i="13" s="1"/>
  <c r="I596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6" i="13" l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615" i="14" l="1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/>
  <c r="I597" i="13" s="1"/>
  <c r="K597" i="13" l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617" i="14" l="1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/>
  <c r="I598" i="13" s="1"/>
  <c r="K618" i="14" l="1"/>
  <c r="L618" i="14" s="1"/>
  <c r="I619" i="14" s="1"/>
  <c r="M768" i="14"/>
  <c r="K598" i="13"/>
  <c r="L598" i="13" s="1"/>
  <c r="I599" i="13" s="1"/>
  <c r="N765" i="13"/>
  <c r="J764" i="13" a="1"/>
  <c r="J764" i="13" s="1"/>
  <c r="M767" i="13"/>
  <c r="N764" i="14"/>
  <c r="J763" i="14" a="1"/>
  <c r="J763" i="14" s="1"/>
  <c r="K619" i="14" l="1"/>
  <c r="L619" i="14" s="1"/>
  <c r="I620" i="14" s="1"/>
  <c r="K599" i="13"/>
  <c r="L599" i="13" s="1"/>
  <c r="I600" i="13" s="1"/>
  <c r="M769" i="14"/>
  <c r="N766" i="13"/>
  <c r="J765" i="13" a="1"/>
  <c r="J765" i="13" s="1"/>
  <c r="N765" i="14"/>
  <c r="J764" i="14" a="1"/>
  <c r="J764" i="14" s="1"/>
  <c r="M768" i="13"/>
  <c r="K620" i="14" l="1"/>
  <c r="K600" i="13"/>
  <c r="L600" i="13" s="1"/>
  <c r="I601" i="13" s="1"/>
  <c r="N767" i="13"/>
  <c r="J766" i="13" a="1"/>
  <c r="J766" i="13" s="1"/>
  <c r="M770" i="14"/>
  <c r="M769" i="13"/>
  <c r="N766" i="14"/>
  <c r="J765" i="14" a="1"/>
  <c r="J765" i="14" s="1"/>
  <c r="K601" i="13" l="1"/>
  <c r="L601" i="13" s="1"/>
  <c r="I602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2" i="13" l="1"/>
  <c r="L602" i="13" s="1"/>
  <c r="I603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22" i="14" l="1"/>
  <c r="L622" i="14" s="1"/>
  <c r="I623" i="14" s="1"/>
  <c r="K603" i="13"/>
  <c r="L603" i="13" s="1"/>
  <c r="I604" i="13" s="1"/>
  <c r="M773" i="14"/>
  <c r="N769" i="14"/>
  <c r="J768" i="14" a="1"/>
  <c r="J768" i="14" s="1"/>
  <c r="M772" i="13"/>
  <c r="N770" i="13"/>
  <c r="J769" i="13" a="1"/>
  <c r="J769" i="13" s="1"/>
  <c r="K623" i="14" l="1"/>
  <c r="L623" i="14" s="1"/>
  <c r="I624" i="14" s="1"/>
  <c r="N771" i="13"/>
  <c r="J770" i="13" a="1"/>
  <c r="J770" i="13" s="1"/>
  <c r="N770" i="14"/>
  <c r="J769" i="14" a="1"/>
  <c r="J769" i="14" s="1"/>
  <c r="K604" i="13"/>
  <c r="L604" i="13" s="1"/>
  <c r="I605" i="13" s="1"/>
  <c r="M773" i="13"/>
  <c r="M774" i="14"/>
  <c r="K605" i="13" l="1"/>
  <c r="L605" i="13" s="1"/>
  <c r="I606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6" i="13" l="1"/>
  <c r="L606" i="13" s="1"/>
  <c r="I607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26" i="14" l="1"/>
  <c r="L626" i="14" s="1"/>
  <c r="I627" i="14" s="1"/>
  <c r="K607" i="13"/>
  <c r="L607" i="13" s="1"/>
  <c r="I608" i="13" s="1"/>
  <c r="M777" i="14"/>
  <c r="N773" i="14"/>
  <c r="J772" i="14" a="1"/>
  <c r="J772" i="14" s="1"/>
  <c r="N774" i="13"/>
  <c r="J773" i="13" a="1"/>
  <c r="J773" i="13" s="1"/>
  <c r="M776" i="13"/>
  <c r="K608" i="13" l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28" i="14" l="1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/>
  <c r="I609" i="13" s="1"/>
  <c r="K629" i="14" l="1"/>
  <c r="L629" i="14" s="1"/>
  <c r="I630" i="14" s="1"/>
  <c r="K609" i="13"/>
  <c r="N777" i="13"/>
  <c r="J776" i="13" a="1"/>
  <c r="J776" i="13" s="1"/>
  <c r="M779" i="13"/>
  <c r="N776" i="14"/>
  <c r="J775" i="14" a="1"/>
  <c r="J775" i="14" s="1"/>
  <c r="M780" i="14"/>
  <c r="K630" i="14" l="1"/>
  <c r="L630" i="14" s="1"/>
  <c r="I631" i="14" s="1"/>
  <c r="M781" i="14"/>
  <c r="M780" i="13"/>
  <c r="L609" i="13"/>
  <c r="I610" i="13" s="1"/>
  <c r="N777" i="14"/>
  <c r="J776" i="14" a="1"/>
  <c r="J776" i="14" s="1"/>
  <c r="N778" i="13"/>
  <c r="J777" i="13" a="1"/>
  <c r="J777" i="13" s="1"/>
  <c r="K631" i="14" l="1"/>
  <c r="L631" i="14" s="1"/>
  <c r="I632" i="14" s="1"/>
  <c r="N779" i="13"/>
  <c r="J778" i="13" a="1"/>
  <c r="J778" i="13" s="1"/>
  <c r="K610" i="13"/>
  <c r="L610" i="13" s="1"/>
  <c r="I611" i="13" s="1"/>
  <c r="M781" i="13"/>
  <c r="N778" i="14"/>
  <c r="J777" i="14" a="1"/>
  <c r="J777" i="14" s="1"/>
  <c r="M782" i="14"/>
  <c r="K611" i="13" l="1"/>
  <c r="L611" i="13" s="1"/>
  <c r="I612" i="13" s="1"/>
  <c r="K632" i="14"/>
  <c r="M783" i="14"/>
  <c r="M782" i="13"/>
  <c r="N780" i="13"/>
  <c r="J779" i="13" a="1"/>
  <c r="J779" i="13" s="1"/>
  <c r="N779" i="14"/>
  <c r="J778" i="14" a="1"/>
  <c r="J778" i="14" s="1"/>
  <c r="K612" i="13" l="1"/>
  <c r="L612" i="13" s="1"/>
  <c r="I613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3" i="13" l="1"/>
  <c r="L613" i="13" s="1"/>
  <c r="I614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4" i="13" l="1"/>
  <c r="L614" i="13" s="1"/>
  <c r="I615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35" i="14" l="1"/>
  <c r="L635" i="14" s="1"/>
  <c r="I636" i="14" s="1"/>
  <c r="K615" i="13"/>
  <c r="L615" i="13" s="1"/>
  <c r="I616" i="13" s="1"/>
  <c r="N784" i="13"/>
  <c r="J783" i="13" a="1"/>
  <c r="J783" i="13" s="1"/>
  <c r="M786" i="13"/>
  <c r="M787" i="14"/>
  <c r="N783" i="14"/>
  <c r="J782" i="14" a="1"/>
  <c r="J782" i="14" s="1"/>
  <c r="K616" i="13" l="1"/>
  <c r="L616" i="13" s="1"/>
  <c r="I617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37" i="14" l="1"/>
  <c r="L637" i="14" s="1"/>
  <c r="I638" i="14" s="1"/>
  <c r="K617" i="13"/>
  <c r="L617" i="13" s="1"/>
  <c r="I618" i="13" s="1"/>
  <c r="N785" i="14"/>
  <c r="J784" i="14" a="1"/>
  <c r="J784" i="14" s="1"/>
  <c r="N786" i="13"/>
  <c r="J785" i="13" a="1"/>
  <c r="J785" i="13" s="1"/>
  <c r="M789" i="14"/>
  <c r="M788" i="13"/>
  <c r="K618" i="13" l="1"/>
  <c r="L618" i="13" s="1"/>
  <c r="I619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39" i="14" l="1"/>
  <c r="L639" i="14" s="1"/>
  <c r="I640" i="14" s="1"/>
  <c r="K619" i="13"/>
  <c r="L619" i="13" s="1"/>
  <c r="I620" i="13" s="1"/>
  <c r="N788" i="13"/>
  <c r="J787" i="13" a="1"/>
  <c r="J787" i="13" s="1"/>
  <c r="N787" i="14"/>
  <c r="J786" i="14" a="1"/>
  <c r="J786" i="14" s="1"/>
  <c r="M791" i="14"/>
  <c r="M790" i="13"/>
  <c r="K620" i="13" l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41" i="14" l="1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/>
  <c r="I621" i="13" s="1"/>
  <c r="K642" i="14" l="1"/>
  <c r="L642" i="14" s="1"/>
  <c r="I643" i="14" s="1"/>
  <c r="M794" i="14"/>
  <c r="N790" i="14"/>
  <c r="J789" i="14" a="1"/>
  <c r="J789" i="14" s="1"/>
  <c r="N791" i="13"/>
  <c r="J790" i="13" a="1"/>
  <c r="J790" i="13" s="1"/>
  <c r="K621" i="13"/>
  <c r="M793" i="13"/>
  <c r="K643" i="14" l="1"/>
  <c r="L643" i="14" s="1"/>
  <c r="I644" i="14" s="1"/>
  <c r="M795" i="14"/>
  <c r="N792" i="13"/>
  <c r="J791" i="13" a="1"/>
  <c r="J791" i="13" s="1"/>
  <c r="M794" i="13"/>
  <c r="L621" i="13"/>
  <c r="I622" i="13" s="1"/>
  <c r="N791" i="14"/>
  <c r="J790" i="14" a="1"/>
  <c r="J790" i="14" s="1"/>
  <c r="K644" i="14" l="1"/>
  <c r="N792" i="14"/>
  <c r="J791" i="14" a="1"/>
  <c r="J791" i="14" s="1"/>
  <c r="N793" i="13"/>
  <c r="J792" i="13" a="1"/>
  <c r="J792" i="13" s="1"/>
  <c r="K622" i="13"/>
  <c r="L622" i="13" s="1"/>
  <c r="I623" i="13" s="1"/>
  <c r="M795" i="13"/>
  <c r="M796" i="14"/>
  <c r="K623" i="13" l="1"/>
  <c r="L623" i="13" s="1"/>
  <c r="I624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4" i="13" l="1"/>
  <c r="L624" i="13" s="1"/>
  <c r="I625" i="13" s="1"/>
  <c r="N795" i="13"/>
  <c r="J794" i="13" a="1"/>
  <c r="J794" i="13" s="1"/>
  <c r="K645" i="14"/>
  <c r="M798" i="14"/>
  <c r="M797" i="13"/>
  <c r="N794" i="14"/>
  <c r="J793" i="14" a="1"/>
  <c r="J793" i="14" s="1"/>
  <c r="K625" i="13" l="1"/>
  <c r="L625" i="13" s="1"/>
  <c r="I626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6" i="13" l="1"/>
  <c r="L626" i="13" s="1"/>
  <c r="I627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7" i="13" l="1"/>
  <c r="L627" i="13" s="1"/>
  <c r="I628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48" i="14" l="1"/>
  <c r="L648" i="14" s="1"/>
  <c r="I649" i="14" s="1"/>
  <c r="K628" i="13"/>
  <c r="L628" i="13" s="1"/>
  <c r="I629" i="13" s="1"/>
  <c r="N799" i="13"/>
  <c r="J798" i="13" a="1"/>
  <c r="J798" i="13" s="1"/>
  <c r="N798" i="14"/>
  <c r="J797" i="14" a="1"/>
  <c r="J797" i="14" s="1"/>
  <c r="M801" i="13"/>
  <c r="M802" i="14"/>
  <c r="K629" i="13" l="1"/>
  <c r="L629" i="13" s="1"/>
  <c r="I630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30" i="13" l="1"/>
  <c r="L630" i="13" s="1"/>
  <c r="I631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51" i="14" l="1"/>
  <c r="L651" i="14" s="1"/>
  <c r="I652" i="14" s="1"/>
  <c r="K631" i="13"/>
  <c r="L631" i="13" s="1"/>
  <c r="I632" i="13" s="1"/>
  <c r="M805" i="14"/>
  <c r="N802" i="13"/>
  <c r="J801" i="13" a="1"/>
  <c r="J801" i="13" s="1"/>
  <c r="M804" i="13"/>
  <c r="N801" i="14"/>
  <c r="J800" i="14" a="1"/>
  <c r="J800" i="14" s="1"/>
  <c r="K632" i="13" l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53" i="14" l="1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/>
  <c r="I633" i="13" s="1"/>
  <c r="K654" i="14" l="1"/>
  <c r="L654" i="14" s="1"/>
  <c r="I655" i="14" s="1"/>
  <c r="N805" i="13"/>
  <c r="J804" i="13" a="1"/>
  <c r="J804" i="13" s="1"/>
  <c r="N804" i="14"/>
  <c r="J803" i="14" a="1"/>
  <c r="J803" i="14" s="1"/>
  <c r="K633" i="13"/>
  <c r="L633" i="13" s="1"/>
  <c r="I634" i="13" s="1"/>
  <c r="M808" i="14"/>
  <c r="M807" i="13"/>
  <c r="K634" i="13" l="1"/>
  <c r="L634" i="13" s="1"/>
  <c r="I635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5" i="13" l="1"/>
  <c r="L635" i="13" s="1"/>
  <c r="I636" i="13" s="1"/>
  <c r="M810" i="14"/>
  <c r="N806" i="14"/>
  <c r="J805" i="14" a="1"/>
  <c r="J805" i="14" s="1"/>
  <c r="M809" i="13"/>
  <c r="K656" i="14"/>
  <c r="N807" i="13"/>
  <c r="J806" i="13" a="1"/>
  <c r="J806" i="13" s="1"/>
  <c r="K636" i="13" l="1"/>
  <c r="L636" i="13" s="1"/>
  <c r="I637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7" i="13" l="1"/>
  <c r="L637" i="13" s="1"/>
  <c r="I638" i="13" s="1"/>
  <c r="N808" i="14"/>
  <c r="J807" i="14" a="1"/>
  <c r="J807" i="14" s="1"/>
  <c r="N809" i="13"/>
  <c r="J808" i="13" a="1"/>
  <c r="J808" i="13" s="1"/>
  <c r="M811" i="13"/>
  <c r="K657" i="14"/>
  <c r="M812" i="14"/>
  <c r="K638" i="13" l="1"/>
  <c r="L638" i="13" s="1"/>
  <c r="I639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9" i="13" l="1"/>
  <c r="L639" i="13" s="1"/>
  <c r="I640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M814" i="13" l="1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/>
  <c r="L640" i="13" s="1"/>
  <c r="I641" i="13" s="1"/>
  <c r="K641" i="13" l="1"/>
  <c r="L641" i="13" s="1"/>
  <c r="I642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61" i="14" l="1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/>
  <c r="L642" i="13" s="1"/>
  <c r="I643" i="13" s="1"/>
  <c r="K662" i="14" l="1"/>
  <c r="L662" i="14" s="1"/>
  <c r="I663" i="14" s="1"/>
  <c r="K643" i="13"/>
  <c r="L643" i="13" s="1"/>
  <c r="I644" i="13" s="1"/>
  <c r="N814" i="14"/>
  <c r="J813" i="14" a="1"/>
  <c r="J813" i="14" s="1"/>
  <c r="N815" i="13"/>
  <c r="J814" i="13" a="1"/>
  <c r="J814" i="13" s="1"/>
  <c r="M818" i="14"/>
  <c r="M817" i="13"/>
  <c r="K644" i="13" l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64" i="14" l="1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/>
  <c r="I645" i="13" s="1"/>
  <c r="K645" i="13" l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66" i="14" l="1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/>
  <c r="I646" i="13" s="1"/>
  <c r="K667" i="14" l="1"/>
  <c r="L667" i="14" s="1"/>
  <c r="I668" i="14" s="1"/>
  <c r="N820" i="13"/>
  <c r="J819" i="13" a="1"/>
  <c r="J819" i="13" s="1"/>
  <c r="N819" i="14"/>
  <c r="J818" i="14" a="1"/>
  <c r="J818" i="14" s="1"/>
  <c r="K646" i="13"/>
  <c r="L646" i="13" s="1"/>
  <c r="I647" i="13" s="1"/>
  <c r="M822" i="13"/>
  <c r="M823" i="14"/>
  <c r="K647" i="13" l="1"/>
  <c r="L647" i="13" s="1"/>
  <c r="I648" i="13" s="1"/>
  <c r="M824" i="14"/>
  <c r="N821" i="13"/>
  <c r="J820" i="13" a="1"/>
  <c r="J820" i="13" s="1"/>
  <c r="M823" i="13"/>
  <c r="N820" i="14"/>
  <c r="J819" i="14" a="1"/>
  <c r="J819" i="14" s="1"/>
  <c r="K668" i="14"/>
  <c r="K648" i="13" l="1"/>
  <c r="L648" i="13" s="1"/>
  <c r="I649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9" i="13" l="1"/>
  <c r="L649" i="13" s="1"/>
  <c r="I650" i="13" s="1"/>
  <c r="K669" i="14"/>
  <c r="N823" i="13"/>
  <c r="J822" i="13" a="1"/>
  <c r="J822" i="13" s="1"/>
  <c r="M826" i="14"/>
  <c r="N822" i="14"/>
  <c r="J821" i="14" a="1"/>
  <c r="J821" i="14" s="1"/>
  <c r="M825" i="13"/>
  <c r="K650" i="13" l="1"/>
  <c r="L650" i="13" s="1"/>
  <c r="I651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1" i="13" l="1"/>
  <c r="L651" i="13" s="1"/>
  <c r="I652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71" i="14" l="1"/>
  <c r="L671" i="14" s="1"/>
  <c r="I672" i="14" s="1"/>
  <c r="K652" i="13"/>
  <c r="L652" i="13" s="1"/>
  <c r="I653" i="13" s="1"/>
  <c r="N826" i="13"/>
  <c r="J825" i="13" a="1"/>
  <c r="J825" i="13" s="1"/>
  <c r="N825" i="14"/>
  <c r="J824" i="14" a="1"/>
  <c r="J824" i="14" s="1"/>
  <c r="M828" i="13"/>
  <c r="M829" i="14"/>
  <c r="K653" i="13" l="1"/>
  <c r="L653" i="13" s="1"/>
  <c r="I654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73" i="14" l="1"/>
  <c r="L673" i="14" s="1"/>
  <c r="I674" i="14" s="1"/>
  <c r="K654" i="13"/>
  <c r="L654" i="13" s="1"/>
  <c r="I655" i="13" s="1"/>
  <c r="N828" i="13"/>
  <c r="J827" i="13" a="1"/>
  <c r="J827" i="13" s="1"/>
  <c r="M831" i="14"/>
  <c r="N827" i="14"/>
  <c r="J826" i="14" a="1"/>
  <c r="J826" i="14" s="1"/>
  <c r="M830" i="13"/>
  <c r="K674" i="14" l="1"/>
  <c r="L674" i="14" s="1"/>
  <c r="I675" i="14" s="1"/>
  <c r="K655" i="13"/>
  <c r="L655" i="13" s="1"/>
  <c r="I656" i="13" s="1"/>
  <c r="M831" i="13"/>
  <c r="M832" i="14"/>
  <c r="N828" i="14"/>
  <c r="J827" i="14" a="1"/>
  <c r="J827" i="14" s="1"/>
  <c r="N829" i="13"/>
  <c r="J828" i="13" a="1"/>
  <c r="J828" i="13" s="1"/>
  <c r="K656" i="13" l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76" i="14" l="1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/>
  <c r="I657" i="13" s="1"/>
  <c r="K677" i="14" l="1"/>
  <c r="L677" i="14" s="1"/>
  <c r="I678" i="14" s="1"/>
  <c r="N832" i="13"/>
  <c r="J831" i="13" a="1"/>
  <c r="J831" i="13" s="1"/>
  <c r="M835" i="14"/>
  <c r="N831" i="14"/>
  <c r="J830" i="14" a="1"/>
  <c r="J830" i="14" s="1"/>
  <c r="K657" i="13"/>
  <c r="M834" i="13"/>
  <c r="K678" i="14" l="1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/>
  <c r="I658" i="13" s="1"/>
  <c r="K679" i="14" l="1"/>
  <c r="L679" i="14" s="1"/>
  <c r="I680" i="14" s="1"/>
  <c r="K658" i="13"/>
  <c r="L658" i="13" s="1"/>
  <c r="I659" i="13" s="1"/>
  <c r="M836" i="13"/>
  <c r="M837" i="14"/>
  <c r="N834" i="13"/>
  <c r="J833" i="13" a="1"/>
  <c r="J833" i="13" s="1"/>
  <c r="N833" i="14"/>
  <c r="J832" i="14" a="1"/>
  <c r="J832" i="14" s="1"/>
  <c r="K680" i="14" l="1"/>
  <c r="K659" i="13"/>
  <c r="L659" i="13" s="1"/>
  <c r="I660" i="13" s="1"/>
  <c r="M838" i="14"/>
  <c r="N834" i="14"/>
  <c r="J833" i="14" a="1"/>
  <c r="J833" i="14" s="1"/>
  <c r="M837" i="13"/>
  <c r="N835" i="13"/>
  <c r="J834" i="13" a="1"/>
  <c r="J834" i="13" s="1"/>
  <c r="K660" i="13" l="1"/>
  <c r="L660" i="13" s="1"/>
  <c r="I661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M840" i="14" l="1"/>
  <c r="N836" i="14"/>
  <c r="J835" i="14" a="1"/>
  <c r="J835" i="14" s="1"/>
  <c r="M839" i="13"/>
  <c r="K681" i="14"/>
  <c r="N837" i="13"/>
  <c r="J836" i="13" a="1"/>
  <c r="J836" i="13" s="1"/>
  <c r="K661" i="13"/>
  <c r="L661" i="13" s="1"/>
  <c r="I662" i="13" s="1"/>
  <c r="K662" i="13" l="1"/>
  <c r="L662" i="13" s="1"/>
  <c r="I663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M842" i="14" l="1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/>
  <c r="L663" i="13" s="1"/>
  <c r="I664" i="13" s="1"/>
  <c r="K664" i="13" l="1"/>
  <c r="L664" i="13" s="1"/>
  <c r="I665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84" i="14" l="1"/>
  <c r="L684" i="14" s="1"/>
  <c r="I685" i="14" s="1"/>
  <c r="K665" i="13"/>
  <c r="L665" i="13" s="1"/>
  <c r="I666" i="13" s="1"/>
  <c r="N841" i="13"/>
  <c r="J840" i="13" a="1"/>
  <c r="J840" i="13" s="1"/>
  <c r="N840" i="14"/>
  <c r="J839" i="14" a="1"/>
  <c r="J839" i="14" s="1"/>
  <c r="M843" i="13"/>
  <c r="M844" i="14"/>
  <c r="K666" i="13" l="1"/>
  <c r="L666" i="13" s="1"/>
  <c r="I667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86" i="14" l="1"/>
  <c r="L686" i="14" s="1"/>
  <c r="I687" i="14" s="1"/>
  <c r="K667" i="13"/>
  <c r="L667" i="13" s="1"/>
  <c r="I668" i="13" s="1"/>
  <c r="N843" i="13"/>
  <c r="J842" i="13" a="1"/>
  <c r="J842" i="13" s="1"/>
  <c r="M846" i="14"/>
  <c r="M845" i="13"/>
  <c r="N842" i="14"/>
  <c r="J841" i="14" a="1"/>
  <c r="J841" i="14" s="1"/>
  <c r="K668" i="13" l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88" i="14" l="1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/>
  <c r="I669" i="13" s="1"/>
  <c r="K689" i="14" l="1"/>
  <c r="L689" i="14" s="1"/>
  <c r="I690" i="14" s="1"/>
  <c r="K669" i="13"/>
  <c r="M849" i="14"/>
  <c r="N845" i="14"/>
  <c r="J844" i="14" a="1"/>
  <c r="J844" i="14" s="1"/>
  <c r="M848" i="13"/>
  <c r="N846" i="13"/>
  <c r="J845" i="13" a="1"/>
  <c r="J845" i="13" s="1"/>
  <c r="K690" i="14" l="1"/>
  <c r="L690" i="14" s="1"/>
  <c r="I691" i="14" s="1"/>
  <c r="N847" i="13"/>
  <c r="J846" i="13" a="1"/>
  <c r="J846" i="13" s="1"/>
  <c r="N846" i="14"/>
  <c r="J845" i="14" a="1"/>
  <c r="J845" i="14" s="1"/>
  <c r="L669" i="13"/>
  <c r="I670" i="13" s="1"/>
  <c r="M849" i="13"/>
  <c r="M850" i="14"/>
  <c r="K691" i="14" l="1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/>
  <c r="L670" i="13" s="1"/>
  <c r="I671" i="13" s="1"/>
  <c r="K692" i="14" l="1"/>
  <c r="K671" i="13"/>
  <c r="L671" i="13" s="1"/>
  <c r="I672" i="13" s="1"/>
  <c r="N848" i="14"/>
  <c r="J847" i="14" a="1"/>
  <c r="J847" i="14" s="1"/>
  <c r="N849" i="13"/>
  <c r="J848" i="13" a="1"/>
  <c r="J848" i="13" s="1"/>
  <c r="M852" i="14"/>
  <c r="M851" i="13"/>
  <c r="K672" i="13" l="1"/>
  <c r="L672" i="13" s="1"/>
  <c r="I673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3" i="13" l="1"/>
  <c r="L673" i="13" s="1"/>
  <c r="I674" i="13" s="1"/>
  <c r="N850" i="14"/>
  <c r="J849" i="14" a="1"/>
  <c r="J849" i="14" s="1"/>
  <c r="M853" i="13"/>
  <c r="N851" i="13"/>
  <c r="J850" i="13" a="1"/>
  <c r="J850" i="13" s="1"/>
  <c r="M854" i="14"/>
  <c r="K693" i="14"/>
  <c r="K674" i="13" l="1"/>
  <c r="L674" i="13" s="1"/>
  <c r="I675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5" i="13" l="1"/>
  <c r="L675" i="13" s="1"/>
  <c r="I676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95" i="14" l="1"/>
  <c r="L695" i="14" s="1"/>
  <c r="I696" i="14" s="1"/>
  <c r="K676" i="13"/>
  <c r="L676" i="13" s="1"/>
  <c r="I677" i="13" s="1"/>
  <c r="M856" i="13"/>
  <c r="N853" i="14"/>
  <c r="J852" i="14" a="1"/>
  <c r="J852" i="14" s="1"/>
  <c r="M857" i="14"/>
  <c r="N854" i="13"/>
  <c r="J853" i="13" a="1"/>
  <c r="J853" i="13" s="1"/>
  <c r="K677" i="13" l="1"/>
  <c r="L677" i="13" s="1"/>
  <c r="I678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97" i="14" l="1"/>
  <c r="L697" i="14" s="1"/>
  <c r="I698" i="14" s="1"/>
  <c r="K678" i="13"/>
  <c r="L678" i="13" s="1"/>
  <c r="I679" i="13" s="1"/>
  <c r="N856" i="13"/>
  <c r="J855" i="13" a="1"/>
  <c r="J855" i="13" s="1"/>
  <c r="M858" i="13"/>
  <c r="M859" i="14"/>
  <c r="N855" i="14"/>
  <c r="J854" i="14" a="1"/>
  <c r="J854" i="14" s="1"/>
  <c r="K698" i="14" l="1"/>
  <c r="L698" i="14" s="1"/>
  <c r="I699" i="14" s="1"/>
  <c r="K679" i="13"/>
  <c r="L679" i="13" s="1"/>
  <c r="I680" i="13" s="1"/>
  <c r="M859" i="13"/>
  <c r="N856" i="14"/>
  <c r="J855" i="14" a="1"/>
  <c r="J855" i="14" s="1"/>
  <c r="M860" i="14"/>
  <c r="N857" i="13"/>
  <c r="J856" i="13" a="1"/>
  <c r="J856" i="13" s="1"/>
  <c r="K680" i="13" l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700" i="14" l="1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/>
  <c r="I681" i="13" s="1"/>
  <c r="K701" i="14" l="1"/>
  <c r="L701" i="14" s="1"/>
  <c r="I702" i="14" s="1"/>
  <c r="M862" i="13"/>
  <c r="N860" i="13"/>
  <c r="J859" i="13" a="1"/>
  <c r="J859" i="13" s="1"/>
  <c r="M863" i="14"/>
  <c r="K681" i="13"/>
  <c r="N859" i="14"/>
  <c r="J858" i="14" a="1"/>
  <c r="J858" i="14" s="1"/>
  <c r="K702" i="14" l="1"/>
  <c r="L702" i="14" s="1"/>
  <c r="I703" i="14" s="1"/>
  <c r="M864" i="14"/>
  <c r="M863" i="13"/>
  <c r="N860" i="14"/>
  <c r="J859" i="14" a="1"/>
  <c r="J859" i="14" s="1"/>
  <c r="L681" i="13"/>
  <c r="I682" i="13" s="1"/>
  <c r="N861" i="13"/>
  <c r="J860" i="13" a="1"/>
  <c r="J860" i="13" s="1"/>
  <c r="K703" i="14" l="1"/>
  <c r="L703" i="14" s="1"/>
  <c r="I704" i="14" s="1"/>
  <c r="N861" i="14"/>
  <c r="J860" i="14" a="1"/>
  <c r="J860" i="14" s="1"/>
  <c r="N862" i="13"/>
  <c r="J861" i="13" a="1"/>
  <c r="J861" i="13" s="1"/>
  <c r="M864" i="13"/>
  <c r="K682" i="13"/>
  <c r="L682" i="13" s="1"/>
  <c r="I683" i="13" s="1"/>
  <c r="M865" i="14"/>
  <c r="K683" i="13" l="1"/>
  <c r="L683" i="13" s="1"/>
  <c r="I684" i="13" s="1"/>
  <c r="K704" i="14"/>
  <c r="N862" i="14"/>
  <c r="J861" i="14" a="1"/>
  <c r="J861" i="14" s="1"/>
  <c r="M865" i="13"/>
  <c r="M866" i="14"/>
  <c r="N863" i="13"/>
  <c r="J862" i="13" a="1"/>
  <c r="J862" i="13" s="1"/>
  <c r="K684" i="13" l="1"/>
  <c r="L684" i="13" s="1"/>
  <c r="I685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N864" i="14" l="1"/>
  <c r="J863" i="14" a="1"/>
  <c r="J863" i="14" s="1"/>
  <c r="N865" i="13"/>
  <c r="J864" i="13" a="1"/>
  <c r="J864" i="13" s="1"/>
  <c r="M868" i="14"/>
  <c r="K705" i="14"/>
  <c r="M867" i="13"/>
  <c r="K685" i="13"/>
  <c r="L685" i="13" s="1"/>
  <c r="I686" i="13" s="1"/>
  <c r="K686" i="13" l="1"/>
  <c r="L686" i="13" s="1"/>
  <c r="I687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7" i="13" l="1"/>
  <c r="L687" i="13" s="1"/>
  <c r="I688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707" i="14" l="1"/>
  <c r="L707" i="14" s="1"/>
  <c r="I708" i="14" s="1"/>
  <c r="K688" i="13"/>
  <c r="L688" i="13" s="1"/>
  <c r="I689" i="13" s="1"/>
  <c r="M870" i="13"/>
  <c r="N868" i="13"/>
  <c r="J867" i="13" a="1"/>
  <c r="J867" i="13" s="1"/>
  <c r="M871" i="14"/>
  <c r="N867" i="14"/>
  <c r="J866" i="14" a="1"/>
  <c r="J866" i="14" s="1"/>
  <c r="K689" i="13" l="1"/>
  <c r="L689" i="13" s="1"/>
  <c r="I690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709" i="14" l="1"/>
  <c r="L709" i="14" s="1"/>
  <c r="I710" i="14" s="1"/>
  <c r="K690" i="13"/>
  <c r="L690" i="13" s="1"/>
  <c r="I691" i="13" s="1"/>
  <c r="M872" i="13"/>
  <c r="N869" i="14"/>
  <c r="J868" i="14" a="1"/>
  <c r="J868" i="14" s="1"/>
  <c r="M873" i="14"/>
  <c r="N870" i="13"/>
  <c r="J869" i="13" a="1"/>
  <c r="J869" i="13" s="1"/>
  <c r="K691" i="13" l="1"/>
  <c r="L691" i="13" s="1"/>
  <c r="I692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711" i="14" l="1"/>
  <c r="L711" i="14" s="1"/>
  <c r="I712" i="14" s="1"/>
  <c r="K692" i="13"/>
  <c r="L692" i="13" s="1"/>
  <c r="I693" i="13" s="1"/>
  <c r="M875" i="14"/>
  <c r="M874" i="13"/>
  <c r="N871" i="14"/>
  <c r="J870" i="14" a="1"/>
  <c r="J870" i="14" s="1"/>
  <c r="N872" i="13"/>
  <c r="J871" i="13" a="1"/>
  <c r="J871" i="13" s="1"/>
  <c r="K693" i="13" l="1"/>
  <c r="L693" i="13" s="1"/>
  <c r="I694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4" i="13" l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714" i="14" l="1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/>
  <c r="I695" i="13" s="1"/>
  <c r="K715" i="14" l="1"/>
  <c r="L715" i="14" s="1"/>
  <c r="I716" i="14" s="1"/>
  <c r="M879" i="14"/>
  <c r="K695" i="13"/>
  <c r="L695" i="13" s="1"/>
  <c r="I696" i="13" s="1"/>
  <c r="M878" i="13"/>
  <c r="N875" i="14"/>
  <c r="J874" i="14" a="1"/>
  <c r="J874" i="14" s="1"/>
  <c r="N876" i="13"/>
  <c r="J875" i="13" a="1"/>
  <c r="J875" i="13" s="1"/>
  <c r="K696" i="13" l="1"/>
  <c r="L696" i="13" s="1"/>
  <c r="I697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7" i="13" l="1"/>
  <c r="L697" i="13" s="1"/>
  <c r="I698" i="13" s="1"/>
  <c r="N877" i="14"/>
  <c r="J876" i="14" a="1"/>
  <c r="J876" i="14" s="1"/>
  <c r="M881" i="14"/>
  <c r="N878" i="13"/>
  <c r="J877" i="13" a="1"/>
  <c r="J877" i="13" s="1"/>
  <c r="K717" i="14"/>
  <c r="M880" i="13"/>
  <c r="K698" i="13" l="1"/>
  <c r="L698" i="13" s="1"/>
  <c r="I699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9" i="13" l="1"/>
  <c r="L699" i="13" s="1"/>
  <c r="I700" i="13" s="1"/>
  <c r="M883" i="14"/>
  <c r="N879" i="14"/>
  <c r="J878" i="14" a="1"/>
  <c r="J878" i="14" s="1"/>
  <c r="M882" i="13"/>
  <c r="K718" i="14"/>
  <c r="N880" i="13"/>
  <c r="J879" i="13" a="1"/>
  <c r="J879" i="13" s="1"/>
  <c r="K700" i="13" l="1"/>
  <c r="L700" i="13" s="1"/>
  <c r="I701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1" i="13" l="1"/>
  <c r="L701" i="13" s="1"/>
  <c r="I702" i="13" s="1"/>
  <c r="M884" i="13"/>
  <c r="N882" i="13"/>
  <c r="J881" i="13" a="1"/>
  <c r="J881" i="13" s="1"/>
  <c r="N881" i="14"/>
  <c r="J880" i="14" a="1"/>
  <c r="J880" i="14" s="1"/>
  <c r="K719" i="14"/>
  <c r="M885" i="14"/>
  <c r="K702" i="13" l="1"/>
  <c r="L702" i="13" s="1"/>
  <c r="I703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3" i="13" l="1"/>
  <c r="L703" i="13" s="1"/>
  <c r="I704" i="13" s="1"/>
  <c r="M887" i="14"/>
  <c r="M886" i="13"/>
  <c r="N884" i="13"/>
  <c r="J883" i="13" a="1"/>
  <c r="J883" i="13" s="1"/>
  <c r="K720" i="14"/>
  <c r="N883" i="14"/>
  <c r="J882" i="14" a="1"/>
  <c r="J882" i="14" s="1"/>
  <c r="K704" i="13" l="1"/>
  <c r="M888" i="14"/>
  <c r="N884" i="14"/>
  <c r="J883" i="14" a="1"/>
  <c r="J883" i="14" s="1"/>
  <c r="N885" i="13"/>
  <c r="J884" i="13" a="1"/>
  <c r="J884" i="13" s="1"/>
  <c r="M887" i="13"/>
  <c r="L720" i="14"/>
  <c r="I721" i="14" s="1"/>
  <c r="M889" i="14" l="1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/>
  <c r="I705" i="13" s="1"/>
  <c r="K722" i="14" l="1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/>
  <c r="K723" i="14" l="1"/>
  <c r="L723" i="14" s="1"/>
  <c r="I724" i="14" s="1"/>
  <c r="M890" i="13"/>
  <c r="L705" i="13"/>
  <c r="I706" i="13" s="1"/>
  <c r="N888" i="13"/>
  <c r="J887" i="13" a="1"/>
  <c r="J887" i="13" s="1"/>
  <c r="N887" i="14"/>
  <c r="J886" i="14" a="1"/>
  <c r="J886" i="14" s="1"/>
  <c r="M891" i="14"/>
  <c r="M892" i="14" l="1"/>
  <c r="N889" i="13"/>
  <c r="J888" i="13" a="1"/>
  <c r="J888" i="13" s="1"/>
  <c r="K706" i="13"/>
  <c r="L706" i="13" s="1"/>
  <c r="I707" i="13" s="1"/>
  <c r="N888" i="14"/>
  <c r="J887" i="14" a="1"/>
  <c r="J887" i="14" s="1"/>
  <c r="M891" i="13"/>
  <c r="K724" i="14"/>
  <c r="L724" i="14" s="1"/>
  <c r="I725" i="14" s="1"/>
  <c r="K725" i="14" l="1"/>
  <c r="L725" i="14" s="1"/>
  <c r="I726" i="14" s="1"/>
  <c r="K707" i="13"/>
  <c r="L707" i="13" s="1"/>
  <c r="I708" i="13" s="1"/>
  <c r="N890" i="13"/>
  <c r="J889" i="13" a="1"/>
  <c r="J889" i="13" s="1"/>
  <c r="N889" i="14"/>
  <c r="J888" i="14" a="1"/>
  <c r="J888" i="14" s="1"/>
  <c r="M892" i="13"/>
  <c r="M893" i="14"/>
  <c r="K708" i="13" l="1"/>
  <c r="L708" i="13" s="1"/>
  <c r="I709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27" i="14" l="1"/>
  <c r="L727" i="14" s="1"/>
  <c r="I728" i="14" s="1"/>
  <c r="K709" i="13"/>
  <c r="L709" i="13" s="1"/>
  <c r="I710" i="13" s="1"/>
  <c r="M895" i="14"/>
  <c r="N892" i="13"/>
  <c r="J891" i="13" a="1"/>
  <c r="J891" i="13" s="1"/>
  <c r="M894" i="13"/>
  <c r="N891" i="14"/>
  <c r="J890" i="14" a="1"/>
  <c r="J890" i="14" s="1"/>
  <c r="K710" i="13" l="1"/>
  <c r="L710" i="13" s="1"/>
  <c r="I711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29" i="14" l="1"/>
  <c r="L729" i="14" s="1"/>
  <c r="I730" i="14" s="1"/>
  <c r="K711" i="13"/>
  <c r="L711" i="13" s="1"/>
  <c r="I712" i="13" s="1"/>
  <c r="M896" i="13"/>
  <c r="M897" i="14"/>
  <c r="N893" i="14"/>
  <c r="J892" i="14" a="1"/>
  <c r="J892" i="14" s="1"/>
  <c r="N894" i="13"/>
  <c r="J893" i="13" a="1"/>
  <c r="J893" i="13" s="1"/>
  <c r="K712" i="13" l="1"/>
  <c r="L712" i="13" s="1"/>
  <c r="I713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31" i="14" l="1"/>
  <c r="L731" i="14" s="1"/>
  <c r="I732" i="14" s="1"/>
  <c r="K713" i="13"/>
  <c r="L713" i="13" s="1"/>
  <c r="I714" i="13" s="1"/>
  <c r="N896" i="13"/>
  <c r="J895" i="13" a="1"/>
  <c r="J895" i="13" s="1"/>
  <c r="N895" i="14"/>
  <c r="J894" i="14" a="1"/>
  <c r="J894" i="14" s="1"/>
  <c r="M898" i="13"/>
  <c r="M899" i="14"/>
  <c r="K714" i="13" l="1"/>
  <c r="L714" i="13" s="1"/>
  <c r="I715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33" i="14" l="1"/>
  <c r="L733" i="14" s="1"/>
  <c r="I734" i="14" s="1"/>
  <c r="K715" i="13"/>
  <c r="L715" i="13" s="1"/>
  <c r="I716" i="13" s="1"/>
  <c r="N897" i="14"/>
  <c r="J896" i="14" a="1"/>
  <c r="J896" i="14" s="1"/>
  <c r="M900" i="13"/>
  <c r="N898" i="13"/>
  <c r="J897" i="13" a="1"/>
  <c r="J897" i="13" s="1"/>
  <c r="M901" i="14"/>
  <c r="K716" i="13" l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35" i="14" l="1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/>
  <c r="I717" i="13" s="1"/>
  <c r="K736" i="14" l="1"/>
  <c r="L736" i="14" s="1"/>
  <c r="I737" i="14" s="1"/>
  <c r="M903" i="13"/>
  <c r="N901" i="13"/>
  <c r="J900" i="13" a="1"/>
  <c r="J900" i="13" s="1"/>
  <c r="K717" i="13"/>
  <c r="M904" i="14"/>
  <c r="N900" i="14"/>
  <c r="J899" i="14" a="1"/>
  <c r="J899" i="14" s="1"/>
  <c r="K737" i="14" l="1"/>
  <c r="L737" i="14" s="1"/>
  <c r="I738" i="14" s="1"/>
  <c r="M904" i="13"/>
  <c r="M905" i="14"/>
  <c r="N901" i="14"/>
  <c r="J900" i="14" a="1"/>
  <c r="J900" i="14" s="1"/>
  <c r="L717" i="13"/>
  <c r="I718" i="13" s="1"/>
  <c r="N902" i="13"/>
  <c r="J901" i="13" a="1"/>
  <c r="J901" i="13" s="1"/>
  <c r="K738" i="14" l="1"/>
  <c r="L738" i="14" s="1"/>
  <c r="I739" i="14" s="1"/>
  <c r="N903" i="13"/>
  <c r="J902" i="13" a="1"/>
  <c r="J902" i="13" s="1"/>
  <c r="M906" i="14"/>
  <c r="K718" i="13"/>
  <c r="M905" i="13"/>
  <c r="N902" i="14"/>
  <c r="J901" i="14" a="1"/>
  <c r="J901" i="14" s="1"/>
  <c r="K739" i="14" l="1"/>
  <c r="L739" i="14" s="1"/>
  <c r="I740" i="14" s="1"/>
  <c r="N904" i="13"/>
  <c r="J903" i="13" a="1"/>
  <c r="J903" i="13" s="1"/>
  <c r="N903" i="14"/>
  <c r="J902" i="14" a="1"/>
  <c r="J902" i="14" s="1"/>
  <c r="L718" i="13"/>
  <c r="I719" i="13" s="1"/>
  <c r="M906" i="13"/>
  <c r="M907" i="14"/>
  <c r="K740" i="14" l="1"/>
  <c r="L740" i="14" s="1"/>
  <c r="I741" i="14" s="1"/>
  <c r="N904" i="14"/>
  <c r="J903" i="14" a="1"/>
  <c r="J903" i="14" s="1"/>
  <c r="M907" i="13"/>
  <c r="M908" i="14"/>
  <c r="K719" i="13"/>
  <c r="N905" i="13"/>
  <c r="J904" i="13" a="1"/>
  <c r="J904" i="13" s="1"/>
  <c r="K741" i="14" l="1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/>
  <c r="I720" i="13" s="1"/>
  <c r="K742" i="14" l="1"/>
  <c r="L742" i="14" s="1"/>
  <c r="I743" i="14" s="1"/>
  <c r="M910" i="14"/>
  <c r="K720" i="13"/>
  <c r="L720" i="13" s="1"/>
  <c r="I721" i="13" s="1"/>
  <c r="M909" i="13"/>
  <c r="N907" i="13"/>
  <c r="J906" i="13" a="1"/>
  <c r="J906" i="13" s="1"/>
  <c r="N906" i="14"/>
  <c r="J905" i="14" a="1"/>
  <c r="J905" i="14" s="1"/>
  <c r="K721" i="13" l="1"/>
  <c r="L721" i="13" s="1"/>
  <c r="I722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44" i="14" l="1"/>
  <c r="L744" i="14" s="1"/>
  <c r="I745" i="14" s="1"/>
  <c r="K722" i="13"/>
  <c r="L722" i="13" s="1"/>
  <c r="I723" i="13" s="1"/>
  <c r="M912" i="14"/>
  <c r="N909" i="13"/>
  <c r="J908" i="13" a="1"/>
  <c r="J908" i="13" s="1"/>
  <c r="M911" i="13"/>
  <c r="N908" i="14"/>
  <c r="J907" i="14" a="1"/>
  <c r="J907" i="14" s="1"/>
  <c r="K723" i="13" l="1"/>
  <c r="L723" i="13" s="1"/>
  <c r="I724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46" i="14" l="1"/>
  <c r="L746" i="14" s="1"/>
  <c r="I747" i="14" s="1"/>
  <c r="K724" i="13"/>
  <c r="L724" i="13" s="1"/>
  <c r="I725" i="13" s="1"/>
  <c r="N911" i="13"/>
  <c r="J910" i="13" a="1"/>
  <c r="J910" i="13" s="1"/>
  <c r="M913" i="13"/>
  <c r="N910" i="14"/>
  <c r="J909" i="14" a="1"/>
  <c r="J909" i="14" s="1"/>
  <c r="M914" i="14"/>
  <c r="K747" i="14" l="1"/>
  <c r="L747" i="14" s="1"/>
  <c r="I748" i="14" s="1"/>
  <c r="N911" i="14"/>
  <c r="J910" i="14" a="1"/>
  <c r="J910" i="14" s="1"/>
  <c r="N912" i="13"/>
  <c r="J911" i="13" a="1"/>
  <c r="J911" i="13" s="1"/>
  <c r="K725" i="13"/>
  <c r="L725" i="13" s="1"/>
  <c r="I726" i="13" s="1"/>
  <c r="M915" i="14"/>
  <c r="M914" i="13"/>
  <c r="K726" i="13" l="1"/>
  <c r="L726" i="13" s="1"/>
  <c r="I727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49" i="14" l="1"/>
  <c r="L749" i="14" s="1"/>
  <c r="I750" i="14" s="1"/>
  <c r="K727" i="13"/>
  <c r="L727" i="13" s="1"/>
  <c r="I728" i="13" s="1"/>
  <c r="N913" i="14"/>
  <c r="J912" i="14" a="1"/>
  <c r="J912" i="14" s="1"/>
  <c r="N914" i="13"/>
  <c r="J913" i="13" a="1"/>
  <c r="J913" i="13" s="1"/>
  <c r="M917" i="14"/>
  <c r="M916" i="13"/>
  <c r="K728" i="13" l="1"/>
  <c r="L728" i="13" s="1"/>
  <c r="I729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51" i="14" l="1"/>
  <c r="L751" i="14" s="1"/>
  <c r="I752" i="14" s="1"/>
  <c r="K729" i="13"/>
  <c r="L729" i="13" s="1"/>
  <c r="I730" i="13" s="1"/>
  <c r="M918" i="13"/>
  <c r="M919" i="14"/>
  <c r="N915" i="14"/>
  <c r="J914" i="14" a="1"/>
  <c r="J914" i="14" s="1"/>
  <c r="N916" i="13"/>
  <c r="J915" i="13" a="1"/>
  <c r="J915" i="13" s="1"/>
  <c r="K730" i="13" l="1"/>
  <c r="L730" i="13" s="1"/>
  <c r="I731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1" i="13" l="1"/>
  <c r="L731" i="13" s="1"/>
  <c r="I732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2" i="13" l="1"/>
  <c r="L732" i="13" s="1"/>
  <c r="I733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3" i="13" l="1"/>
  <c r="L733" i="13" s="1"/>
  <c r="I734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4" i="13" l="1"/>
  <c r="L734" i="13" s="1"/>
  <c r="I735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57" i="14" l="1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/>
  <c r="L735" i="13" s="1"/>
  <c r="I736" i="13" s="1"/>
  <c r="K758" i="14" l="1"/>
  <c r="L758" i="14" s="1"/>
  <c r="I759" i="14" s="1"/>
  <c r="K736" i="13"/>
  <c r="L736" i="13" s="1"/>
  <c r="I737" i="13" s="1"/>
  <c r="M925" i="13"/>
  <c r="N923" i="13"/>
  <c r="J922" i="13" a="1"/>
  <c r="J922" i="13" s="1"/>
  <c r="M926" i="14"/>
  <c r="N922" i="14"/>
  <c r="J921" i="14" a="1"/>
  <c r="J921" i="14" s="1"/>
  <c r="K737" i="13" l="1"/>
  <c r="L737" i="13" s="1"/>
  <c r="I738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60" i="14" l="1"/>
  <c r="L760" i="14" s="1"/>
  <c r="I761" i="14" s="1"/>
  <c r="K738" i="13"/>
  <c r="L738" i="13" s="1"/>
  <c r="I739" i="13" s="1"/>
  <c r="M928" i="14"/>
  <c r="M927" i="13"/>
  <c r="N925" i="13"/>
  <c r="J924" i="13" a="1"/>
  <c r="J924" i="13" s="1"/>
  <c r="N924" i="14"/>
  <c r="J923" i="14" a="1"/>
  <c r="J923" i="14" s="1"/>
  <c r="K761" i="14" l="1"/>
  <c r="L761" i="14" s="1"/>
  <c r="I762" i="14" s="1"/>
  <c r="K739" i="13"/>
  <c r="L739" i="13" s="1"/>
  <c r="I740" i="13" s="1"/>
  <c r="M928" i="13"/>
  <c r="N925" i="14"/>
  <c r="J924" i="14" a="1"/>
  <c r="J924" i="14" s="1"/>
  <c r="M929" i="14"/>
  <c r="N926" i="13"/>
  <c r="J925" i="13" a="1"/>
  <c r="J925" i="13" s="1"/>
  <c r="K740" i="13" l="1"/>
  <c r="L740" i="13" s="1"/>
  <c r="I741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63" i="14" l="1"/>
  <c r="L763" i="14" s="1"/>
  <c r="I764" i="14" s="1"/>
  <c r="K741" i="13"/>
  <c r="L741" i="13" s="1"/>
  <c r="I742" i="13" s="1"/>
  <c r="M930" i="13"/>
  <c r="M931" i="14"/>
  <c r="N928" i="13"/>
  <c r="J927" i="13" a="1"/>
  <c r="J927" i="13" s="1"/>
  <c r="N927" i="14"/>
  <c r="J926" i="14" a="1"/>
  <c r="J926" i="14" s="1"/>
  <c r="K742" i="13" l="1"/>
  <c r="L742" i="13" s="1"/>
  <c r="I743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65" i="14" l="1"/>
  <c r="L765" i="14" s="1"/>
  <c r="I766" i="14" s="1"/>
  <c r="K743" i="13"/>
  <c r="L743" i="13" s="1"/>
  <c r="I744" i="13" s="1"/>
  <c r="M932" i="13"/>
  <c r="N930" i="13"/>
  <c r="J929" i="13" a="1"/>
  <c r="J929" i="13" s="1"/>
  <c r="M933" i="14"/>
  <c r="N929" i="14"/>
  <c r="J928" i="14" a="1"/>
  <c r="J928" i="14" s="1"/>
  <c r="K766" i="14" l="1"/>
  <c r="L766" i="14" s="1"/>
  <c r="I767" i="14" s="1"/>
  <c r="K744" i="13"/>
  <c r="L744" i="13" s="1"/>
  <c r="I745" i="13" s="1"/>
  <c r="N931" i="13"/>
  <c r="J930" i="13" a="1"/>
  <c r="J930" i="13" s="1"/>
  <c r="M933" i="13"/>
  <c r="J929" i="14" a="1"/>
  <c r="J929" i="14" s="1"/>
  <c r="N930" i="14"/>
  <c r="M934" i="14"/>
  <c r="K745" i="13" l="1"/>
  <c r="L745" i="13" s="1"/>
  <c r="I746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68" i="14" l="1"/>
  <c r="L768" i="14" s="1"/>
  <c r="I769" i="14" s="1"/>
  <c r="K746" i="13"/>
  <c r="L746" i="13" s="1"/>
  <c r="I747" i="13" s="1"/>
  <c r="N933" i="13"/>
  <c r="J932" i="13" a="1"/>
  <c r="J932" i="13" s="1"/>
  <c r="M936" i="14"/>
  <c r="M935" i="13"/>
  <c r="J931" i="14" a="1"/>
  <c r="J931" i="14" s="1"/>
  <c r="N932" i="14"/>
  <c r="K747" i="13" l="1"/>
  <c r="L747" i="13" s="1"/>
  <c r="I748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70" i="14" l="1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/>
  <c r="L748" i="13" s="1"/>
  <c r="I749" i="13" s="1"/>
  <c r="K771" i="14" l="1"/>
  <c r="L771" i="14" s="1"/>
  <c r="I772" i="14" s="1"/>
  <c r="K749" i="13"/>
  <c r="L749" i="13" s="1"/>
  <c r="I750" i="13" s="1"/>
  <c r="M939" i="14"/>
  <c r="N936" i="13"/>
  <c r="J935" i="13" a="1"/>
  <c r="J935" i="13" s="1"/>
  <c r="M938" i="13"/>
  <c r="N935" i="14"/>
  <c r="J934" i="14" a="1"/>
  <c r="J934" i="14" s="1"/>
  <c r="K750" i="13" l="1"/>
  <c r="L750" i="13" s="1"/>
  <c r="I751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1" i="13" l="1"/>
  <c r="L751" i="13" s="1"/>
  <c r="I752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74" i="14" l="1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/>
  <c r="L752" i="13" s="1"/>
  <c r="I753" i="13" s="1"/>
  <c r="K753" i="13" l="1"/>
  <c r="L753" i="13" s="1"/>
  <c r="I754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4" i="13" l="1"/>
  <c r="L754" i="13" s="1"/>
  <c r="I755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77" i="14" l="1"/>
  <c r="L777" i="14" s="1"/>
  <c r="I778" i="14" s="1"/>
  <c r="K755" i="13"/>
  <c r="L755" i="13" s="1"/>
  <c r="I756" i="13" s="1"/>
  <c r="N941" i="14"/>
  <c r="J940" i="14" a="1"/>
  <c r="J940" i="14" s="1"/>
  <c r="N942" i="13"/>
  <c r="J941" i="13" a="1"/>
  <c r="J941" i="13" s="1"/>
  <c r="M944" i="13"/>
  <c r="M945" i="14"/>
  <c r="K756" i="13" l="1"/>
  <c r="L756" i="13" s="1"/>
  <c r="I757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79" i="14" l="1"/>
  <c r="L779" i="14" s="1"/>
  <c r="I780" i="14" s="1"/>
  <c r="K757" i="13"/>
  <c r="L757" i="13" s="1"/>
  <c r="I758" i="13" s="1"/>
  <c r="N943" i="14"/>
  <c r="J942" i="14" a="1"/>
  <c r="J942" i="14" s="1"/>
  <c r="M947" i="14"/>
  <c r="N944" i="13"/>
  <c r="J943" i="13" a="1"/>
  <c r="J943" i="13" s="1"/>
  <c r="M946" i="13"/>
  <c r="K758" i="13" l="1"/>
  <c r="L758" i="13" s="1"/>
  <c r="I759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9" i="13" l="1"/>
  <c r="L759" i="13" s="1"/>
  <c r="I760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82" i="14" l="1"/>
  <c r="L782" i="14" s="1"/>
  <c r="I783" i="14" s="1"/>
  <c r="K760" i="13"/>
  <c r="L760" i="13" s="1"/>
  <c r="I761" i="13" s="1"/>
  <c r="N947" i="13"/>
  <c r="J946" i="13" a="1"/>
  <c r="J946" i="13" s="1"/>
  <c r="J945" i="14" a="1"/>
  <c r="J945" i="14" s="1"/>
  <c r="N946" i="14"/>
  <c r="M950" i="14"/>
  <c r="M949" i="13"/>
  <c r="K783" i="14" l="1"/>
  <c r="L783" i="14" s="1"/>
  <c r="I784" i="14" s="1"/>
  <c r="K761" i="13"/>
  <c r="L761" i="13" s="1"/>
  <c r="I762" i="13" s="1"/>
  <c r="M950" i="13"/>
  <c r="N947" i="14"/>
  <c r="J946" i="14" a="1"/>
  <c r="J946" i="14" s="1"/>
  <c r="M951" i="14"/>
  <c r="N948" i="13"/>
  <c r="J947" i="13" a="1"/>
  <c r="J947" i="13" s="1"/>
  <c r="K784" i="14" l="1"/>
  <c r="L784" i="14" s="1"/>
  <c r="I785" i="14" s="1"/>
  <c r="K762" i="13"/>
  <c r="L762" i="13" s="1"/>
  <c r="I763" i="13" s="1"/>
  <c r="N949" i="13"/>
  <c r="J948" i="13" a="1"/>
  <c r="J948" i="13" s="1"/>
  <c r="J947" i="14" a="1"/>
  <c r="J947" i="14" s="1"/>
  <c r="N948" i="14"/>
  <c r="M952" i="14"/>
  <c r="M951" i="13"/>
  <c r="K785" i="14" l="1"/>
  <c r="L785" i="14" s="1"/>
  <c r="I786" i="14" s="1"/>
  <c r="K763" i="13"/>
  <c r="L763" i="13" s="1"/>
  <c r="I764" i="13" s="1"/>
  <c r="M953" i="14"/>
  <c r="M952" i="13"/>
  <c r="N949" i="14"/>
  <c r="J948" i="14" a="1"/>
  <c r="J948" i="14" s="1"/>
  <c r="N950" i="13"/>
  <c r="J949" i="13" a="1"/>
  <c r="J949" i="13" s="1"/>
  <c r="K764" i="13" l="1"/>
  <c r="L764" i="13" s="1"/>
  <c r="I765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87" i="14" l="1"/>
  <c r="L787" i="14" s="1"/>
  <c r="I788" i="14" s="1"/>
  <c r="K765" i="13"/>
  <c r="L765" i="13" s="1"/>
  <c r="I766" i="13" s="1"/>
  <c r="N952" i="13"/>
  <c r="J951" i="13" a="1"/>
  <c r="J951" i="13" s="1"/>
  <c r="N951" i="14"/>
  <c r="J950" i="14" a="1"/>
  <c r="J950" i="14" s="1"/>
  <c r="M955" i="14"/>
  <c r="M954" i="13"/>
  <c r="K766" i="13" l="1"/>
  <c r="L766" i="13" s="1"/>
  <c r="I767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7" i="13" l="1"/>
  <c r="L767" i="13" s="1"/>
  <c r="I768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8" i="13" l="1"/>
  <c r="L768" i="13" s="1"/>
  <c r="I769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91" i="14" l="1"/>
  <c r="L791" i="14" s="1"/>
  <c r="I792" i="14" s="1"/>
  <c r="K769" i="13"/>
  <c r="L769" i="13" s="1"/>
  <c r="I770" i="13" s="1"/>
  <c r="M959" i="14"/>
  <c r="M958" i="13"/>
  <c r="N956" i="13"/>
  <c r="J955" i="13" a="1"/>
  <c r="J955" i="13" s="1"/>
  <c r="N955" i="14"/>
  <c r="J954" i="14" a="1"/>
  <c r="J954" i="14" s="1"/>
  <c r="K792" i="14" l="1"/>
  <c r="L792" i="14" s="1"/>
  <c r="I793" i="14" s="1"/>
  <c r="M959" i="13"/>
  <c r="K770" i="13"/>
  <c r="L770" i="13" s="1"/>
  <c r="I771" i="13" s="1"/>
  <c r="M960" i="14"/>
  <c r="J955" i="14" a="1"/>
  <c r="J955" i="14" s="1"/>
  <c r="N956" i="14"/>
  <c r="N957" i="13"/>
  <c r="J956" i="13" a="1"/>
  <c r="J956" i="13" s="1"/>
  <c r="K793" i="14" l="1"/>
  <c r="L793" i="14" s="1"/>
  <c r="I794" i="14" s="1"/>
  <c r="K771" i="13"/>
  <c r="L771" i="13" s="1"/>
  <c r="I772" i="13" s="1"/>
  <c r="M961" i="14"/>
  <c r="M960" i="13"/>
  <c r="N958" i="13"/>
  <c r="J957" i="13" a="1"/>
  <c r="J957" i="13" s="1"/>
  <c r="N957" i="14"/>
  <c r="J956" i="14" a="1"/>
  <c r="J956" i="14" s="1"/>
  <c r="K772" i="13" l="1"/>
  <c r="L772" i="13" s="1"/>
  <c r="I773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95" i="14" l="1"/>
  <c r="L795" i="14" s="1"/>
  <c r="I796" i="14" s="1"/>
  <c r="K773" i="13"/>
  <c r="L773" i="13" s="1"/>
  <c r="I774" i="13" s="1"/>
  <c r="N960" i="13"/>
  <c r="J959" i="13" a="1"/>
  <c r="J959" i="13" s="1"/>
  <c r="N959" i="14"/>
  <c r="J958" i="14" a="1"/>
  <c r="J958" i="14" s="1"/>
  <c r="M963" i="14"/>
  <c r="M962" i="13"/>
  <c r="K796" i="14" l="1"/>
  <c r="L796" i="14" s="1"/>
  <c r="I797" i="14" s="1"/>
  <c r="M964" i="14"/>
  <c r="M963" i="13"/>
  <c r="J959" i="14" a="1"/>
  <c r="J959" i="14" s="1"/>
  <c r="N960" i="14"/>
  <c r="K774" i="13"/>
  <c r="L774" i="13" s="1"/>
  <c r="I775" i="13" s="1"/>
  <c r="N961" i="13"/>
  <c r="J960" i="13" a="1"/>
  <c r="J960" i="13" s="1"/>
  <c r="K775" i="13" l="1"/>
  <c r="L775" i="13" s="1"/>
  <c r="I776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98" i="14" l="1"/>
  <c r="L798" i="14" s="1"/>
  <c r="I799" i="14" s="1"/>
  <c r="K776" i="13"/>
  <c r="L776" i="13" s="1"/>
  <c r="I777" i="13" s="1"/>
  <c r="M965" i="13"/>
  <c r="M966" i="14"/>
  <c r="N963" i="13"/>
  <c r="J962" i="13" a="1"/>
  <c r="J962" i="13" s="1"/>
  <c r="J961" i="14" a="1"/>
  <c r="J961" i="14" s="1"/>
  <c r="N962" i="14"/>
  <c r="K799" i="14" l="1"/>
  <c r="L799" i="14" s="1"/>
  <c r="I800" i="14" s="1"/>
  <c r="K777" i="13"/>
  <c r="L777" i="13" s="1"/>
  <c r="I778" i="13" s="1"/>
  <c r="N963" i="14"/>
  <c r="J962" i="14" a="1"/>
  <c r="J962" i="14" s="1"/>
  <c r="M967" i="14"/>
  <c r="M966" i="13"/>
  <c r="N964" i="13"/>
  <c r="J963" i="13" a="1"/>
  <c r="J963" i="13" s="1"/>
  <c r="K800" i="14" l="1"/>
  <c r="L800" i="14" s="1"/>
  <c r="I801" i="14" s="1"/>
  <c r="K778" i="13"/>
  <c r="L778" i="13" s="1"/>
  <c r="I779" i="13" s="1"/>
  <c r="M968" i="14"/>
  <c r="N965" i="13"/>
  <c r="J964" i="13" a="1"/>
  <c r="J964" i="13" s="1"/>
  <c r="M967" i="13"/>
  <c r="J963" i="14" a="1"/>
  <c r="J963" i="14" s="1"/>
  <c r="N964" i="14"/>
  <c r="K779" i="13" l="1"/>
  <c r="L779" i="13" s="1"/>
  <c r="I780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80" i="13" l="1"/>
  <c r="L780" i="13" s="1"/>
  <c r="I781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803" i="14" l="1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/>
  <c r="L781" i="13" s="1"/>
  <c r="I782" i="13" s="1"/>
  <c r="K782" i="13" l="1"/>
  <c r="L782" i="13" s="1"/>
  <c r="I783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805" i="14" l="1"/>
  <c r="L805" i="14" s="1"/>
  <c r="I806" i="14" s="1"/>
  <c r="K783" i="13"/>
  <c r="L783" i="13" s="1"/>
  <c r="I784" i="13" s="1"/>
  <c r="N969" i="14"/>
  <c r="J968" i="14" a="1"/>
  <c r="J968" i="14" s="1"/>
  <c r="M973" i="14"/>
  <c r="M972" i="13"/>
  <c r="N970" i="13"/>
  <c r="J969" i="13" a="1"/>
  <c r="J969" i="13" s="1"/>
  <c r="K806" i="14" l="1"/>
  <c r="L806" i="14" s="1"/>
  <c r="I807" i="14" s="1"/>
  <c r="K784" i="13"/>
  <c r="L784" i="13" s="1"/>
  <c r="I785" i="13" s="1"/>
  <c r="N971" i="13"/>
  <c r="J970" i="13" a="1"/>
  <c r="J970" i="13" s="1"/>
  <c r="M973" i="13"/>
  <c r="M974" i="14"/>
  <c r="J969" i="14" a="1"/>
  <c r="J969" i="14" s="1"/>
  <c r="N970" i="14"/>
  <c r="K785" i="13" l="1"/>
  <c r="L785" i="13" s="1"/>
  <c r="I786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808" i="14" l="1"/>
  <c r="L808" i="14" s="1"/>
  <c r="I809" i="14" s="1"/>
  <c r="K786" i="13"/>
  <c r="L786" i="13" s="1"/>
  <c r="I787" i="13" s="1"/>
  <c r="N973" i="13"/>
  <c r="J972" i="13" a="1"/>
  <c r="J972" i="13" s="1"/>
  <c r="M975" i="13"/>
  <c r="M976" i="14"/>
  <c r="J971" i="14" a="1"/>
  <c r="J971" i="14" s="1"/>
  <c r="N972" i="14"/>
  <c r="K809" i="14" l="1"/>
  <c r="L809" i="14" s="1"/>
  <c r="I810" i="14" s="1"/>
  <c r="M977" i="14"/>
  <c r="N973" i="14"/>
  <c r="J972" i="14" a="1"/>
  <c r="J972" i="14" s="1"/>
  <c r="M976" i="13"/>
  <c r="K787" i="13"/>
  <c r="L787" i="13" s="1"/>
  <c r="I788" i="13" s="1"/>
  <c r="N974" i="13"/>
  <c r="J973" i="13" a="1"/>
  <c r="J973" i="13" s="1"/>
  <c r="K788" i="13" l="1"/>
  <c r="L788" i="13" s="1"/>
  <c r="I789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9" i="13" l="1"/>
  <c r="L789" i="13" s="1"/>
  <c r="I790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812" i="14" l="1"/>
  <c r="L812" i="14" s="1"/>
  <c r="I813" i="14" s="1"/>
  <c r="K790" i="13"/>
  <c r="L790" i="13" s="1"/>
  <c r="I791" i="13" s="1"/>
  <c r="M979" i="13"/>
  <c r="M980" i="14"/>
  <c r="N977" i="13"/>
  <c r="J976" i="13" a="1"/>
  <c r="J976" i="13" s="1"/>
  <c r="J975" i="14" a="1"/>
  <c r="J975" i="14" s="1"/>
  <c r="N976" i="14"/>
  <c r="K791" i="13" l="1"/>
  <c r="L791" i="13" s="1"/>
  <c r="I792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814" i="14" l="1"/>
  <c r="L814" i="14" s="1"/>
  <c r="I815" i="14" s="1"/>
  <c r="K792" i="13"/>
  <c r="L792" i="13" s="1"/>
  <c r="I793" i="13" s="1"/>
  <c r="M982" i="14"/>
  <c r="N979" i="13"/>
  <c r="J978" i="13" a="1"/>
  <c r="J978" i="13" s="1"/>
  <c r="M981" i="13"/>
  <c r="J977" i="14" a="1"/>
  <c r="J977" i="14" s="1"/>
  <c r="N978" i="14"/>
  <c r="K793" i="13" l="1"/>
  <c r="L793" i="13" s="1"/>
  <c r="I794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816" i="14" l="1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/>
  <c r="L794" i="13" s="1"/>
  <c r="I795" i="13" s="1"/>
  <c r="K795" i="13" l="1"/>
  <c r="L795" i="13" s="1"/>
  <c r="I796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818" i="14" l="1"/>
  <c r="L818" i="14" s="1"/>
  <c r="I819" i="14" s="1"/>
  <c r="K796" i="13"/>
  <c r="L796" i="13" s="1"/>
  <c r="I797" i="13" s="1"/>
  <c r="N983" i="13"/>
  <c r="J982" i="13" a="1"/>
  <c r="J982" i="13" s="1"/>
  <c r="J981" i="14" a="1"/>
  <c r="J981" i="14" s="1"/>
  <c r="N982" i="14"/>
  <c r="M985" i="13"/>
  <c r="M986" i="14"/>
  <c r="K819" i="14" l="1"/>
  <c r="L819" i="14" s="1"/>
  <c r="I820" i="14" s="1"/>
  <c r="K797" i="13"/>
  <c r="L797" i="13" s="1"/>
  <c r="I798" i="13" s="1"/>
  <c r="M986" i="13"/>
  <c r="M987" i="14"/>
  <c r="N983" i="14"/>
  <c r="J982" i="14" a="1"/>
  <c r="J982" i="14" s="1"/>
  <c r="N984" i="13"/>
  <c r="J983" i="13" a="1"/>
  <c r="J983" i="13" s="1"/>
  <c r="K798" i="13" l="1"/>
  <c r="L798" i="13" s="1"/>
  <c r="I799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821" i="14" l="1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/>
  <c r="L799" i="13" s="1"/>
  <c r="I800" i="13" s="1"/>
  <c r="K800" i="13" l="1"/>
  <c r="L800" i="13" s="1"/>
  <c r="I801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23" i="14" l="1"/>
  <c r="L823" i="14" s="1"/>
  <c r="I824" i="14" s="1"/>
  <c r="K801" i="13"/>
  <c r="L801" i="13" s="1"/>
  <c r="I802" i="13" s="1"/>
  <c r="N987" i="14"/>
  <c r="J986" i="14" a="1"/>
  <c r="J986" i="14" s="1"/>
  <c r="N988" i="13"/>
  <c r="J987" i="13" a="1"/>
  <c r="J987" i="13" s="1"/>
  <c r="M990" i="13"/>
  <c r="M991" i="14"/>
  <c r="K824" i="14" l="1"/>
  <c r="L824" i="14" s="1"/>
  <c r="I825" i="14" s="1"/>
  <c r="N989" i="13"/>
  <c r="J988" i="13" a="1"/>
  <c r="J988" i="13" s="1"/>
  <c r="K802" i="13"/>
  <c r="L802" i="13" s="1"/>
  <c r="I803" i="13" s="1"/>
  <c r="M992" i="14"/>
  <c r="M991" i="13"/>
  <c r="J987" i="14" a="1"/>
  <c r="J987" i="14" s="1"/>
  <c r="N988" i="14"/>
  <c r="K803" i="13" l="1"/>
  <c r="L803" i="13" s="1"/>
  <c r="I804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4" i="13" l="1"/>
  <c r="L804" i="13" s="1"/>
  <c r="I805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5" i="13" l="1"/>
  <c r="L805" i="13" s="1"/>
  <c r="I806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28" i="14" l="1"/>
  <c r="L828" i="14" s="1"/>
  <c r="I829" i="14" s="1"/>
  <c r="K806" i="13"/>
  <c r="L806" i="13" s="1"/>
  <c r="I807" i="13" s="1"/>
  <c r="M995" i="13"/>
  <c r="J991" i="14" a="1"/>
  <c r="J991" i="14" s="1"/>
  <c r="N992" i="14"/>
  <c r="M996" i="14"/>
  <c r="N993" i="13"/>
  <c r="J992" i="13" a="1"/>
  <c r="J992" i="13" s="1"/>
  <c r="K807" i="13" l="1"/>
  <c r="L807" i="13" s="1"/>
  <c r="I808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8" i="13" l="1"/>
  <c r="L808" i="13" s="1"/>
  <c r="I809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31" i="14" l="1"/>
  <c r="L831" i="14" s="1"/>
  <c r="I832" i="14" s="1"/>
  <c r="K809" i="13"/>
  <c r="L809" i="13" s="1"/>
  <c r="I810" i="13" s="1"/>
  <c r="N996" i="13"/>
  <c r="J995" i="13" a="1"/>
  <c r="J995" i="13" s="1"/>
  <c r="M999" i="14"/>
  <c r="M998" i="13"/>
  <c r="N995" i="14"/>
  <c r="J994" i="14" a="1"/>
  <c r="J994" i="14" s="1"/>
  <c r="K810" i="13" l="1"/>
  <c r="L810" i="13" s="1"/>
  <c r="I811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33" i="14" l="1"/>
  <c r="L833" i="14" s="1"/>
  <c r="I834" i="14" s="1"/>
  <c r="K811" i="13"/>
  <c r="L811" i="13" s="1"/>
  <c r="I812" i="13" s="1"/>
  <c r="N998" i="13"/>
  <c r="J997" i="13" a="1"/>
  <c r="J997" i="13" s="1"/>
  <c r="M1000" i="13"/>
  <c r="M1001" i="14"/>
  <c r="N997" i="14"/>
  <c r="J996" i="14" a="1"/>
  <c r="J996" i="14" s="1"/>
  <c r="K812" i="13" l="1"/>
  <c r="L812" i="13" s="1"/>
  <c r="I813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35" i="14" l="1"/>
  <c r="L835" i="14" s="1"/>
  <c r="I836" i="14" s="1"/>
  <c r="K813" i="13"/>
  <c r="L813" i="13" s="1"/>
  <c r="I814" i="13" s="1"/>
  <c r="N1000" i="13"/>
  <c r="J999" i="13" a="1"/>
  <c r="J999" i="13" s="1"/>
  <c r="M1003" i="14"/>
  <c r="M1002" i="13"/>
  <c r="N999" i="14"/>
  <c r="J998" i="14" a="1"/>
  <c r="J998" i="14" s="1"/>
  <c r="K814" i="13" l="1"/>
  <c r="L814" i="13" s="1"/>
  <c r="I815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37" i="14" l="1"/>
  <c r="L837" i="14" s="1"/>
  <c r="I838" i="14" s="1"/>
  <c r="K815" i="13"/>
  <c r="L815" i="13" s="1"/>
  <c r="I816" i="13" s="1"/>
  <c r="M1004" i="13"/>
  <c r="N1001" i="14"/>
  <c r="J1000" i="14" a="1"/>
  <c r="J1000" i="14" s="1"/>
  <c r="M1005" i="14"/>
  <c r="N1002" i="13"/>
  <c r="J1001" i="13" a="1"/>
  <c r="J1001" i="13" s="1"/>
  <c r="K816" i="13" l="1"/>
  <c r="L816" i="13" s="1"/>
  <c r="I817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39" i="14" l="1"/>
  <c r="L839" i="14" s="1"/>
  <c r="I840" i="14" s="1"/>
  <c r="K817" i="13"/>
  <c r="L817" i="13" s="1"/>
  <c r="I818" i="13" s="1"/>
  <c r="M1006" i="13"/>
  <c r="N1003" i="14"/>
  <c r="J1002" i="14" a="1"/>
  <c r="J1002" i="14" s="1"/>
  <c r="M1007" i="14"/>
  <c r="N1004" i="13"/>
  <c r="J1003" i="13" a="1"/>
  <c r="J1003" i="13" s="1"/>
  <c r="K818" i="13" l="1"/>
  <c r="L818" i="13" s="1"/>
  <c r="I819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41" i="14" l="1"/>
  <c r="L841" i="14" s="1"/>
  <c r="I842" i="14" s="1"/>
  <c r="K819" i="13"/>
  <c r="L819" i="13" s="1"/>
  <c r="I820" i="13" s="1"/>
  <c r="M1008" i="13"/>
  <c r="N1006" i="13"/>
  <c r="J1005" i="13" a="1"/>
  <c r="J1005" i="13" s="1"/>
  <c r="M1009" i="14"/>
  <c r="N1005" i="14"/>
  <c r="J1004" i="14" a="1"/>
  <c r="J1004" i="14" s="1"/>
  <c r="K820" i="13" l="1"/>
  <c r="L820" i="13" s="1"/>
  <c r="I821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43" i="14" l="1"/>
  <c r="L843" i="14" s="1"/>
  <c r="I844" i="14" s="1"/>
  <c r="K821" i="13"/>
  <c r="L821" i="13" s="1"/>
  <c r="I822" i="13" s="1"/>
  <c r="J1006" i="14" a="1"/>
  <c r="J1006" i="14" s="1"/>
  <c r="N1007" i="14"/>
  <c r="N1008" i="13"/>
  <c r="J1007" i="13" a="1"/>
  <c r="J1007" i="13" s="1"/>
  <c r="M1010" i="13"/>
  <c r="M1011" i="14"/>
  <c r="K844" i="14" l="1"/>
  <c r="L844" i="14" s="1"/>
  <c r="I845" i="14" s="1"/>
  <c r="K822" i="13"/>
  <c r="L822" i="13" s="1"/>
  <c r="I823" i="13" s="1"/>
  <c r="M1011" i="13"/>
  <c r="N1009" i="13"/>
  <c r="J1008" i="13" a="1"/>
  <c r="J1008" i="13" s="1"/>
  <c r="M1012" i="14"/>
  <c r="N1008" i="14"/>
  <c r="J1007" i="14" a="1"/>
  <c r="J1007" i="14" s="1"/>
  <c r="K823" i="13" l="1"/>
  <c r="L823" i="13" s="1"/>
  <c r="I824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46" i="14" l="1"/>
  <c r="L846" i="14" s="1"/>
  <c r="I847" i="14" s="1"/>
  <c r="K824" i="13"/>
  <c r="L824" i="13" s="1"/>
  <c r="I825" i="13" s="1"/>
  <c r="M1014" i="14"/>
  <c r="N1011" i="13"/>
  <c r="J1010" i="13" a="1"/>
  <c r="J1010" i="13" s="1"/>
  <c r="M1013" i="13"/>
  <c r="N1010" i="14"/>
  <c r="J1009" i="14" a="1"/>
  <c r="J1009" i="14" s="1"/>
  <c r="K847" i="14" l="1"/>
  <c r="L847" i="14" s="1"/>
  <c r="I848" i="14" s="1"/>
  <c r="K825" i="13"/>
  <c r="L825" i="13" s="1"/>
  <c r="I826" i="13" s="1"/>
  <c r="N1012" i="13"/>
  <c r="J1011" i="13" a="1"/>
  <c r="J1011" i="13" s="1"/>
  <c r="J1010" i="14" a="1"/>
  <c r="J1010" i="14" s="1"/>
  <c r="N1011" i="14"/>
  <c r="M1014" i="13"/>
  <c r="M1015" i="14"/>
  <c r="K848" i="14" l="1"/>
  <c r="L848" i="14" s="1"/>
  <c r="I849" i="14" s="1"/>
  <c r="K826" i="13"/>
  <c r="L826" i="13" s="1"/>
  <c r="I827" i="13" s="1"/>
  <c r="M1016" i="14"/>
  <c r="N1012" i="14"/>
  <c r="J1011" i="14" a="1"/>
  <c r="J1011" i="14" s="1"/>
  <c r="M1015" i="13"/>
  <c r="N1013" i="13"/>
  <c r="J1012" i="13" a="1"/>
  <c r="J1012" i="13" s="1"/>
  <c r="K827" i="13" l="1"/>
  <c r="L827" i="13" s="1"/>
  <c r="I828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50" i="14" l="1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/>
  <c r="L828" i="13" s="1"/>
  <c r="I829" i="13" s="1"/>
  <c r="K851" i="14" l="1"/>
  <c r="L851" i="14" s="1"/>
  <c r="I852" i="14" s="1"/>
  <c r="K829" i="13"/>
  <c r="L829" i="13" s="1"/>
  <c r="I830" i="13" s="1"/>
  <c r="M1018" i="13"/>
  <c r="N1016" i="13"/>
  <c r="J1015" i="13" a="1"/>
  <c r="J1015" i="13" s="1"/>
  <c r="M1019" i="14"/>
  <c r="J1014" i="14" a="1"/>
  <c r="J1014" i="14" s="1"/>
  <c r="N1015" i="14"/>
  <c r="K852" i="14" l="1"/>
  <c r="L852" i="14" s="1"/>
  <c r="I853" i="14" s="1"/>
  <c r="K830" i="13"/>
  <c r="L830" i="13" s="1"/>
  <c r="I831" i="13" s="1"/>
  <c r="N1017" i="13"/>
  <c r="J1016" i="13" a="1"/>
  <c r="J1016" i="13" s="1"/>
  <c r="M1019" i="13"/>
  <c r="N1016" i="14"/>
  <c r="J1015" i="14" a="1"/>
  <c r="J1015" i="14" s="1"/>
  <c r="M1020" i="14"/>
  <c r="K853" i="14" l="1"/>
  <c r="L853" i="14" s="1"/>
  <c r="I854" i="14" s="1"/>
  <c r="K831" i="13"/>
  <c r="L831" i="13" s="1"/>
  <c r="I832" i="13" s="1"/>
  <c r="N1017" i="14"/>
  <c r="J1016" i="14" a="1"/>
  <c r="J1016" i="14" s="1"/>
  <c r="M1021" i="14"/>
  <c r="M1020" i="13"/>
  <c r="N1018" i="13"/>
  <c r="J1017" i="13" a="1"/>
  <c r="J1017" i="13" s="1"/>
  <c r="K854" i="14" l="1"/>
  <c r="L854" i="14" s="1"/>
  <c r="I855" i="14" s="1"/>
  <c r="K832" i="13"/>
  <c r="L832" i="13" s="1"/>
  <c r="I833" i="13" s="1"/>
  <c r="N1019" i="13"/>
  <c r="J1018" i="13" a="1"/>
  <c r="J1018" i="13" s="1"/>
  <c r="M1022" i="14"/>
  <c r="M1021" i="13"/>
  <c r="N1018" i="14"/>
  <c r="J1017" i="14" a="1"/>
  <c r="J1017" i="14" s="1"/>
  <c r="K833" i="13" l="1"/>
  <c r="L833" i="13" s="1"/>
  <c r="I834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4" i="13" l="1"/>
  <c r="L834" i="13" s="1"/>
  <c r="I835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57" i="14" l="1"/>
  <c r="L857" i="14" s="1"/>
  <c r="I858" i="14" s="1"/>
  <c r="K835" i="13"/>
  <c r="L835" i="13" s="1"/>
  <c r="I836" i="13" s="1"/>
  <c r="M1024" i="13"/>
  <c r="N1022" i="13"/>
  <c r="J1021" i="13" a="1"/>
  <c r="J1021" i="13" s="1"/>
  <c r="N1021" i="14"/>
  <c r="J1020" i="14" a="1"/>
  <c r="J1020" i="14" s="1"/>
  <c r="M1025" i="14"/>
  <c r="K836" i="13" l="1"/>
  <c r="L836" i="13" s="1"/>
  <c r="I837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59" i="14" l="1"/>
  <c r="L859" i="14" s="1"/>
  <c r="I860" i="14" s="1"/>
  <c r="K837" i="13"/>
  <c r="L837" i="13" s="1"/>
  <c r="I838" i="13" s="1"/>
  <c r="N1024" i="13"/>
  <c r="J1023" i="13" a="1"/>
  <c r="J1023" i="13" s="1"/>
  <c r="J1022" i="14" a="1"/>
  <c r="J1022" i="14" s="1"/>
  <c r="N1023" i="14"/>
  <c r="M1026" i="13"/>
  <c r="M1027" i="14"/>
  <c r="K838" i="13" l="1"/>
  <c r="L838" i="13" s="1"/>
  <c r="I839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9" i="13" l="1"/>
  <c r="L839" i="13" s="1"/>
  <c r="I840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62" i="14" l="1"/>
  <c r="L862" i="14" s="1"/>
  <c r="I863" i="14" s="1"/>
  <c r="K840" i="13"/>
  <c r="L840" i="13" s="1"/>
  <c r="I841" i="13" s="1"/>
  <c r="J1025" i="14" a="1"/>
  <c r="J1025" i="14" s="1"/>
  <c r="N1026" i="14"/>
  <c r="M1030" i="14"/>
  <c r="M1029" i="13"/>
  <c r="N1027" i="13"/>
  <c r="J1026" i="13" a="1"/>
  <c r="J1026" i="13" s="1"/>
  <c r="K863" i="14" l="1"/>
  <c r="L863" i="14" s="1"/>
  <c r="I864" i="14" s="1"/>
  <c r="K841" i="13"/>
  <c r="L841" i="13" s="1"/>
  <c r="I842" i="13" s="1"/>
  <c r="M1030" i="13"/>
  <c r="N1028" i="13"/>
  <c r="J1027" i="13" a="1"/>
  <c r="J1027" i="13" s="1"/>
  <c r="M1031" i="14"/>
  <c r="J1026" i="14" a="1"/>
  <c r="J1026" i="14" s="1"/>
  <c r="N1027" i="14"/>
  <c r="K864" i="14" l="1"/>
  <c r="L864" i="14" s="1"/>
  <c r="I865" i="14" s="1"/>
  <c r="K842" i="13"/>
  <c r="L842" i="13" s="1"/>
  <c r="I843" i="13" s="1"/>
  <c r="N1029" i="13"/>
  <c r="J1028" i="13" a="1"/>
  <c r="J1028" i="13" s="1"/>
  <c r="M1032" i="14"/>
  <c r="M1031" i="13"/>
  <c r="N1028" i="14"/>
  <c r="J1027" i="14" a="1"/>
  <c r="J1027" i="14" s="1"/>
  <c r="K843" i="13" l="1"/>
  <c r="L843" i="13" s="1"/>
  <c r="I844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66" i="14" l="1"/>
  <c r="L866" i="14" s="1"/>
  <c r="I867" i="14" s="1"/>
  <c r="K844" i="13"/>
  <c r="L844" i="13" s="1"/>
  <c r="I845" i="13" s="1"/>
  <c r="N1031" i="13"/>
  <c r="J1030" i="13" a="1"/>
  <c r="J1030" i="13" s="1"/>
  <c r="M1033" i="13"/>
  <c r="M1034" i="14"/>
  <c r="J1029" i="14" a="1"/>
  <c r="J1029" i="14" s="1"/>
  <c r="N1030" i="14"/>
  <c r="K867" i="14" l="1"/>
  <c r="L867" i="14" s="1"/>
  <c r="I868" i="14" s="1"/>
  <c r="K845" i="13"/>
  <c r="L845" i="13" s="1"/>
  <c r="I846" i="13" s="1"/>
  <c r="M1035" i="14"/>
  <c r="J1030" i="14" a="1"/>
  <c r="J1030" i="14" s="1"/>
  <c r="N1031" i="14"/>
  <c r="M1034" i="13"/>
  <c r="N1032" i="13"/>
  <c r="J1031" i="13" a="1"/>
  <c r="J1031" i="13" s="1"/>
  <c r="K846" i="13" l="1"/>
  <c r="L846" i="13" s="1"/>
  <c r="I847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7" i="13" l="1"/>
  <c r="L847" i="13" s="1"/>
  <c r="I848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70" i="14" l="1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/>
  <c r="L848" i="13" s="1"/>
  <c r="I849" i="13" s="1"/>
  <c r="K849" i="13" l="1"/>
  <c r="L849" i="13" s="1"/>
  <c r="I850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72" i="14" l="1"/>
  <c r="L872" i="14" s="1"/>
  <c r="I873" i="14" s="1"/>
  <c r="K850" i="13"/>
  <c r="L850" i="13" s="1"/>
  <c r="I851" i="13" s="1"/>
  <c r="N1036" i="14"/>
  <c r="J1035" i="14" a="1"/>
  <c r="J1035" i="14" s="1"/>
  <c r="M1039" i="13"/>
  <c r="M1040" i="14"/>
  <c r="N1037" i="13"/>
  <c r="J1036" i="13" a="1"/>
  <c r="J1036" i="13" s="1"/>
  <c r="M1040" i="13" l="1"/>
  <c r="N1038" i="13"/>
  <c r="J1037" i="13" a="1"/>
  <c r="J1037" i="13" s="1"/>
  <c r="K851" i="13"/>
  <c r="L851" i="13" s="1"/>
  <c r="I852" i="13" s="1"/>
  <c r="M1041" i="14"/>
  <c r="N1037" i="14"/>
  <c r="J1036" i="14" a="1"/>
  <c r="J1036" i="14" s="1"/>
  <c r="K873" i="14"/>
  <c r="L873" i="14" s="1"/>
  <c r="I874" i="14" s="1"/>
  <c r="K852" i="13" l="1"/>
  <c r="L852" i="13" s="1"/>
  <c r="I853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N1040" i="13" l="1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/>
  <c r="L853" i="13" s="1"/>
  <c r="I854" i="13" s="1"/>
  <c r="K854" i="13" l="1"/>
  <c r="L854" i="13" s="1"/>
  <c r="I855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5" i="13" l="1"/>
  <c r="L855" i="13" s="1"/>
  <c r="I856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6" i="13" l="1"/>
  <c r="L856" i="13" s="1"/>
  <c r="I857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7" i="13" l="1"/>
  <c r="L857" i="13" s="1"/>
  <c r="I858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80" i="14" l="1"/>
  <c r="L880" i="14" s="1"/>
  <c r="I881" i="14" s="1"/>
  <c r="K858" i="13"/>
  <c r="L858" i="13" s="1"/>
  <c r="I859" i="13" s="1"/>
  <c r="N1045" i="13"/>
  <c r="J1044" i="13" a="1"/>
  <c r="J1044" i="13" s="1"/>
  <c r="M1047" i="13"/>
  <c r="M1048" i="14"/>
  <c r="N1044" i="14"/>
  <c r="J1043" i="14" a="1"/>
  <c r="J1043" i="14" s="1"/>
  <c r="K859" i="13" l="1"/>
  <c r="L859" i="13" s="1"/>
  <c r="I860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82" i="14" l="1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/>
  <c r="L860" i="13" s="1"/>
  <c r="I861" i="13" s="1"/>
  <c r="K883" i="14" l="1"/>
  <c r="L883" i="14" s="1"/>
  <c r="I884" i="14" s="1"/>
  <c r="K861" i="13"/>
  <c r="L861" i="13" s="1"/>
  <c r="I862" i="13" s="1"/>
  <c r="M1050" i="13"/>
  <c r="N1048" i="13"/>
  <c r="J1047" i="13" a="1"/>
  <c r="J1047" i="13" s="1"/>
  <c r="M1051" i="14"/>
  <c r="J1046" i="14" a="1"/>
  <c r="J1046" i="14" s="1"/>
  <c r="N1047" i="14"/>
  <c r="K862" i="13" l="1"/>
  <c r="L862" i="13" s="1"/>
  <c r="I863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3" i="13" l="1"/>
  <c r="L863" i="13" s="1"/>
  <c r="I864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86" i="14" l="1"/>
  <c r="L886" i="14" s="1"/>
  <c r="I887" i="14" s="1"/>
  <c r="K864" i="13"/>
  <c r="L864" i="13" s="1"/>
  <c r="I865" i="13" s="1"/>
  <c r="N1051" i="13"/>
  <c r="J1050" i="13" a="1"/>
  <c r="J1050" i="13" s="1"/>
  <c r="J1049" i="14" a="1"/>
  <c r="J1049" i="14" s="1"/>
  <c r="N1050" i="14"/>
  <c r="M1054" i="14"/>
  <c r="M1053" i="13"/>
  <c r="K887" i="14" l="1"/>
  <c r="L887" i="14" s="1"/>
  <c r="I888" i="14" s="1"/>
  <c r="K865" i="13"/>
  <c r="L865" i="13" s="1"/>
  <c r="I866" i="13" s="1"/>
  <c r="J1050" i="14" a="1"/>
  <c r="J1050" i="14" s="1"/>
  <c r="N1051" i="14"/>
  <c r="M1054" i="13"/>
  <c r="M1055" i="14"/>
  <c r="N1052" i="13"/>
  <c r="J1051" i="13" a="1"/>
  <c r="J1051" i="13" s="1"/>
  <c r="K866" i="13" l="1"/>
  <c r="L866" i="13" s="1"/>
  <c r="I867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89" i="14" l="1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/>
  <c r="L867" i="13" s="1"/>
  <c r="I868" i="13" s="1"/>
  <c r="K890" i="14" l="1"/>
  <c r="L890" i="14" s="1"/>
  <c r="I891" i="14" s="1"/>
  <c r="J1053" i="14" a="1"/>
  <c r="J1053" i="14" s="1"/>
  <c r="N1054" i="14"/>
  <c r="K868" i="13"/>
  <c r="L868" i="13" s="1"/>
  <c r="I869" i="13" s="1"/>
  <c r="N1055" i="13"/>
  <c r="J1054" i="13" a="1"/>
  <c r="J1054" i="13" s="1"/>
  <c r="M1058" i="14"/>
  <c r="M1057" i="13"/>
  <c r="K869" i="13" l="1"/>
  <c r="L869" i="13" s="1"/>
  <c r="I870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92" i="14" l="1"/>
  <c r="L892" i="14" s="1"/>
  <c r="I893" i="14" s="1"/>
  <c r="K870" i="13"/>
  <c r="L870" i="13" s="1"/>
  <c r="I871" i="13" s="1"/>
  <c r="M1059" i="13"/>
  <c r="N1057" i="13"/>
  <c r="J1056" i="13" a="1"/>
  <c r="J1056" i="13" s="1"/>
  <c r="M1060" i="14"/>
  <c r="N1056" i="14"/>
  <c r="J1055" i="14" a="1"/>
  <c r="J1055" i="14" s="1"/>
  <c r="K893" i="14" l="1"/>
  <c r="L893" i="14" s="1"/>
  <c r="I894" i="14" s="1"/>
  <c r="N1058" i="13"/>
  <c r="J1057" i="13" a="1"/>
  <c r="J1057" i="13" s="1"/>
  <c r="N1057" i="14"/>
  <c r="J1056" i="14" a="1"/>
  <c r="J1056" i="14" s="1"/>
  <c r="K871" i="13"/>
  <c r="L871" i="13" s="1"/>
  <c r="I872" i="13" s="1"/>
  <c r="M1060" i="13"/>
  <c r="M1061" i="14"/>
  <c r="K872" i="13" l="1"/>
  <c r="L872" i="13" s="1"/>
  <c r="I873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95" i="14" l="1"/>
  <c r="L895" i="14" s="1"/>
  <c r="I896" i="14" s="1"/>
  <c r="K873" i="13"/>
  <c r="L873" i="13" s="1"/>
  <c r="I874" i="13" s="1"/>
  <c r="J1058" i="14" a="1"/>
  <c r="J1058" i="14" s="1"/>
  <c r="N1059" i="14"/>
  <c r="N1060" i="13"/>
  <c r="J1059" i="13" a="1"/>
  <c r="J1059" i="13" s="1"/>
  <c r="M1062" i="13"/>
  <c r="M1063" i="14"/>
  <c r="K874" i="13" l="1"/>
  <c r="L874" i="13" s="1"/>
  <c r="I875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97" i="14" l="1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/>
  <c r="L875" i="13" s="1"/>
  <c r="I876" i="13" s="1"/>
  <c r="K876" i="13" l="1"/>
  <c r="L876" i="13" s="1"/>
  <c r="I877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7" i="13" l="1"/>
  <c r="L877" i="13" s="1"/>
  <c r="I878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8" i="13" l="1"/>
  <c r="L878" i="13" s="1"/>
  <c r="I879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901" i="14" l="1"/>
  <c r="L901" i="14" s="1"/>
  <c r="I902" i="14" s="1"/>
  <c r="K879" i="13"/>
  <c r="L879" i="13" s="1"/>
  <c r="I880" i="13" s="1"/>
  <c r="M1069" i="14"/>
  <c r="N1066" i="13"/>
  <c r="J1065" i="13" a="1"/>
  <c r="J1065" i="13" s="1"/>
  <c r="M1068" i="13"/>
  <c r="N1065" i="14"/>
  <c r="J1064" i="14" a="1"/>
  <c r="J1064" i="14" s="1"/>
  <c r="K902" i="14" l="1"/>
  <c r="L902" i="14" s="1"/>
  <c r="I903" i="14" s="1"/>
  <c r="K880" i="13"/>
  <c r="L880" i="13" s="1"/>
  <c r="I881" i="13" s="1"/>
  <c r="J1065" i="14" a="1"/>
  <c r="J1065" i="14" s="1"/>
  <c r="N1066" i="14"/>
  <c r="N1067" i="13"/>
  <c r="J1066" i="13" a="1"/>
  <c r="J1066" i="13" s="1"/>
  <c r="M1069" i="13"/>
  <c r="M1070" i="14"/>
  <c r="K903" i="14" l="1"/>
  <c r="L903" i="14" s="1"/>
  <c r="I904" i="14" s="1"/>
  <c r="K881" i="13"/>
  <c r="L881" i="13" s="1"/>
  <c r="I882" i="13" s="1"/>
  <c r="M1071" i="14"/>
  <c r="N1068" i="13"/>
  <c r="J1067" i="13" a="1"/>
  <c r="J1067" i="13" s="1"/>
  <c r="M1070" i="13"/>
  <c r="J1066" i="14" a="1"/>
  <c r="J1066" i="14" s="1"/>
  <c r="N1067" i="14"/>
  <c r="K904" i="14" l="1"/>
  <c r="L904" i="14" s="1"/>
  <c r="I905" i="14" s="1"/>
  <c r="K882" i="13"/>
  <c r="L882" i="13" s="1"/>
  <c r="I883" i="13" s="1"/>
  <c r="N1068" i="14"/>
  <c r="J1067" i="14" a="1"/>
  <c r="J1067" i="14" s="1"/>
  <c r="N1069" i="13"/>
  <c r="J1068" i="13" a="1"/>
  <c r="J1068" i="13" s="1"/>
  <c r="M1071" i="13"/>
  <c r="M1072" i="14"/>
  <c r="K905" i="14" l="1"/>
  <c r="L905" i="14" s="1"/>
  <c r="I906" i="14" s="1"/>
  <c r="K883" i="13"/>
  <c r="L883" i="13" s="1"/>
  <c r="I884" i="13" s="1"/>
  <c r="N1070" i="13"/>
  <c r="J1069" i="13" a="1"/>
  <c r="J1069" i="13" s="1"/>
  <c r="M1073" i="14"/>
  <c r="M1072" i="13"/>
  <c r="N1069" i="14"/>
  <c r="J1068" i="14" a="1"/>
  <c r="J1068" i="14" s="1"/>
  <c r="K906" i="14" l="1"/>
  <c r="L906" i="14" s="1"/>
  <c r="I907" i="14" s="1"/>
  <c r="K884" i="13"/>
  <c r="L884" i="13" s="1"/>
  <c r="I885" i="13" s="1"/>
  <c r="J1069" i="14" a="1"/>
  <c r="J1069" i="14" s="1"/>
  <c r="N1070" i="14"/>
  <c r="M1074" i="14"/>
  <c r="M1073" i="13"/>
  <c r="N1071" i="13"/>
  <c r="J1070" i="13" a="1"/>
  <c r="J1070" i="13" s="1"/>
  <c r="K907" i="14" l="1"/>
  <c r="L907" i="14" s="1"/>
  <c r="I908" i="14" s="1"/>
  <c r="M1075" i="14"/>
  <c r="K885" i="13"/>
  <c r="L885" i="13" s="1"/>
  <c r="I886" i="13" s="1"/>
  <c r="N1072" i="13"/>
  <c r="J1071" i="13" a="1"/>
  <c r="J1071" i="13" s="1"/>
  <c r="M1074" i="13"/>
  <c r="J1070" i="14" a="1"/>
  <c r="J1070" i="14" s="1"/>
  <c r="N1071" i="14"/>
  <c r="M1076" i="14" l="1"/>
  <c r="N1073" i="13"/>
  <c r="J1072" i="13" a="1"/>
  <c r="J1072" i="13" s="1"/>
  <c r="M1075" i="13"/>
  <c r="N1072" i="14"/>
  <c r="J1071" i="14" a="1"/>
  <c r="J1071" i="14" s="1"/>
  <c r="K886" i="13"/>
  <c r="L886" i="13" s="1"/>
  <c r="I887" i="13" s="1"/>
  <c r="K908" i="14"/>
  <c r="L908" i="14" s="1"/>
  <c r="I909" i="14" s="1"/>
  <c r="K909" i="14" l="1"/>
  <c r="L909" i="14" s="1"/>
  <c r="I910" i="14" s="1"/>
  <c r="K887" i="13"/>
  <c r="L887" i="13" s="1"/>
  <c r="I888" i="13" s="1"/>
  <c r="N1074" i="13"/>
  <c r="J1073" i="13" a="1"/>
  <c r="J1073" i="13" s="1"/>
  <c r="N1073" i="14"/>
  <c r="J1072" i="14" a="1"/>
  <c r="J1072" i="14" s="1"/>
  <c r="M1076" i="13"/>
  <c r="M1077" i="14"/>
  <c r="K888" i="13" l="1"/>
  <c r="L888" i="13" s="1"/>
  <c r="I889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911" i="14" l="1"/>
  <c r="L911" i="14" s="1"/>
  <c r="I912" i="14" s="1"/>
  <c r="K889" i="13"/>
  <c r="L889" i="13" s="1"/>
  <c r="I890" i="13" s="1"/>
  <c r="J1074" i="14" a="1"/>
  <c r="J1074" i="14" s="1"/>
  <c r="N1075" i="14"/>
  <c r="N1076" i="13"/>
  <c r="J1075" i="13" a="1"/>
  <c r="J1075" i="13" s="1"/>
  <c r="M1078" i="13"/>
  <c r="M1079" i="14"/>
  <c r="K912" i="14" l="1"/>
  <c r="L912" i="14" s="1"/>
  <c r="I913" i="14" s="1"/>
  <c r="K890" i="13"/>
  <c r="L890" i="13" s="1"/>
  <c r="I891" i="13" s="1"/>
  <c r="N1077" i="13"/>
  <c r="J1076" i="13" a="1"/>
  <c r="J1076" i="13" s="1"/>
  <c r="M1080" i="14"/>
  <c r="N1076" i="14"/>
  <c r="J1075" i="14" a="1"/>
  <c r="J1075" i="14" s="1"/>
  <c r="M1079" i="13"/>
  <c r="K891" i="13" l="1"/>
  <c r="L891" i="13" s="1"/>
  <c r="I892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914" i="14" l="1"/>
  <c r="L914" i="14" s="1"/>
  <c r="I915" i="14" s="1"/>
  <c r="K892" i="13"/>
  <c r="L892" i="13" s="1"/>
  <c r="I893" i="13" s="1"/>
  <c r="N1079" i="13"/>
  <c r="J1078" i="13" a="1"/>
  <c r="J1078" i="13" s="1"/>
  <c r="M1082" i="14"/>
  <c r="J1077" i="14" a="1"/>
  <c r="J1077" i="14" s="1"/>
  <c r="N1078" i="14"/>
  <c r="M1081" i="13"/>
  <c r="K915" i="14" l="1"/>
  <c r="L915" i="14" s="1"/>
  <c r="I916" i="14" s="1"/>
  <c r="K893" i="13"/>
  <c r="L893" i="13" s="1"/>
  <c r="I894" i="13" s="1"/>
  <c r="N1080" i="13"/>
  <c r="J1079" i="13" a="1"/>
  <c r="J1079" i="13" s="1"/>
  <c r="J1078" i="14" a="1"/>
  <c r="J1078" i="14" s="1"/>
  <c r="N1079" i="14"/>
  <c r="M1082" i="13"/>
  <c r="M1083" i="14"/>
  <c r="K916" i="14" l="1"/>
  <c r="L916" i="14" s="1"/>
  <c r="I917" i="14" s="1"/>
  <c r="K894" i="13"/>
  <c r="L894" i="13" s="1"/>
  <c r="I895" i="13" s="1"/>
  <c r="M1083" i="13"/>
  <c r="M1084" i="14"/>
  <c r="N1080" i="14"/>
  <c r="J1079" i="14" a="1"/>
  <c r="J1079" i="14" s="1"/>
  <c r="N1081" i="13"/>
  <c r="J1080" i="13" a="1"/>
  <c r="J1080" i="13" s="1"/>
  <c r="K917" i="14" l="1"/>
  <c r="L917" i="14" s="1"/>
  <c r="I918" i="14" s="1"/>
  <c r="K895" i="13"/>
  <c r="L895" i="13" s="1"/>
  <c r="I896" i="13" s="1"/>
  <c r="N1082" i="13"/>
  <c r="J1081" i="13" a="1"/>
  <c r="J1081" i="13" s="1"/>
  <c r="M1085" i="14"/>
  <c r="M1084" i="13"/>
  <c r="N1081" i="14"/>
  <c r="J1080" i="14" a="1"/>
  <c r="J1080" i="14" s="1"/>
  <c r="K918" i="14" l="1"/>
  <c r="L918" i="14" s="1"/>
  <c r="I919" i="14" s="1"/>
  <c r="K896" i="13"/>
  <c r="L896" i="13" s="1"/>
  <c r="I897" i="13" s="1"/>
  <c r="M1085" i="13"/>
  <c r="J1081" i="14" a="1"/>
  <c r="J1081" i="14" s="1"/>
  <c r="N1082" i="14"/>
  <c r="M1086" i="14"/>
  <c r="N1083" i="13"/>
  <c r="J1082" i="13" a="1"/>
  <c r="J1082" i="13" s="1"/>
  <c r="K897" i="13" l="1"/>
  <c r="L897" i="13" s="1"/>
  <c r="I898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920" i="14" l="1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/>
  <c r="L898" i="13" s="1"/>
  <c r="I899" i="13" s="1"/>
  <c r="K899" i="13" l="1"/>
  <c r="L899" i="13" s="1"/>
  <c r="I900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922" i="14" l="1"/>
  <c r="L922" i="14" s="1"/>
  <c r="I923" i="14" s="1"/>
  <c r="K900" i="13"/>
  <c r="L900" i="13" s="1"/>
  <c r="I901" i="13" s="1"/>
  <c r="N1087" i="13"/>
  <c r="J1086" i="13" a="1"/>
  <c r="J1086" i="13" s="1"/>
  <c r="M1090" i="14"/>
  <c r="M1089" i="13"/>
  <c r="J1085" i="14" a="1"/>
  <c r="J1085" i="14" s="1"/>
  <c r="N1086" i="14"/>
  <c r="K923" i="14" l="1"/>
  <c r="L923" i="14" s="1"/>
  <c r="I924" i="14" s="1"/>
  <c r="K901" i="13"/>
  <c r="L901" i="13" s="1"/>
  <c r="I902" i="13" s="1"/>
  <c r="M1091" i="14"/>
  <c r="J1086" i="14" a="1"/>
  <c r="J1086" i="14" s="1"/>
  <c r="N1087" i="14"/>
  <c r="M1090" i="13"/>
  <c r="N1088" i="13"/>
  <c r="J1087" i="13" a="1"/>
  <c r="J1087" i="13" s="1"/>
  <c r="K924" i="14" l="1"/>
  <c r="L924" i="14" s="1"/>
  <c r="I925" i="14" s="1"/>
  <c r="K902" i="13"/>
  <c r="L902" i="13" s="1"/>
  <c r="I903" i="13" s="1"/>
  <c r="N1088" i="14"/>
  <c r="J1087" i="14" a="1"/>
  <c r="J1087" i="14" s="1"/>
  <c r="M1091" i="13"/>
  <c r="N1089" i="13"/>
  <c r="J1088" i="13" a="1"/>
  <c r="J1088" i="13" s="1"/>
  <c r="M1092" i="14"/>
  <c r="K903" i="13" l="1"/>
  <c r="L903" i="13" s="1"/>
  <c r="I904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26" i="14" l="1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/>
  <c r="L904" i="13" s="1"/>
  <c r="I905" i="13" s="1"/>
  <c r="K905" i="13" l="1"/>
  <c r="L905" i="13" s="1"/>
  <c r="I906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28" i="14" l="1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/>
  <c r="L906" i="13" s="1"/>
  <c r="I907" i="13" s="1"/>
  <c r="K929" i="14" l="1"/>
  <c r="L929" i="14" s="1"/>
  <c r="I930" i="14" s="1"/>
  <c r="K907" i="13"/>
  <c r="L907" i="13" s="1"/>
  <c r="I908" i="13" s="1"/>
  <c r="M1096" i="13"/>
  <c r="N1094" i="13"/>
  <c r="J1093" i="13" a="1"/>
  <c r="J1093" i="13" s="1"/>
  <c r="N1093" i="14"/>
  <c r="J1092" i="14" a="1"/>
  <c r="J1092" i="14" s="1"/>
  <c r="M1097" i="14"/>
  <c r="K908" i="13" l="1"/>
  <c r="L908" i="13" s="1"/>
  <c r="I909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31" i="14" l="1"/>
  <c r="L931" i="14" s="1"/>
  <c r="I932" i="14" s="1"/>
  <c r="K909" i="13"/>
  <c r="L909" i="13" s="1"/>
  <c r="I910" i="13" s="1"/>
  <c r="N1096" i="13"/>
  <c r="J1095" i="13" a="1"/>
  <c r="J1095" i="13" s="1"/>
  <c r="J1094" i="14" a="1"/>
  <c r="J1094" i="14" s="1"/>
  <c r="N1095" i="14"/>
  <c r="M1098" i="13"/>
  <c r="M1099" i="14"/>
  <c r="K910" i="13" l="1"/>
  <c r="L910" i="13" s="1"/>
  <c r="I911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33" i="14" l="1"/>
  <c r="L933" i="14" s="1"/>
  <c r="I934" i="14" s="1"/>
  <c r="K911" i="13"/>
  <c r="L911" i="13" s="1"/>
  <c r="I912" i="13" s="1"/>
  <c r="N1098" i="13"/>
  <c r="J1097" i="13" a="1"/>
  <c r="J1097" i="13" s="1"/>
  <c r="M1101" i="14"/>
  <c r="M1100" i="13"/>
  <c r="N1097" i="14"/>
  <c r="J1096" i="14" a="1"/>
  <c r="J1096" i="14" s="1"/>
  <c r="K934" i="14" l="1"/>
  <c r="L934" i="14" s="1"/>
  <c r="I935" i="14" s="1"/>
  <c r="K912" i="13"/>
  <c r="L912" i="13" s="1"/>
  <c r="I913" i="13" s="1"/>
  <c r="J1097" i="14" a="1"/>
  <c r="J1097" i="14" s="1"/>
  <c r="N1098" i="14"/>
  <c r="M1102" i="14"/>
  <c r="M1101" i="13"/>
  <c r="N1099" i="13"/>
  <c r="J1098" i="13" a="1"/>
  <c r="J1098" i="13" s="1"/>
  <c r="K913" i="13" l="1"/>
  <c r="L913" i="13" s="1"/>
  <c r="I914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36" i="14" l="1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/>
  <c r="L914" i="13" s="1"/>
  <c r="I915" i="13" s="1"/>
  <c r="K915" i="13" l="1"/>
  <c r="L915" i="13" s="1"/>
  <c r="I916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6" i="13" l="1"/>
  <c r="L916" i="13" s="1"/>
  <c r="I917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39" i="14" l="1"/>
  <c r="L939" i="14" s="1"/>
  <c r="I940" i="14" s="1"/>
  <c r="K917" i="13"/>
  <c r="L917" i="13" s="1"/>
  <c r="I918" i="13" s="1"/>
  <c r="J1102" i="14" a="1"/>
  <c r="J1102" i="14" s="1"/>
  <c r="N1103" i="14"/>
  <c r="M1107" i="14"/>
  <c r="M1106" i="13"/>
  <c r="N1104" i="13"/>
  <c r="J1103" i="13" a="1"/>
  <c r="J1103" i="13" s="1"/>
  <c r="K918" i="13" l="1"/>
  <c r="L918" i="13" s="1"/>
  <c r="I919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41" i="14" l="1"/>
  <c r="L941" i="14" s="1"/>
  <c r="I942" i="14" s="1"/>
  <c r="K919" i="13"/>
  <c r="L919" i="13" s="1"/>
  <c r="I920" i="13" s="1"/>
  <c r="M1108" i="13"/>
  <c r="N1105" i="14"/>
  <c r="J1104" i="14" a="1"/>
  <c r="J1104" i="14" s="1"/>
  <c r="M1109" i="14"/>
  <c r="N1106" i="13"/>
  <c r="J1105" i="13" a="1"/>
  <c r="J1105" i="13" s="1"/>
  <c r="K920" i="13" l="1"/>
  <c r="L920" i="13" s="1"/>
  <c r="I921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43" i="14" l="1"/>
  <c r="L943" i="14" s="1"/>
  <c r="I944" i="14" s="1"/>
  <c r="K921" i="13"/>
  <c r="L921" i="13" s="1"/>
  <c r="I922" i="13" s="1"/>
  <c r="M1110" i="13"/>
  <c r="M1111" i="14"/>
  <c r="J1106" i="14" a="1"/>
  <c r="J1106" i="14" s="1"/>
  <c r="N1107" i="14"/>
  <c r="N1108" i="13"/>
  <c r="J1107" i="13" a="1"/>
  <c r="J1107" i="13" s="1"/>
  <c r="K922" i="13" l="1"/>
  <c r="L922" i="13" s="1"/>
  <c r="I923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45" i="14" l="1"/>
  <c r="L945" i="14" s="1"/>
  <c r="I946" i="14" s="1"/>
  <c r="K923" i="13"/>
  <c r="L923" i="13" s="1"/>
  <c r="I924" i="13" s="1"/>
  <c r="M1112" i="13"/>
  <c r="N1110" i="13"/>
  <c r="J1109" i="13" a="1"/>
  <c r="J1109" i="13" s="1"/>
  <c r="N1109" i="14"/>
  <c r="J1108" i="14" a="1"/>
  <c r="J1108" i="14" s="1"/>
  <c r="M1113" i="14"/>
  <c r="K924" i="13" l="1"/>
  <c r="L924" i="13" s="1"/>
  <c r="I925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5" i="13" l="1"/>
  <c r="L925" i="13" s="1"/>
  <c r="I926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6" i="13" l="1"/>
  <c r="L926" i="13" s="1"/>
  <c r="I927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7" i="13" l="1"/>
  <c r="L927" i="13" s="1"/>
  <c r="I928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8" i="13" l="1"/>
  <c r="L928" i="13" s="1"/>
  <c r="I929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9" i="13" l="1"/>
  <c r="L929" i="13" s="1"/>
  <c r="I930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52" i="14" l="1"/>
  <c r="L952" i="14" s="1"/>
  <c r="I953" i="14" s="1"/>
  <c r="K930" i="13"/>
  <c r="L930" i="13" s="1"/>
  <c r="I931" i="13" s="1"/>
  <c r="N1116" i="14"/>
  <c r="J1115" i="14" a="1"/>
  <c r="J1115" i="14" s="1"/>
  <c r="N1117" i="13"/>
  <c r="J1116" i="13" a="1"/>
  <c r="J1116" i="13" s="1"/>
  <c r="M1119" i="13"/>
  <c r="M1120" i="14"/>
  <c r="K931" i="13" l="1"/>
  <c r="L931" i="13" s="1"/>
  <c r="I932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54" i="14" l="1"/>
  <c r="L954" i="14" s="1"/>
  <c r="I955" i="14" s="1"/>
  <c r="K932" i="13"/>
  <c r="L932" i="13" s="1"/>
  <c r="I933" i="13" s="1"/>
  <c r="J1117" i="14" a="1"/>
  <c r="J1117" i="14" s="1"/>
  <c r="N1118" i="14"/>
  <c r="M1122" i="14"/>
  <c r="M1121" i="13"/>
  <c r="N1119" i="13"/>
  <c r="J1118" i="13" a="1"/>
  <c r="J1118" i="13" s="1"/>
  <c r="K933" i="13" l="1"/>
  <c r="L933" i="13" s="1"/>
  <c r="I934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4" i="13" l="1"/>
  <c r="L934" i="13" s="1"/>
  <c r="I935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57" i="14" l="1"/>
  <c r="L957" i="14" s="1"/>
  <c r="I958" i="14" s="1"/>
  <c r="K935" i="13"/>
  <c r="L935" i="13" s="1"/>
  <c r="I936" i="13" s="1"/>
  <c r="N1121" i="14"/>
  <c r="J1120" i="14" a="1"/>
  <c r="J1120" i="14" s="1"/>
  <c r="N1122" i="13"/>
  <c r="J1121" i="13" a="1"/>
  <c r="J1121" i="13" s="1"/>
  <c r="M1124" i="13"/>
  <c r="M1125" i="14"/>
  <c r="K958" i="14" l="1"/>
  <c r="L958" i="14" s="1"/>
  <c r="I959" i="14" s="1"/>
  <c r="K936" i="13"/>
  <c r="L936" i="13" s="1"/>
  <c r="I937" i="13" s="1"/>
  <c r="N1123" i="13"/>
  <c r="J1122" i="13" a="1"/>
  <c r="J1122" i="13" s="1"/>
  <c r="M1126" i="14"/>
  <c r="M1125" i="13"/>
  <c r="J1121" i="14" a="1"/>
  <c r="J1121" i="14" s="1"/>
  <c r="N1122" i="14"/>
  <c r="K959" i="14" l="1"/>
  <c r="L959" i="14" s="1"/>
  <c r="I960" i="14" s="1"/>
  <c r="K937" i="13"/>
  <c r="L937" i="13" s="1"/>
  <c r="I938" i="13" s="1"/>
  <c r="M1127" i="14"/>
  <c r="M1126" i="13"/>
  <c r="J1122" i="14" a="1"/>
  <c r="J1122" i="14" s="1"/>
  <c r="N1123" i="14"/>
  <c r="N1124" i="13"/>
  <c r="J1123" i="13" a="1"/>
  <c r="J1123" i="13" s="1"/>
  <c r="K938" i="13" l="1"/>
  <c r="L938" i="13" s="1"/>
  <c r="I939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61" i="14" l="1"/>
  <c r="L961" i="14" s="1"/>
  <c r="I962" i="14" s="1"/>
  <c r="K939" i="13"/>
  <c r="L939" i="13" s="1"/>
  <c r="I940" i="13" s="1"/>
  <c r="N1126" i="13"/>
  <c r="J1125" i="13" a="1"/>
  <c r="J1125" i="13" s="1"/>
  <c r="M1128" i="13"/>
  <c r="N1125" i="14"/>
  <c r="J1124" i="14" a="1"/>
  <c r="J1124" i="14" s="1"/>
  <c r="M1129" i="14"/>
  <c r="K962" i="14" l="1"/>
  <c r="L962" i="14" s="1"/>
  <c r="I963" i="14" s="1"/>
  <c r="K940" i="13"/>
  <c r="L940" i="13" s="1"/>
  <c r="I941" i="13" s="1"/>
  <c r="J1125" i="14" a="1"/>
  <c r="J1125" i="14" s="1"/>
  <c r="N1126" i="14"/>
  <c r="M1130" i="14"/>
  <c r="M1129" i="13"/>
  <c r="N1127" i="13"/>
  <c r="J1126" i="13" a="1"/>
  <c r="J1126" i="13" s="1"/>
  <c r="K941" i="13" l="1"/>
  <c r="L941" i="13" s="1"/>
  <c r="I942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2" i="13" l="1"/>
  <c r="L942" i="13" s="1"/>
  <c r="I943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65" i="14" l="1"/>
  <c r="L965" i="14" s="1"/>
  <c r="I966" i="14" s="1"/>
  <c r="K943" i="13"/>
  <c r="L943" i="13" s="1"/>
  <c r="I944" i="13" s="1"/>
  <c r="N1130" i="13"/>
  <c r="J1129" i="13" a="1"/>
  <c r="J1129" i="13" s="1"/>
  <c r="N1129" i="14"/>
  <c r="J1128" i="14" a="1"/>
  <c r="J1128" i="14" s="1"/>
  <c r="M1132" i="13"/>
  <c r="M1133" i="14"/>
  <c r="K944" i="13" l="1"/>
  <c r="L944" i="13" s="1"/>
  <c r="I945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5" i="13" l="1"/>
  <c r="L945" i="13" s="1"/>
  <c r="I946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68" i="14" l="1"/>
  <c r="L968" i="14" s="1"/>
  <c r="I969" i="14" s="1"/>
  <c r="K946" i="13"/>
  <c r="L946" i="13" s="1"/>
  <c r="I947" i="13" s="1"/>
  <c r="N1133" i="13"/>
  <c r="J1132" i="13" a="1"/>
  <c r="J1132" i="13" s="1"/>
  <c r="N1132" i="14"/>
  <c r="J1131" i="14" a="1"/>
  <c r="J1131" i="14" s="1"/>
  <c r="M1136" i="14"/>
  <c r="M1135" i="13"/>
  <c r="K947" i="13" l="1"/>
  <c r="L947" i="13" s="1"/>
  <c r="I948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8" i="13" l="1"/>
  <c r="L948" i="13" s="1"/>
  <c r="I949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71" i="14" l="1"/>
  <c r="L971" i="14" s="1"/>
  <c r="I972" i="14" s="1"/>
  <c r="K949" i="13"/>
  <c r="L949" i="13" s="1"/>
  <c r="I950" i="13" s="1"/>
  <c r="J1134" i="14" a="1"/>
  <c r="J1134" i="14" s="1"/>
  <c r="N1135" i="14"/>
  <c r="M1138" i="13"/>
  <c r="M1139" i="14"/>
  <c r="N1136" i="13"/>
  <c r="J1135" i="13" a="1"/>
  <c r="J1135" i="13" s="1"/>
  <c r="K950" i="13" l="1"/>
  <c r="L950" i="13" s="1"/>
  <c r="I951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73" i="14" l="1"/>
  <c r="L973" i="14" s="1"/>
  <c r="I974" i="14" s="1"/>
  <c r="K951" i="13"/>
  <c r="L951" i="13" s="1"/>
  <c r="I952" i="13" s="1"/>
  <c r="N1137" i="14"/>
  <c r="J1136" i="14" a="1"/>
  <c r="J1136" i="14" s="1"/>
  <c r="M1140" i="13"/>
  <c r="M1141" i="14"/>
  <c r="N1138" i="13"/>
  <c r="J1137" i="13" a="1"/>
  <c r="J1137" i="13" s="1"/>
  <c r="K974" i="14" l="1"/>
  <c r="L974" i="14" s="1"/>
  <c r="I975" i="14" s="1"/>
  <c r="N1139" i="13"/>
  <c r="J1138" i="13" a="1"/>
  <c r="J1138" i="13" s="1"/>
  <c r="K952" i="13"/>
  <c r="L952" i="13" s="1"/>
  <c r="I953" i="13" s="1"/>
  <c r="M1142" i="14"/>
  <c r="M1141" i="13"/>
  <c r="J1137" i="14" a="1"/>
  <c r="J1137" i="14" s="1"/>
  <c r="N1138" i="14"/>
  <c r="K953" i="13" l="1"/>
  <c r="L953" i="13" s="1"/>
  <c r="I954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76" i="14" l="1"/>
  <c r="L976" i="14" s="1"/>
  <c r="I977" i="14" s="1"/>
  <c r="K954" i="13"/>
  <c r="L954" i="13" s="1"/>
  <c r="I955" i="13" s="1"/>
  <c r="N1141" i="13"/>
  <c r="J1140" i="13" a="1"/>
  <c r="J1140" i="13" s="1"/>
  <c r="M1143" i="13"/>
  <c r="M1144" i="14"/>
  <c r="N1140" i="14"/>
  <c r="J1139" i="14" a="1"/>
  <c r="J1139" i="14" s="1"/>
  <c r="K955" i="13" l="1"/>
  <c r="L955" i="13" s="1"/>
  <c r="I956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78" i="14" l="1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/>
  <c r="L956" i="13" s="1"/>
  <c r="I957" i="13" s="1"/>
  <c r="K957" i="13" l="1"/>
  <c r="L957" i="13" s="1"/>
  <c r="I958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8" i="13" l="1"/>
  <c r="L958" i="13" s="1"/>
  <c r="I959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9" i="13" l="1"/>
  <c r="L959" i="13" s="1"/>
  <c r="I960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60" i="13" l="1"/>
  <c r="L960" i="13" s="1"/>
  <c r="I961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83" i="14" l="1"/>
  <c r="L983" i="14" s="1"/>
  <c r="I984" i="14" s="1"/>
  <c r="K961" i="13"/>
  <c r="L961" i="13" s="1"/>
  <c r="I962" i="13" s="1"/>
  <c r="J1146" i="14" a="1"/>
  <c r="J1146" i="14" s="1"/>
  <c r="N1147" i="14"/>
  <c r="M1150" i="13"/>
  <c r="N1148" i="13"/>
  <c r="J1147" i="13" a="1"/>
  <c r="J1147" i="13" s="1"/>
  <c r="M1151" i="14"/>
  <c r="K962" i="13" l="1"/>
  <c r="L962" i="13" s="1"/>
  <c r="I963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85" i="14" l="1"/>
  <c r="L985" i="14" s="1"/>
  <c r="I986" i="14" s="1"/>
  <c r="K963" i="13"/>
  <c r="L963" i="13" s="1"/>
  <c r="I964" i="13" s="1"/>
  <c r="N1150" i="13"/>
  <c r="J1149" i="13" a="1"/>
  <c r="J1149" i="13" s="1"/>
  <c r="M1153" i="14"/>
  <c r="M1152" i="13"/>
  <c r="N1149" i="14"/>
  <c r="J1148" i="14" a="1"/>
  <c r="J1148" i="14" s="1"/>
  <c r="K986" i="14" l="1"/>
  <c r="L986" i="14" s="1"/>
  <c r="I987" i="14" s="1"/>
  <c r="K964" i="13"/>
  <c r="L964" i="13" s="1"/>
  <c r="I965" i="13" s="1"/>
  <c r="J1149" i="14" a="1"/>
  <c r="J1149" i="14" s="1"/>
  <c r="N1150" i="14"/>
  <c r="M1154" i="14"/>
  <c r="M1153" i="13"/>
  <c r="N1151" i="13"/>
  <c r="J1150" i="13" a="1"/>
  <c r="J1150" i="13" s="1"/>
  <c r="K965" i="13" l="1"/>
  <c r="L965" i="13" s="1"/>
  <c r="I966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88" i="14" l="1"/>
  <c r="L988" i="14" s="1"/>
  <c r="I989" i="14" s="1"/>
  <c r="K966" i="13"/>
  <c r="L966" i="13" s="1"/>
  <c r="I967" i="13" s="1"/>
  <c r="N1153" i="13"/>
  <c r="J1152" i="13" a="1"/>
  <c r="J1152" i="13" s="1"/>
  <c r="M1155" i="13"/>
  <c r="M1156" i="14"/>
  <c r="N1152" i="14"/>
  <c r="J1151" i="14" a="1"/>
  <c r="J1151" i="14" s="1"/>
  <c r="K967" i="13" l="1"/>
  <c r="L967" i="13" s="1"/>
  <c r="I968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90" i="14" l="1"/>
  <c r="L990" i="14" s="1"/>
  <c r="I991" i="14" s="1"/>
  <c r="K968" i="13"/>
  <c r="L968" i="13" s="1"/>
  <c r="I969" i="13" s="1"/>
  <c r="N1155" i="13"/>
  <c r="J1154" i="13" a="1"/>
  <c r="J1154" i="13" s="1"/>
  <c r="J1153" i="14" a="1"/>
  <c r="J1153" i="14" s="1"/>
  <c r="N1154" i="14"/>
  <c r="M1157" i="13"/>
  <c r="M1158" i="14"/>
  <c r="K991" i="14" l="1"/>
  <c r="L991" i="14" s="1"/>
  <c r="I992" i="14" s="1"/>
  <c r="K969" i="13"/>
  <c r="L969" i="13" s="1"/>
  <c r="I970" i="13" s="1"/>
  <c r="J1154" i="14" a="1"/>
  <c r="J1154" i="14" s="1"/>
  <c r="N1155" i="14"/>
  <c r="M1158" i="13"/>
  <c r="M1159" i="14"/>
  <c r="N1156" i="13"/>
  <c r="J1155" i="13" a="1"/>
  <c r="J1155" i="13" s="1"/>
  <c r="K970" i="13" l="1"/>
  <c r="L970" i="13" s="1"/>
  <c r="I971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1" i="13" l="1"/>
  <c r="L971" i="13" s="1"/>
  <c r="I972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94" i="14" l="1"/>
  <c r="L994" i="14" s="1"/>
  <c r="I995" i="14" s="1"/>
  <c r="K972" i="13"/>
  <c r="L972" i="13" s="1"/>
  <c r="I973" i="13" s="1"/>
  <c r="M1161" i="13"/>
  <c r="M1162" i="14"/>
  <c r="N1159" i="13"/>
  <c r="J1158" i="13" a="1"/>
  <c r="J1158" i="13" s="1"/>
  <c r="J1157" i="14" a="1"/>
  <c r="J1157" i="14" s="1"/>
  <c r="N1158" i="14"/>
  <c r="K973" i="13" l="1"/>
  <c r="L973" i="13" s="1"/>
  <c r="I974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96" i="14" l="1"/>
  <c r="L996" i="14" s="1"/>
  <c r="I997" i="14" s="1"/>
  <c r="K974" i="13"/>
  <c r="L974" i="13" s="1"/>
  <c r="I975" i="13" s="1"/>
  <c r="M1163" i="13"/>
  <c r="N1161" i="13"/>
  <c r="J1160" i="13" a="1"/>
  <c r="J1160" i="13" s="1"/>
  <c r="N1160" i="14"/>
  <c r="J1159" i="14" a="1"/>
  <c r="J1159" i="14" s="1"/>
  <c r="M1164" i="14"/>
  <c r="K997" i="14" l="1"/>
  <c r="L997" i="14" s="1"/>
  <c r="I998" i="14" s="1"/>
  <c r="N1162" i="13"/>
  <c r="J1161" i="13" a="1"/>
  <c r="J1161" i="13" s="1"/>
  <c r="K975" i="13"/>
  <c r="L975" i="13" s="1"/>
  <c r="I976" i="13" s="1"/>
  <c r="M1164" i="13"/>
  <c r="M1165" i="14"/>
  <c r="N1161" i="14"/>
  <c r="J1160" i="14" a="1"/>
  <c r="J1160" i="14" s="1"/>
  <c r="K998" i="14" l="1"/>
  <c r="L998" i="14" s="1"/>
  <c r="I999" i="14" s="1"/>
  <c r="K976" i="13"/>
  <c r="L976" i="13" s="1"/>
  <c r="I977" i="13" s="1"/>
  <c r="M1165" i="13"/>
  <c r="J1161" i="14" a="1"/>
  <c r="J1161" i="14" s="1"/>
  <c r="N1162" i="14"/>
  <c r="N1163" i="13"/>
  <c r="J1162" i="13" a="1"/>
  <c r="J1162" i="13" s="1"/>
  <c r="M1166" i="14"/>
  <c r="K977" i="13" l="1"/>
  <c r="L977" i="13" s="1"/>
  <c r="I978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8" i="13" l="1"/>
  <c r="L978" i="13" s="1"/>
  <c r="I979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1001" i="14" l="1"/>
  <c r="L1001" i="14" s="1"/>
  <c r="I1002" i="14" s="1"/>
  <c r="K979" i="13"/>
  <c r="L979" i="13" s="1"/>
  <c r="I980" i="13" s="1"/>
  <c r="M1168" i="13"/>
  <c r="N1166" i="13"/>
  <c r="J1165" i="13" a="1"/>
  <c r="J1165" i="13" s="1"/>
  <c r="M1169" i="14"/>
  <c r="N1165" i="14"/>
  <c r="J1164" i="14" a="1"/>
  <c r="J1164" i="14" s="1"/>
  <c r="K980" i="13" l="1"/>
  <c r="L980" i="13" s="1"/>
  <c r="I981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1003" i="14" l="1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/>
  <c r="L981" i="13" s="1"/>
  <c r="I982" i="13" s="1"/>
  <c r="K982" i="13" l="1"/>
  <c r="L982" i="13" s="1"/>
  <c r="I983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1005" i="14" l="1"/>
  <c r="L1005" i="14" s="1"/>
  <c r="I1006" i="14" s="1"/>
  <c r="K983" i="13"/>
  <c r="L983" i="13" s="1"/>
  <c r="I984" i="13" s="1"/>
  <c r="M1172" i="13"/>
  <c r="N1170" i="13"/>
  <c r="J1169" i="13" a="1"/>
  <c r="J1169" i="13" s="1"/>
  <c r="N1169" i="14"/>
  <c r="J1168" i="14" a="1"/>
  <c r="J1168" i="14" s="1"/>
  <c r="M1173" i="14"/>
  <c r="K984" i="13" l="1"/>
  <c r="L984" i="13" s="1"/>
  <c r="I985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1007" i="14" l="1"/>
  <c r="L1007" i="14" s="1"/>
  <c r="I1008" i="14" s="1"/>
  <c r="K985" i="13"/>
  <c r="L985" i="13" s="1"/>
  <c r="I986" i="13" s="1"/>
  <c r="J1170" i="14" a="1"/>
  <c r="J1170" i="14" s="1"/>
  <c r="N1171" i="14"/>
  <c r="N1172" i="13"/>
  <c r="J1171" i="13" a="1"/>
  <c r="J1171" i="13" s="1"/>
  <c r="M1174" i="13"/>
  <c r="M1175" i="14"/>
  <c r="K986" i="13" l="1"/>
  <c r="L986" i="13" s="1"/>
  <c r="I987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1009" i="14" l="1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/>
  <c r="L987" i="13" s="1"/>
  <c r="I988" i="13" s="1"/>
  <c r="K1010" i="14" l="1"/>
  <c r="L1010" i="14" s="1"/>
  <c r="I1011" i="14" s="1"/>
  <c r="K988" i="13"/>
  <c r="L988" i="13" s="1"/>
  <c r="I989" i="13" s="1"/>
  <c r="N1175" i="13"/>
  <c r="J1174" i="13" a="1"/>
  <c r="J1174" i="13" s="1"/>
  <c r="M1178" i="14"/>
  <c r="J1173" i="14" a="1"/>
  <c r="J1173" i="14" s="1"/>
  <c r="N1174" i="14"/>
  <c r="M1177" i="13"/>
  <c r="K989" i="13" l="1"/>
  <c r="L989" i="13" s="1"/>
  <c r="I990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1012" i="14" l="1"/>
  <c r="L1012" i="14" s="1"/>
  <c r="I1013" i="14" s="1"/>
  <c r="K990" i="13"/>
  <c r="L990" i="13" s="1"/>
  <c r="I991" i="13" s="1"/>
  <c r="N1177" i="13"/>
  <c r="J1176" i="13" a="1"/>
  <c r="J1176" i="13" s="1"/>
  <c r="J1175" i="14" a="1"/>
  <c r="J1175" i="14" s="1"/>
  <c r="N1176" i="14"/>
  <c r="M1179" i="13"/>
  <c r="M1180" i="14"/>
  <c r="K991" i="13" l="1"/>
  <c r="L991" i="13" s="1"/>
  <c r="I992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1014" i="14" l="1"/>
  <c r="L1014" i="14" s="1"/>
  <c r="I1015" i="14" s="1"/>
  <c r="K992" i="13"/>
  <c r="L992" i="13" s="1"/>
  <c r="I993" i="13" s="1"/>
  <c r="N1179" i="13"/>
  <c r="J1178" i="13" a="1"/>
  <c r="J1178" i="13" s="1"/>
  <c r="J1177" i="14" a="1"/>
  <c r="J1177" i="14" s="1"/>
  <c r="N1178" i="14"/>
  <c r="M1181" i="13"/>
  <c r="M1182" i="14"/>
  <c r="K993" i="13" l="1"/>
  <c r="L993" i="13" s="1"/>
  <c r="I994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1016" i="14" l="1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/>
  <c r="L994" i="13" s="1"/>
  <c r="I995" i="13" s="1"/>
  <c r="K995" i="13" l="1"/>
  <c r="L995" i="13" s="1"/>
  <c r="I996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1018" i="14" l="1"/>
  <c r="L1018" i="14" s="1"/>
  <c r="I1019" i="14" s="1"/>
  <c r="K996" i="13"/>
  <c r="L996" i="13" s="1"/>
  <c r="I997" i="13" s="1"/>
  <c r="N1183" i="13"/>
  <c r="J1182" i="13" a="1"/>
  <c r="J1182" i="13" s="1"/>
  <c r="M1186" i="14"/>
  <c r="M1185" i="13"/>
  <c r="J1181" i="14" a="1"/>
  <c r="J1181" i="14" s="1"/>
  <c r="N1182" i="14"/>
  <c r="K997" i="13" l="1"/>
  <c r="L997" i="13" s="1"/>
  <c r="I998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1020" i="14" l="1"/>
  <c r="L1020" i="14" s="1"/>
  <c r="I1021" i="14" s="1"/>
  <c r="K998" i="13"/>
  <c r="L998" i="13" s="1"/>
  <c r="I999" i="13" s="1"/>
  <c r="M1188" i="14"/>
  <c r="N1185" i="13"/>
  <c r="J1184" i="13" a="1"/>
  <c r="J1184" i="13" s="1"/>
  <c r="J1183" i="14" a="1"/>
  <c r="J1183" i="14" s="1"/>
  <c r="N1184" i="14"/>
  <c r="M1187" i="13"/>
  <c r="K1021" i="14" l="1"/>
  <c r="L1021" i="14" s="1"/>
  <c r="I1022" i="14" s="1"/>
  <c r="N1186" i="13"/>
  <c r="J1185" i="13" a="1"/>
  <c r="J1185" i="13" s="1"/>
  <c r="K999" i="13"/>
  <c r="L999" i="13" s="1"/>
  <c r="I1000" i="13" s="1"/>
  <c r="M1188" i="13"/>
  <c r="N1185" i="14"/>
  <c r="J1184" i="14" a="1"/>
  <c r="J1184" i="14" s="1"/>
  <c r="M1189" i="14"/>
  <c r="K1000" i="13" l="1"/>
  <c r="L1000" i="13" s="1"/>
  <c r="I1001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23" i="14" l="1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/>
  <c r="L1001" i="13" s="1"/>
  <c r="I1002" i="13" s="1"/>
  <c r="K1002" i="13" l="1"/>
  <c r="L1002" i="13" s="1"/>
  <c r="I1003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25" i="14" l="1"/>
  <c r="L1025" i="14" s="1"/>
  <c r="I1026" i="14" s="1"/>
  <c r="K1003" i="13"/>
  <c r="L1003" i="13" s="1"/>
  <c r="I1004" i="13" s="1"/>
  <c r="M1192" i="13"/>
  <c r="N1189" i="14"/>
  <c r="J1188" i="14" a="1"/>
  <c r="J1188" i="14" s="1"/>
  <c r="M1193" i="14"/>
  <c r="N1190" i="13"/>
  <c r="J1189" i="13" a="1"/>
  <c r="J1189" i="13" s="1"/>
  <c r="K1026" i="14" l="1"/>
  <c r="L1026" i="14" s="1"/>
  <c r="I1027" i="14" s="1"/>
  <c r="K1004" i="13"/>
  <c r="L1004" i="13" s="1"/>
  <c r="I1005" i="13" s="1"/>
  <c r="N1191" i="13"/>
  <c r="J1190" i="13" a="1"/>
  <c r="J1190" i="13" s="1"/>
  <c r="J1189" i="14" a="1"/>
  <c r="J1189" i="14" s="1"/>
  <c r="N1190" i="14"/>
  <c r="M1193" i="13"/>
  <c r="M1194" i="14"/>
  <c r="K1005" i="13" l="1"/>
  <c r="L1005" i="13" s="1"/>
  <c r="I1006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28" i="14" l="1"/>
  <c r="L1028" i="14" s="1"/>
  <c r="I1029" i="14" s="1"/>
  <c r="K1006" i="13"/>
  <c r="L1006" i="13" s="1"/>
  <c r="I1007" i="13" s="1"/>
  <c r="M1196" i="14"/>
  <c r="N1193" i="13"/>
  <c r="J1192" i="13" a="1"/>
  <c r="J1192" i="13" s="1"/>
  <c r="J1191" i="14" a="1"/>
  <c r="J1191" i="14" s="1"/>
  <c r="N1192" i="14"/>
  <c r="M1195" i="13"/>
  <c r="K1007" i="13" l="1"/>
  <c r="L1007" i="13" s="1"/>
  <c r="I1008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30" i="14" l="1"/>
  <c r="L1030" i="14" s="1"/>
  <c r="I1031" i="14" s="1"/>
  <c r="K1008" i="13"/>
  <c r="L1008" i="13" s="1"/>
  <c r="I1009" i="13" s="1"/>
  <c r="J1193" i="14" a="1"/>
  <c r="J1193" i="14" s="1"/>
  <c r="N1194" i="14"/>
  <c r="M1198" i="14"/>
  <c r="M1197" i="13"/>
  <c r="N1195" i="13"/>
  <c r="J1194" i="13" a="1"/>
  <c r="J1194" i="13" s="1"/>
  <c r="K1009" i="13" l="1"/>
  <c r="L1009" i="13" s="1"/>
  <c r="I1010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32" i="14" l="1"/>
  <c r="L1032" i="14" s="1"/>
  <c r="I1033" i="14" s="1"/>
  <c r="K1010" i="13"/>
  <c r="L1010" i="13" s="1"/>
  <c r="I1011" i="13" s="1"/>
  <c r="J1195" i="14" a="1"/>
  <c r="J1195" i="14" s="1"/>
  <c r="N1196" i="14"/>
  <c r="M1200" i="14"/>
  <c r="M1199" i="13"/>
  <c r="N1197" i="13"/>
  <c r="J1196" i="13" a="1"/>
  <c r="J1196" i="13" s="1"/>
  <c r="K1011" i="13" l="1"/>
  <c r="L1011" i="13" s="1"/>
  <c r="I1012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34" i="14" l="1"/>
  <c r="L1034" i="14" s="1"/>
  <c r="I1035" i="14" s="1"/>
  <c r="K1012" i="13"/>
  <c r="L1012" i="13" s="1"/>
  <c r="I1013" i="13" s="1"/>
  <c r="M1201" i="13"/>
  <c r="J1197" i="14" a="1"/>
  <c r="J1197" i="14" s="1"/>
  <c r="N1198" i="14"/>
  <c r="M1202" i="14"/>
  <c r="N1199" i="13"/>
  <c r="J1198" i="13" a="1"/>
  <c r="J1198" i="13" s="1"/>
  <c r="K1035" i="14" l="1"/>
  <c r="L1035" i="14" s="1"/>
  <c r="I1036" i="14" s="1"/>
  <c r="J1198" i="14" a="1"/>
  <c r="J1198" i="14" s="1"/>
  <c r="N1199" i="14"/>
  <c r="K1013" i="13"/>
  <c r="L1013" i="13" s="1"/>
  <c r="I1014" i="13" s="1"/>
  <c r="N1200" i="13"/>
  <c r="J1199" i="13" a="1"/>
  <c r="J1199" i="13" s="1"/>
  <c r="M1202" i="13"/>
  <c r="M1203" i="14"/>
  <c r="K1014" i="13" l="1"/>
  <c r="L1014" i="13" s="1"/>
  <c r="I1015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5" i="13" l="1"/>
  <c r="L1015" i="13" s="1"/>
  <c r="I1016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38" i="14" l="1"/>
  <c r="L1038" i="14" s="1"/>
  <c r="I1039" i="14" s="1"/>
  <c r="K1016" i="13"/>
  <c r="L1016" i="13" s="1"/>
  <c r="I1017" i="13" s="1"/>
  <c r="M1205" i="13"/>
  <c r="M1206" i="14"/>
  <c r="N1203" i="13"/>
  <c r="J1202" i="13" a="1"/>
  <c r="J1202" i="13" s="1"/>
  <c r="J1201" i="14" a="1"/>
  <c r="J1201" i="14" s="1"/>
  <c r="N1202" i="14"/>
  <c r="K1017" i="13" l="1"/>
  <c r="L1017" i="13" s="1"/>
  <c r="I1018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40" i="14" l="1"/>
  <c r="L1040" i="14" s="1"/>
  <c r="I1041" i="14" s="1"/>
  <c r="K1018" i="13"/>
  <c r="L1018" i="13" s="1"/>
  <c r="I1019" i="13" s="1"/>
  <c r="M1207" i="13"/>
  <c r="N1205" i="13"/>
  <c r="J1204" i="13" a="1"/>
  <c r="J1204" i="13" s="1"/>
  <c r="M1208" i="14"/>
  <c r="J1203" i="14" a="1"/>
  <c r="J1203" i="14" s="1"/>
  <c r="N1204" i="14"/>
  <c r="K1019" i="13" l="1"/>
  <c r="L1019" i="13" s="1"/>
  <c r="I1020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42" i="14" l="1"/>
  <c r="L1042" i="14" s="1"/>
  <c r="I1043" i="14" s="1"/>
  <c r="K1020" i="13"/>
  <c r="L1020" i="13" s="1"/>
  <c r="I1021" i="13" s="1"/>
  <c r="N1207" i="13"/>
  <c r="J1206" i="13" a="1"/>
  <c r="J1206" i="13" s="1"/>
  <c r="M1210" i="14"/>
  <c r="M1209" i="13"/>
  <c r="J1205" i="14" a="1"/>
  <c r="J1205" i="14" s="1"/>
  <c r="N1206" i="14"/>
  <c r="K1021" i="13" l="1"/>
  <c r="L1021" i="13" s="1"/>
  <c r="I1022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44" i="14" l="1"/>
  <c r="L1044" i="14" s="1"/>
  <c r="I1045" i="14" s="1"/>
  <c r="K1022" i="13"/>
  <c r="L1022" i="13" s="1"/>
  <c r="I1023" i="13" s="1"/>
  <c r="N1209" i="13"/>
  <c r="J1208" i="13" a="1"/>
  <c r="J1208" i="13" s="1"/>
  <c r="M1212" i="14"/>
  <c r="J1207" i="14" a="1"/>
  <c r="J1207" i="14" s="1"/>
  <c r="N1208" i="14"/>
  <c r="M1211" i="13"/>
  <c r="K1023" i="13" l="1"/>
  <c r="L1023" i="13" s="1"/>
  <c r="I1024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46" i="14" l="1"/>
  <c r="L1046" i="14" s="1"/>
  <c r="I1047" i="14" s="1"/>
  <c r="K1024" i="13"/>
  <c r="L1024" i="13" s="1"/>
  <c r="I1025" i="13" s="1"/>
  <c r="N1211" i="13"/>
  <c r="J1210" i="13" a="1"/>
  <c r="J1210" i="13" s="1"/>
  <c r="M1213" i="13"/>
  <c r="M1214" i="14"/>
  <c r="J1209" i="14" a="1"/>
  <c r="J1209" i="14" s="1"/>
  <c r="N1210" i="14"/>
  <c r="K1025" i="13" l="1"/>
  <c r="L1025" i="13" s="1"/>
  <c r="I1026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48" i="14" l="1"/>
  <c r="L1048" i="14" s="1"/>
  <c r="I1049" i="14" s="1"/>
  <c r="K1026" i="13"/>
  <c r="L1026" i="13" s="1"/>
  <c r="I1027" i="13" s="1"/>
  <c r="N1213" i="13"/>
  <c r="J1212" i="13" a="1"/>
  <c r="J1212" i="13" s="1"/>
  <c r="M1215" i="13"/>
  <c r="M1216" i="14"/>
  <c r="J1211" i="14" a="1"/>
  <c r="J1211" i="14" s="1"/>
  <c r="N1212" i="14"/>
  <c r="K1027" i="13" l="1"/>
  <c r="L1027" i="13" s="1"/>
  <c r="I1028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50" i="14" l="1"/>
  <c r="L1050" i="14" s="1"/>
  <c r="I1051" i="14" s="1"/>
  <c r="K1028" i="13"/>
  <c r="L1028" i="13" s="1"/>
  <c r="I1029" i="13" s="1"/>
  <c r="N1215" i="13"/>
  <c r="J1214" i="13" a="1"/>
  <c r="J1214" i="13" s="1"/>
  <c r="M1217" i="13"/>
  <c r="M1218" i="14"/>
  <c r="J1213" i="14" a="1"/>
  <c r="J1213" i="14" s="1"/>
  <c r="N1214" i="14"/>
  <c r="K1029" i="13" l="1"/>
  <c r="L1029" i="13" s="1"/>
  <c r="I1030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52" i="14" l="1"/>
  <c r="L1052" i="14" s="1"/>
  <c r="I1053" i="14" s="1"/>
  <c r="K1030" i="13"/>
  <c r="L1030" i="13" s="1"/>
  <c r="I1031" i="13" s="1"/>
  <c r="M1219" i="13"/>
  <c r="N1217" i="13"/>
  <c r="J1216" i="13" a="1"/>
  <c r="J1216" i="13" s="1"/>
  <c r="J1215" i="14" a="1"/>
  <c r="J1215" i="14" s="1"/>
  <c r="N1216" i="14"/>
  <c r="M1220" i="14"/>
  <c r="K1031" i="13" l="1"/>
  <c r="L1031" i="13" s="1"/>
  <c r="I1032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54" i="14" l="1"/>
  <c r="L1054" i="14" s="1"/>
  <c r="I1055" i="14" s="1"/>
  <c r="K1032" i="13"/>
  <c r="L1032" i="13" s="1"/>
  <c r="I1033" i="13" s="1"/>
  <c r="M1222" i="14"/>
  <c r="J1217" i="14" a="1"/>
  <c r="J1217" i="14" s="1"/>
  <c r="N1218" i="14"/>
  <c r="M1221" i="13"/>
  <c r="N1219" i="13"/>
  <c r="J1218" i="13" a="1"/>
  <c r="J1218" i="13" s="1"/>
  <c r="K1033" i="13" l="1"/>
  <c r="L1033" i="13" s="1"/>
  <c r="I1034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56" i="14" l="1"/>
  <c r="L1056" i="14" s="1"/>
  <c r="I1057" i="14" s="1"/>
  <c r="K1034" i="13"/>
  <c r="L1034" i="13" s="1"/>
  <c r="I1035" i="13" s="1"/>
  <c r="J1220" i="13" a="1"/>
  <c r="J1220" i="13" s="1"/>
  <c r="N1221" i="13"/>
  <c r="J1219" i="14" a="1"/>
  <c r="J1219" i="14" s="1"/>
  <c r="N1220" i="14"/>
  <c r="M1224" i="14"/>
  <c r="M1223" i="13"/>
  <c r="K1035" i="13" l="1"/>
  <c r="L1035" i="13" s="1"/>
  <c r="I1036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58" i="14" l="1"/>
  <c r="L1058" i="14" s="1"/>
  <c r="I1059" i="14" s="1"/>
  <c r="K1036" i="13"/>
  <c r="L1036" i="13" s="1"/>
  <c r="I1037" i="13" s="1"/>
  <c r="M1226" i="14"/>
  <c r="J1222" i="13" a="1"/>
  <c r="J1222" i="13" s="1"/>
  <c r="N1223" i="13"/>
  <c r="M1225" i="13"/>
  <c r="J1221" i="14" a="1"/>
  <c r="J1221" i="14" s="1"/>
  <c r="N1222" i="14"/>
  <c r="K1059" i="14" l="1"/>
  <c r="L1059" i="14" s="1"/>
  <c r="I1060" i="14" s="1"/>
  <c r="J1223" i="13" a="1"/>
  <c r="J1223" i="13" s="1"/>
  <c r="N1224" i="13"/>
  <c r="K1037" i="13"/>
  <c r="L1037" i="13" s="1"/>
  <c r="I1038" i="13" s="1"/>
  <c r="J1222" i="14" a="1"/>
  <c r="J1222" i="14" s="1"/>
  <c r="N1223" i="14"/>
  <c r="M1226" i="13"/>
  <c r="M1227" i="14"/>
  <c r="K1038" i="13" l="1"/>
  <c r="L1038" i="13" s="1"/>
  <c r="I1039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61" i="14" l="1"/>
  <c r="L1061" i="14" s="1"/>
  <c r="I1062" i="14" s="1"/>
  <c r="K1039" i="13"/>
  <c r="L1039" i="13" s="1"/>
  <c r="I1040" i="13" s="1"/>
  <c r="M1228" i="13"/>
  <c r="N1226" i="13"/>
  <c r="J1225" i="13" a="1"/>
  <c r="J1225" i="13" s="1"/>
  <c r="N1225" i="14"/>
  <c r="J1224" i="14" a="1"/>
  <c r="J1224" i="14" s="1"/>
  <c r="M1229" i="14"/>
  <c r="K1040" i="13" l="1"/>
  <c r="L1040" i="13" s="1"/>
  <c r="I1041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63" i="14" l="1"/>
  <c r="L1063" i="14" s="1"/>
  <c r="I1064" i="14" s="1"/>
  <c r="K1041" i="13"/>
  <c r="L1041" i="13" s="1"/>
  <c r="I1042" i="13" s="1"/>
  <c r="J1227" i="13" a="1"/>
  <c r="J1227" i="13" s="1"/>
  <c r="N1228" i="13"/>
  <c r="J1226" i="14" a="1"/>
  <c r="J1226" i="14" s="1"/>
  <c r="N1227" i="14"/>
  <c r="M1230" i="13"/>
  <c r="M1231" i="14"/>
  <c r="K1042" i="13" l="1"/>
  <c r="L1042" i="13" s="1"/>
  <c r="I1043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65" i="14" l="1"/>
  <c r="L1065" i="14" s="1"/>
  <c r="I1066" i="14" s="1"/>
  <c r="K1043" i="13"/>
  <c r="L1043" i="13" s="1"/>
  <c r="I1044" i="13" s="1"/>
  <c r="N1230" i="13"/>
  <c r="J1229" i="13" a="1"/>
  <c r="J1229" i="13" s="1"/>
  <c r="M1232" i="13"/>
  <c r="M1233" i="14"/>
  <c r="N1229" i="14"/>
  <c r="J1228" i="14" a="1"/>
  <c r="J1228" i="14" s="1"/>
  <c r="K1066" i="14" l="1"/>
  <c r="L1066" i="14" s="1"/>
  <c r="I1067" i="14" s="1"/>
  <c r="M1233" i="13"/>
  <c r="J1229" i="14" a="1"/>
  <c r="J1229" i="14" s="1"/>
  <c r="N1230" i="14"/>
  <c r="K1044" i="13"/>
  <c r="L1044" i="13" s="1"/>
  <c r="I1045" i="13" s="1"/>
  <c r="M1234" i="14"/>
  <c r="J1230" i="13" a="1"/>
  <c r="J1230" i="13" s="1"/>
  <c r="N1231" i="13"/>
  <c r="K1045" i="13" l="1"/>
  <c r="L1045" i="13" s="1"/>
  <c r="I1046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68" i="14" l="1"/>
  <c r="L1068" i="14" s="1"/>
  <c r="I1069" i="14" s="1"/>
  <c r="K1046" i="13"/>
  <c r="L1046" i="13" s="1"/>
  <c r="I1047" i="13" s="1"/>
  <c r="M1236" i="14"/>
  <c r="M1235" i="13"/>
  <c r="J1232" i="13" a="1"/>
  <c r="J1232" i="13" s="1"/>
  <c r="N1233" i="13"/>
  <c r="J1231" i="14" a="1"/>
  <c r="J1231" i="14" s="1"/>
  <c r="N1232" i="14"/>
  <c r="K1047" i="13" l="1"/>
  <c r="L1047" i="13" s="1"/>
  <c r="I1048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70" i="14" l="1"/>
  <c r="L1070" i="14" s="1"/>
  <c r="I1071" i="14" s="1"/>
  <c r="K1048" i="13"/>
  <c r="L1048" i="13" s="1"/>
  <c r="I1049" i="13" s="1"/>
  <c r="J1234" i="13" a="1"/>
  <c r="J1234" i="13" s="1"/>
  <c r="N1235" i="13"/>
  <c r="M1237" i="13"/>
  <c r="M1238" i="14"/>
  <c r="J1233" i="14" a="1"/>
  <c r="J1233" i="14" s="1"/>
  <c r="N1234" i="14"/>
  <c r="K1049" i="13" l="1"/>
  <c r="L1049" i="13" s="1"/>
  <c r="I1050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72" i="14" l="1"/>
  <c r="L1072" i="14" s="1"/>
  <c r="I1073" i="14" s="1"/>
  <c r="K1050" i="13"/>
  <c r="L1050" i="13" s="1"/>
  <c r="I1051" i="13" s="1"/>
  <c r="M1240" i="14"/>
  <c r="M1239" i="13"/>
  <c r="J1235" i="14" a="1"/>
  <c r="J1235" i="14" s="1"/>
  <c r="N1236" i="14"/>
  <c r="J1236" i="13" a="1"/>
  <c r="J1236" i="13" s="1"/>
  <c r="N1237" i="13"/>
  <c r="K1051" i="13" l="1"/>
  <c r="L1051" i="13" s="1"/>
  <c r="I1052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74" i="14" l="1"/>
  <c r="L1074" i="14" s="1"/>
  <c r="I1075" i="14" s="1"/>
  <c r="K1052" i="13"/>
  <c r="L1052" i="13" s="1"/>
  <c r="I1053" i="13" s="1"/>
  <c r="J1238" i="13" a="1"/>
  <c r="J1238" i="13" s="1"/>
  <c r="N1239" i="13"/>
  <c r="M1241" i="13"/>
  <c r="M1242" i="14"/>
  <c r="J1237" i="14" a="1"/>
  <c r="J1237" i="14" s="1"/>
  <c r="N1238" i="14"/>
  <c r="K1075" i="14" l="1"/>
  <c r="L1075" i="14" s="1"/>
  <c r="I1076" i="14" s="1"/>
  <c r="J1238" i="14" a="1"/>
  <c r="J1238" i="14" s="1"/>
  <c r="N1239" i="14"/>
  <c r="K1053" i="13"/>
  <c r="L1053" i="13" s="1"/>
  <c r="I1054" i="13" s="1"/>
  <c r="J1239" i="13" a="1"/>
  <c r="J1239" i="13" s="1"/>
  <c r="N1240" i="13"/>
  <c r="M1242" i="13"/>
  <c r="M1243" i="14"/>
  <c r="K1054" i="13" l="1"/>
  <c r="L1054" i="13" s="1"/>
  <c r="I1055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77" i="14" l="1"/>
  <c r="L1077" i="14" s="1"/>
  <c r="I1078" i="14" s="1"/>
  <c r="K1055" i="13"/>
  <c r="L1055" i="13" s="1"/>
  <c r="I1056" i="13" s="1"/>
  <c r="N1241" i="14"/>
  <c r="J1240" i="14" a="1"/>
  <c r="J1240" i="14" s="1"/>
  <c r="M1244" i="13"/>
  <c r="N1242" i="13"/>
  <c r="J1241" i="13" a="1"/>
  <c r="J1241" i="13" s="1"/>
  <c r="M1245" i="14"/>
  <c r="K1056" i="13" l="1"/>
  <c r="L1056" i="13" s="1"/>
  <c r="I1057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7" i="13" l="1"/>
  <c r="L1057" i="13" s="1"/>
  <c r="I1058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80" i="14" l="1"/>
  <c r="L1080" i="14" s="1"/>
  <c r="I1081" i="14" s="1"/>
  <c r="K1058" i="13"/>
  <c r="L1058" i="13" s="1"/>
  <c r="I1059" i="13" s="1"/>
  <c r="J1243" i="14" a="1"/>
  <c r="J1243" i="14" s="1"/>
  <c r="N1244" i="14"/>
  <c r="J1244" i="13" a="1"/>
  <c r="J1244" i="13" s="1"/>
  <c r="N1245" i="13"/>
  <c r="M1248" i="14"/>
  <c r="M1247" i="13"/>
  <c r="K1059" i="13" l="1"/>
  <c r="L1059" i="13" s="1"/>
  <c r="I1060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82" i="14" l="1"/>
  <c r="L1082" i="14" s="1"/>
  <c r="I1083" i="14" s="1"/>
  <c r="K1060" i="13"/>
  <c r="L1060" i="13" s="1"/>
  <c r="I1061" i="13" s="1"/>
  <c r="J1245" i="14" a="1"/>
  <c r="J1245" i="14" s="1"/>
  <c r="N1246" i="14"/>
  <c r="M1250" i="14"/>
  <c r="M1249" i="13"/>
  <c r="J1246" i="13" a="1"/>
  <c r="J1246" i="13" s="1"/>
  <c r="N1247" i="13"/>
  <c r="K1061" i="13" l="1"/>
  <c r="L1061" i="13" s="1"/>
  <c r="I1062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84" i="14" l="1"/>
  <c r="L1084" i="14" s="1"/>
  <c r="I1085" i="14" s="1"/>
  <c r="K1062" i="13"/>
  <c r="L1062" i="13" s="1"/>
  <c r="I1063" i="13" s="1"/>
  <c r="M1252" i="14"/>
  <c r="M1251" i="13"/>
  <c r="J1248" i="13" a="1"/>
  <c r="J1248" i="13" s="1"/>
  <c r="N1249" i="13"/>
  <c r="J1247" i="14" a="1"/>
  <c r="J1247" i="14" s="1"/>
  <c r="N1248" i="14"/>
  <c r="K1063" i="13" l="1"/>
  <c r="L1063" i="13" s="1"/>
  <c r="I1064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86" i="14" l="1"/>
  <c r="L1086" i="14" s="1"/>
  <c r="I1087" i="14" s="1"/>
  <c r="K1064" i="13"/>
  <c r="L1064" i="13" s="1"/>
  <c r="I1065" i="13" s="1"/>
  <c r="M1253" i="13"/>
  <c r="M1254" i="14"/>
  <c r="J1250" i="13" a="1"/>
  <c r="J1250" i="13" s="1"/>
  <c r="N1251" i="13"/>
  <c r="J1249" i="14" a="1"/>
  <c r="J1249" i="14" s="1"/>
  <c r="N1250" i="14"/>
  <c r="K1065" i="13" l="1"/>
  <c r="L1065" i="13" s="1"/>
  <c r="I1066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88" i="14" l="1"/>
  <c r="L1088" i="14" s="1"/>
  <c r="I1089" i="14" s="1"/>
  <c r="K1066" i="13"/>
  <c r="L1066" i="13" s="1"/>
  <c r="I1067" i="13" s="1"/>
  <c r="J1252" i="13" a="1"/>
  <c r="J1252" i="13" s="1"/>
  <c r="N1253" i="13"/>
  <c r="M1256" i="14"/>
  <c r="M1255" i="13"/>
  <c r="J1251" i="14" a="1"/>
  <c r="J1251" i="14" s="1"/>
  <c r="N1252" i="14"/>
  <c r="K1067" i="13" l="1"/>
  <c r="L1067" i="13" s="1"/>
  <c r="I1068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8" i="13" l="1"/>
  <c r="L1068" i="13" s="1"/>
  <c r="I1069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91" i="14" l="1"/>
  <c r="L1091" i="14" s="1"/>
  <c r="I1092" i="14" s="1"/>
  <c r="K1069" i="13"/>
  <c r="L1069" i="13" s="1"/>
  <c r="I1070" i="13" s="1"/>
  <c r="J1254" i="14" a="1"/>
  <c r="J1254" i="14" s="1"/>
  <c r="N1255" i="14"/>
  <c r="M1259" i="14"/>
  <c r="M1258" i="13"/>
  <c r="J1255" i="13" a="1"/>
  <c r="J1255" i="13" s="1"/>
  <c r="N1256" i="13"/>
  <c r="K1070" i="13" l="1"/>
  <c r="L1070" i="13" s="1"/>
  <c r="I1071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93" i="14" l="1"/>
  <c r="L1093" i="14" s="1"/>
  <c r="I1094" i="14" s="1"/>
  <c r="K1071" i="13"/>
  <c r="L1071" i="13" s="1"/>
  <c r="I1072" i="13" s="1"/>
  <c r="N1258" i="13"/>
  <c r="J1257" i="13" a="1"/>
  <c r="J1257" i="13" s="1"/>
  <c r="M1260" i="13"/>
  <c r="N1257" i="14"/>
  <c r="J1256" i="14" a="1"/>
  <c r="J1256" i="14" s="1"/>
  <c r="M1261" i="14"/>
  <c r="K1072" i="13" l="1"/>
  <c r="L1072" i="13" s="1"/>
  <c r="I1073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95" i="14" l="1"/>
  <c r="L1095" i="14" s="1"/>
  <c r="I1096" i="14" s="1"/>
  <c r="K1073" i="13"/>
  <c r="L1073" i="13" s="1"/>
  <c r="I1074" i="13" s="1"/>
  <c r="M1263" i="14"/>
  <c r="J1258" i="14" a="1"/>
  <c r="J1258" i="14" s="1"/>
  <c r="N1259" i="14"/>
  <c r="J1259" i="13" a="1"/>
  <c r="J1259" i="13" s="1"/>
  <c r="N1260" i="13"/>
  <c r="M1262" i="13"/>
  <c r="K1074" i="13" l="1"/>
  <c r="L1074" i="13" s="1"/>
  <c r="I1075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97" i="14" l="1"/>
  <c r="L1097" i="14" s="1"/>
  <c r="I1098" i="14" s="1"/>
  <c r="K1075" i="13"/>
  <c r="L1075" i="13" s="1"/>
  <c r="I1076" i="13" s="1"/>
  <c r="N1262" i="13"/>
  <c r="J1261" i="13" a="1"/>
  <c r="J1261" i="13" s="1"/>
  <c r="M1265" i="14"/>
  <c r="M1264" i="13"/>
  <c r="N1261" i="14"/>
  <c r="J1260" i="14" a="1"/>
  <c r="J1260" i="14" s="1"/>
  <c r="K1076" i="13" l="1"/>
  <c r="L1076" i="13" s="1"/>
  <c r="I1077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99" i="14" l="1"/>
  <c r="L1099" i="14" s="1"/>
  <c r="I1100" i="14" s="1"/>
  <c r="K1077" i="13"/>
  <c r="L1077" i="13" s="1"/>
  <c r="I1078" i="13" s="1"/>
  <c r="M1267" i="14"/>
  <c r="J1263" i="13" a="1"/>
  <c r="J1263" i="13" s="1"/>
  <c r="N1264" i="13"/>
  <c r="J1262" i="14" a="1"/>
  <c r="J1262" i="14" s="1"/>
  <c r="N1263" i="14"/>
  <c r="M1266" i="13"/>
  <c r="K1078" i="13" l="1"/>
  <c r="L1078" i="13" s="1"/>
  <c r="I1079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M1269" i="14" l="1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/>
  <c r="L1079" i="13" s="1"/>
  <c r="I1080" i="13" s="1"/>
  <c r="K1080" i="13" l="1"/>
  <c r="L1080" i="13" s="1"/>
  <c r="I1081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103" i="14" l="1"/>
  <c r="L1103" i="14" s="1"/>
  <c r="I1104" i="14" s="1"/>
  <c r="K1081" i="13"/>
  <c r="L1081" i="13" s="1"/>
  <c r="I1082" i="13" s="1"/>
  <c r="J1267" i="13" a="1"/>
  <c r="J1267" i="13" s="1"/>
  <c r="N1268" i="13"/>
  <c r="J1266" i="14" a="1"/>
  <c r="J1266" i="14" s="1"/>
  <c r="N1267" i="14"/>
  <c r="M1271" i="14"/>
  <c r="M1270" i="13"/>
  <c r="K1104" i="14" l="1"/>
  <c r="L1104" i="14" s="1"/>
  <c r="I1105" i="14" s="1"/>
  <c r="J1267" i="14" a="1"/>
  <c r="J1267" i="14" s="1"/>
  <c r="N1268" i="14"/>
  <c r="M1271" i="13"/>
  <c r="K1082" i="13"/>
  <c r="L1082" i="13" s="1"/>
  <c r="I1083" i="13" s="1"/>
  <c r="J1268" i="13" a="1"/>
  <c r="J1268" i="13" s="1"/>
  <c r="N1269" i="13"/>
  <c r="M1272" i="14"/>
  <c r="K1083" i="13" l="1"/>
  <c r="L1083" i="13" s="1"/>
  <c r="I1084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106" i="14" l="1"/>
  <c r="L1106" i="14" s="1"/>
  <c r="I1107" i="14" s="1"/>
  <c r="K1084" i="13"/>
  <c r="L1084" i="13" s="1"/>
  <c r="I1085" i="13" s="1"/>
  <c r="M1273" i="13"/>
  <c r="M1274" i="14"/>
  <c r="J1270" i="13" a="1"/>
  <c r="J1270" i="13" s="1"/>
  <c r="N1271" i="13"/>
  <c r="J1269" i="14" a="1"/>
  <c r="J1269" i="14" s="1"/>
  <c r="N1270" i="14"/>
  <c r="K1085" i="13" l="1"/>
  <c r="L1085" i="13" s="1"/>
  <c r="I1086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108" i="14" l="1"/>
  <c r="L1108" i="14" s="1"/>
  <c r="I1109" i="14" s="1"/>
  <c r="K1086" i="13"/>
  <c r="L1086" i="13" s="1"/>
  <c r="I1087" i="13" s="1"/>
  <c r="J1272" i="13" a="1"/>
  <c r="J1272" i="13" s="1"/>
  <c r="N1273" i="13"/>
  <c r="J1271" i="14" a="1"/>
  <c r="J1271" i="14" s="1"/>
  <c r="N1272" i="14"/>
  <c r="M1275" i="13"/>
  <c r="M1276" i="14"/>
  <c r="K1087" i="13" l="1"/>
  <c r="L1087" i="13" s="1"/>
  <c r="I1088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110" i="14" l="1"/>
  <c r="L1110" i="14" s="1"/>
  <c r="I1111" i="14" s="1"/>
  <c r="K1088" i="13"/>
  <c r="L1088" i="13" s="1"/>
  <c r="I1089" i="13" s="1"/>
  <c r="M1277" i="13"/>
  <c r="J1274" i="13" a="1"/>
  <c r="J1274" i="13" s="1"/>
  <c r="N1275" i="13"/>
  <c r="M1278" i="14"/>
  <c r="J1273" i="14" a="1"/>
  <c r="J1273" i="14" s="1"/>
  <c r="N1274" i="14"/>
  <c r="K1089" i="13" l="1"/>
  <c r="L1089" i="13" s="1"/>
  <c r="I1090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112" i="14" l="1"/>
  <c r="L1112" i="14" s="1"/>
  <c r="I1113" i="14" s="1"/>
  <c r="K1090" i="13"/>
  <c r="L1090" i="13" s="1"/>
  <c r="I1091" i="13" s="1"/>
  <c r="J1275" i="14" a="1"/>
  <c r="J1275" i="14" s="1"/>
  <c r="N1276" i="14"/>
  <c r="J1276" i="13" a="1"/>
  <c r="J1276" i="13" s="1"/>
  <c r="N1277" i="13"/>
  <c r="M1279" i="13"/>
  <c r="M1280" i="14"/>
  <c r="K1091" i="13" l="1"/>
  <c r="L1091" i="13" s="1"/>
  <c r="I1092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114" i="14" l="1"/>
  <c r="L1114" i="14" s="1"/>
  <c r="I1115" i="14" s="1"/>
  <c r="K1092" i="13"/>
  <c r="L1092" i="13" s="1"/>
  <c r="I1093" i="13" s="1"/>
  <c r="M1281" i="13"/>
  <c r="M1282" i="14"/>
  <c r="J1277" i="14" a="1"/>
  <c r="J1277" i="14" s="1"/>
  <c r="N1278" i="14"/>
  <c r="J1278" i="13" a="1"/>
  <c r="J1278" i="13" s="1"/>
  <c r="N1279" i="13"/>
  <c r="K1093" i="13" l="1"/>
  <c r="L1093" i="13" s="1"/>
  <c r="I1094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116" i="14" l="1"/>
  <c r="L1116" i="14" s="1"/>
  <c r="I1117" i="14" s="1"/>
  <c r="K1094" i="13"/>
  <c r="L1094" i="13" s="1"/>
  <c r="I1095" i="13" s="1"/>
  <c r="J1279" i="14" a="1"/>
  <c r="J1279" i="14" s="1"/>
  <c r="N1280" i="14"/>
  <c r="M1283" i="13"/>
  <c r="J1280" i="13" a="1"/>
  <c r="J1280" i="13" s="1"/>
  <c r="N1281" i="13"/>
  <c r="M1284" i="14"/>
  <c r="K1095" i="13" l="1"/>
  <c r="L1095" i="13" s="1"/>
  <c r="I1096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118" i="14" l="1"/>
  <c r="L1118" i="14" s="1"/>
  <c r="I1119" i="14" s="1"/>
  <c r="K1096" i="13"/>
  <c r="L1096" i="13" s="1"/>
  <c r="I1097" i="13" s="1"/>
  <c r="J1281" i="14" a="1"/>
  <c r="J1281" i="14" s="1"/>
  <c r="N1282" i="14"/>
  <c r="M1286" i="14"/>
  <c r="M1285" i="13"/>
  <c r="J1282" i="13" a="1"/>
  <c r="J1282" i="13" s="1"/>
  <c r="N1283" i="13"/>
  <c r="K1097" i="13" l="1"/>
  <c r="L1097" i="13" s="1"/>
  <c r="I1098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120" i="14" l="1"/>
  <c r="L1120" i="14" s="1"/>
  <c r="I1121" i="14" s="1"/>
  <c r="K1098" i="13"/>
  <c r="L1098" i="13" s="1"/>
  <c r="I1099" i="13" s="1"/>
  <c r="J1283" i="14" a="1"/>
  <c r="J1283" i="14" s="1"/>
  <c r="N1284" i="14"/>
  <c r="M1287" i="13"/>
  <c r="J1284" i="13" a="1"/>
  <c r="J1284" i="13" s="1"/>
  <c r="N1285" i="13"/>
  <c r="M1288" i="14"/>
  <c r="K1099" i="13" l="1"/>
  <c r="L1099" i="13" s="1"/>
  <c r="I1100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122" i="14" l="1"/>
  <c r="L1122" i="14" s="1"/>
  <c r="I1123" i="14" s="1"/>
  <c r="K1100" i="13"/>
  <c r="L1100" i="13" s="1"/>
  <c r="I1101" i="13" s="1"/>
  <c r="M1289" i="13"/>
  <c r="J1285" i="14" a="1"/>
  <c r="J1285" i="14" s="1"/>
  <c r="N1286" i="14"/>
  <c r="J1286" i="13" a="1"/>
  <c r="J1286" i="13" s="1"/>
  <c r="N1287" i="13"/>
  <c r="M1290" i="14"/>
  <c r="K1101" i="13" l="1"/>
  <c r="L1101" i="13" s="1"/>
  <c r="I1102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24" i="14" l="1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/>
  <c r="L1102" i="13" s="1"/>
  <c r="I1103" i="13" s="1"/>
  <c r="K1103" i="13" l="1"/>
  <c r="L1103" i="13" s="1"/>
  <c r="I1104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26" i="14" l="1"/>
  <c r="L1126" i="14" s="1"/>
  <c r="I1127" i="14" s="1"/>
  <c r="K1104" i="13"/>
  <c r="L1104" i="13" s="1"/>
  <c r="I1105" i="13" s="1"/>
  <c r="M1293" i="13"/>
  <c r="M1294" i="14"/>
  <c r="J1289" i="14" a="1"/>
  <c r="J1289" i="14" s="1"/>
  <c r="N1290" i="14"/>
  <c r="J1290" i="13" a="1"/>
  <c r="J1290" i="13" s="1"/>
  <c r="N1291" i="13"/>
  <c r="K1105" i="13" l="1"/>
  <c r="L1105" i="13" s="1"/>
  <c r="I1106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28" i="14" l="1"/>
  <c r="L1128" i="14" s="1"/>
  <c r="I1129" i="14" s="1"/>
  <c r="K1106" i="13"/>
  <c r="L1106" i="13" s="1"/>
  <c r="I1107" i="13" s="1"/>
  <c r="J1291" i="14" a="1"/>
  <c r="J1291" i="14" s="1"/>
  <c r="N1292" i="14"/>
  <c r="J1292" i="13" a="1"/>
  <c r="J1292" i="13" s="1"/>
  <c r="N1293" i="13"/>
  <c r="M1296" i="14"/>
  <c r="M1295" i="13"/>
  <c r="K1129" i="14" l="1"/>
  <c r="L1129" i="14" s="1"/>
  <c r="I1130" i="14" s="1"/>
  <c r="K1107" i="13"/>
  <c r="L1107" i="13" s="1"/>
  <c r="I1108" i="13" s="1"/>
  <c r="N1294" i="13"/>
  <c r="J1293" i="13" a="1"/>
  <c r="J1293" i="13" s="1"/>
  <c r="N1293" i="14"/>
  <c r="J1292" i="14" a="1"/>
  <c r="J1292" i="14" s="1"/>
  <c r="M1296" i="13"/>
  <c r="M1297" i="14"/>
  <c r="K1108" i="13" l="1"/>
  <c r="L1108" i="13" s="1"/>
  <c r="I1109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31" i="14" l="1"/>
  <c r="L1131" i="14" s="1"/>
  <c r="I1132" i="14" s="1"/>
  <c r="K1109" i="13"/>
  <c r="L1109" i="13" s="1"/>
  <c r="I1110" i="13" s="1"/>
  <c r="J1294" i="14" a="1"/>
  <c r="J1294" i="14" s="1"/>
  <c r="N1295" i="14"/>
  <c r="J1295" i="13" a="1"/>
  <c r="J1295" i="13" s="1"/>
  <c r="N1296" i="13"/>
  <c r="M1298" i="13"/>
  <c r="M1299" i="14"/>
  <c r="K1110" i="13" l="1"/>
  <c r="L1110" i="13" s="1"/>
  <c r="I1111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33" i="14" l="1"/>
  <c r="L1133" i="14" s="1"/>
  <c r="I1134" i="14" s="1"/>
  <c r="K1111" i="13"/>
  <c r="L1111" i="13" s="1"/>
  <c r="I1112" i="13" s="1"/>
  <c r="M1300" i="13"/>
  <c r="N1298" i="13"/>
  <c r="J1297" i="13" a="1"/>
  <c r="J1297" i="13" s="1"/>
  <c r="N1297" i="14"/>
  <c r="J1296" i="14" a="1"/>
  <c r="J1296" i="14" s="1"/>
  <c r="M1301" i="14"/>
  <c r="K1112" i="13" l="1"/>
  <c r="L1112" i="13" s="1"/>
  <c r="I1113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35" i="14" l="1"/>
  <c r="L1135" i="14" s="1"/>
  <c r="I1136" i="14" s="1"/>
  <c r="K1113" i="13"/>
  <c r="L1113" i="13" s="1"/>
  <c r="I1114" i="13" s="1"/>
  <c r="J1298" i="14" a="1"/>
  <c r="J1298" i="14" s="1"/>
  <c r="N1299" i="14"/>
  <c r="M1303" i="14"/>
  <c r="J1299" i="13" a="1"/>
  <c r="J1299" i="13" s="1"/>
  <c r="N1300" i="13"/>
  <c r="M1302" i="13"/>
  <c r="K1114" i="13" l="1"/>
  <c r="L1114" i="13" s="1"/>
  <c r="I1115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37" i="14" l="1"/>
  <c r="L1137" i="14" s="1"/>
  <c r="I1138" i="14" s="1"/>
  <c r="K1115" i="13"/>
  <c r="L1115" i="13" s="1"/>
  <c r="I1116" i="13" s="1"/>
  <c r="M1304" i="13"/>
  <c r="N1301" i="14"/>
  <c r="J1300" i="14" a="1"/>
  <c r="J1300" i="14" s="1"/>
  <c r="N1302" i="13"/>
  <c r="J1301" i="13" a="1"/>
  <c r="J1301" i="13" s="1"/>
  <c r="M1305" i="14"/>
  <c r="K1116" i="13" l="1"/>
  <c r="L1116" i="13" s="1"/>
  <c r="I1117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39" i="14" l="1"/>
  <c r="L1139" i="14" s="1"/>
  <c r="I1140" i="14" s="1"/>
  <c r="K1117" i="13"/>
  <c r="L1117" i="13" s="1"/>
  <c r="I1118" i="13" s="1"/>
  <c r="J1303" i="13" a="1"/>
  <c r="J1303" i="13" s="1"/>
  <c r="N1304" i="13"/>
  <c r="M1306" i="13"/>
  <c r="J1302" i="14" a="1"/>
  <c r="J1302" i="14" s="1"/>
  <c r="N1303" i="14"/>
  <c r="M1307" i="14"/>
  <c r="K1118" i="13" l="1"/>
  <c r="L1118" i="13" s="1"/>
  <c r="I1119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41" i="14" l="1"/>
  <c r="L1141" i="14" s="1"/>
  <c r="I1142" i="14" s="1"/>
  <c r="K1119" i="13"/>
  <c r="L1119" i="13" s="1"/>
  <c r="I1120" i="13" s="1"/>
  <c r="M1308" i="13"/>
  <c r="N1305" i="14"/>
  <c r="J1304" i="14" a="1"/>
  <c r="J1304" i="14" s="1"/>
  <c r="N1306" i="13"/>
  <c r="J1305" i="13" a="1"/>
  <c r="J1305" i="13" s="1"/>
  <c r="M1309" i="14"/>
  <c r="K1120" i="13" l="1"/>
  <c r="L1120" i="13" s="1"/>
  <c r="I1121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43" i="14" l="1"/>
  <c r="L1143" i="14" s="1"/>
  <c r="I1144" i="14" s="1"/>
  <c r="K1121" i="13"/>
  <c r="L1121" i="13" s="1"/>
  <c r="I1122" i="13" s="1"/>
  <c r="J1307" i="13" a="1"/>
  <c r="J1307" i="13" s="1"/>
  <c r="N1308" i="13"/>
  <c r="M1310" i="13"/>
  <c r="J1306" i="14" a="1"/>
  <c r="J1306" i="14" s="1"/>
  <c r="N1307" i="14"/>
  <c r="M1311" i="14"/>
  <c r="K1122" i="13" l="1"/>
  <c r="L1122" i="13" s="1"/>
  <c r="I1123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45" i="14" l="1"/>
  <c r="L1145" i="14" s="1"/>
  <c r="I1146" i="14" s="1"/>
  <c r="K1123" i="13"/>
  <c r="L1123" i="13" s="1"/>
  <c r="I1124" i="13" s="1"/>
  <c r="N1310" i="13"/>
  <c r="J1309" i="13" a="1"/>
  <c r="J1309" i="13" s="1"/>
  <c r="N1309" i="14"/>
  <c r="J1308" i="14" a="1"/>
  <c r="J1308" i="14" s="1"/>
  <c r="M1313" i="14"/>
  <c r="M1312" i="13"/>
  <c r="K1124" i="13" l="1"/>
  <c r="L1124" i="13" s="1"/>
  <c r="I1125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47" i="14" l="1"/>
  <c r="L1147" i="14" s="1"/>
  <c r="I1148" i="14" s="1"/>
  <c r="K1125" i="13"/>
  <c r="L1125" i="13" s="1"/>
  <c r="I1126" i="13" s="1"/>
  <c r="J1311" i="13" a="1"/>
  <c r="J1311" i="13" s="1"/>
  <c r="N1312" i="13"/>
  <c r="J1310" i="14" a="1"/>
  <c r="J1310" i="14" s="1"/>
  <c r="N1311" i="14"/>
  <c r="M1315" i="14"/>
  <c r="M1314" i="13"/>
  <c r="K1126" i="13" l="1"/>
  <c r="L1126" i="13" s="1"/>
  <c r="I1127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49" i="14" l="1"/>
  <c r="L1149" i="14" s="1"/>
  <c r="I1150" i="14" s="1"/>
  <c r="K1127" i="13"/>
  <c r="L1127" i="13" s="1"/>
  <c r="I1128" i="13" s="1"/>
  <c r="N1314" i="13"/>
  <c r="J1313" i="13" a="1"/>
  <c r="J1313" i="13" s="1"/>
  <c r="N1313" i="14"/>
  <c r="J1312" i="14" a="1"/>
  <c r="J1312" i="14" s="1"/>
  <c r="M1317" i="14"/>
  <c r="M1316" i="13"/>
  <c r="K1128" i="13" l="1"/>
  <c r="L1128" i="13" s="1"/>
  <c r="I1129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51" i="14" l="1"/>
  <c r="L1151" i="14" s="1"/>
  <c r="I1152" i="14" s="1"/>
  <c r="K1129" i="13"/>
  <c r="L1129" i="13" s="1"/>
  <c r="I1130" i="13" s="1"/>
  <c r="M1318" i="13"/>
  <c r="J1315" i="13" a="1"/>
  <c r="J1315" i="13" s="1"/>
  <c r="N1316" i="13"/>
  <c r="J1314" i="14" a="1"/>
  <c r="J1314" i="14" s="1"/>
  <c r="N1315" i="14"/>
  <c r="M1319" i="14"/>
  <c r="K1130" i="13" l="1"/>
  <c r="L1130" i="13" s="1"/>
  <c r="I1131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53" i="14" l="1"/>
  <c r="L1153" i="14" s="1"/>
  <c r="I1154" i="14" s="1"/>
  <c r="K1131" i="13"/>
  <c r="L1131" i="13" s="1"/>
  <c r="I1132" i="13" s="1"/>
  <c r="M1320" i="13"/>
  <c r="M1321" i="14"/>
  <c r="N1317" i="14"/>
  <c r="J1316" i="14" a="1"/>
  <c r="J1316" i="14" s="1"/>
  <c r="N1318" i="13"/>
  <c r="J1317" i="13" a="1"/>
  <c r="J1317" i="13" s="1"/>
  <c r="K1132" i="13" l="1"/>
  <c r="L1132" i="13" s="1"/>
  <c r="I1133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55" i="14" l="1"/>
  <c r="L1155" i="14" s="1"/>
  <c r="I1156" i="14" s="1"/>
  <c r="K1133" i="13"/>
  <c r="L1133" i="13" s="1"/>
  <c r="I1134" i="13" s="1"/>
  <c r="J1318" i="14" a="1"/>
  <c r="J1318" i="14" s="1"/>
  <c r="N1319" i="14"/>
  <c r="M1323" i="14"/>
  <c r="J1319" i="13" a="1"/>
  <c r="J1319" i="13" s="1"/>
  <c r="N1320" i="13"/>
  <c r="M1322" i="13"/>
  <c r="K1134" i="13" l="1"/>
  <c r="L1134" i="13" s="1"/>
  <c r="I1135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57" i="14" l="1"/>
  <c r="L1157" i="14" s="1"/>
  <c r="I1158" i="14" s="1"/>
  <c r="K1135" i="13"/>
  <c r="L1135" i="13" s="1"/>
  <c r="I1136" i="13" s="1"/>
  <c r="N1321" i="14"/>
  <c r="J1320" i="14" a="1"/>
  <c r="J1320" i="14" s="1"/>
  <c r="M1324" i="13"/>
  <c r="N1322" i="13"/>
  <c r="J1321" i="13" a="1"/>
  <c r="J1321" i="13" s="1"/>
  <c r="M1325" i="14"/>
  <c r="K1136" i="13" l="1"/>
  <c r="L1136" i="13" s="1"/>
  <c r="I1137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59" i="14" l="1"/>
  <c r="L1159" i="14" s="1"/>
  <c r="I1160" i="14" s="1"/>
  <c r="K1137" i="13"/>
  <c r="L1137" i="13" s="1"/>
  <c r="I1138" i="13" s="1"/>
  <c r="J1322" i="14" a="1"/>
  <c r="J1322" i="14" s="1"/>
  <c r="N1323" i="14"/>
  <c r="M1327" i="14"/>
  <c r="J1323" i="13" a="1"/>
  <c r="J1323" i="13" s="1"/>
  <c r="N1324" i="13"/>
  <c r="M1326" i="13"/>
  <c r="K1138" i="13" l="1"/>
  <c r="L1138" i="13" s="1"/>
  <c r="I1139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9" i="13" l="1"/>
  <c r="L1139" i="13" s="1"/>
  <c r="I1140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40" i="13" l="1"/>
  <c r="L1140" i="13" s="1"/>
  <c r="I1141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63" i="14" l="1"/>
  <c r="L1163" i="14" s="1"/>
  <c r="I1164" i="14" s="1"/>
  <c r="K1141" i="13"/>
  <c r="L1141" i="13" s="1"/>
  <c r="I1142" i="13" s="1"/>
  <c r="M1330" i="13"/>
  <c r="J1326" i="14" a="1"/>
  <c r="J1326" i="14" s="1"/>
  <c r="N1327" i="14"/>
  <c r="M1331" i="14"/>
  <c r="J1327" i="13" a="1"/>
  <c r="J1327" i="13" s="1"/>
  <c r="N1328" i="13"/>
  <c r="K1142" i="13" l="1"/>
  <c r="L1142" i="13" s="1"/>
  <c r="I1143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65" i="14" l="1"/>
  <c r="L1165" i="14" s="1"/>
  <c r="I1166" i="14" s="1"/>
  <c r="K1143" i="13"/>
  <c r="L1143" i="13" s="1"/>
  <c r="I1144" i="13" s="1"/>
  <c r="M1332" i="13"/>
  <c r="N1330" i="13"/>
  <c r="J1329" i="13" a="1"/>
  <c r="J1329" i="13" s="1"/>
  <c r="N1329" i="14"/>
  <c r="J1328" i="14" a="1"/>
  <c r="J1328" i="14" s="1"/>
  <c r="M1333" i="14"/>
  <c r="K1144" i="13" l="1"/>
  <c r="L1144" i="13" s="1"/>
  <c r="I1145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67" i="14" l="1"/>
  <c r="L1167" i="14" s="1"/>
  <c r="I1168" i="14" s="1"/>
  <c r="K1145" i="13"/>
  <c r="L1145" i="13" s="1"/>
  <c r="I1146" i="13" s="1"/>
  <c r="J1330" i="14" a="1"/>
  <c r="J1330" i="14" s="1"/>
  <c r="N1331" i="14"/>
  <c r="J1331" i="13" a="1"/>
  <c r="J1331" i="13" s="1"/>
  <c r="N1332" i="13"/>
  <c r="M1334" i="13"/>
  <c r="M1335" i="14"/>
  <c r="K1146" i="13" l="1"/>
  <c r="L1146" i="13" s="1"/>
  <c r="I1147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69" i="14" l="1"/>
  <c r="L1169" i="14" s="1"/>
  <c r="I1170" i="14" s="1"/>
  <c r="K1147" i="13"/>
  <c r="L1147" i="13" s="1"/>
  <c r="I1148" i="13" s="1"/>
  <c r="N1333" i="14"/>
  <c r="J1332" i="14" a="1"/>
  <c r="J1332" i="14" s="1"/>
  <c r="N1334" i="13"/>
  <c r="J1333" i="13" a="1"/>
  <c r="J1333" i="13" s="1"/>
  <c r="M1336" i="13"/>
  <c r="M1337" i="14"/>
  <c r="K1148" i="13" l="1"/>
  <c r="L1148" i="13" s="1"/>
  <c r="I1149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71" i="14" l="1"/>
  <c r="L1171" i="14" s="1"/>
  <c r="I1172" i="14" s="1"/>
  <c r="K1149" i="13"/>
  <c r="L1149" i="13" s="1"/>
  <c r="I1150" i="13" s="1"/>
  <c r="J1334" i="14" a="1"/>
  <c r="J1334" i="14" s="1"/>
  <c r="N1335" i="14"/>
  <c r="J1335" i="13" a="1"/>
  <c r="J1335" i="13" s="1"/>
  <c r="N1336" i="13"/>
  <c r="M1338" i="13"/>
  <c r="M1339" i="14"/>
  <c r="K1150" i="13" l="1"/>
  <c r="L1150" i="13" s="1"/>
  <c r="I1151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73" i="14" l="1"/>
  <c r="L1173" i="14" s="1"/>
  <c r="I1174" i="14" s="1"/>
  <c r="K1151" i="13"/>
  <c r="L1151" i="13" s="1"/>
  <c r="I1152" i="13" s="1"/>
  <c r="N1337" i="14"/>
  <c r="J1336" i="14" a="1"/>
  <c r="J1336" i="14" s="1"/>
  <c r="N1338" i="13"/>
  <c r="J1337" i="13" a="1"/>
  <c r="J1337" i="13" s="1"/>
  <c r="M1340" i="13"/>
  <c r="M1341" i="14"/>
  <c r="K1152" i="13" l="1"/>
  <c r="L1152" i="13" s="1"/>
  <c r="I1153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75" i="14" l="1"/>
  <c r="L1175" i="14" s="1"/>
  <c r="I1176" i="14" s="1"/>
  <c r="K1153" i="13"/>
  <c r="L1153" i="13" s="1"/>
  <c r="I1154" i="13" s="1"/>
  <c r="J1339" i="13" a="1"/>
  <c r="J1339" i="13" s="1"/>
  <c r="N1340" i="13"/>
  <c r="J1338" i="14" a="1"/>
  <c r="J1338" i="14" s="1"/>
  <c r="N1339" i="14"/>
  <c r="M1342" i="13"/>
  <c r="M1343" i="14"/>
  <c r="K1154" i="13" l="1"/>
  <c r="L1154" i="13" s="1"/>
  <c r="I1155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77" i="14" l="1"/>
  <c r="L1177" i="14" s="1"/>
  <c r="I1178" i="14" s="1"/>
  <c r="K1155" i="13"/>
  <c r="L1155" i="13" s="1"/>
  <c r="I1156" i="13" s="1"/>
  <c r="N1342" i="13"/>
  <c r="J1341" i="13" a="1"/>
  <c r="J1341" i="13" s="1"/>
  <c r="M1344" i="13"/>
  <c r="N1341" i="14"/>
  <c r="J1340" i="14" a="1"/>
  <c r="J1340" i="14" s="1"/>
  <c r="M1345" i="14"/>
  <c r="K1156" i="13" l="1"/>
  <c r="L1156" i="13" s="1"/>
  <c r="I1157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79" i="14" l="1"/>
  <c r="L1179" i="14" s="1"/>
  <c r="I1180" i="14" s="1"/>
  <c r="K1157" i="13"/>
  <c r="L1157" i="13" s="1"/>
  <c r="I1158" i="13" s="1"/>
  <c r="J1343" i="13" a="1"/>
  <c r="J1343" i="13" s="1"/>
  <c r="N1344" i="13"/>
  <c r="M1347" i="14"/>
  <c r="J1342" i="14" a="1"/>
  <c r="J1342" i="14" s="1"/>
  <c r="N1343" i="14"/>
  <c r="M1346" i="13"/>
  <c r="K1158" i="13" l="1"/>
  <c r="L1158" i="13" s="1"/>
  <c r="I1159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81" i="14" l="1"/>
  <c r="L1181" i="14" s="1"/>
  <c r="I1182" i="14" s="1"/>
  <c r="K1159" i="13"/>
  <c r="L1159" i="13" s="1"/>
  <c r="I1160" i="13" s="1"/>
  <c r="M1348" i="13"/>
  <c r="N1345" i="14"/>
  <c r="J1344" i="14" a="1"/>
  <c r="J1344" i="14" s="1"/>
  <c r="N1346" i="13"/>
  <c r="J1345" i="13" a="1"/>
  <c r="J1345" i="13" s="1"/>
  <c r="M1349" i="14"/>
  <c r="K1182" i="14" l="1"/>
  <c r="L1182" i="14" s="1"/>
  <c r="I1183" i="14" s="1"/>
  <c r="K1160" i="13"/>
  <c r="L1160" i="13" s="1"/>
  <c r="I1161" i="13" s="1"/>
  <c r="M1350" i="14"/>
  <c r="J1345" i="14" a="1"/>
  <c r="J1345" i="14" s="1"/>
  <c r="N1346" i="14"/>
  <c r="M1349" i="13"/>
  <c r="J1346" i="13" a="1"/>
  <c r="J1346" i="13" s="1"/>
  <c r="N1347" i="13"/>
  <c r="K1161" i="13" l="1"/>
  <c r="L1161" i="13" s="1"/>
  <c r="I1162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84" i="14" l="1"/>
  <c r="L1184" i="14" s="1"/>
  <c r="I1185" i="14" s="1"/>
  <c r="K1162" i="13"/>
  <c r="L1162" i="13" s="1"/>
  <c r="I1163" i="13" s="1"/>
  <c r="J1347" i="14" a="1"/>
  <c r="J1347" i="14" s="1"/>
  <c r="N1348" i="14"/>
  <c r="J1348" i="13" a="1"/>
  <c r="J1348" i="13" s="1"/>
  <c r="N1349" i="13"/>
  <c r="M1352" i="14"/>
  <c r="M1351" i="13"/>
  <c r="K1163" i="13" l="1"/>
  <c r="L1163" i="13" s="1"/>
  <c r="I1164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86" i="14" l="1"/>
  <c r="L1186" i="14" s="1"/>
  <c r="I1187" i="14" s="1"/>
  <c r="K1164" i="13"/>
  <c r="L1164" i="13" s="1"/>
  <c r="I1165" i="13" s="1"/>
  <c r="M1354" i="14"/>
  <c r="M1353" i="13"/>
  <c r="J1349" i="14" a="1"/>
  <c r="J1349" i="14" s="1"/>
  <c r="N1350" i="14"/>
  <c r="J1350" i="13" a="1"/>
  <c r="J1350" i="13" s="1"/>
  <c r="N1351" i="13"/>
  <c r="K1165" i="13" l="1"/>
  <c r="L1165" i="13" s="1"/>
  <c r="I1166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88" i="14" l="1"/>
  <c r="L1188" i="14" s="1"/>
  <c r="I1189" i="14" s="1"/>
  <c r="K1166" i="13"/>
  <c r="L1166" i="13" s="1"/>
  <c r="I1167" i="13" s="1"/>
  <c r="M1356" i="14"/>
  <c r="M1355" i="13"/>
  <c r="J1351" i="14" a="1"/>
  <c r="J1351" i="14" s="1"/>
  <c r="N1352" i="14"/>
  <c r="J1352" i="13" a="1"/>
  <c r="J1352" i="13" s="1"/>
  <c r="N1353" i="13"/>
  <c r="K1189" i="14" l="1"/>
  <c r="L1189" i="14" s="1"/>
  <c r="I1190" i="14" s="1"/>
  <c r="K1167" i="13"/>
  <c r="L1167" i="13" s="1"/>
  <c r="I1168" i="13" s="1"/>
  <c r="N1354" i="13"/>
  <c r="J1353" i="13" a="1"/>
  <c r="J1353" i="13" s="1"/>
  <c r="M1356" i="13"/>
  <c r="N1353" i="14"/>
  <c r="J1352" i="14" a="1"/>
  <c r="J1352" i="14" s="1"/>
  <c r="M1357" i="14"/>
  <c r="K1168" i="13" l="1"/>
  <c r="L1168" i="13" s="1"/>
  <c r="I1169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9" i="13" l="1"/>
  <c r="L1169" i="13" s="1"/>
  <c r="I1170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70" i="13" l="1"/>
  <c r="L1170" i="13" s="1"/>
  <c r="I1171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93" i="14" l="1"/>
  <c r="L1193" i="14" s="1"/>
  <c r="I1194" i="14" s="1"/>
  <c r="K1171" i="13"/>
  <c r="L1171" i="13" s="1"/>
  <c r="I1172" i="13" s="1"/>
  <c r="N1358" i="13"/>
  <c r="J1357" i="13" a="1"/>
  <c r="J1357" i="13" s="1"/>
  <c r="M1360" i="13"/>
  <c r="N1357" i="14"/>
  <c r="J1356" i="14" a="1"/>
  <c r="J1356" i="14" s="1"/>
  <c r="M1361" i="14"/>
  <c r="K1194" i="14" l="1"/>
  <c r="L1194" i="14" s="1"/>
  <c r="I1195" i="14" s="1"/>
  <c r="K1172" i="13"/>
  <c r="L1172" i="13" s="1"/>
  <c r="I1173" i="13" s="1"/>
  <c r="M1361" i="13"/>
  <c r="M1362" i="14"/>
  <c r="J1357" i="14" a="1"/>
  <c r="J1357" i="14" s="1"/>
  <c r="N1358" i="14"/>
  <c r="J1358" i="13" a="1"/>
  <c r="J1358" i="13" s="1"/>
  <c r="N1359" i="13"/>
  <c r="K1173" i="13" l="1"/>
  <c r="L1173" i="13" s="1"/>
  <c r="I1174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96" i="14" l="1"/>
  <c r="L1196" i="14" s="1"/>
  <c r="I1197" i="14" s="1"/>
  <c r="K1174" i="13"/>
  <c r="L1174" i="13" s="1"/>
  <c r="I1175" i="13" s="1"/>
  <c r="J1359" i="14" a="1"/>
  <c r="J1359" i="14" s="1"/>
  <c r="N1360" i="14"/>
  <c r="M1363" i="13"/>
  <c r="M1364" i="14"/>
  <c r="J1360" i="13" a="1"/>
  <c r="J1360" i="13" s="1"/>
  <c r="N1361" i="13"/>
  <c r="K1197" i="14" l="1"/>
  <c r="L1197" i="14" s="1"/>
  <c r="I1198" i="14" s="1"/>
  <c r="K1175" i="13"/>
  <c r="L1175" i="13" s="1"/>
  <c r="I1176" i="13" s="1"/>
  <c r="N1362" i="13"/>
  <c r="J1361" i="13" a="1"/>
  <c r="J1361" i="13" s="1"/>
  <c r="M1364" i="13"/>
  <c r="N1361" i="14"/>
  <c r="J1360" i="14" a="1"/>
  <c r="J1360" i="14" s="1"/>
  <c r="M1365" i="14"/>
  <c r="K1176" i="13" l="1"/>
  <c r="L1176" i="13" s="1"/>
  <c r="I1177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99" i="14" l="1"/>
  <c r="L1199" i="14" s="1"/>
  <c r="I1200" i="14" s="1"/>
  <c r="K1177" i="13"/>
  <c r="L1177" i="13" s="1"/>
  <c r="I1178" i="13" s="1"/>
  <c r="M1366" i="13"/>
  <c r="J1362" i="14" a="1"/>
  <c r="J1362" i="14" s="1"/>
  <c r="N1363" i="14"/>
  <c r="J1363" i="13" a="1"/>
  <c r="J1363" i="13" s="1"/>
  <c r="N1364" i="13"/>
  <c r="M1367" i="14"/>
  <c r="K1178" i="13" l="1"/>
  <c r="L1178" i="13" s="1"/>
  <c r="I1179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201" i="14" l="1"/>
  <c r="L1201" i="14" s="1"/>
  <c r="I1202" i="14" s="1"/>
  <c r="K1179" i="13"/>
  <c r="L1179" i="13" s="1"/>
  <c r="I1180" i="13" s="1"/>
  <c r="N1365" i="14"/>
  <c r="J1364" i="14" a="1"/>
  <c r="J1364" i="14" s="1"/>
  <c r="M1368" i="13"/>
  <c r="N1366" i="13"/>
  <c r="J1365" i="13" a="1"/>
  <c r="J1365" i="13" s="1"/>
  <c r="M1369" i="14"/>
  <c r="K1180" i="13" l="1"/>
  <c r="L1180" i="13" s="1"/>
  <c r="I1181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203" i="14" l="1"/>
  <c r="L1203" i="14" s="1"/>
  <c r="I1204" i="14" s="1"/>
  <c r="M1370" i="13"/>
  <c r="K1181" i="13"/>
  <c r="L1181" i="13" s="1"/>
  <c r="I1182" i="13" s="1"/>
  <c r="M1371" i="14"/>
  <c r="J1366" i="14" a="1"/>
  <c r="J1366" i="14" s="1"/>
  <c r="N1367" i="14"/>
  <c r="J1367" i="13" a="1"/>
  <c r="J1367" i="13" s="1"/>
  <c r="N1368" i="13"/>
  <c r="J1368" i="13" l="1" a="1"/>
  <c r="J1368" i="13" s="1"/>
  <c r="N1369" i="13"/>
  <c r="M1372" i="14"/>
  <c r="M1371" i="13"/>
  <c r="K1182" i="13"/>
  <c r="L1182" i="13" s="1"/>
  <c r="I1183" i="13" s="1"/>
  <c r="K1204" i="14"/>
  <c r="L1204" i="14" s="1"/>
  <c r="I1205" i="14" s="1"/>
  <c r="J1367" i="14" a="1"/>
  <c r="J1367" i="14" s="1"/>
  <c r="N1368" i="14"/>
  <c r="K1205" i="14" l="1"/>
  <c r="L1205" i="14" s="1"/>
  <c r="I1206" i="14" s="1"/>
  <c r="K1183" i="13"/>
  <c r="L1183" i="13" s="1"/>
  <c r="I1184" i="13" s="1"/>
  <c r="N1370" i="13"/>
  <c r="J1369" i="13" a="1"/>
  <c r="J1369" i="13" s="1"/>
  <c r="N1369" i="14"/>
  <c r="J1368" i="14" a="1"/>
  <c r="J1368" i="14" s="1"/>
  <c r="M1373" i="14"/>
  <c r="M1372" i="13"/>
  <c r="K1184" i="13" l="1"/>
  <c r="L1184" i="13" s="1"/>
  <c r="I1185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5" i="13" l="1"/>
  <c r="L1185" i="13" s="1"/>
  <c r="I1186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208" i="14" l="1"/>
  <c r="L1208" i="14" s="1"/>
  <c r="I1209" i="14" s="1"/>
  <c r="K1186" i="13"/>
  <c r="L1186" i="13" s="1"/>
  <c r="I1187" i="13" s="1"/>
  <c r="M1375" i="13"/>
  <c r="M1376" i="14"/>
  <c r="J1372" i="13" a="1"/>
  <c r="J1372" i="13" s="1"/>
  <c r="N1373" i="13"/>
  <c r="J1371" i="14" a="1"/>
  <c r="J1371" i="14" s="1"/>
  <c r="N1372" i="14"/>
  <c r="K1187" i="13" l="1"/>
  <c r="L1187" i="13" s="1"/>
  <c r="I1188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8" i="13" l="1"/>
  <c r="L1188" i="13" s="1"/>
  <c r="I1189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211" i="14" l="1"/>
  <c r="L1211" i="14" s="1"/>
  <c r="I1212" i="14" s="1"/>
  <c r="K1189" i="13"/>
  <c r="L1189" i="13" s="1"/>
  <c r="I1190" i="13" s="1"/>
  <c r="J1374" i="14" a="1"/>
  <c r="J1374" i="14" s="1"/>
  <c r="N1375" i="14"/>
  <c r="M1379" i="14"/>
  <c r="J1375" i="13" a="1"/>
  <c r="J1375" i="13" s="1"/>
  <c r="N1376" i="13"/>
  <c r="M1378" i="13"/>
  <c r="K1190" i="13" l="1"/>
  <c r="L1190" i="13" s="1"/>
  <c r="I1191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213" i="14" l="1"/>
  <c r="L1213" i="14" s="1"/>
  <c r="I1214" i="14" s="1"/>
  <c r="K1191" i="13"/>
  <c r="L1191" i="13" s="1"/>
  <c r="I1192" i="13" s="1"/>
  <c r="N1378" i="13"/>
  <c r="J1377" i="13" a="1"/>
  <c r="J1377" i="13" s="1"/>
  <c r="M1381" i="14"/>
  <c r="N1377" i="14"/>
  <c r="J1376" i="14" a="1"/>
  <c r="J1376" i="14" s="1"/>
  <c r="M1380" i="13"/>
  <c r="K1192" i="13" l="1"/>
  <c r="L1192" i="13" s="1"/>
  <c r="I1193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215" i="14" l="1"/>
  <c r="L1215" i="14" s="1"/>
  <c r="I1216" i="14" s="1"/>
  <c r="K1193" i="13"/>
  <c r="L1193" i="13" s="1"/>
  <c r="I1194" i="13" s="1"/>
  <c r="M1383" i="14"/>
  <c r="J1379" i="13" a="1"/>
  <c r="J1379" i="13" s="1"/>
  <c r="N1380" i="13"/>
  <c r="J1378" i="14" a="1"/>
  <c r="J1378" i="14" s="1"/>
  <c r="N1379" i="14"/>
  <c r="M1382" i="13"/>
  <c r="K1194" i="13" l="1"/>
  <c r="L1194" i="13" s="1"/>
  <c r="I1195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217" i="14" l="1"/>
  <c r="L1217" i="14" s="1"/>
  <c r="I1218" i="14" s="1"/>
  <c r="K1195" i="13"/>
  <c r="L1195" i="13" s="1"/>
  <c r="I1196" i="13" s="1"/>
  <c r="N1382" i="13"/>
  <c r="J1381" i="13" a="1"/>
  <c r="J1381" i="13" s="1"/>
  <c r="N1381" i="14"/>
  <c r="J1380" i="14" a="1"/>
  <c r="J1380" i="14" s="1"/>
  <c r="M1384" i="13"/>
  <c r="M1385" i="14"/>
  <c r="K1196" i="13" l="1"/>
  <c r="L1196" i="13" s="1"/>
  <c r="I1197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219" i="14" l="1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/>
  <c r="L1197" i="13" s="1"/>
  <c r="I1198" i="13" s="1"/>
  <c r="K1198" i="13" l="1"/>
  <c r="L1198" i="13" s="1"/>
  <c r="I1199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9" i="13" l="1"/>
  <c r="L1199" i="13" s="1"/>
  <c r="I1200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222" i="14" l="1"/>
  <c r="L1222" i="14" s="1"/>
  <c r="I1223" i="14" s="1"/>
  <c r="K1200" i="13"/>
  <c r="L1200" i="13" s="1"/>
  <c r="I1201" i="13" s="1"/>
  <c r="J1386" i="13" a="1"/>
  <c r="J1386" i="13" s="1"/>
  <c r="N1387" i="13"/>
  <c r="M1390" i="14"/>
  <c r="M1389" i="13"/>
  <c r="J1385" i="14" a="1"/>
  <c r="J1385" i="14" s="1"/>
  <c r="N1386" i="14"/>
  <c r="K1201" i="13" l="1"/>
  <c r="L1201" i="13" s="1"/>
  <c r="I1202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24" i="14" l="1"/>
  <c r="L1224" i="14" s="1"/>
  <c r="I1225" i="14" s="1"/>
  <c r="K1202" i="13"/>
  <c r="L1202" i="13" s="1"/>
  <c r="I1203" i="13" s="1"/>
  <c r="M1392" i="14"/>
  <c r="J1388" i="13" a="1"/>
  <c r="J1388" i="13" s="1"/>
  <c r="N1389" i="13"/>
  <c r="M1391" i="13"/>
  <c r="J1387" i="14" a="1"/>
  <c r="J1387" i="14" s="1"/>
  <c r="N1388" i="14"/>
  <c r="K1203" i="13" l="1"/>
  <c r="L1203" i="13" s="1"/>
  <c r="I1204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26" i="14" l="1"/>
  <c r="L1226" i="14" s="1"/>
  <c r="I1227" i="14" s="1"/>
  <c r="K1204" i="13"/>
  <c r="L1204" i="13" s="1"/>
  <c r="I1205" i="13" s="1"/>
  <c r="J1390" i="13" a="1"/>
  <c r="J1390" i="13" s="1"/>
  <c r="N1391" i="13"/>
  <c r="M1394" i="14"/>
  <c r="M1393" i="13"/>
  <c r="J1389" i="14" a="1"/>
  <c r="J1389" i="14" s="1"/>
  <c r="N1390" i="14"/>
  <c r="K1205" i="13" l="1"/>
  <c r="L1205" i="13" s="1"/>
  <c r="I1206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28" i="14" l="1"/>
  <c r="L1228" i="14" s="1"/>
  <c r="I1229" i="14" s="1"/>
  <c r="K1206" i="13"/>
  <c r="L1206" i="13" s="1"/>
  <c r="I1207" i="13" s="1"/>
  <c r="J1392" i="13" a="1"/>
  <c r="J1392" i="13" s="1"/>
  <c r="N1393" i="13"/>
  <c r="M1396" i="14"/>
  <c r="M1395" i="13"/>
  <c r="J1391" i="14" a="1"/>
  <c r="J1391" i="14" s="1"/>
  <c r="N1392" i="14"/>
  <c r="K1229" i="14" l="1"/>
  <c r="L1229" i="14" s="1"/>
  <c r="I1230" i="14" s="1"/>
  <c r="K1207" i="13"/>
  <c r="L1207" i="13" s="1"/>
  <c r="I1208" i="13" s="1"/>
  <c r="M1397" i="14"/>
  <c r="N1393" i="14"/>
  <c r="J1392" i="14" a="1"/>
  <c r="J1392" i="14" s="1"/>
  <c r="N1394" i="13"/>
  <c r="J1393" i="13" a="1"/>
  <c r="J1393" i="13" s="1"/>
  <c r="M1396" i="13"/>
  <c r="K1208" i="13" l="1"/>
  <c r="L1208" i="13" s="1"/>
  <c r="I1209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31" i="14" l="1"/>
  <c r="L1231" i="14" s="1"/>
  <c r="I1232" i="14" s="1"/>
  <c r="K1209" i="13"/>
  <c r="L1209" i="13" s="1"/>
  <c r="I1210" i="13" s="1"/>
  <c r="J1394" i="14" a="1"/>
  <c r="J1394" i="14" s="1"/>
  <c r="N1395" i="14"/>
  <c r="J1395" i="13" a="1"/>
  <c r="J1395" i="13" s="1"/>
  <c r="N1396" i="13"/>
  <c r="M1399" i="14"/>
  <c r="M1398" i="13"/>
  <c r="K1210" i="13" l="1"/>
  <c r="L1210" i="13" s="1"/>
  <c r="I1211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33" i="14" l="1"/>
  <c r="L1233" i="14" s="1"/>
  <c r="I1234" i="14" s="1"/>
  <c r="K1211" i="13"/>
  <c r="L1211" i="13" s="1"/>
  <c r="I1212" i="13" s="1"/>
  <c r="N1397" i="14"/>
  <c r="J1396" i="14" a="1"/>
  <c r="J1396" i="14" s="1"/>
  <c r="N1398" i="13"/>
  <c r="J1397" i="13" a="1"/>
  <c r="J1397" i="13" s="1"/>
  <c r="M1401" i="14"/>
  <c r="M1400" i="13"/>
  <c r="K1212" i="13" l="1"/>
  <c r="L1212" i="13" s="1"/>
  <c r="I1213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35" i="14" l="1"/>
  <c r="L1235" i="14" s="1"/>
  <c r="I1236" i="14" s="1"/>
  <c r="K1213" i="13"/>
  <c r="L1213" i="13" s="1"/>
  <c r="I1214" i="13" s="1"/>
  <c r="J1398" i="14" a="1"/>
  <c r="J1398" i="14" s="1"/>
  <c r="N1399" i="14"/>
  <c r="M1402" i="13"/>
  <c r="J1399" i="13" a="1"/>
  <c r="J1399" i="13" s="1"/>
  <c r="N1400" i="13"/>
  <c r="M1403" i="14"/>
  <c r="K1214" i="13" l="1"/>
  <c r="L1214" i="13" s="1"/>
  <c r="I1215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37" i="14" l="1"/>
  <c r="L1237" i="14" s="1"/>
  <c r="I1238" i="14" s="1"/>
  <c r="K1215" i="13"/>
  <c r="L1215" i="13" s="1"/>
  <c r="I1216" i="13" s="1"/>
  <c r="N1402" i="13"/>
  <c r="J1401" i="13" a="1"/>
  <c r="J1401" i="13" s="1"/>
  <c r="M1405" i="14"/>
  <c r="N1401" i="14"/>
  <c r="J1400" i="14" a="1"/>
  <c r="J1400" i="14" s="1"/>
  <c r="M1404" i="13"/>
  <c r="K1216" i="13" l="1"/>
  <c r="L1216" i="13" s="1"/>
  <c r="I1217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39" i="14" l="1"/>
  <c r="L1239" i="14" s="1"/>
  <c r="I1240" i="14" s="1"/>
  <c r="K1217" i="13"/>
  <c r="L1217" i="13" s="1"/>
  <c r="I1218" i="13" s="1"/>
  <c r="M1407" i="14"/>
  <c r="J1402" i="14" a="1"/>
  <c r="J1402" i="14" s="1"/>
  <c r="N1403" i="14"/>
  <c r="J1403" i="13" a="1"/>
  <c r="J1403" i="13" s="1"/>
  <c r="N1404" i="13"/>
  <c r="M1406" i="13"/>
  <c r="K1218" i="13" l="1"/>
  <c r="L1218" i="13" s="1"/>
  <c r="I1219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41" i="14" l="1"/>
  <c r="L1241" i="14" s="1"/>
  <c r="I1242" i="14" s="1"/>
  <c r="K1219" i="13"/>
  <c r="L1219" i="13" s="1"/>
  <c r="I1220" i="13" s="1"/>
  <c r="N1406" i="13"/>
  <c r="J1405" i="13" a="1"/>
  <c r="J1405" i="13" s="1"/>
  <c r="N1405" i="14"/>
  <c r="J1404" i="14" a="1"/>
  <c r="J1404" i="14" s="1"/>
  <c r="M1408" i="13"/>
  <c r="M1409" i="14"/>
  <c r="K1220" i="13" l="1"/>
  <c r="L1220" i="13" s="1"/>
  <c r="I1221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43" i="14" l="1"/>
  <c r="L1243" i="14" s="1"/>
  <c r="I1244" i="14" s="1"/>
  <c r="K1221" i="13"/>
  <c r="L1221" i="13" s="1"/>
  <c r="I1222" i="13" s="1"/>
  <c r="M1411" i="14"/>
  <c r="J1407" i="13" a="1"/>
  <c r="J1407" i="13" s="1"/>
  <c r="N1408" i="13"/>
  <c r="J1406" i="14" a="1"/>
  <c r="J1406" i="14" s="1"/>
  <c r="N1407" i="14"/>
  <c r="M1410" i="13"/>
  <c r="K1222" i="13" l="1"/>
  <c r="L1222" i="13" s="1"/>
  <c r="I1223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45" i="14" l="1"/>
  <c r="L1245" i="14" s="1"/>
  <c r="I1246" i="14" s="1"/>
  <c r="K1223" i="13"/>
  <c r="L1223" i="13" s="1"/>
  <c r="I1224" i="13" s="1"/>
  <c r="N1410" i="13"/>
  <c r="J1409" i="13" a="1"/>
  <c r="J1409" i="13" s="1"/>
  <c r="N1409" i="14"/>
  <c r="J1408" i="14" a="1"/>
  <c r="J1408" i="14" s="1"/>
  <c r="M1412" i="13"/>
  <c r="M1413" i="14"/>
  <c r="K1224" i="13" l="1"/>
  <c r="L1224" i="13" s="1"/>
  <c r="I1225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47" i="14" l="1"/>
  <c r="L1247" i="14" s="1"/>
  <c r="I1248" i="14" s="1"/>
  <c r="K1225" i="13"/>
  <c r="L1225" i="13" s="1"/>
  <c r="I1226" i="13" s="1"/>
  <c r="M1415" i="14"/>
  <c r="J1411" i="13" a="1"/>
  <c r="J1411" i="13" s="1"/>
  <c r="N1412" i="13"/>
  <c r="J1410" i="14" a="1"/>
  <c r="J1410" i="14" s="1"/>
  <c r="N1411" i="14"/>
  <c r="M1414" i="13"/>
  <c r="K1226" i="13" l="1"/>
  <c r="L1226" i="13" s="1"/>
  <c r="I1227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7" i="13" l="1"/>
  <c r="L1227" i="13" s="1"/>
  <c r="I1228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50" i="14" l="1"/>
  <c r="L1250" i="14" s="1"/>
  <c r="I1251" i="14" s="1"/>
  <c r="K1228" i="13"/>
  <c r="L1228" i="13" s="1"/>
  <c r="I1229" i="13" s="1"/>
  <c r="J1414" i="13" a="1"/>
  <c r="J1414" i="13" s="1"/>
  <c r="N1415" i="13"/>
  <c r="M1418" i="14"/>
  <c r="M1417" i="13"/>
  <c r="J1413" i="14" a="1"/>
  <c r="J1413" i="14" s="1"/>
  <c r="N1414" i="14"/>
  <c r="K1229" i="13" l="1"/>
  <c r="L1229" i="13" s="1"/>
  <c r="I1230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52" i="14" l="1"/>
  <c r="L1252" i="14" s="1"/>
  <c r="I1253" i="14" s="1"/>
  <c r="K1230" i="13"/>
  <c r="L1230" i="13" s="1"/>
  <c r="I1231" i="13" s="1"/>
  <c r="J1416" i="13" a="1"/>
  <c r="J1416" i="13" s="1"/>
  <c r="N1417" i="13"/>
  <c r="J1415" i="14" a="1"/>
  <c r="J1415" i="14" s="1"/>
  <c r="N1416" i="14"/>
  <c r="M1420" i="14"/>
  <c r="M1419" i="13"/>
  <c r="K1231" i="13" l="1"/>
  <c r="L1231" i="13" s="1"/>
  <c r="I1232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2" i="13" l="1"/>
  <c r="L1232" i="13" s="1"/>
  <c r="I1233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55" i="14" l="1"/>
  <c r="L1255" i="14" s="1"/>
  <c r="I1256" i="14" s="1"/>
  <c r="K1233" i="13"/>
  <c r="L1233" i="13" s="1"/>
  <c r="I1234" i="13" s="1"/>
  <c r="J1418" i="14" a="1"/>
  <c r="J1418" i="14" s="1"/>
  <c r="N1419" i="14"/>
  <c r="J1419" i="13" a="1"/>
  <c r="J1419" i="13" s="1"/>
  <c r="N1420" i="13"/>
  <c r="M1422" i="13"/>
  <c r="M1423" i="14"/>
  <c r="K1234" i="13" l="1"/>
  <c r="L1234" i="13" s="1"/>
  <c r="I1235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57" i="14" l="1"/>
  <c r="L1257" i="14" s="1"/>
  <c r="I1258" i="14" s="1"/>
  <c r="K1235" i="13"/>
  <c r="L1235" i="13" s="1"/>
  <c r="I1236" i="13" s="1"/>
  <c r="M1424" i="13"/>
  <c r="N1422" i="13"/>
  <c r="J1421" i="13" a="1"/>
  <c r="J1421" i="13" s="1"/>
  <c r="N1421" i="14"/>
  <c r="J1420" i="14" a="1"/>
  <c r="J1420" i="14" s="1"/>
  <c r="M1425" i="14"/>
  <c r="K1236" i="13" l="1"/>
  <c r="L1236" i="13" s="1"/>
  <c r="I1237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7" i="13" l="1"/>
  <c r="L1237" i="13" s="1"/>
  <c r="I1238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60" i="14" l="1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/>
  <c r="L1238" i="13" s="1"/>
  <c r="I1239" i="13" s="1"/>
  <c r="K1239" i="13" l="1"/>
  <c r="L1239" i="13" s="1"/>
  <c r="I1240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62" i="14" l="1"/>
  <c r="L1262" i="14" s="1"/>
  <c r="I1263" i="14" s="1"/>
  <c r="K1240" i="13"/>
  <c r="L1240" i="13" s="1"/>
  <c r="I1241" i="13" s="1"/>
  <c r="M1430" i="14"/>
  <c r="J1426" i="13" a="1"/>
  <c r="J1426" i="13" s="1"/>
  <c r="N1427" i="13"/>
  <c r="M1429" i="13"/>
  <c r="J1425" i="14" a="1"/>
  <c r="J1425" i="14" s="1"/>
  <c r="N1426" i="14"/>
  <c r="K1241" i="13" l="1"/>
  <c r="L1241" i="13" s="1"/>
  <c r="I1242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64" i="14" l="1"/>
  <c r="L1264" i="14" s="1"/>
  <c r="I1265" i="14" s="1"/>
  <c r="K1242" i="13"/>
  <c r="L1242" i="13" s="1"/>
  <c r="I1243" i="13" s="1"/>
  <c r="J1427" i="14" a="1"/>
  <c r="J1427" i="14" s="1"/>
  <c r="N1428" i="14"/>
  <c r="M1431" i="13"/>
  <c r="J1428" i="13" a="1"/>
  <c r="J1428" i="13" s="1"/>
  <c r="N1429" i="13"/>
  <c r="M1432" i="14"/>
  <c r="K1243" i="13" l="1"/>
  <c r="L1243" i="13" s="1"/>
  <c r="I1244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66" i="14" l="1"/>
  <c r="L1266" i="14" s="1"/>
  <c r="I1267" i="14" s="1"/>
  <c r="K1244" i="13"/>
  <c r="L1244" i="13" s="1"/>
  <c r="I1245" i="13" s="1"/>
  <c r="M1434" i="14"/>
  <c r="M1433" i="13"/>
  <c r="J1430" i="13" a="1"/>
  <c r="J1430" i="13" s="1"/>
  <c r="N1431" i="13"/>
  <c r="J1429" i="14" a="1"/>
  <c r="J1429" i="14" s="1"/>
  <c r="N1430" i="14"/>
  <c r="K1245" i="13" l="1"/>
  <c r="L1245" i="13" s="1"/>
  <c r="I1246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68" i="14" l="1"/>
  <c r="L1268" i="14" s="1"/>
  <c r="I1269" i="14" s="1"/>
  <c r="K1246" i="13"/>
  <c r="L1246" i="13" s="1"/>
  <c r="I1247" i="13" s="1"/>
  <c r="M1436" i="14"/>
  <c r="J1431" i="14" a="1"/>
  <c r="J1431" i="14" s="1"/>
  <c r="N1432" i="14"/>
  <c r="J1432" i="13" a="1"/>
  <c r="J1432" i="13" s="1"/>
  <c r="N1433" i="13"/>
  <c r="M1435" i="13"/>
  <c r="K1247" i="13" l="1"/>
  <c r="L1247" i="13" s="1"/>
  <c r="I1248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70" i="14" l="1"/>
  <c r="L1270" i="14" s="1"/>
  <c r="I1271" i="14" s="1"/>
  <c r="K1248" i="13"/>
  <c r="L1248" i="13" s="1"/>
  <c r="I1249" i="13" s="1"/>
  <c r="M1437" i="13"/>
  <c r="M1438" i="14"/>
  <c r="J1434" i="13" a="1"/>
  <c r="J1434" i="13" s="1"/>
  <c r="N1435" i="13"/>
  <c r="J1433" i="14" a="1"/>
  <c r="J1433" i="14" s="1"/>
  <c r="N1434" i="14"/>
  <c r="K1249" i="13" l="1"/>
  <c r="L1249" i="13" s="1"/>
  <c r="I1250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72" i="14" l="1"/>
  <c r="L1272" i="14" s="1"/>
  <c r="I1273" i="14" s="1"/>
  <c r="K1250" i="13"/>
  <c r="L1250" i="13" s="1"/>
  <c r="I1251" i="13" s="1"/>
  <c r="M1440" i="14"/>
  <c r="M1439" i="13"/>
  <c r="J1436" i="13" a="1"/>
  <c r="J1436" i="13" s="1"/>
  <c r="N1437" i="13"/>
  <c r="J1435" i="14" a="1"/>
  <c r="J1435" i="14" s="1"/>
  <c r="N1436" i="14"/>
  <c r="K1251" i="13" l="1"/>
  <c r="L1251" i="13" s="1"/>
  <c r="I1252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74" i="14" l="1"/>
  <c r="L1274" i="14" s="1"/>
  <c r="I1275" i="14" s="1"/>
  <c r="K1252" i="13"/>
  <c r="L1252" i="13" s="1"/>
  <c r="I1253" i="13" s="1"/>
  <c r="J1438" i="13" a="1"/>
  <c r="J1438" i="13" s="1"/>
  <c r="N1439" i="13"/>
  <c r="M1441" i="13"/>
  <c r="M1442" i="14"/>
  <c r="J1437" i="14" a="1"/>
  <c r="J1437" i="14" s="1"/>
  <c r="N1438" i="14"/>
  <c r="K1253" i="13" l="1"/>
  <c r="L1253" i="13" s="1"/>
  <c r="I1254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4" i="13" l="1"/>
  <c r="L1254" i="13" s="1"/>
  <c r="I1255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5" i="13" l="1"/>
  <c r="L1255" i="13" s="1"/>
  <c r="I1256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6" i="13" l="1"/>
  <c r="L1256" i="13" s="1"/>
  <c r="I1257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7" i="13" l="1"/>
  <c r="L1257" i="13" s="1"/>
  <c r="I1258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8" i="13" l="1"/>
  <c r="L1258" i="13" s="1"/>
  <c r="I1259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81" i="14" l="1"/>
  <c r="L1281" i="14" s="1"/>
  <c r="I1282" i="14" s="1"/>
  <c r="K1259" i="13"/>
  <c r="L1259" i="13" s="1"/>
  <c r="I1260" i="13" s="1"/>
  <c r="N1446" i="13"/>
  <c r="J1445" i="13" a="1"/>
  <c r="J1445" i="13" s="1"/>
  <c r="M1449" i="14"/>
  <c r="M1448" i="13"/>
  <c r="N1445" i="14"/>
  <c r="J1444" i="14" a="1"/>
  <c r="J1444" i="14" s="1"/>
  <c r="K1260" i="13" l="1"/>
  <c r="L1260" i="13" s="1"/>
  <c r="I1261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83" i="14" l="1"/>
  <c r="L1283" i="14" s="1"/>
  <c r="I1284" i="14" s="1"/>
  <c r="K1261" i="13"/>
  <c r="L1261" i="13" s="1"/>
  <c r="I1262" i="13" s="1"/>
  <c r="M1451" i="14"/>
  <c r="J1446" i="14" a="1"/>
  <c r="J1446" i="14" s="1"/>
  <c r="N1447" i="14"/>
  <c r="J1447" i="13" a="1"/>
  <c r="J1447" i="13" s="1"/>
  <c r="N1448" i="13"/>
  <c r="M1450" i="13"/>
  <c r="K1262" i="13" l="1"/>
  <c r="L1262" i="13" s="1"/>
  <c r="I1263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85" i="14" l="1"/>
  <c r="L1285" i="14" s="1"/>
  <c r="I1286" i="14" s="1"/>
  <c r="K1263" i="13"/>
  <c r="L1263" i="13" s="1"/>
  <c r="I1264" i="13" s="1"/>
  <c r="N1450" i="13"/>
  <c r="J1449" i="13" a="1"/>
  <c r="J1449" i="13" s="1"/>
  <c r="N1449" i="14"/>
  <c r="J1448" i="14" a="1"/>
  <c r="J1448" i="14" s="1"/>
  <c r="M1452" i="13"/>
  <c r="M1453" i="14"/>
  <c r="K1264" i="13" l="1"/>
  <c r="L1264" i="13" s="1"/>
  <c r="I1265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87" i="14" l="1"/>
  <c r="L1287" i="14" s="1"/>
  <c r="I1288" i="14" s="1"/>
  <c r="M1454" i="13"/>
  <c r="J1451" i="13" a="1"/>
  <c r="J1451" i="13" s="1"/>
  <c r="N1452" i="13"/>
  <c r="M1455" i="14"/>
  <c r="K1265" i="13"/>
  <c r="L1265" i="13" s="1"/>
  <c r="I1266" i="13" s="1"/>
  <c r="J1450" i="14" a="1"/>
  <c r="J1450" i="14" s="1"/>
  <c r="N1451" i="14"/>
  <c r="K1266" i="13" l="1"/>
  <c r="L1266" i="13" s="1"/>
  <c r="I1267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89" i="14" l="1"/>
  <c r="L1289" i="14" s="1"/>
  <c r="I1290" i="14" s="1"/>
  <c r="K1267" i="13"/>
  <c r="L1267" i="13" s="1"/>
  <c r="I1268" i="13" s="1"/>
  <c r="M1456" i="13"/>
  <c r="N1453" i="14"/>
  <c r="J1452" i="14" a="1"/>
  <c r="J1452" i="14" s="1"/>
  <c r="N1454" i="13"/>
  <c r="J1453" i="13" a="1"/>
  <c r="J1453" i="13" s="1"/>
  <c r="M1457" i="14"/>
  <c r="K1268" i="13" l="1"/>
  <c r="L1268" i="13" s="1"/>
  <c r="I1269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91" i="14" l="1"/>
  <c r="L1291" i="14" s="1"/>
  <c r="I1292" i="14" s="1"/>
  <c r="K1269" i="13"/>
  <c r="L1269" i="13" s="1"/>
  <c r="I1270" i="13" s="1"/>
  <c r="M1458" i="13"/>
  <c r="J1454" i="14" a="1"/>
  <c r="J1454" i="14" s="1"/>
  <c r="N1455" i="14"/>
  <c r="J1455" i="13" a="1"/>
  <c r="J1455" i="13" s="1"/>
  <c r="N1456" i="13"/>
  <c r="M1459" i="14"/>
  <c r="K1270" i="13" l="1"/>
  <c r="L1270" i="13" s="1"/>
  <c r="I1271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93" i="14" l="1"/>
  <c r="L1293" i="14" s="1"/>
  <c r="I1294" i="14" s="1"/>
  <c r="K1271" i="13"/>
  <c r="L1271" i="13" s="1"/>
  <c r="I1272" i="13" s="1"/>
  <c r="N1457" i="14"/>
  <c r="J1456" i="14" a="1"/>
  <c r="J1456" i="14" s="1"/>
  <c r="N1458" i="13"/>
  <c r="J1457" i="13" a="1"/>
  <c r="J1457" i="13" s="1"/>
  <c r="M1460" i="13"/>
  <c r="M1461" i="14"/>
  <c r="K1272" i="13" l="1"/>
  <c r="L1272" i="13" s="1"/>
  <c r="I1273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95" i="14" l="1"/>
  <c r="L1295" i="14" s="1"/>
  <c r="I1296" i="14" s="1"/>
  <c r="K1273" i="13"/>
  <c r="L1273" i="13" s="1"/>
  <c r="I1274" i="13" s="1"/>
  <c r="J1459" i="13" a="1"/>
  <c r="J1459" i="13" s="1"/>
  <c r="N1460" i="13"/>
  <c r="J1458" i="14" a="1"/>
  <c r="J1458" i="14" s="1"/>
  <c r="N1459" i="14"/>
  <c r="M1462" i="13"/>
  <c r="M1463" i="14"/>
  <c r="K1274" i="13" l="1"/>
  <c r="L1274" i="13" s="1"/>
  <c r="I1275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97" i="14" l="1"/>
  <c r="L1297" i="14" s="1"/>
  <c r="I1298" i="14" s="1"/>
  <c r="K1275" i="13"/>
  <c r="L1275" i="13" s="1"/>
  <c r="I1276" i="13" s="1"/>
  <c r="M1464" i="13"/>
  <c r="N1461" i="14"/>
  <c r="J1460" i="14" a="1"/>
  <c r="J1460" i="14" s="1"/>
  <c r="N1462" i="13"/>
  <c r="J1461" i="13" a="1"/>
  <c r="J1461" i="13" s="1"/>
  <c r="M1465" i="14"/>
  <c r="K1276" i="13" l="1"/>
  <c r="L1276" i="13" s="1"/>
  <c r="I1277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99" i="14" l="1"/>
  <c r="L1299" i="14" s="1"/>
  <c r="I1300" i="14" s="1"/>
  <c r="K1277" i="13"/>
  <c r="L1277" i="13" s="1"/>
  <c r="I1278" i="13" s="1"/>
  <c r="M1466" i="13"/>
  <c r="J1463" i="13" a="1"/>
  <c r="J1463" i="13" s="1"/>
  <c r="N1464" i="13"/>
  <c r="J1462" i="14" a="1"/>
  <c r="J1462" i="14" s="1"/>
  <c r="N1463" i="14"/>
  <c r="M1467" i="14"/>
  <c r="K1278" i="13" l="1"/>
  <c r="L1278" i="13" s="1"/>
  <c r="I1279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301" i="14" l="1"/>
  <c r="L1301" i="14" s="1"/>
  <c r="I1302" i="14" s="1"/>
  <c r="K1279" i="13"/>
  <c r="L1279" i="13" s="1"/>
  <c r="I1280" i="13" s="1"/>
  <c r="N1465" i="14"/>
  <c r="J1464" i="14" a="1"/>
  <c r="J1464" i="14" s="1"/>
  <c r="N1466" i="13"/>
  <c r="J1465" i="13" a="1"/>
  <c r="J1465" i="13" s="1"/>
  <c r="M1468" i="13"/>
  <c r="M1469" i="14"/>
  <c r="K1280" i="13" l="1"/>
  <c r="L1280" i="13" s="1"/>
  <c r="I1281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303" i="14" l="1"/>
  <c r="L1303" i="14" s="1"/>
  <c r="I1304" i="14" s="1"/>
  <c r="K1281" i="13"/>
  <c r="L1281" i="13" s="1"/>
  <c r="I1282" i="13" s="1"/>
  <c r="J1467" i="13" a="1"/>
  <c r="J1467" i="13" s="1"/>
  <c r="N1468" i="13"/>
  <c r="J1466" i="14" a="1"/>
  <c r="J1466" i="14" s="1"/>
  <c r="N1467" i="14"/>
  <c r="M1470" i="13"/>
  <c r="M1471" i="14"/>
  <c r="K1282" i="13" l="1"/>
  <c r="L1282" i="13" s="1"/>
  <c r="I1283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305" i="14" l="1"/>
  <c r="L1305" i="14" s="1"/>
  <c r="I1306" i="14" s="1"/>
  <c r="K1283" i="13"/>
  <c r="L1283" i="13" s="1"/>
  <c r="I1284" i="13" s="1"/>
  <c r="N1469" i="14"/>
  <c r="J1468" i="14" a="1"/>
  <c r="J1468" i="14" s="1"/>
  <c r="M1472" i="13"/>
  <c r="N1470" i="13"/>
  <c r="J1469" i="13" a="1"/>
  <c r="J1469" i="13" s="1"/>
  <c r="M1473" i="14"/>
  <c r="K1284" i="13" l="1"/>
  <c r="L1284" i="13" s="1"/>
  <c r="I1285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307" i="14" l="1"/>
  <c r="L1307" i="14" s="1"/>
  <c r="I1308" i="14" s="1"/>
  <c r="K1285" i="13"/>
  <c r="L1285" i="13" s="1"/>
  <c r="I1286" i="13" s="1"/>
  <c r="M1475" i="14"/>
  <c r="J1470" i="14" a="1"/>
  <c r="J1470" i="14" s="1"/>
  <c r="N1471" i="14"/>
  <c r="J1471" i="13" a="1"/>
  <c r="J1471" i="13" s="1"/>
  <c r="N1472" i="13"/>
  <c r="M1474" i="13"/>
  <c r="K1286" i="13" l="1"/>
  <c r="L1286" i="13" s="1"/>
  <c r="I1287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309" i="14" l="1"/>
  <c r="L1309" i="14" s="1"/>
  <c r="I1310" i="14" s="1"/>
  <c r="K1287" i="13"/>
  <c r="L1287" i="13" s="1"/>
  <c r="I1288" i="13" s="1"/>
  <c r="M1476" i="13"/>
  <c r="N1473" i="14"/>
  <c r="J1472" i="14" a="1"/>
  <c r="J1472" i="14" s="1"/>
  <c r="N1474" i="13"/>
  <c r="J1473" i="13" a="1"/>
  <c r="J1473" i="13" s="1"/>
  <c r="M1477" i="14"/>
  <c r="K1288" i="13" l="1"/>
  <c r="L1288" i="13" s="1"/>
  <c r="I1289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311" i="14" l="1"/>
  <c r="L1311" i="14" s="1"/>
  <c r="I1312" i="14" s="1"/>
  <c r="K1289" i="13"/>
  <c r="L1289" i="13" s="1"/>
  <c r="I1290" i="13" s="1"/>
  <c r="J1475" i="13" a="1"/>
  <c r="J1475" i="13" s="1"/>
  <c r="N1476" i="13"/>
  <c r="J1474" i="14" a="1"/>
  <c r="J1474" i="14" s="1"/>
  <c r="N1475" i="14"/>
  <c r="M1479" i="14"/>
  <c r="M1478" i="13"/>
  <c r="K1290" i="13" l="1"/>
  <c r="L1290" i="13" s="1"/>
  <c r="I1291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1" i="13" l="1"/>
  <c r="L1291" i="13" s="1"/>
  <c r="I1292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314" i="14" l="1"/>
  <c r="L1314" i="14" s="1"/>
  <c r="I1315" i="14" s="1"/>
  <c r="K1292" i="13"/>
  <c r="L1292" i="13" s="1"/>
  <c r="I1293" i="13" s="1"/>
  <c r="M1481" i="13"/>
  <c r="M1482" i="14"/>
  <c r="J1478" i="13" a="1"/>
  <c r="J1478" i="13" s="1"/>
  <c r="N1479" i="13"/>
  <c r="J1477" i="14" a="1"/>
  <c r="J1477" i="14" s="1"/>
  <c r="N1478" i="14"/>
  <c r="K1293" i="13" l="1"/>
  <c r="L1293" i="13" s="1"/>
  <c r="I1294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316" i="14" l="1"/>
  <c r="L1316" i="14" s="1"/>
  <c r="I1317" i="14" s="1"/>
  <c r="K1294" i="13"/>
  <c r="L1294" i="13" s="1"/>
  <c r="I1295" i="13" s="1"/>
  <c r="J1480" i="13" a="1"/>
  <c r="J1480" i="13" s="1"/>
  <c r="N1481" i="13"/>
  <c r="M1484" i="14"/>
  <c r="M1483" i="13"/>
  <c r="J1479" i="14" a="1"/>
  <c r="J1479" i="14" s="1"/>
  <c r="N1480" i="14"/>
  <c r="K1295" i="13" l="1"/>
  <c r="L1295" i="13" s="1"/>
  <c r="I1296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318" i="14" l="1"/>
  <c r="L1318" i="14" s="1"/>
  <c r="I1319" i="14" s="1"/>
  <c r="K1296" i="13"/>
  <c r="L1296" i="13" s="1"/>
  <c r="I1297" i="13" s="1"/>
  <c r="M1485" i="13"/>
  <c r="M1486" i="14"/>
  <c r="J1482" i="13" a="1"/>
  <c r="J1482" i="13" s="1"/>
  <c r="N1483" i="13"/>
  <c r="J1481" i="14" a="1"/>
  <c r="J1481" i="14" s="1"/>
  <c r="N1482" i="14"/>
  <c r="K1297" i="13" l="1"/>
  <c r="L1297" i="13" s="1"/>
  <c r="I1298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320" i="14" l="1"/>
  <c r="L1320" i="14" s="1"/>
  <c r="I1321" i="14" s="1"/>
  <c r="K1298" i="13"/>
  <c r="L1298" i="13" s="1"/>
  <c r="I1299" i="13" s="1"/>
  <c r="M1488" i="14"/>
  <c r="M1487" i="13"/>
  <c r="J1483" i="14" a="1"/>
  <c r="J1483" i="14" s="1"/>
  <c r="N1484" i="14"/>
  <c r="J1484" i="13" a="1"/>
  <c r="J1484" i="13" s="1"/>
  <c r="N1485" i="13"/>
  <c r="K1299" i="13" l="1"/>
  <c r="L1299" i="13" s="1"/>
  <c r="I1300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322" i="14" l="1"/>
  <c r="L1322" i="14" s="1"/>
  <c r="I1323" i="14" s="1"/>
  <c r="K1300" i="13"/>
  <c r="L1300" i="13" s="1"/>
  <c r="I1301" i="13" s="1"/>
  <c r="M1489" i="13"/>
  <c r="M1490" i="14"/>
  <c r="J1485" i="14" a="1"/>
  <c r="J1485" i="14" s="1"/>
  <c r="N1486" i="14"/>
  <c r="J1486" i="13" a="1"/>
  <c r="J1486" i="13" s="1"/>
  <c r="N1487" i="13"/>
  <c r="K1301" i="13" l="1"/>
  <c r="L1301" i="13" s="1"/>
  <c r="I1302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24" i="14" l="1"/>
  <c r="L1324" i="14" s="1"/>
  <c r="I1325" i="14" s="1"/>
  <c r="K1302" i="13"/>
  <c r="L1302" i="13" s="1"/>
  <c r="I1303" i="13" s="1"/>
  <c r="J1487" i="14" a="1"/>
  <c r="J1487" i="14" s="1"/>
  <c r="N1488" i="14"/>
  <c r="J1488" i="13" a="1"/>
  <c r="J1488" i="13" s="1"/>
  <c r="N1489" i="13"/>
  <c r="M1492" i="14"/>
  <c r="M1491" i="13"/>
  <c r="K1303" i="13" l="1"/>
  <c r="L1303" i="13" s="1"/>
  <c r="I1304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26" i="14" l="1"/>
  <c r="L1326" i="14" s="1"/>
  <c r="I1327" i="14" s="1"/>
  <c r="K1304" i="13"/>
  <c r="L1304" i="13" s="1"/>
  <c r="I1305" i="13" s="1"/>
  <c r="M1493" i="13"/>
  <c r="M1494" i="14"/>
  <c r="J1489" i="14" a="1"/>
  <c r="J1489" i="14" s="1"/>
  <c r="N1490" i="14"/>
  <c r="J1490" i="13" a="1"/>
  <c r="J1490" i="13" s="1"/>
  <c r="N1491" i="13"/>
  <c r="K1305" i="13" l="1"/>
  <c r="L1305" i="13" s="1"/>
  <c r="I1306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28" i="14" l="1"/>
  <c r="L1328" i="14" s="1"/>
  <c r="I1329" i="14" s="1"/>
  <c r="K1306" i="13"/>
  <c r="L1306" i="13" s="1"/>
  <c r="I1307" i="13" s="1"/>
  <c r="M1496" i="14"/>
  <c r="J1491" i="14" a="1"/>
  <c r="J1491" i="14" s="1"/>
  <c r="N1492" i="14"/>
  <c r="M1495" i="13"/>
  <c r="J1492" i="13" a="1"/>
  <c r="J1492" i="13" s="1"/>
  <c r="N1493" i="13"/>
  <c r="K1307" i="13" l="1"/>
  <c r="L1307" i="13" s="1"/>
  <c r="I1308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30" i="14" l="1"/>
  <c r="L1330" i="14" s="1"/>
  <c r="I1331" i="14" s="1"/>
  <c r="K1308" i="13"/>
  <c r="L1308" i="13" s="1"/>
  <c r="I1309" i="13" s="1"/>
  <c r="J1494" i="13" a="1"/>
  <c r="J1494" i="13" s="1"/>
  <c r="N1495" i="13"/>
  <c r="M1498" i="14"/>
  <c r="M1497" i="13"/>
  <c r="J1493" i="14" a="1"/>
  <c r="J1493" i="14" s="1"/>
  <c r="N1494" i="14"/>
  <c r="K1309" i="13" l="1"/>
  <c r="L1309" i="13" s="1"/>
  <c r="I1310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32" i="14" l="1"/>
  <c r="L1332" i="14" s="1"/>
  <c r="I1333" i="14" s="1"/>
  <c r="K1310" i="13"/>
  <c r="L1310" i="13" s="1"/>
  <c r="I1311" i="13" s="1"/>
  <c r="J1496" i="13" a="1"/>
  <c r="J1496" i="13" s="1"/>
  <c r="N1497" i="13"/>
  <c r="M1500" i="14"/>
  <c r="M1499" i="13"/>
  <c r="J1495" i="14" a="1"/>
  <c r="J1495" i="14" s="1"/>
  <c r="N1496" i="14"/>
  <c r="K1333" i="14" l="1"/>
  <c r="L1333" i="14" s="1"/>
  <c r="I1334" i="14" s="1"/>
  <c r="K1311" i="13"/>
  <c r="L1311" i="13" s="1"/>
  <c r="I1312" i="13" s="1"/>
  <c r="M1501" i="14"/>
  <c r="N1498" i="13"/>
  <c r="J1497" i="13" a="1"/>
  <c r="J1497" i="13" s="1"/>
  <c r="N1497" i="14"/>
  <c r="J1496" i="14" a="1"/>
  <c r="J1496" i="14" s="1"/>
  <c r="M1500" i="13"/>
  <c r="K1334" i="14" l="1"/>
  <c r="L1334" i="14" s="1"/>
  <c r="I1335" i="14" s="1"/>
  <c r="K1312" i="13"/>
  <c r="L1312" i="13" s="1"/>
  <c r="I1313" i="13" s="1"/>
  <c r="M1501" i="13"/>
  <c r="J1498" i="13" a="1"/>
  <c r="J1498" i="13" s="1"/>
  <c r="N1499" i="13"/>
  <c r="J1497" i="14" a="1"/>
  <c r="J1497" i="14" s="1"/>
  <c r="N1498" i="14"/>
  <c r="M1502" i="14"/>
  <c r="K1313" i="13" l="1"/>
  <c r="L1313" i="13" s="1"/>
  <c r="I1314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36" i="14" l="1"/>
  <c r="L1336" i="14" s="1"/>
  <c r="I1337" i="14" s="1"/>
  <c r="K1314" i="13"/>
  <c r="L1314" i="13" s="1"/>
  <c r="I1315" i="13" s="1"/>
  <c r="M1503" i="13"/>
  <c r="J1499" i="14" a="1"/>
  <c r="J1499" i="14" s="1"/>
  <c r="N1500" i="14"/>
  <c r="M1504" i="14"/>
  <c r="J1500" i="13" a="1"/>
  <c r="J1500" i="13" s="1"/>
  <c r="N1501" i="13"/>
  <c r="K1337" i="14" l="1"/>
  <c r="L1337" i="14" s="1"/>
  <c r="I1338" i="14" s="1"/>
  <c r="K1315" i="13"/>
  <c r="L1315" i="13" s="1"/>
  <c r="I1316" i="13" s="1"/>
  <c r="N1501" i="14"/>
  <c r="J1500" i="14" a="1"/>
  <c r="J1500" i="14" s="1"/>
  <c r="N1502" i="13"/>
  <c r="J1501" i="13" a="1"/>
  <c r="J1501" i="13" s="1"/>
  <c r="M1505" i="14"/>
  <c r="M1504" i="13"/>
  <c r="K1316" i="13" l="1"/>
  <c r="L1316" i="13" s="1"/>
  <c r="I1317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7" i="13" l="1"/>
  <c r="L1317" i="13" s="1"/>
  <c r="I1318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8" i="13" l="1"/>
  <c r="L1318" i="13" s="1"/>
  <c r="I1319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41" i="14" l="1"/>
  <c r="L1341" i="14" s="1"/>
  <c r="I1342" i="14" s="1"/>
  <c r="K1319" i="13"/>
  <c r="L1319" i="13" s="1"/>
  <c r="I1320" i="13" s="1"/>
  <c r="N1506" i="13"/>
  <c r="J1505" i="13" a="1"/>
  <c r="J1505" i="13" s="1"/>
  <c r="M1508" i="13"/>
  <c r="N1505" i="14"/>
  <c r="J1504" i="14" a="1"/>
  <c r="J1504" i="14" s="1"/>
  <c r="M1509" i="14"/>
  <c r="K1320" i="13" l="1"/>
  <c r="L1320" i="13" s="1"/>
  <c r="I1321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1" i="13" l="1"/>
  <c r="L1321" i="13" s="1"/>
  <c r="I1322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44" i="14" l="1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/>
  <c r="L1322" i="13" s="1"/>
  <c r="I1323" i="13" s="1"/>
  <c r="K1323" i="13" l="1"/>
  <c r="L1323" i="13" s="1"/>
  <c r="I1324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46" i="14" l="1"/>
  <c r="L1346" i="14" s="1"/>
  <c r="I1347" i="14" s="1"/>
  <c r="K1324" i="13"/>
  <c r="L1324" i="13" s="1"/>
  <c r="I1325" i="13" s="1"/>
  <c r="M1513" i="13"/>
  <c r="M1514" i="14"/>
  <c r="J1509" i="14" a="1"/>
  <c r="J1509" i="14" s="1"/>
  <c r="N1510" i="14"/>
  <c r="J1510" i="13" a="1"/>
  <c r="J1510" i="13" s="1"/>
  <c r="N1511" i="13"/>
  <c r="K1347" i="14" l="1"/>
  <c r="L1347" i="14" s="1"/>
  <c r="I1348" i="14" s="1"/>
  <c r="M1515" i="14"/>
  <c r="J1511" i="13" a="1"/>
  <c r="J1511" i="13" s="1"/>
  <c r="N1512" i="13"/>
  <c r="K1325" i="13"/>
  <c r="L1325" i="13" s="1"/>
  <c r="I1326" i="13" s="1"/>
  <c r="J1510" i="14" a="1"/>
  <c r="J1510" i="14" s="1"/>
  <c r="N1511" i="14"/>
  <c r="M1514" i="13"/>
  <c r="K1326" i="13" l="1"/>
  <c r="L1326" i="13" s="1"/>
  <c r="I1327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7" i="13" l="1"/>
  <c r="L1327" i="13" s="1"/>
  <c r="I1328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50" i="14" l="1"/>
  <c r="L1350" i="14" s="1"/>
  <c r="I1351" i="14" s="1"/>
  <c r="K1328" i="13"/>
  <c r="L1328" i="13" s="1"/>
  <c r="I1329" i="13" s="1"/>
  <c r="M1517" i="13"/>
  <c r="M1518" i="14"/>
  <c r="J1513" i="14" a="1"/>
  <c r="J1513" i="14" s="1"/>
  <c r="N1514" i="14"/>
  <c r="J1514" i="13" a="1"/>
  <c r="J1514" i="13" s="1"/>
  <c r="N1515" i="13"/>
  <c r="K1351" i="14" l="1"/>
  <c r="L1351" i="14" s="1"/>
  <c r="I1352" i="14" s="1"/>
  <c r="K1329" i="13"/>
  <c r="L1329" i="13" s="1"/>
  <c r="I1330" i="13" s="1"/>
  <c r="J1515" i="13" a="1"/>
  <c r="J1515" i="13" s="1"/>
  <c r="N1516" i="13"/>
  <c r="M1519" i="14"/>
  <c r="J1514" i="14" a="1"/>
  <c r="J1514" i="14" s="1"/>
  <c r="N1515" i="14"/>
  <c r="M1518" i="13"/>
  <c r="K1352" i="14" l="1"/>
  <c r="L1352" i="14" s="1"/>
  <c r="I1353" i="14" s="1"/>
  <c r="K1330" i="13"/>
  <c r="L1330" i="13" s="1"/>
  <c r="I1331" i="13" s="1"/>
  <c r="M1520" i="14"/>
  <c r="M1519" i="13"/>
  <c r="J1515" i="14" a="1"/>
  <c r="J1515" i="14" s="1"/>
  <c r="N1516" i="14"/>
  <c r="J1516" i="13" a="1"/>
  <c r="J1516" i="13" s="1"/>
  <c r="N1517" i="13"/>
  <c r="K1331" i="13" l="1"/>
  <c r="L1331" i="13" s="1"/>
  <c r="I1332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2" i="13" l="1"/>
  <c r="L1332" i="13" s="1"/>
  <c r="I1333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55" i="14" l="1"/>
  <c r="L1355" i="14" s="1"/>
  <c r="I1356" i="14" s="1"/>
  <c r="K1333" i="13"/>
  <c r="L1333" i="13" s="1"/>
  <c r="I1334" i="13" s="1"/>
  <c r="J1519" i="13" a="1"/>
  <c r="J1519" i="13" s="1"/>
  <c r="N1520" i="13"/>
  <c r="J1518" i="14" a="1"/>
  <c r="J1518" i="14" s="1"/>
  <c r="N1519" i="14"/>
  <c r="M1522" i="13"/>
  <c r="M1523" i="14"/>
  <c r="K1334" i="13" l="1"/>
  <c r="L1334" i="13" s="1"/>
  <c r="I1335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57" i="14" l="1"/>
  <c r="L1357" i="14" s="1"/>
  <c r="I1358" i="14" s="1"/>
  <c r="K1335" i="13"/>
  <c r="L1335" i="13" s="1"/>
  <c r="I1336" i="13" s="1"/>
  <c r="N1522" i="13"/>
  <c r="J1521" i="13" a="1"/>
  <c r="J1521" i="13" s="1"/>
  <c r="M1524" i="13"/>
  <c r="N1521" i="14"/>
  <c r="J1520" i="14" a="1"/>
  <c r="J1520" i="14" s="1"/>
  <c r="M1525" i="14"/>
  <c r="J1522" i="13" l="1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/>
  <c r="L1336" i="13" s="1"/>
  <c r="I1337" i="13" s="1"/>
  <c r="K1337" i="13" l="1"/>
  <c r="L1337" i="13" s="1"/>
  <c r="I1338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8" i="13" l="1"/>
  <c r="L1338" i="13" s="1"/>
  <c r="I1339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9" i="13" l="1"/>
  <c r="L1339" i="13" s="1"/>
  <c r="I1340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62" i="14" l="1"/>
  <c r="L1362" i="14" s="1"/>
  <c r="I1363" i="14" s="1"/>
  <c r="K1340" i="13"/>
  <c r="L1340" i="13" s="1"/>
  <c r="I1341" i="13" s="1"/>
  <c r="M1529" i="13"/>
  <c r="J1525" i="14" a="1"/>
  <c r="J1525" i="14" s="1"/>
  <c r="N1526" i="14"/>
  <c r="M1530" i="14"/>
  <c r="J1526" i="13" a="1"/>
  <c r="J1526" i="13" s="1"/>
  <c r="N1527" i="13"/>
  <c r="K1341" i="13" l="1"/>
  <c r="L1341" i="13" s="1"/>
  <c r="I1342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64" i="14" l="1"/>
  <c r="L1364" i="14" s="1"/>
  <c r="I1365" i="14" s="1"/>
  <c r="K1342" i="13"/>
  <c r="L1342" i="13" s="1"/>
  <c r="I1343" i="13" s="1"/>
  <c r="M1532" i="14"/>
  <c r="J1528" i="13" a="1"/>
  <c r="J1528" i="13" s="1"/>
  <c r="N1529" i="13"/>
  <c r="M1531" i="13"/>
  <c r="J1527" i="14" a="1"/>
  <c r="J1527" i="14" s="1"/>
  <c r="N1528" i="14"/>
  <c r="K1343" i="13" l="1"/>
  <c r="L1343" i="13" s="1"/>
  <c r="I1344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66" i="14" l="1"/>
  <c r="L1366" i="14" s="1"/>
  <c r="I1367" i="14" s="1"/>
  <c r="K1344" i="13"/>
  <c r="L1344" i="13" s="1"/>
  <c r="I1345" i="13" s="1"/>
  <c r="J1529" i="14" a="1"/>
  <c r="J1529" i="14" s="1"/>
  <c r="N1530" i="14"/>
  <c r="M1534" i="14"/>
  <c r="M1533" i="13"/>
  <c r="J1530" i="13" a="1"/>
  <c r="J1530" i="13" s="1"/>
  <c r="N1531" i="13"/>
  <c r="K1345" i="13" l="1"/>
  <c r="L1345" i="13" s="1"/>
  <c r="I1346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68" i="14" l="1"/>
  <c r="L1368" i="14" s="1"/>
  <c r="I1369" i="14" s="1"/>
  <c r="K1346" i="13"/>
  <c r="L1346" i="13" s="1"/>
  <c r="I1347" i="13" s="1"/>
  <c r="J1531" i="14" a="1"/>
  <c r="J1531" i="14" s="1"/>
  <c r="N1532" i="14"/>
  <c r="M1535" i="13"/>
  <c r="J1532" i="13" a="1"/>
  <c r="J1532" i="13" s="1"/>
  <c r="N1533" i="13"/>
  <c r="M1536" i="14"/>
  <c r="K1347" i="13" l="1"/>
  <c r="L1347" i="13" s="1"/>
  <c r="I1348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70" i="14" l="1"/>
  <c r="L1370" i="14" s="1"/>
  <c r="I1371" i="14" s="1"/>
  <c r="K1348" i="13"/>
  <c r="L1348" i="13" s="1"/>
  <c r="I1349" i="13" s="1"/>
  <c r="M1537" i="13"/>
  <c r="J1533" i="14" a="1"/>
  <c r="J1533" i="14" s="1"/>
  <c r="N1534" i="14"/>
  <c r="M1538" i="14"/>
  <c r="J1534" i="13" a="1"/>
  <c r="J1534" i="13" s="1"/>
  <c r="N1535" i="13"/>
  <c r="K1349" i="13" l="1"/>
  <c r="L1349" i="13" s="1"/>
  <c r="I1350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72" i="14" l="1"/>
  <c r="L1372" i="14" s="1"/>
  <c r="I1373" i="14" s="1"/>
  <c r="K1350" i="13"/>
  <c r="L1350" i="13" s="1"/>
  <c r="I1351" i="13" s="1"/>
  <c r="J1536" i="13" a="1"/>
  <c r="J1536" i="13" s="1"/>
  <c r="N1537" i="13"/>
  <c r="J1535" i="14" a="1"/>
  <c r="J1535" i="14" s="1"/>
  <c r="N1536" i="14"/>
  <c r="M1539" i="13"/>
  <c r="M1540" i="14"/>
  <c r="K1373" i="14" l="1"/>
  <c r="L1373" i="14" s="1"/>
  <c r="I1374" i="14" s="1"/>
  <c r="N1537" i="14"/>
  <c r="J1536" i="14" a="1"/>
  <c r="J1536" i="14" s="1"/>
  <c r="N1538" i="13"/>
  <c r="J1537" i="13" a="1"/>
  <c r="J1537" i="13" s="1"/>
  <c r="M1541" i="14"/>
  <c r="K1351" i="13"/>
  <c r="L1351" i="13" s="1"/>
  <c r="I1352" i="13" s="1"/>
  <c r="M1540" i="13"/>
  <c r="K1352" i="13" l="1"/>
  <c r="L1352" i="13" s="1"/>
  <c r="I1353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3" i="13" l="1"/>
  <c r="L1353" i="13" s="1"/>
  <c r="I1354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4" i="13" l="1"/>
  <c r="L1354" i="13" s="1"/>
  <c r="I1355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77" i="14" l="1"/>
  <c r="L1377" i="14" s="1"/>
  <c r="I1378" i="14" s="1"/>
  <c r="K1355" i="13"/>
  <c r="L1355" i="13" s="1"/>
  <c r="I1356" i="13" s="1"/>
  <c r="N1542" i="13"/>
  <c r="J1541" i="13" a="1"/>
  <c r="J1541" i="13" s="1"/>
  <c r="M1544" i="13"/>
  <c r="N1541" i="14"/>
  <c r="J1540" i="14" a="1"/>
  <c r="J1540" i="14" s="1"/>
  <c r="M1545" i="14"/>
  <c r="K1356" i="13" l="1"/>
  <c r="L1356" i="13" s="1"/>
  <c r="I1357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79" i="14" l="1"/>
  <c r="L1379" i="14" s="1"/>
  <c r="I1380" i="14" s="1"/>
  <c r="K1357" i="13"/>
  <c r="L1357" i="13" s="1"/>
  <c r="I1358" i="13" s="1"/>
  <c r="J1543" i="13" a="1"/>
  <c r="J1543" i="13" s="1"/>
  <c r="N1544" i="13"/>
  <c r="M1547" i="14"/>
  <c r="J1542" i="14" a="1"/>
  <c r="J1542" i="14" s="1"/>
  <c r="N1543" i="14"/>
  <c r="M1546" i="13"/>
  <c r="K1380" i="14" l="1"/>
  <c r="L1380" i="14" s="1"/>
  <c r="I1381" i="14" s="1"/>
  <c r="M1548" i="14"/>
  <c r="M1547" i="13"/>
  <c r="K1358" i="13"/>
  <c r="L1358" i="13" s="1"/>
  <c r="I1359" i="13" s="1"/>
  <c r="J1544" i="13" a="1"/>
  <c r="J1544" i="13" s="1"/>
  <c r="N1545" i="13"/>
  <c r="J1543" i="14" a="1"/>
  <c r="J1543" i="14" s="1"/>
  <c r="N1544" i="14"/>
  <c r="K1359" i="13" l="1"/>
  <c r="L1359" i="13" s="1"/>
  <c r="I1360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82" i="14" l="1"/>
  <c r="L1382" i="14" s="1"/>
  <c r="I1383" i="14" s="1"/>
  <c r="K1360" i="13"/>
  <c r="L1360" i="13" s="1"/>
  <c r="I1361" i="13" s="1"/>
  <c r="M1549" i="13"/>
  <c r="M1550" i="14"/>
  <c r="J1546" i="13" a="1"/>
  <c r="J1546" i="13" s="1"/>
  <c r="N1547" i="13"/>
  <c r="J1545" i="14" a="1"/>
  <c r="J1545" i="14" s="1"/>
  <c r="N1546" i="14"/>
  <c r="K1383" i="14" l="1"/>
  <c r="L1383" i="14" s="1"/>
  <c r="I1384" i="14" s="1"/>
  <c r="J1546" i="14" a="1"/>
  <c r="J1546" i="14" s="1"/>
  <c r="N1547" i="14"/>
  <c r="M1551" i="14"/>
  <c r="K1361" i="13"/>
  <c r="L1361" i="13" s="1"/>
  <c r="I1362" i="13" s="1"/>
  <c r="J1547" i="13" a="1"/>
  <c r="J1547" i="13" s="1"/>
  <c r="N1548" i="13"/>
  <c r="M1550" i="13"/>
  <c r="K1362" i="13" l="1"/>
  <c r="L1362" i="13" s="1"/>
  <c r="I1363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85" i="14" l="1"/>
  <c r="L1385" i="14" s="1"/>
  <c r="I1386" i="14" s="1"/>
  <c r="K1363" i="13"/>
  <c r="L1363" i="13" s="1"/>
  <c r="I1364" i="13" s="1"/>
  <c r="N1550" i="13"/>
  <c r="J1549" i="13" a="1"/>
  <c r="J1549" i="13" s="1"/>
  <c r="N1549" i="14"/>
  <c r="J1548" i="14" a="1"/>
  <c r="J1548" i="14" s="1"/>
  <c r="M1552" i="13"/>
  <c r="M1553" i="14"/>
  <c r="K1364" i="13" l="1"/>
  <c r="L1364" i="13" s="1"/>
  <c r="I1365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87" i="14" l="1"/>
  <c r="L1387" i="14" s="1"/>
  <c r="I1388" i="14" s="1"/>
  <c r="K1365" i="13"/>
  <c r="L1365" i="13" s="1"/>
  <c r="I1366" i="13" s="1"/>
  <c r="M1555" i="14"/>
  <c r="J1551" i="13" a="1"/>
  <c r="J1551" i="13" s="1"/>
  <c r="N1552" i="13"/>
  <c r="J1550" i="14" a="1"/>
  <c r="J1550" i="14" s="1"/>
  <c r="N1551" i="14"/>
  <c r="M1554" i="13"/>
  <c r="K1366" i="13" l="1"/>
  <c r="L1366" i="13" s="1"/>
  <c r="I1367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89" i="14" l="1"/>
  <c r="L1389" i="14" s="1"/>
  <c r="I1390" i="14" s="1"/>
  <c r="K1367" i="13"/>
  <c r="L1367" i="13" s="1"/>
  <c r="I1368" i="13" s="1"/>
  <c r="N1553" i="14"/>
  <c r="J1552" i="14" a="1"/>
  <c r="J1552" i="14" s="1"/>
  <c r="N1554" i="13"/>
  <c r="J1553" i="13" a="1"/>
  <c r="J1553" i="13" s="1"/>
  <c r="M1557" i="14"/>
  <c r="M1556" i="13"/>
  <c r="K1368" i="13" l="1"/>
  <c r="L1368" i="13" s="1"/>
  <c r="I1369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91" i="14" l="1"/>
  <c r="L1391" i="14" s="1"/>
  <c r="I1392" i="14" s="1"/>
  <c r="K1369" i="13"/>
  <c r="L1369" i="13" s="1"/>
  <c r="I1370" i="13" s="1"/>
  <c r="J1555" i="13" a="1"/>
  <c r="J1555" i="13" s="1"/>
  <c r="N1556" i="13"/>
  <c r="J1554" i="14" a="1"/>
  <c r="J1554" i="14" s="1"/>
  <c r="N1555" i="14"/>
  <c r="M1559" i="14"/>
  <c r="M1558" i="13"/>
  <c r="K1392" i="14" l="1"/>
  <c r="L1392" i="14" s="1"/>
  <c r="I1393" i="14" s="1"/>
  <c r="K1370" i="13"/>
  <c r="L1370" i="13" s="1"/>
  <c r="I1371" i="13" s="1"/>
  <c r="M1560" i="14"/>
  <c r="J1555" i="14" a="1"/>
  <c r="J1555" i="14" s="1"/>
  <c r="N1556" i="14"/>
  <c r="M1559" i="13"/>
  <c r="J1556" i="13" a="1"/>
  <c r="J1556" i="13" s="1"/>
  <c r="N1557" i="13"/>
  <c r="K1371" i="13" l="1"/>
  <c r="L1371" i="13" s="1"/>
  <c r="I1372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94" i="14" l="1"/>
  <c r="L1394" i="14" s="1"/>
  <c r="I1395" i="14" s="1"/>
  <c r="K1372" i="13"/>
  <c r="L1372" i="13" s="1"/>
  <c r="I1373" i="13" s="1"/>
  <c r="J1558" i="13" a="1"/>
  <c r="J1558" i="13" s="1"/>
  <c r="N1559" i="13"/>
  <c r="M1562" i="14"/>
  <c r="M1561" i="13"/>
  <c r="J1557" i="14" a="1"/>
  <c r="J1557" i="14" s="1"/>
  <c r="N1558" i="14"/>
  <c r="K1373" i="13" l="1"/>
  <c r="L1373" i="13" s="1"/>
  <c r="I1374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96" i="14" l="1"/>
  <c r="L1396" i="14" s="1"/>
  <c r="I1397" i="14" s="1"/>
  <c r="K1374" i="13"/>
  <c r="L1374" i="13" s="1"/>
  <c r="I1375" i="13" s="1"/>
  <c r="J1560" i="13" a="1"/>
  <c r="J1560" i="13" s="1"/>
  <c r="N1561" i="13"/>
  <c r="M1564" i="14"/>
  <c r="J1559" i="14" a="1"/>
  <c r="J1559" i="14" s="1"/>
  <c r="N1560" i="14"/>
  <c r="M1563" i="13"/>
  <c r="K1375" i="13" l="1"/>
  <c r="L1375" i="13" s="1"/>
  <c r="I1376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98" i="14" l="1"/>
  <c r="L1398" i="14" s="1"/>
  <c r="I1399" i="14" s="1"/>
  <c r="K1376" i="13"/>
  <c r="L1376" i="13" s="1"/>
  <c r="I1377" i="13" s="1"/>
  <c r="J1561" i="14" a="1"/>
  <c r="J1561" i="14" s="1"/>
  <c r="N1562" i="14"/>
  <c r="M1566" i="14"/>
  <c r="M1565" i="13"/>
  <c r="J1562" i="13" a="1"/>
  <c r="J1562" i="13" s="1"/>
  <c r="N1563" i="13"/>
  <c r="K1399" i="14" l="1"/>
  <c r="L1399" i="14" s="1"/>
  <c r="I1400" i="14" s="1"/>
  <c r="K1377" i="13"/>
  <c r="L1377" i="13" s="1"/>
  <c r="I1378" i="13" s="1"/>
  <c r="M1566" i="13"/>
  <c r="J1563" i="13" a="1"/>
  <c r="J1563" i="13" s="1"/>
  <c r="N1564" i="13"/>
  <c r="M1567" i="14"/>
  <c r="J1562" i="14" a="1"/>
  <c r="J1562" i="14" s="1"/>
  <c r="N1563" i="14"/>
  <c r="K1378" i="13" l="1"/>
  <c r="L1378" i="13" s="1"/>
  <c r="I1379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401" i="14" l="1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/>
  <c r="L1379" i="13" s="1"/>
  <c r="I1380" i="13" s="1"/>
  <c r="K1380" i="13" l="1"/>
  <c r="L1380" i="13" s="1"/>
  <c r="I1381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403" i="14" l="1"/>
  <c r="L1403" i="14" s="1"/>
  <c r="I1404" i="14" s="1"/>
  <c r="K1381" i="13"/>
  <c r="L1381" i="13" s="1"/>
  <c r="I1382" i="13" s="1"/>
  <c r="J1567" i="13" a="1"/>
  <c r="J1567" i="13" s="1"/>
  <c r="N1568" i="13"/>
  <c r="J1566" i="14" a="1"/>
  <c r="J1566" i="14" s="1"/>
  <c r="N1567" i="14"/>
  <c r="M1571" i="14"/>
  <c r="M1570" i="13"/>
  <c r="K1382" i="13" l="1"/>
  <c r="L1382" i="13" s="1"/>
  <c r="I1383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405" i="14" l="1"/>
  <c r="L1405" i="14" s="1"/>
  <c r="I1406" i="14" s="1"/>
  <c r="K1383" i="13"/>
  <c r="L1383" i="13" s="1"/>
  <c r="I1384" i="13" s="1"/>
  <c r="N1570" i="13"/>
  <c r="J1569" i="13" a="1"/>
  <c r="J1569" i="13" s="1"/>
  <c r="N1569" i="14"/>
  <c r="J1568" i="14" a="1"/>
  <c r="J1568" i="14" s="1"/>
  <c r="M1573" i="14"/>
  <c r="M1572" i="13"/>
  <c r="K1406" i="14" l="1"/>
  <c r="L1406" i="14" s="1"/>
  <c r="I1407" i="14" s="1"/>
  <c r="M1573" i="13"/>
  <c r="K1384" i="13"/>
  <c r="L1384" i="13" s="1"/>
  <c r="I1385" i="13" s="1"/>
  <c r="J1569" i="14" a="1"/>
  <c r="J1569" i="14" s="1"/>
  <c r="N1570" i="14"/>
  <c r="M1574" i="14"/>
  <c r="J1570" i="13" a="1"/>
  <c r="J1570" i="13" s="1"/>
  <c r="N1571" i="13"/>
  <c r="K1407" i="14" l="1"/>
  <c r="L1407" i="14" s="1"/>
  <c r="I1408" i="14" s="1"/>
  <c r="K1385" i="13"/>
  <c r="L1385" i="13" s="1"/>
  <c r="I1386" i="13" s="1"/>
  <c r="J1570" i="14" a="1"/>
  <c r="J1570" i="14" s="1"/>
  <c r="N1571" i="14"/>
  <c r="J1571" i="13" a="1"/>
  <c r="J1571" i="13" s="1"/>
  <c r="N1572" i="13"/>
  <c r="M1574" i="13"/>
  <c r="M1575" i="14"/>
  <c r="K1408" i="14" l="1"/>
  <c r="L1408" i="14" s="1"/>
  <c r="I1409" i="14" s="1"/>
  <c r="M1576" i="14"/>
  <c r="J1572" i="13" a="1"/>
  <c r="J1572" i="13" s="1"/>
  <c r="N1573" i="13"/>
  <c r="K1386" i="13"/>
  <c r="L1386" i="13" s="1"/>
  <c r="I1387" i="13" s="1"/>
  <c r="J1571" i="14" a="1"/>
  <c r="J1571" i="14" s="1"/>
  <c r="N1572" i="14"/>
  <c r="M1575" i="13"/>
  <c r="K1387" i="13" l="1"/>
  <c r="L1387" i="13" s="1"/>
  <c r="I1388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410" i="14" l="1"/>
  <c r="L1410" i="14" s="1"/>
  <c r="I1411" i="14" s="1"/>
  <c r="K1388" i="13"/>
  <c r="L1388" i="13" s="1"/>
  <c r="I1389" i="13" s="1"/>
  <c r="M1577" i="13"/>
  <c r="J1573" i="14" a="1"/>
  <c r="J1573" i="14" s="1"/>
  <c r="N1574" i="14"/>
  <c r="M1578" i="14"/>
  <c r="J1574" i="13" a="1"/>
  <c r="J1574" i="13" s="1"/>
  <c r="N1575" i="13"/>
  <c r="K1389" i="13" l="1"/>
  <c r="L1389" i="13" s="1"/>
  <c r="I1390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90" i="13" l="1"/>
  <c r="L1390" i="13" s="1"/>
  <c r="I1391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1" i="13" l="1"/>
  <c r="L1391" i="13" s="1"/>
  <c r="I1392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414" i="14" l="1"/>
  <c r="L1414" i="14" s="1"/>
  <c r="I1415" i="14" s="1"/>
  <c r="K1392" i="13"/>
  <c r="L1392" i="13" s="1"/>
  <c r="I1393" i="13" s="1"/>
  <c r="M1582" i="14"/>
  <c r="J1578" i="13" a="1"/>
  <c r="J1578" i="13" s="1"/>
  <c r="N1579" i="13"/>
  <c r="M1581" i="13"/>
  <c r="J1577" i="14" a="1"/>
  <c r="J1577" i="14" s="1"/>
  <c r="N1578" i="14"/>
  <c r="K1415" i="14" l="1"/>
  <c r="L1415" i="14" s="1"/>
  <c r="I1416" i="14" s="1"/>
  <c r="K1393" i="13"/>
  <c r="L1393" i="13" s="1"/>
  <c r="I1394" i="13" s="1"/>
  <c r="J1578" i="14" a="1"/>
  <c r="J1578" i="14" s="1"/>
  <c r="N1579" i="14"/>
  <c r="J1579" i="13" a="1"/>
  <c r="J1579" i="13" s="1"/>
  <c r="N1580" i="13"/>
  <c r="M1582" i="13"/>
  <c r="M1583" i="14"/>
  <c r="K1394" i="13" l="1"/>
  <c r="L1394" i="13" s="1"/>
  <c r="I1395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5" i="13" l="1"/>
  <c r="L1395" i="13" s="1"/>
  <c r="I1396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418" i="14" l="1"/>
  <c r="L1418" i="14" s="1"/>
  <c r="I1419" i="14" s="1"/>
  <c r="K1396" i="13"/>
  <c r="L1396" i="13" s="1"/>
  <c r="I1397" i="13" s="1"/>
  <c r="J1581" i="14" a="1"/>
  <c r="J1581" i="14" s="1"/>
  <c r="N1582" i="14"/>
  <c r="M1586" i="14"/>
  <c r="M1585" i="13"/>
  <c r="J1582" i="13" a="1"/>
  <c r="J1582" i="13" s="1"/>
  <c r="N1583" i="13"/>
  <c r="K1419" i="14" l="1"/>
  <c r="L1419" i="14" s="1"/>
  <c r="I1420" i="14" s="1"/>
  <c r="K1397" i="13"/>
  <c r="L1397" i="13" s="1"/>
  <c r="I1398" i="13" s="1"/>
  <c r="J1583" i="13" a="1"/>
  <c r="J1583" i="13" s="1"/>
  <c r="N1584" i="13"/>
  <c r="M1587" i="14"/>
  <c r="J1582" i="14" a="1"/>
  <c r="J1582" i="14" s="1"/>
  <c r="N1583" i="14"/>
  <c r="M1586" i="13"/>
  <c r="K1398" i="13" l="1"/>
  <c r="L1398" i="13" s="1"/>
  <c r="I1399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421" i="14" l="1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/>
  <c r="L1399" i="13" s="1"/>
  <c r="I1400" i="13" s="1"/>
  <c r="K1400" i="13" l="1"/>
  <c r="L1400" i="13" s="1"/>
  <c r="I1401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23" i="14" l="1"/>
  <c r="L1423" i="14" s="1"/>
  <c r="I1424" i="14" s="1"/>
  <c r="K1401" i="13"/>
  <c r="L1401" i="13" s="1"/>
  <c r="I1402" i="13" s="1"/>
  <c r="J1586" i="14" a="1"/>
  <c r="J1586" i="14" s="1"/>
  <c r="N1587" i="14"/>
  <c r="J1587" i="13" a="1"/>
  <c r="J1587" i="13" s="1"/>
  <c r="N1588" i="13"/>
  <c r="M1590" i="13"/>
  <c r="M1591" i="14"/>
  <c r="K1402" i="13" l="1"/>
  <c r="L1402" i="13" s="1"/>
  <c r="I1403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25" i="14" l="1"/>
  <c r="L1425" i="14" s="1"/>
  <c r="I1426" i="14" s="1"/>
  <c r="K1403" i="13"/>
  <c r="L1403" i="13" s="1"/>
  <c r="I1404" i="13" s="1"/>
  <c r="N1590" i="13"/>
  <c r="J1589" i="13" a="1"/>
  <c r="J1589" i="13" s="1"/>
  <c r="M1592" i="13"/>
  <c r="N1589" i="14"/>
  <c r="J1588" i="14" a="1"/>
  <c r="J1588" i="14" s="1"/>
  <c r="M1593" i="14"/>
  <c r="K1426" i="14" l="1"/>
  <c r="L1426" i="14" s="1"/>
  <c r="I1427" i="14" s="1"/>
  <c r="K1404" i="13"/>
  <c r="L1404" i="13" s="1"/>
  <c r="I1405" i="13" s="1"/>
  <c r="J1589" i="14" a="1"/>
  <c r="J1589" i="14" s="1"/>
  <c r="N1590" i="14"/>
  <c r="M1593" i="13"/>
  <c r="M1594" i="14"/>
  <c r="J1590" i="13" a="1"/>
  <c r="J1590" i="13" s="1"/>
  <c r="N1591" i="13"/>
  <c r="K1427" i="14" l="1"/>
  <c r="L1427" i="14" s="1"/>
  <c r="I1428" i="14" s="1"/>
  <c r="K1405" i="13"/>
  <c r="L1405" i="13" s="1"/>
  <c r="I1406" i="13" s="1"/>
  <c r="M1594" i="13"/>
  <c r="J1590" i="14" a="1"/>
  <c r="J1590" i="14" s="1"/>
  <c r="N1591" i="14"/>
  <c r="J1591" i="13" a="1"/>
  <c r="J1591" i="13" s="1"/>
  <c r="N1592" i="13"/>
  <c r="M1595" i="14"/>
  <c r="K1406" i="13" l="1"/>
  <c r="L1406" i="13" s="1"/>
  <c r="I1407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29" i="14" l="1"/>
  <c r="L1429" i="14" s="1"/>
  <c r="I1430" i="14" s="1"/>
  <c r="K1407" i="13"/>
  <c r="L1407" i="13" s="1"/>
  <c r="I1408" i="13" s="1"/>
  <c r="N1594" i="13"/>
  <c r="J1593" i="13" a="1"/>
  <c r="J1593" i="13" s="1"/>
  <c r="M1596" i="13"/>
  <c r="M1597" i="14"/>
  <c r="N1593" i="14"/>
  <c r="J1592" i="14" a="1"/>
  <c r="J1592" i="14" s="1"/>
  <c r="K1430" i="14" l="1"/>
  <c r="L1430" i="14" s="1"/>
  <c r="I1431" i="14" s="1"/>
  <c r="M1597" i="13"/>
  <c r="J1593" i="14" a="1"/>
  <c r="J1593" i="14" s="1"/>
  <c r="N1594" i="14"/>
  <c r="K1408" i="13"/>
  <c r="L1408" i="13" s="1"/>
  <c r="I1409" i="13" s="1"/>
  <c r="M1598" i="14"/>
  <c r="J1594" i="13" a="1"/>
  <c r="J1594" i="13" s="1"/>
  <c r="N1595" i="13"/>
  <c r="K1431" i="14" l="1"/>
  <c r="L1431" i="14" s="1"/>
  <c r="I1432" i="14" s="1"/>
  <c r="M1599" i="14"/>
  <c r="J1595" i="13" a="1"/>
  <c r="J1595" i="13" s="1"/>
  <c r="N1596" i="13"/>
  <c r="K1409" i="13"/>
  <c r="L1409" i="13" s="1"/>
  <c r="I1410" i="13" s="1"/>
  <c r="M1598" i="13"/>
  <c r="J1594" i="14" a="1"/>
  <c r="J1594" i="14" s="1"/>
  <c r="N1595" i="14"/>
  <c r="K1410" i="13" l="1"/>
  <c r="L1410" i="13" s="1"/>
  <c r="I1411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1" i="13" l="1"/>
  <c r="L1411" i="13" s="1"/>
  <c r="I1412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34" i="14" l="1"/>
  <c r="L1434" i="14" s="1"/>
  <c r="I1435" i="14" s="1"/>
  <c r="K1412" i="13"/>
  <c r="L1412" i="13" s="1"/>
  <c r="I1413" i="13" s="1"/>
  <c r="M1602" i="14"/>
  <c r="J1598" i="13" a="1"/>
  <c r="J1598" i="13" s="1"/>
  <c r="N1599" i="13"/>
  <c r="M1601" i="13"/>
  <c r="J1597" i="14" a="1"/>
  <c r="J1597" i="14" s="1"/>
  <c r="N1598" i="14"/>
  <c r="K1435" i="14" l="1"/>
  <c r="L1435" i="14" s="1"/>
  <c r="I1436" i="14" s="1"/>
  <c r="J1599" i="13" a="1"/>
  <c r="J1599" i="13" s="1"/>
  <c r="N1600" i="13"/>
  <c r="J1598" i="14" a="1"/>
  <c r="J1598" i="14" s="1"/>
  <c r="N1599" i="14"/>
  <c r="K1413" i="13"/>
  <c r="L1413" i="13" s="1"/>
  <c r="I1414" i="13" s="1"/>
  <c r="M1602" i="13"/>
  <c r="M1603" i="14"/>
  <c r="K1436" i="14" l="1"/>
  <c r="L1436" i="14" s="1"/>
  <c r="I1437" i="14" s="1"/>
  <c r="M1604" i="14"/>
  <c r="J1600" i="13" a="1"/>
  <c r="J1600" i="13" s="1"/>
  <c r="N1601" i="13"/>
  <c r="J1599" i="14" a="1"/>
  <c r="J1599" i="14" s="1"/>
  <c r="N1600" i="14"/>
  <c r="K1414" i="13"/>
  <c r="L1414" i="13" s="1"/>
  <c r="I1415" i="13" s="1"/>
  <c r="M1603" i="13"/>
  <c r="K1437" i="14" l="1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/>
  <c r="L1415" i="13" s="1"/>
  <c r="I1416" i="13" s="1"/>
  <c r="K1416" i="13" l="1"/>
  <c r="L1416" i="13" s="1"/>
  <c r="I1417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39" i="14" l="1"/>
  <c r="L1439" i="14" s="1"/>
  <c r="I1440" i="14" s="1"/>
  <c r="K1417" i="13"/>
  <c r="L1417" i="13" s="1"/>
  <c r="I1418" i="13" s="1"/>
  <c r="J1603" i="13" a="1"/>
  <c r="J1603" i="13" s="1"/>
  <c r="N1604" i="13"/>
  <c r="M1606" i="13"/>
  <c r="M1607" i="14"/>
  <c r="J1602" i="14" a="1"/>
  <c r="J1602" i="14" s="1"/>
  <c r="N1603" i="14"/>
  <c r="K1440" i="14" l="1"/>
  <c r="L1440" i="14" s="1"/>
  <c r="I1441" i="14" s="1"/>
  <c r="M1607" i="13"/>
  <c r="J1604" i="13" a="1"/>
  <c r="J1604" i="13" s="1"/>
  <c r="N1605" i="13"/>
  <c r="J1603" i="14" a="1"/>
  <c r="J1603" i="14" s="1"/>
  <c r="N1604" i="14"/>
  <c r="K1418" i="13"/>
  <c r="L1418" i="13" s="1"/>
  <c r="I1419" i="13" s="1"/>
  <c r="M1608" i="14"/>
  <c r="K1419" i="13" l="1"/>
  <c r="L1419" i="13" s="1"/>
  <c r="I1420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42" i="14" l="1"/>
  <c r="L1442" i="14" s="1"/>
  <c r="I1443" i="14" s="1"/>
  <c r="K1420" i="13"/>
  <c r="L1420" i="13" s="1"/>
  <c r="I1421" i="13" s="1"/>
  <c r="J1606" i="13" a="1"/>
  <c r="J1606" i="13" s="1"/>
  <c r="N1607" i="13"/>
  <c r="M1610" i="14"/>
  <c r="M1609" i="13"/>
  <c r="J1605" i="14" a="1"/>
  <c r="J1605" i="14" s="1"/>
  <c r="N1606" i="14"/>
  <c r="K1421" i="13" l="1"/>
  <c r="L1421" i="13" s="1"/>
  <c r="I1422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2" i="13" l="1"/>
  <c r="L1422" i="13" s="1"/>
  <c r="I1423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45" i="14" l="1"/>
  <c r="L1445" i="14" s="1"/>
  <c r="I1446" i="14" s="1"/>
  <c r="K1423" i="13"/>
  <c r="L1423" i="13" s="1"/>
  <c r="I1424" i="13" s="1"/>
  <c r="N1609" i="14"/>
  <c r="J1608" i="14" a="1"/>
  <c r="J1608" i="14" s="1"/>
  <c r="N1610" i="13"/>
  <c r="J1609" i="13" a="1"/>
  <c r="J1609" i="13" s="1"/>
  <c r="M1613" i="14"/>
  <c r="M1612" i="13"/>
  <c r="K1446" i="14" l="1"/>
  <c r="L1446" i="14" s="1"/>
  <c r="I1447" i="14" s="1"/>
  <c r="M1614" i="14"/>
  <c r="M1613" i="13"/>
  <c r="K1424" i="13"/>
  <c r="L1424" i="13" s="1"/>
  <c r="I1425" i="13" s="1"/>
  <c r="J1610" i="13" a="1"/>
  <c r="J1610" i="13" s="1"/>
  <c r="N1611" i="13"/>
  <c r="J1609" i="14" a="1"/>
  <c r="J1609" i="14" s="1"/>
  <c r="N1610" i="14"/>
  <c r="K1425" i="13" l="1"/>
  <c r="L1425" i="13" s="1"/>
  <c r="I1426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48" i="14" l="1"/>
  <c r="L1448" i="14" s="1"/>
  <c r="I1449" i="14" s="1"/>
  <c r="K1426" i="13"/>
  <c r="L1426" i="13" s="1"/>
  <c r="I1427" i="13" s="1"/>
  <c r="M1616" i="14"/>
  <c r="J1612" i="13" a="1"/>
  <c r="J1612" i="13" s="1"/>
  <c r="N1613" i="13"/>
  <c r="M1615" i="13"/>
  <c r="J1611" i="14" a="1"/>
  <c r="J1611" i="14" s="1"/>
  <c r="N1612" i="14"/>
  <c r="K1427" i="13" l="1"/>
  <c r="L1427" i="13" s="1"/>
  <c r="I1428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50" i="14" l="1"/>
  <c r="L1450" i="14" s="1"/>
  <c r="I1451" i="14" s="1"/>
  <c r="K1428" i="13"/>
  <c r="L1428" i="13" s="1"/>
  <c r="I1429" i="13" s="1"/>
  <c r="M1618" i="14"/>
  <c r="J1614" i="13" a="1"/>
  <c r="J1614" i="13" s="1"/>
  <c r="N1615" i="13"/>
  <c r="M1617" i="13"/>
  <c r="J1613" i="14" a="1"/>
  <c r="J1613" i="14" s="1"/>
  <c r="N1614" i="14"/>
  <c r="K1451" i="14" l="1"/>
  <c r="L1451" i="14" s="1"/>
  <c r="I1452" i="14" s="1"/>
  <c r="K1429" i="13"/>
  <c r="L1429" i="13" s="1"/>
  <c r="I1430" i="13" s="1"/>
  <c r="J1614" i="14" a="1"/>
  <c r="J1614" i="14" s="1"/>
  <c r="N1615" i="14"/>
  <c r="J1615" i="13" a="1"/>
  <c r="J1615" i="13" s="1"/>
  <c r="N1616" i="13"/>
  <c r="M1618" i="13"/>
  <c r="M1619" i="14"/>
  <c r="K1430" i="13" l="1"/>
  <c r="L1430" i="13" s="1"/>
  <c r="I1431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53" i="14" l="1"/>
  <c r="L1453" i="14" s="1"/>
  <c r="I1454" i="14" s="1"/>
  <c r="K1431" i="13"/>
  <c r="L1431" i="13" s="1"/>
  <c r="I1432" i="13" s="1"/>
  <c r="N1618" i="13"/>
  <c r="J1617" i="13" a="1"/>
  <c r="J1617" i="13" s="1"/>
  <c r="N1617" i="14"/>
  <c r="J1616" i="14" a="1"/>
  <c r="J1616" i="14" s="1"/>
  <c r="M1620" i="13"/>
  <c r="M1621" i="14"/>
  <c r="K1432" i="13" l="1"/>
  <c r="L1432" i="13" s="1"/>
  <c r="I1433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55" i="14" l="1"/>
  <c r="L1455" i="14" s="1"/>
  <c r="I1456" i="14" s="1"/>
  <c r="K1433" i="13"/>
  <c r="L1433" i="13" s="1"/>
  <c r="I1434" i="13" s="1"/>
  <c r="J1619" i="13" a="1"/>
  <c r="J1619" i="13" s="1"/>
  <c r="N1620" i="13"/>
  <c r="M1623" i="14"/>
  <c r="J1618" i="14" a="1"/>
  <c r="J1618" i="14" s="1"/>
  <c r="N1619" i="14"/>
  <c r="M1622" i="13"/>
  <c r="K1456" i="14" l="1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/>
  <c r="L1434" i="13" s="1"/>
  <c r="I1435" i="13" s="1"/>
  <c r="K1435" i="13" l="1"/>
  <c r="L1435" i="13" s="1"/>
  <c r="I1436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6" i="13" l="1"/>
  <c r="L1436" i="13" s="1"/>
  <c r="I1437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59" i="14" l="1"/>
  <c r="L1459" i="14" s="1"/>
  <c r="I1460" i="14" s="1"/>
  <c r="K1437" i="13"/>
  <c r="L1437" i="13" s="1"/>
  <c r="I1438" i="13" s="1"/>
  <c r="J1623" i="13" a="1"/>
  <c r="J1623" i="13" s="1"/>
  <c r="N1624" i="13"/>
  <c r="J1622" i="14" a="1"/>
  <c r="J1622" i="14" s="1"/>
  <c r="N1623" i="14"/>
  <c r="M1626" i="13"/>
  <c r="M1627" i="14"/>
  <c r="K1438" i="13" l="1"/>
  <c r="L1438" i="13" s="1"/>
  <c r="I1439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61" i="14" l="1"/>
  <c r="L1461" i="14" s="1"/>
  <c r="I1462" i="14" s="1"/>
  <c r="K1439" i="13"/>
  <c r="L1439" i="13" s="1"/>
  <c r="I1440" i="13" s="1"/>
  <c r="N1625" i="14"/>
  <c r="J1624" i="14" a="1"/>
  <c r="J1624" i="14" s="1"/>
  <c r="M1628" i="13"/>
  <c r="N1626" i="13"/>
  <c r="J1625" i="13" a="1"/>
  <c r="J1625" i="13" s="1"/>
  <c r="M1629" i="14"/>
  <c r="K1440" i="13" l="1"/>
  <c r="L1440" i="13" s="1"/>
  <c r="I1441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63" i="14" l="1"/>
  <c r="L1463" i="14" s="1"/>
  <c r="I1464" i="14" s="1"/>
  <c r="K1441" i="13"/>
  <c r="L1441" i="13" s="1"/>
  <c r="I1442" i="13" s="1"/>
  <c r="J1626" i="14" a="1"/>
  <c r="J1626" i="14" s="1"/>
  <c r="N1627" i="14"/>
  <c r="M1630" i="13"/>
  <c r="J1627" i="13" a="1"/>
  <c r="J1627" i="13" s="1"/>
  <c r="N1628" i="13"/>
  <c r="M1631" i="14"/>
  <c r="K1442" i="13" l="1"/>
  <c r="L1442" i="13" s="1"/>
  <c r="I1443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65" i="14" l="1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/>
  <c r="L1443" i="13" s="1"/>
  <c r="I1444" i="13" s="1"/>
  <c r="K1466" i="14" l="1"/>
  <c r="L1466" i="14" s="1"/>
  <c r="I1467" i="14" s="1"/>
  <c r="K1444" i="13"/>
  <c r="L1444" i="13" s="1"/>
  <c r="I1445" i="13" s="1"/>
  <c r="J1630" i="13" a="1"/>
  <c r="J1630" i="13" s="1"/>
  <c r="N1631" i="13"/>
  <c r="J1629" i="14" a="1"/>
  <c r="J1629" i="14" s="1"/>
  <c r="N1630" i="14"/>
  <c r="M1633" i="13"/>
  <c r="M1634" i="14"/>
  <c r="K1467" i="14" l="1"/>
  <c r="L1467" i="14" s="1"/>
  <c r="I1468" i="14" s="1"/>
  <c r="M1635" i="14"/>
  <c r="J1630" i="14" a="1"/>
  <c r="J1630" i="14" s="1"/>
  <c r="N1631" i="14"/>
  <c r="K1445" i="13"/>
  <c r="L1445" i="13" s="1"/>
  <c r="I1446" i="13" s="1"/>
  <c r="J1631" i="13" a="1"/>
  <c r="J1631" i="13" s="1"/>
  <c r="N1632" i="13"/>
  <c r="M1634" i="13"/>
  <c r="K1468" i="14" l="1"/>
  <c r="L1468" i="14" s="1"/>
  <c r="I1469" i="14" s="1"/>
  <c r="M1635" i="13"/>
  <c r="M1636" i="14"/>
  <c r="K1446" i="13"/>
  <c r="L1446" i="13" s="1"/>
  <c r="I1447" i="13" s="1"/>
  <c r="J1631" i="14" a="1"/>
  <c r="J1631" i="14" s="1"/>
  <c r="N1632" i="14"/>
  <c r="J1632" i="13" a="1"/>
  <c r="J1632" i="13" s="1"/>
  <c r="N1633" i="13"/>
  <c r="K1447" i="13" l="1"/>
  <c r="L1447" i="13" s="1"/>
  <c r="I1448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70" i="14" l="1"/>
  <c r="L1470" i="14" s="1"/>
  <c r="I1471" i="14" s="1"/>
  <c r="K1448" i="13"/>
  <c r="L1448" i="13" s="1"/>
  <c r="I1449" i="13" s="1"/>
  <c r="J1633" i="14" a="1"/>
  <c r="J1633" i="14" s="1"/>
  <c r="N1634" i="14"/>
  <c r="M1637" i="13"/>
  <c r="M1638" i="14"/>
  <c r="J1634" i="13" a="1"/>
  <c r="J1634" i="13" s="1"/>
  <c r="N1635" i="13"/>
  <c r="K1471" i="14" l="1"/>
  <c r="L1471" i="14" s="1"/>
  <c r="I1472" i="14" s="1"/>
  <c r="M1639" i="14"/>
  <c r="J1635" i="13" a="1"/>
  <c r="J1635" i="13" s="1"/>
  <c r="N1636" i="13"/>
  <c r="M1638" i="13"/>
  <c r="K1449" i="13"/>
  <c r="L1449" i="13" s="1"/>
  <c r="I1450" i="13" s="1"/>
  <c r="J1634" i="14" a="1"/>
  <c r="J1634" i="14" s="1"/>
  <c r="N1635" i="14"/>
  <c r="K1450" i="13" l="1"/>
  <c r="L1450" i="13" s="1"/>
  <c r="I1451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73" i="14" l="1"/>
  <c r="L1473" i="14" s="1"/>
  <c r="I1474" i="14" s="1"/>
  <c r="K1451" i="13"/>
  <c r="L1451" i="13" s="1"/>
  <c r="I1452" i="13" s="1"/>
  <c r="N1638" i="13"/>
  <c r="J1637" i="13" a="1"/>
  <c r="J1637" i="13" s="1"/>
  <c r="N1637" i="14"/>
  <c r="J1636" i="14" a="1"/>
  <c r="J1636" i="14" s="1"/>
  <c r="M1641" i="14"/>
  <c r="M1640" i="13"/>
  <c r="K1452" i="13" l="1"/>
  <c r="L1452" i="13" s="1"/>
  <c r="I1453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75" i="14" l="1"/>
  <c r="L1475" i="14" s="1"/>
  <c r="I1476" i="14" s="1"/>
  <c r="K1453" i="13"/>
  <c r="L1453" i="13" s="1"/>
  <c r="I1454" i="13" s="1"/>
  <c r="J1639" i="13" a="1"/>
  <c r="J1639" i="13" s="1"/>
  <c r="N1640" i="13"/>
  <c r="M1642" i="13"/>
  <c r="J1638" i="14" a="1"/>
  <c r="J1638" i="14" s="1"/>
  <c r="N1639" i="14"/>
  <c r="M1643" i="14"/>
  <c r="K1454" i="13" l="1"/>
  <c r="L1454" i="13" s="1"/>
  <c r="I1455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77" i="14" l="1"/>
  <c r="L1477" i="14" s="1"/>
  <c r="I1478" i="14" s="1"/>
  <c r="K1455" i="13"/>
  <c r="L1455" i="13" s="1"/>
  <c r="I1456" i="13" s="1"/>
  <c r="N1642" i="13"/>
  <c r="J1641" i="13" a="1"/>
  <c r="J1641" i="13" s="1"/>
  <c r="M1645" i="14"/>
  <c r="N1641" i="14"/>
  <c r="J1640" i="14" a="1"/>
  <c r="J1640" i="14" s="1"/>
  <c r="M1644" i="13"/>
  <c r="K1456" i="13" l="1"/>
  <c r="L1456" i="13" s="1"/>
  <c r="I1457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79" i="14" l="1"/>
  <c r="L1479" i="14" s="1"/>
  <c r="I1480" i="14" s="1"/>
  <c r="K1457" i="13"/>
  <c r="L1457" i="13" s="1"/>
  <c r="I1458" i="13" s="1"/>
  <c r="J1643" i="13" a="1"/>
  <c r="J1643" i="13" s="1"/>
  <c r="N1644" i="13"/>
  <c r="M1646" i="13"/>
  <c r="J1642" i="14" a="1"/>
  <c r="J1642" i="14" s="1"/>
  <c r="N1643" i="14"/>
  <c r="M1647" i="14"/>
  <c r="K1458" i="13" l="1"/>
  <c r="L1458" i="13" s="1"/>
  <c r="I1459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81" i="14" l="1"/>
  <c r="L1481" i="14" s="1"/>
  <c r="I1482" i="14" s="1"/>
  <c r="K1459" i="13"/>
  <c r="L1459" i="13" s="1"/>
  <c r="I1460" i="13" s="1"/>
  <c r="M1648" i="13"/>
  <c r="N1646" i="13"/>
  <c r="J1645" i="13" a="1"/>
  <c r="J1645" i="13" s="1"/>
  <c r="N1645" i="14"/>
  <c r="J1644" i="14" a="1"/>
  <c r="J1644" i="14" s="1"/>
  <c r="M1649" i="14"/>
  <c r="K1482" i="14" l="1"/>
  <c r="L1482" i="14" s="1"/>
  <c r="I1483" i="14" s="1"/>
  <c r="J1646" i="13" a="1"/>
  <c r="J1646" i="13" s="1"/>
  <c r="N1647" i="13"/>
  <c r="M1649" i="13"/>
  <c r="M1650" i="14"/>
  <c r="K1460" i="13"/>
  <c r="L1460" i="13" s="1"/>
  <c r="I1461" i="13" s="1"/>
  <c r="J1645" i="14" a="1"/>
  <c r="J1645" i="14" s="1"/>
  <c r="N1646" i="14"/>
  <c r="K1461" i="13" l="1"/>
  <c r="L1461" i="13" s="1"/>
  <c r="I1462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2" i="13" l="1"/>
  <c r="L1462" i="13" s="1"/>
  <c r="I1463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85" i="14" l="1"/>
  <c r="L1485" i="14" s="1"/>
  <c r="I1486" i="14" s="1"/>
  <c r="K1463" i="13"/>
  <c r="L1463" i="13" s="1"/>
  <c r="I1464" i="13" s="1"/>
  <c r="M1652" i="13"/>
  <c r="M1653" i="14"/>
  <c r="N1649" i="14"/>
  <c r="J1648" i="14" a="1"/>
  <c r="J1648" i="14" s="1"/>
  <c r="N1650" i="13"/>
  <c r="J1649" i="13" a="1"/>
  <c r="J1649" i="13" s="1"/>
  <c r="K1486" i="14" l="1"/>
  <c r="L1486" i="14" s="1"/>
  <c r="I1487" i="14" s="1"/>
  <c r="J1650" i="13" a="1"/>
  <c r="J1650" i="13" s="1"/>
  <c r="N1651" i="13"/>
  <c r="M1654" i="14"/>
  <c r="K1464" i="13"/>
  <c r="L1464" i="13" s="1"/>
  <c r="I1465" i="13" s="1"/>
  <c r="M1653" i="13"/>
  <c r="J1649" i="14" a="1"/>
  <c r="J1649" i="14" s="1"/>
  <c r="N1650" i="14"/>
  <c r="K1465" i="13" l="1"/>
  <c r="L1465" i="13" s="1"/>
  <c r="I1466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88" i="14" l="1"/>
  <c r="L1488" i="14" s="1"/>
  <c r="I1489" i="14" s="1"/>
  <c r="K1466" i="13"/>
  <c r="L1466" i="13" s="1"/>
  <c r="I1467" i="13" s="1"/>
  <c r="J1652" i="13" a="1"/>
  <c r="J1652" i="13" s="1"/>
  <c r="N1653" i="13"/>
  <c r="J1651" i="14" a="1"/>
  <c r="J1651" i="14" s="1"/>
  <c r="N1652" i="14"/>
  <c r="M1656" i="14"/>
  <c r="M1655" i="13"/>
  <c r="K1489" i="14" l="1"/>
  <c r="L1489" i="14" s="1"/>
  <c r="I1490" i="14" s="1"/>
  <c r="K1467" i="13"/>
  <c r="L1467" i="13" s="1"/>
  <c r="I1468" i="13" s="1"/>
  <c r="M1656" i="13"/>
  <c r="N1654" i="13"/>
  <c r="J1653" i="13" a="1"/>
  <c r="J1653" i="13" s="1"/>
  <c r="N1653" i="14"/>
  <c r="J1652" i="14" a="1"/>
  <c r="J1652" i="14" s="1"/>
  <c r="M1657" i="14"/>
  <c r="K1468" i="13" l="1"/>
  <c r="L1468" i="13" s="1"/>
  <c r="I1469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91" i="14" l="1"/>
  <c r="L1491" i="14" s="1"/>
  <c r="I1492" i="14" s="1"/>
  <c r="K1469" i="13"/>
  <c r="L1469" i="13" s="1"/>
  <c r="I1470" i="13" s="1"/>
  <c r="J1655" i="13" a="1"/>
  <c r="J1655" i="13" s="1"/>
  <c r="N1656" i="13"/>
  <c r="J1654" i="14" a="1"/>
  <c r="J1654" i="14" s="1"/>
  <c r="N1655" i="14"/>
  <c r="M1658" i="13"/>
  <c r="M1659" i="14"/>
  <c r="K1470" i="13" l="1"/>
  <c r="L1470" i="13" s="1"/>
  <c r="I1471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93" i="14" l="1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/>
  <c r="L1471" i="13" s="1"/>
  <c r="I1472" i="13" s="1"/>
  <c r="K1472" i="13" l="1"/>
  <c r="L1472" i="13" s="1"/>
  <c r="I1473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3" i="13" l="1"/>
  <c r="L1473" i="13" s="1"/>
  <c r="I1474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96" i="14" l="1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/>
  <c r="L1474" i="13" s="1"/>
  <c r="I1475" i="13" s="1"/>
  <c r="K1475" i="13" l="1"/>
  <c r="L1475" i="13" s="1"/>
  <c r="I1476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98" i="14" l="1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/>
  <c r="L1476" i="13" s="1"/>
  <c r="I1477" i="13" s="1"/>
  <c r="K1477" i="13" l="1"/>
  <c r="L1477" i="13" s="1"/>
  <c r="I1478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500" i="14" l="1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/>
  <c r="L1478" i="13" s="1"/>
  <c r="I1479" i="13" s="1"/>
  <c r="K1479" i="13" l="1"/>
  <c r="L1479" i="13" s="1"/>
  <c r="I1480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502" i="14" l="1"/>
  <c r="L1502" i="14" s="1"/>
  <c r="I1503" i="14" s="1"/>
  <c r="K1480" i="13"/>
  <c r="L1480" i="13" s="1"/>
  <c r="I1481" i="13" s="1"/>
  <c r="J1665" i="14" a="1"/>
  <c r="J1665" i="14" s="1"/>
  <c r="N1666" i="14"/>
  <c r="M1670" i="14"/>
  <c r="M1669" i="13"/>
  <c r="J1666" i="13" a="1"/>
  <c r="J1666" i="13" s="1"/>
  <c r="N1667" i="13"/>
  <c r="K1481" i="13" l="1"/>
  <c r="L1481" i="13" s="1"/>
  <c r="I1482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2" i="13" l="1"/>
  <c r="L1482" i="13" s="1"/>
  <c r="I1483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3" i="13" l="1"/>
  <c r="L1483" i="13" s="1"/>
  <c r="I1484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506" i="14" l="1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/>
  <c r="L1484" i="13" s="1"/>
  <c r="I1485" i="13" s="1"/>
  <c r="K1507" i="14" l="1"/>
  <c r="L1507" i="14" s="1"/>
  <c r="I1508" i="14" s="1"/>
  <c r="K1485" i="13"/>
  <c r="L1485" i="13" s="1"/>
  <c r="I1486" i="13" s="1"/>
  <c r="J1670" i="14" a="1"/>
  <c r="J1670" i="14" s="1"/>
  <c r="N1671" i="14"/>
  <c r="J1671" i="13" a="1"/>
  <c r="J1671" i="13" s="1"/>
  <c r="N1672" i="13"/>
  <c r="M1674" i="13"/>
  <c r="M1675" i="14"/>
  <c r="K1486" i="13" l="1"/>
  <c r="L1486" i="13" s="1"/>
  <c r="I1487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509" i="14" l="1"/>
  <c r="L1509" i="14" s="1"/>
  <c r="I1510" i="14" s="1"/>
  <c r="K1487" i="13"/>
  <c r="L1487" i="13" s="1"/>
  <c r="I1488" i="13" s="1"/>
  <c r="N1674" i="13"/>
  <c r="J1673" i="13" a="1"/>
  <c r="J1673" i="13" s="1"/>
  <c r="M1677" i="14"/>
  <c r="N1673" i="14"/>
  <c r="J1672" i="14" a="1"/>
  <c r="J1672" i="14" s="1"/>
  <c r="M1676" i="13"/>
  <c r="K1510" i="14" l="1"/>
  <c r="L1510" i="14" s="1"/>
  <c r="I1511" i="14" s="1"/>
  <c r="K1488" i="13"/>
  <c r="L1488" i="13" s="1"/>
  <c r="I1489" i="13" s="1"/>
  <c r="M1678" i="14"/>
  <c r="M1677" i="13"/>
  <c r="J1673" i="14" a="1"/>
  <c r="J1673" i="14" s="1"/>
  <c r="N1674" i="14"/>
  <c r="J1674" i="13" a="1"/>
  <c r="J1674" i="13" s="1"/>
  <c r="N1675" i="13"/>
  <c r="K1489" i="13" l="1"/>
  <c r="L1489" i="13" s="1"/>
  <c r="I1490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512" i="14" l="1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/>
  <c r="L1490" i="13" s="1"/>
  <c r="I1491" i="13" s="1"/>
  <c r="K1491" i="13" l="1"/>
  <c r="L1491" i="13" s="1"/>
  <c r="I1492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514" i="14" l="1"/>
  <c r="L1514" i="14" s="1"/>
  <c r="I1515" i="14" s="1"/>
  <c r="K1492" i="13"/>
  <c r="L1492" i="13" s="1"/>
  <c r="I1493" i="13" s="1"/>
  <c r="M1681" i="13"/>
  <c r="M1682" i="14"/>
  <c r="J1678" i="13" a="1"/>
  <c r="J1678" i="13" s="1"/>
  <c r="N1679" i="13"/>
  <c r="J1677" i="14" a="1"/>
  <c r="J1677" i="14" s="1"/>
  <c r="N1678" i="14"/>
  <c r="K1515" i="14" l="1"/>
  <c r="L1515" i="14" s="1"/>
  <c r="I1516" i="14" s="1"/>
  <c r="K1493" i="13"/>
  <c r="L1493" i="13" s="1"/>
  <c r="I1494" i="13" s="1"/>
  <c r="M1683" i="14"/>
  <c r="J1679" i="13" a="1"/>
  <c r="J1679" i="13" s="1"/>
  <c r="N1680" i="13"/>
  <c r="J1678" i="14" a="1"/>
  <c r="J1678" i="14" s="1"/>
  <c r="N1679" i="14"/>
  <c r="M1682" i="13"/>
  <c r="K1516" i="14" l="1"/>
  <c r="L1516" i="14" s="1"/>
  <c r="I1517" i="14" s="1"/>
  <c r="K1494" i="13"/>
  <c r="L1494" i="13" s="1"/>
  <c r="I1495" i="13" s="1"/>
  <c r="J1680" i="13" a="1"/>
  <c r="J1680" i="13" s="1"/>
  <c r="N1681" i="13"/>
  <c r="M1683" i="13"/>
  <c r="J1679" i="14" a="1"/>
  <c r="J1679" i="14" s="1"/>
  <c r="N1680" i="14"/>
  <c r="M1684" i="14"/>
  <c r="K1495" i="13" l="1"/>
  <c r="L1495" i="13" s="1"/>
  <c r="I1496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518" i="14" l="1"/>
  <c r="L1518" i="14" s="1"/>
  <c r="I1519" i="14" s="1"/>
  <c r="K1496" i="13"/>
  <c r="L1496" i="13" s="1"/>
  <c r="I1497" i="13" s="1"/>
  <c r="J1681" i="14" a="1"/>
  <c r="J1681" i="14" s="1"/>
  <c r="N1682" i="14"/>
  <c r="M1686" i="14"/>
  <c r="M1685" i="13"/>
  <c r="J1682" i="13" a="1"/>
  <c r="J1682" i="13" s="1"/>
  <c r="N1683" i="13"/>
  <c r="K1519" i="14" l="1"/>
  <c r="L1519" i="14" s="1"/>
  <c r="I1520" i="14" s="1"/>
  <c r="K1497" i="13"/>
  <c r="L1497" i="13" s="1"/>
  <c r="I1498" i="13" s="1"/>
  <c r="J1683" i="13" a="1"/>
  <c r="J1683" i="13" s="1"/>
  <c r="N1684" i="13"/>
  <c r="M1687" i="14"/>
  <c r="J1682" i="14" a="1"/>
  <c r="J1682" i="14" s="1"/>
  <c r="N1683" i="14"/>
  <c r="M1686" i="13"/>
  <c r="K1498" i="13" l="1"/>
  <c r="L1498" i="13" s="1"/>
  <c r="I1499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521" i="14" l="1"/>
  <c r="L1521" i="14" s="1"/>
  <c r="I1522" i="14" s="1"/>
  <c r="K1499" i="13"/>
  <c r="L1499" i="13" s="1"/>
  <c r="I1500" i="13" s="1"/>
  <c r="M1688" i="13"/>
  <c r="N1685" i="14"/>
  <c r="J1684" i="14" a="1"/>
  <c r="J1684" i="14" s="1"/>
  <c r="N1686" i="13"/>
  <c r="J1685" i="13" a="1"/>
  <c r="J1685" i="13" s="1"/>
  <c r="M1689" i="14"/>
  <c r="K1500" i="13" l="1"/>
  <c r="L1500" i="13" s="1"/>
  <c r="I1501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23" i="14" l="1"/>
  <c r="L1523" i="14" s="1"/>
  <c r="I1524" i="14" s="1"/>
  <c r="K1501" i="13"/>
  <c r="L1501" i="13" s="1"/>
  <c r="I1502" i="13" s="1"/>
  <c r="J1686" i="14" a="1"/>
  <c r="J1686" i="14" s="1"/>
  <c r="N1687" i="14"/>
  <c r="J1687" i="13" a="1"/>
  <c r="J1687" i="13" s="1"/>
  <c r="N1688" i="13"/>
  <c r="M1690" i="13"/>
  <c r="M1691" i="14"/>
  <c r="K1502" i="13" l="1"/>
  <c r="L1502" i="13" s="1"/>
  <c r="I1503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3" i="13" l="1"/>
  <c r="L1503" i="13" s="1"/>
  <c r="I1504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26" i="14" l="1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/>
  <c r="L1504" i="13" s="1"/>
  <c r="I1505" i="13" s="1"/>
  <c r="K1505" i="13" l="1"/>
  <c r="L1505" i="13" s="1"/>
  <c r="I1506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6" i="13" l="1"/>
  <c r="L1506" i="13" s="1"/>
  <c r="I1507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29" i="14" l="1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/>
  <c r="L1507" i="13" s="1"/>
  <c r="I1508" i="13" s="1"/>
  <c r="K1508" i="13" l="1"/>
  <c r="L1508" i="13" s="1"/>
  <c r="I1509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31" i="14" l="1"/>
  <c r="L1531" i="14" s="1"/>
  <c r="I1532" i="14" s="1"/>
  <c r="K1509" i="13"/>
  <c r="L1509" i="13" s="1"/>
  <c r="I1510" i="13" s="1"/>
  <c r="J1694" i="14" a="1"/>
  <c r="J1694" i="14" s="1"/>
  <c r="N1695" i="14"/>
  <c r="M1699" i="14"/>
  <c r="J1695" i="13" a="1"/>
  <c r="J1695" i="13" s="1"/>
  <c r="N1696" i="13"/>
  <c r="M1698" i="13"/>
  <c r="K1532" i="14" l="1"/>
  <c r="L1532" i="14" s="1"/>
  <c r="I1533" i="14" s="1"/>
  <c r="K1510" i="13"/>
  <c r="L1510" i="13" s="1"/>
  <c r="I1511" i="13" s="1"/>
  <c r="M1700" i="14"/>
  <c r="M1699" i="13"/>
  <c r="J1696" i="13" a="1"/>
  <c r="J1696" i="13" s="1"/>
  <c r="N1697" i="13"/>
  <c r="J1695" i="14" a="1"/>
  <c r="J1695" i="14" s="1"/>
  <c r="N1696" i="14"/>
  <c r="K1511" i="13" l="1"/>
  <c r="L1511" i="13" s="1"/>
  <c r="I1512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34" i="14" l="1"/>
  <c r="L1534" i="14" s="1"/>
  <c r="I1535" i="14" s="1"/>
  <c r="K1512" i="13"/>
  <c r="L1512" i="13" s="1"/>
  <c r="I1513" i="13" s="1"/>
  <c r="M1702" i="14"/>
  <c r="J1698" i="13" a="1"/>
  <c r="J1698" i="13" s="1"/>
  <c r="N1699" i="13"/>
  <c r="M1701" i="13"/>
  <c r="J1697" i="14" a="1"/>
  <c r="J1697" i="14" s="1"/>
  <c r="N1698" i="14"/>
  <c r="K1535" i="14" l="1"/>
  <c r="L1535" i="14" s="1"/>
  <c r="I1536" i="14" s="1"/>
  <c r="K1513" i="13"/>
  <c r="L1513" i="13" s="1"/>
  <c r="I1514" i="13" s="1"/>
  <c r="J1699" i="13" a="1"/>
  <c r="J1699" i="13" s="1"/>
  <c r="N1700" i="13"/>
  <c r="J1698" i="14" a="1"/>
  <c r="J1698" i="14" s="1"/>
  <c r="N1699" i="14"/>
  <c r="M1702" i="13"/>
  <c r="M1703" i="14"/>
  <c r="K1514" i="13" l="1"/>
  <c r="L1514" i="13" s="1"/>
  <c r="I1515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37" i="14" l="1"/>
  <c r="L1537" i="14" s="1"/>
  <c r="I1538" i="14" s="1"/>
  <c r="K1515" i="13"/>
  <c r="L1515" i="13" s="1"/>
  <c r="I1516" i="13" s="1"/>
  <c r="M1704" i="13"/>
  <c r="M1705" i="14"/>
  <c r="N1701" i="14"/>
  <c r="J1700" i="14" a="1"/>
  <c r="J1700" i="14" s="1"/>
  <c r="N1702" i="13"/>
  <c r="J1701" i="13" a="1"/>
  <c r="J1701" i="13" s="1"/>
  <c r="K1516" i="13" l="1"/>
  <c r="L1516" i="13" s="1"/>
  <c r="I1517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7" i="13" l="1"/>
  <c r="L1517" i="13" s="1"/>
  <c r="I1518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40" i="14" l="1"/>
  <c r="L1540" i="14" s="1"/>
  <c r="I1541" i="14" s="1"/>
  <c r="K1518" i="13"/>
  <c r="L1518" i="13" s="1"/>
  <c r="I1519" i="13" s="1"/>
  <c r="J1703" i="14" a="1"/>
  <c r="J1703" i="14" s="1"/>
  <c r="N1704" i="14"/>
  <c r="M1707" i="13"/>
  <c r="J1704" i="13" a="1"/>
  <c r="J1704" i="13" s="1"/>
  <c r="N1705" i="13"/>
  <c r="M1708" i="14"/>
  <c r="K1519" i="13" l="1"/>
  <c r="L1519" i="13" s="1"/>
  <c r="I1520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42" i="14" l="1"/>
  <c r="L1542" i="14" s="1"/>
  <c r="I1543" i="14" s="1"/>
  <c r="K1520" i="13"/>
  <c r="L1520" i="13" s="1"/>
  <c r="I1521" i="13" s="1"/>
  <c r="J1705" i="14" a="1"/>
  <c r="J1705" i="14" s="1"/>
  <c r="N1706" i="14"/>
  <c r="M1710" i="14"/>
  <c r="M1709" i="13"/>
  <c r="J1706" i="13" a="1"/>
  <c r="J1706" i="13" s="1"/>
  <c r="N1707" i="13"/>
  <c r="K1521" i="13" l="1"/>
  <c r="L1521" i="13" s="1"/>
  <c r="I1522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44" i="14" l="1"/>
  <c r="L1544" i="14" s="1"/>
  <c r="I1545" i="14" s="1"/>
  <c r="K1522" i="13"/>
  <c r="L1522" i="13" s="1"/>
  <c r="I1523" i="13" s="1"/>
  <c r="J1707" i="14" a="1"/>
  <c r="J1707" i="14" s="1"/>
  <c r="N1708" i="14"/>
  <c r="J1708" i="13" a="1"/>
  <c r="J1708" i="13" s="1"/>
  <c r="N1709" i="13"/>
  <c r="M1712" i="14"/>
  <c r="M1711" i="13"/>
  <c r="K1523" i="13" l="1"/>
  <c r="L1523" i="13" s="1"/>
  <c r="I1524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46" i="14" l="1"/>
  <c r="L1546" i="14" s="1"/>
  <c r="I1547" i="14" s="1"/>
  <c r="K1524" i="13"/>
  <c r="L1524" i="13" s="1"/>
  <c r="I1525" i="13" s="1"/>
  <c r="M1714" i="14"/>
  <c r="J1710" i="13" a="1"/>
  <c r="J1710" i="13" s="1"/>
  <c r="N1711" i="13"/>
  <c r="M1713" i="13"/>
  <c r="J1709" i="14" a="1"/>
  <c r="J1709" i="14" s="1"/>
  <c r="N1710" i="14"/>
  <c r="K1547" i="14" l="1"/>
  <c r="L1547" i="14" s="1"/>
  <c r="I1548" i="14" s="1"/>
  <c r="K1525" i="13"/>
  <c r="L1525" i="13" s="1"/>
  <c r="I1526" i="13" s="1"/>
  <c r="J1710" i="14" a="1"/>
  <c r="J1710" i="14" s="1"/>
  <c r="N1711" i="14"/>
  <c r="J1711" i="13" a="1"/>
  <c r="J1711" i="13" s="1"/>
  <c r="N1712" i="13"/>
  <c r="M1714" i="13"/>
  <c r="M1715" i="14"/>
  <c r="K1526" i="13" l="1"/>
  <c r="L1526" i="13" s="1"/>
  <c r="I1527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49" i="14" l="1"/>
  <c r="L1549" i="14" s="1"/>
  <c r="I1550" i="14" s="1"/>
  <c r="K1527" i="13"/>
  <c r="L1527" i="13" s="1"/>
  <c r="I1528" i="13" s="1"/>
  <c r="N1713" i="14"/>
  <c r="J1712" i="14" a="1"/>
  <c r="J1712" i="14" s="1"/>
  <c r="M1717" i="14"/>
  <c r="N1714" i="13"/>
  <c r="J1713" i="13" a="1"/>
  <c r="J1713" i="13" s="1"/>
  <c r="M1716" i="13"/>
  <c r="K1528" i="13" l="1"/>
  <c r="L1528" i="13" s="1"/>
  <c r="I1529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9" i="13" l="1"/>
  <c r="L1529" i="13" s="1"/>
  <c r="I1530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52" i="14" l="1"/>
  <c r="L1552" i="14" s="1"/>
  <c r="I1553" i="14" s="1"/>
  <c r="K1530" i="13"/>
  <c r="L1530" i="13" s="1"/>
  <c r="I1531" i="13" s="1"/>
  <c r="N1716" i="14"/>
  <c r="J1715" i="14" a="1"/>
  <c r="J1715" i="14" s="1"/>
  <c r="J1716" i="13" a="1"/>
  <c r="J1716" i="13" s="1"/>
  <c r="N1717" i="13"/>
  <c r="M1719" i="13"/>
  <c r="M1720" i="14"/>
  <c r="K1531" i="13" l="1"/>
  <c r="L1531" i="13" s="1"/>
  <c r="I1532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54" i="14" l="1"/>
  <c r="L1554" i="14" s="1"/>
  <c r="I1555" i="14" s="1"/>
  <c r="K1532" i="13"/>
  <c r="L1532" i="13" s="1"/>
  <c r="I1533" i="13" s="1"/>
  <c r="N1718" i="14"/>
  <c r="J1717" i="14" a="1"/>
  <c r="J1717" i="14" s="1"/>
  <c r="M1722" i="14"/>
  <c r="M1721" i="13"/>
  <c r="J1718" i="13" a="1"/>
  <c r="J1718" i="13" s="1"/>
  <c r="N1719" i="13"/>
  <c r="J1719" i="13" l="1" a="1"/>
  <c r="J1719" i="13" s="1"/>
  <c r="N1720" i="13"/>
  <c r="M1723" i="14"/>
  <c r="K1533" i="13"/>
  <c r="L1533" i="13" s="1"/>
  <c r="I1534" i="13" s="1"/>
  <c r="M1722" i="13"/>
  <c r="J1718" i="14" a="1"/>
  <c r="J1718" i="14" s="1"/>
  <c r="N1719" i="14"/>
  <c r="K1555" i="14"/>
  <c r="L1555" i="14" s="1"/>
  <c r="I1556" i="14" s="1"/>
  <c r="K1556" i="14" l="1"/>
  <c r="L1556" i="14" s="1"/>
  <c r="I1557" i="14" s="1"/>
  <c r="K1534" i="13"/>
  <c r="L1534" i="13" s="1"/>
  <c r="I1535" i="13" s="1"/>
  <c r="M1723" i="13"/>
  <c r="M1724" i="14"/>
  <c r="N1720" i="14"/>
  <c r="J1719" i="14" a="1"/>
  <c r="J1719" i="14" s="1"/>
  <c r="J1720" i="13" a="1"/>
  <c r="J1720" i="13" s="1"/>
  <c r="N1721" i="13"/>
  <c r="K1535" i="13" l="1"/>
  <c r="L1535" i="13" s="1"/>
  <c r="I1536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6" i="13" l="1"/>
  <c r="L1536" i="13" s="1"/>
  <c r="I1537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59" i="14" l="1"/>
  <c r="L1559" i="14" s="1"/>
  <c r="I1560" i="14" s="1"/>
  <c r="K1537" i="13"/>
  <c r="L1537" i="13" s="1"/>
  <c r="I1538" i="13" s="1"/>
  <c r="J1723" i="13" a="1"/>
  <c r="J1723" i="13" s="1"/>
  <c r="N1724" i="13"/>
  <c r="M1726" i="13"/>
  <c r="J1722" i="14" a="1"/>
  <c r="J1722" i="14" s="1"/>
  <c r="N1723" i="14"/>
  <c r="M1727" i="14"/>
  <c r="K1538" i="13" l="1"/>
  <c r="L1538" i="13" s="1"/>
  <c r="I1539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9" i="13" l="1"/>
  <c r="L1539" i="13" s="1"/>
  <c r="I1540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62" i="14" l="1"/>
  <c r="L1562" i="14" s="1"/>
  <c r="I1563" i="14" s="1"/>
  <c r="K1540" i="13"/>
  <c r="L1540" i="13" s="1"/>
  <c r="I1541" i="13" s="1"/>
  <c r="J1726" i="13" a="1"/>
  <c r="J1726" i="13" s="1"/>
  <c r="N1727" i="13"/>
  <c r="J1725" i="14" a="1"/>
  <c r="J1725" i="14" s="1"/>
  <c r="N1726" i="14"/>
  <c r="M1730" i="14"/>
  <c r="M1729" i="13"/>
  <c r="K1541" i="13" l="1"/>
  <c r="L1541" i="13" s="1"/>
  <c r="I1542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64" i="14" l="1"/>
  <c r="L1564" i="14" s="1"/>
  <c r="I1565" i="14" s="1"/>
  <c r="K1542" i="13"/>
  <c r="L1542" i="13" s="1"/>
  <c r="I1543" i="13" s="1"/>
  <c r="M1732" i="14"/>
  <c r="M1731" i="13"/>
  <c r="N1728" i="14"/>
  <c r="J1727" i="14" a="1"/>
  <c r="J1727" i="14" s="1"/>
  <c r="J1728" i="13" a="1"/>
  <c r="J1728" i="13" s="1"/>
  <c r="N1729" i="13"/>
  <c r="K1565" i="14" l="1"/>
  <c r="L1565" i="14" s="1"/>
  <c r="I1566" i="14" s="1"/>
  <c r="N1730" i="13"/>
  <c r="J1729" i="13" a="1"/>
  <c r="J1729" i="13" s="1"/>
  <c r="K1543" i="13"/>
  <c r="L1543" i="13" s="1"/>
  <c r="I1544" i="13" s="1"/>
  <c r="M1732" i="13"/>
  <c r="J1728" i="14" a="1"/>
  <c r="J1728" i="14" s="1"/>
  <c r="N1729" i="14"/>
  <c r="M1733" i="14"/>
  <c r="K1544" i="13" l="1"/>
  <c r="L1544" i="13" s="1"/>
  <c r="I1545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67" i="14" l="1"/>
  <c r="L1567" i="14" s="1"/>
  <c r="I1568" i="14" s="1"/>
  <c r="K1545" i="13"/>
  <c r="L1545" i="13" s="1"/>
  <c r="I1546" i="13" s="1"/>
  <c r="M1734" i="13"/>
  <c r="J1730" i="14" a="1"/>
  <c r="J1730" i="14" s="1"/>
  <c r="N1731" i="14"/>
  <c r="J1731" i="13" a="1"/>
  <c r="J1731" i="13" s="1"/>
  <c r="N1732" i="13"/>
  <c r="M1735" i="14"/>
  <c r="K1546" i="13" l="1"/>
  <c r="L1546" i="13" s="1"/>
  <c r="I1547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7" i="13" l="1"/>
  <c r="L1547" i="13" s="1"/>
  <c r="I1548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70" i="14" l="1"/>
  <c r="L1570" i="14" s="1"/>
  <c r="I1571" i="14" s="1"/>
  <c r="K1548" i="13"/>
  <c r="L1548" i="13" s="1"/>
  <c r="I1549" i="13" s="1"/>
  <c r="J1733" i="14" a="1"/>
  <c r="J1733" i="14" s="1"/>
  <c r="N1734" i="14"/>
  <c r="M1737" i="13"/>
  <c r="J1734" i="13" a="1"/>
  <c r="J1734" i="13" s="1"/>
  <c r="N1735" i="13"/>
  <c r="M1738" i="14"/>
  <c r="K1549" i="13" l="1"/>
  <c r="L1549" i="13" s="1"/>
  <c r="I1550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72" i="14" l="1"/>
  <c r="L1572" i="14" s="1"/>
  <c r="I1573" i="14" s="1"/>
  <c r="K1550" i="13"/>
  <c r="L1550" i="13" s="1"/>
  <c r="I1551" i="13" s="1"/>
  <c r="J1736" i="13" a="1"/>
  <c r="J1736" i="13" s="1"/>
  <c r="N1737" i="13"/>
  <c r="M1740" i="14"/>
  <c r="N1736" i="14"/>
  <c r="J1735" i="14" a="1"/>
  <c r="J1735" i="14" s="1"/>
  <c r="M1739" i="13"/>
  <c r="K1551" i="13" l="1"/>
  <c r="L1551" i="13" s="1"/>
  <c r="I1552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74" i="14" l="1"/>
  <c r="L1574" i="14" s="1"/>
  <c r="I1575" i="14" s="1"/>
  <c r="K1552" i="13"/>
  <c r="L1552" i="13" s="1"/>
  <c r="I1553" i="13" s="1"/>
  <c r="J1737" i="14" a="1"/>
  <c r="J1737" i="14" s="1"/>
  <c r="N1738" i="14"/>
  <c r="M1742" i="14"/>
  <c r="M1741" i="13"/>
  <c r="J1738" i="13" a="1"/>
  <c r="J1738" i="13" s="1"/>
  <c r="N1739" i="13"/>
  <c r="K1575" i="14" l="1"/>
  <c r="L1575" i="14" s="1"/>
  <c r="I1576" i="14" s="1"/>
  <c r="J1739" i="13" a="1"/>
  <c r="J1739" i="13" s="1"/>
  <c r="N1740" i="13"/>
  <c r="M1743" i="14"/>
  <c r="K1553" i="13"/>
  <c r="L1553" i="13" s="1"/>
  <c r="I1554" i="13" s="1"/>
  <c r="J1738" i="14" a="1"/>
  <c r="J1738" i="14" s="1"/>
  <c r="N1739" i="14"/>
  <c r="M1742" i="13"/>
  <c r="K1576" i="14" l="1"/>
  <c r="L1576" i="14" s="1"/>
  <c r="I1577" i="14" s="1"/>
  <c r="M1743" i="13"/>
  <c r="K1554" i="13"/>
  <c r="L1554" i="13" s="1"/>
  <c r="I1555" i="13" s="1"/>
  <c r="J1740" i="13" a="1"/>
  <c r="J1740" i="13" s="1"/>
  <c r="N1741" i="13"/>
  <c r="N1740" i="14"/>
  <c r="J1739" i="14" a="1"/>
  <c r="J1739" i="14" s="1"/>
  <c r="M1744" i="14"/>
  <c r="J1740" i="14" l="1" a="1"/>
  <c r="J1740" i="14" s="1"/>
  <c r="N1741" i="14"/>
  <c r="K1555" i="13"/>
  <c r="L1555" i="13" s="1"/>
  <c r="I1556" i="13" s="1"/>
  <c r="K1577" i="14"/>
  <c r="L1577" i="14" s="1"/>
  <c r="I1578" i="14" s="1"/>
  <c r="N1742" i="13"/>
  <c r="J1741" i="13" a="1"/>
  <c r="J1741" i="13" s="1"/>
  <c r="M1744" i="13"/>
  <c r="M1745" i="14"/>
  <c r="K1556" i="13" l="1"/>
  <c r="L1556" i="13" s="1"/>
  <c r="I1557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79" i="14" l="1"/>
  <c r="L1579" i="14" s="1"/>
  <c r="I1580" i="14" s="1"/>
  <c r="K1557" i="13"/>
  <c r="L1557" i="13" s="1"/>
  <c r="I1558" i="13" s="1"/>
  <c r="J1743" i="13" a="1"/>
  <c r="J1743" i="13" s="1"/>
  <c r="N1744" i="13"/>
  <c r="J1742" i="14" a="1"/>
  <c r="J1742" i="14" s="1"/>
  <c r="N1743" i="14"/>
  <c r="M1747" i="14"/>
  <c r="M1746" i="13"/>
  <c r="K1558" i="13" l="1"/>
  <c r="L1558" i="13" s="1"/>
  <c r="I1559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81" i="14" l="1"/>
  <c r="L1581" i="14" s="1"/>
  <c r="I1582" i="14" s="1"/>
  <c r="K1559" i="13"/>
  <c r="L1559" i="13" s="1"/>
  <c r="I1560" i="13" s="1"/>
  <c r="N1746" i="13"/>
  <c r="J1745" i="13" a="1"/>
  <c r="J1745" i="13" s="1"/>
  <c r="M1749" i="14"/>
  <c r="M1748" i="13"/>
  <c r="J1744" i="14" a="1"/>
  <c r="J1744" i="14" s="1"/>
  <c r="N1745" i="14"/>
  <c r="K1560" i="13" l="1"/>
  <c r="L1560" i="13" s="1"/>
  <c r="I1561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83" i="14" l="1"/>
  <c r="L1583" i="14" s="1"/>
  <c r="I1584" i="14" s="1"/>
  <c r="K1561" i="13"/>
  <c r="L1561" i="13" s="1"/>
  <c r="I1562" i="13" s="1"/>
  <c r="J1747" i="13" a="1"/>
  <c r="J1747" i="13" s="1"/>
  <c r="N1748" i="13"/>
  <c r="M1751" i="14"/>
  <c r="J1746" i="14" a="1"/>
  <c r="J1746" i="14" s="1"/>
  <c r="N1747" i="14"/>
  <c r="M1750" i="13"/>
  <c r="K1562" i="13" l="1"/>
  <c r="L1562" i="13" s="1"/>
  <c r="I1563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85" i="14" l="1"/>
  <c r="L1585" i="14" s="1"/>
  <c r="I1586" i="14" s="1"/>
  <c r="K1563" i="13"/>
  <c r="L1563" i="13" s="1"/>
  <c r="I1564" i="13" s="1"/>
  <c r="N1750" i="13"/>
  <c r="J1749" i="13" a="1"/>
  <c r="J1749" i="13" s="1"/>
  <c r="M1753" i="14"/>
  <c r="M1752" i="13"/>
  <c r="J1748" i="14" a="1"/>
  <c r="J1748" i="14" s="1"/>
  <c r="N1749" i="14"/>
  <c r="K1586" i="14" l="1"/>
  <c r="L1586" i="14" s="1"/>
  <c r="I1587" i="14" s="1"/>
  <c r="J1749" i="14" a="1"/>
  <c r="J1749" i="14" s="1"/>
  <c r="N1750" i="14"/>
  <c r="K1564" i="13"/>
  <c r="L1564" i="13" s="1"/>
  <c r="I1565" i="13" s="1"/>
  <c r="M1753" i="13"/>
  <c r="M1754" i="14"/>
  <c r="J1750" i="13" a="1"/>
  <c r="J1750" i="13" s="1"/>
  <c r="N1751" i="13"/>
  <c r="K1565" i="13" l="1"/>
  <c r="L1565" i="13" s="1"/>
  <c r="I1566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6" i="13" l="1"/>
  <c r="L1566" i="13" s="1"/>
  <c r="I1567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7" i="13" l="1"/>
  <c r="L1567" i="13" s="1"/>
  <c r="I1568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90" i="14" l="1"/>
  <c r="L1590" i="14" s="1"/>
  <c r="I1591" i="14" s="1"/>
  <c r="K1568" i="13"/>
  <c r="L1568" i="13" s="1"/>
  <c r="I1569" i="13" s="1"/>
  <c r="J1754" i="13" a="1"/>
  <c r="J1754" i="13" s="1"/>
  <c r="N1755" i="13"/>
  <c r="M1758" i="14"/>
  <c r="J1753" i="14" a="1"/>
  <c r="J1753" i="14" s="1"/>
  <c r="N1754" i="14"/>
  <c r="M1757" i="13"/>
  <c r="K1591" i="14" l="1"/>
  <c r="L1591" i="14" s="1"/>
  <c r="I1592" i="14" s="1"/>
  <c r="J1754" i="14" a="1"/>
  <c r="J1754" i="14" s="1"/>
  <c r="N1755" i="14"/>
  <c r="M1759" i="14"/>
  <c r="M1758" i="13"/>
  <c r="K1569" i="13"/>
  <c r="L1569" i="13" s="1"/>
  <c r="I1570" i="13" s="1"/>
  <c r="J1755" i="13" a="1"/>
  <c r="J1755" i="13" s="1"/>
  <c r="N1756" i="13"/>
  <c r="K1570" i="13" l="1"/>
  <c r="L1570" i="13" s="1"/>
  <c r="I1571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93" i="14" l="1"/>
  <c r="L1593" i="14" s="1"/>
  <c r="I1594" i="14" s="1"/>
  <c r="K1571" i="13"/>
  <c r="L1571" i="13" s="1"/>
  <c r="I1572" i="13" s="1"/>
  <c r="M1761" i="14"/>
  <c r="M1760" i="13"/>
  <c r="N1758" i="13"/>
  <c r="J1757" i="13" a="1"/>
  <c r="J1757" i="13" s="1"/>
  <c r="J1756" i="14" a="1"/>
  <c r="J1756" i="14" s="1"/>
  <c r="N1757" i="14"/>
  <c r="K1594" i="14" l="1"/>
  <c r="L1594" i="14" s="1"/>
  <c r="I1595" i="14" s="1"/>
  <c r="J1757" i="14" a="1"/>
  <c r="J1757" i="14" s="1"/>
  <c r="N1758" i="14"/>
  <c r="M1761" i="13"/>
  <c r="K1572" i="13"/>
  <c r="L1572" i="13" s="1"/>
  <c r="I1573" i="13" s="1"/>
  <c r="J1758" i="13" a="1"/>
  <c r="J1758" i="13" s="1"/>
  <c r="N1759" i="13"/>
  <c r="M1762" i="14"/>
  <c r="K1595" i="14" l="1"/>
  <c r="L1595" i="14" s="1"/>
  <c r="I1596" i="14" s="1"/>
  <c r="M1763" i="14"/>
  <c r="J1758" i="14" a="1"/>
  <c r="J1758" i="14" s="1"/>
  <c r="N1759" i="14"/>
  <c r="K1573" i="13"/>
  <c r="L1573" i="13" s="1"/>
  <c r="I1574" i="13" s="1"/>
  <c r="J1759" i="13" a="1"/>
  <c r="J1759" i="13" s="1"/>
  <c r="N1760" i="13"/>
  <c r="M1762" i="13"/>
  <c r="K1574" i="13" l="1"/>
  <c r="L1574" i="13" s="1"/>
  <c r="I1575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97" i="14" l="1"/>
  <c r="L1597" i="14" s="1"/>
  <c r="I1598" i="14" s="1"/>
  <c r="K1575" i="13"/>
  <c r="L1575" i="13" s="1"/>
  <c r="I1576" i="13" s="1"/>
  <c r="M1764" i="13"/>
  <c r="N1762" i="13"/>
  <c r="J1761" i="13" a="1"/>
  <c r="J1761" i="13" s="1"/>
  <c r="J1760" i="14" a="1"/>
  <c r="J1760" i="14" s="1"/>
  <c r="N1761" i="14"/>
  <c r="M1765" i="14"/>
  <c r="K1576" i="13" l="1"/>
  <c r="L1576" i="13" s="1"/>
  <c r="I1577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99" i="14" l="1"/>
  <c r="L1599" i="14" s="1"/>
  <c r="I1600" i="14" s="1"/>
  <c r="K1577" i="13"/>
  <c r="L1577" i="13" s="1"/>
  <c r="I1578" i="13" s="1"/>
  <c r="J1762" i="14" a="1"/>
  <c r="J1762" i="14" s="1"/>
  <c r="N1763" i="14"/>
  <c r="M1767" i="14"/>
  <c r="J1763" i="13" a="1"/>
  <c r="J1763" i="13" s="1"/>
  <c r="N1764" i="13"/>
  <c r="M1766" i="13"/>
  <c r="K1578" i="13" l="1"/>
  <c r="L1578" i="13" s="1"/>
  <c r="I1579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601" i="14" l="1"/>
  <c r="L1601" i="14" s="1"/>
  <c r="I1602" i="14" s="1"/>
  <c r="K1579" i="13"/>
  <c r="L1579" i="13" s="1"/>
  <c r="I1580" i="13" s="1"/>
  <c r="J1764" i="14" a="1"/>
  <c r="J1764" i="14" s="1"/>
  <c r="N1765" i="14"/>
  <c r="M1769" i="14"/>
  <c r="N1766" i="13"/>
  <c r="J1765" i="13" a="1"/>
  <c r="J1765" i="13" s="1"/>
  <c r="M1768" i="13"/>
  <c r="K1580" i="13" l="1"/>
  <c r="L1580" i="13" s="1"/>
  <c r="I1581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603" i="14" l="1"/>
  <c r="L1603" i="14" s="1"/>
  <c r="I1604" i="14" s="1"/>
  <c r="K1581" i="13"/>
  <c r="L1581" i="13" s="1"/>
  <c r="I1582" i="13" s="1"/>
  <c r="J1766" i="14" a="1"/>
  <c r="J1766" i="14" s="1"/>
  <c r="N1767" i="14"/>
  <c r="M1770" i="13"/>
  <c r="M1771" i="14"/>
  <c r="J1767" i="13" a="1"/>
  <c r="J1767" i="13" s="1"/>
  <c r="N1768" i="13"/>
  <c r="K1582" i="13" l="1"/>
  <c r="L1582" i="13" s="1"/>
  <c r="I1583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3" i="13" l="1"/>
  <c r="L1583" i="13" s="1"/>
  <c r="I1584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4" i="13" l="1"/>
  <c r="L1584" i="13" s="1"/>
  <c r="I1585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607" i="14" l="1"/>
  <c r="L1607" i="14" s="1"/>
  <c r="I1608" i="14" s="1"/>
  <c r="K1585" i="13"/>
  <c r="L1585" i="13" s="1"/>
  <c r="I1586" i="13" s="1"/>
  <c r="J1770" i="14" a="1"/>
  <c r="J1770" i="14" s="1"/>
  <c r="N1771" i="14"/>
  <c r="M1774" i="13"/>
  <c r="J1771" i="13" a="1"/>
  <c r="J1771" i="13" s="1"/>
  <c r="N1772" i="13"/>
  <c r="M1775" i="14"/>
  <c r="K1586" i="13" l="1"/>
  <c r="L1586" i="13" s="1"/>
  <c r="I1587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609" i="14" l="1"/>
  <c r="L1609" i="14" s="1"/>
  <c r="I1610" i="14" s="1"/>
  <c r="K1587" i="13"/>
  <c r="L1587" i="13" s="1"/>
  <c r="I1588" i="13" s="1"/>
  <c r="J1772" i="14" a="1"/>
  <c r="J1772" i="14" s="1"/>
  <c r="N1773" i="14"/>
  <c r="M1777" i="14"/>
  <c r="N1774" i="13"/>
  <c r="J1773" i="13" a="1"/>
  <c r="J1773" i="13" s="1"/>
  <c r="M1776" i="13"/>
  <c r="K1610" i="14" l="1"/>
  <c r="L1610" i="14" s="1"/>
  <c r="I1611" i="14" s="1"/>
  <c r="M1777" i="13"/>
  <c r="M1778" i="14"/>
  <c r="K1588" i="13"/>
  <c r="L1588" i="13" s="1"/>
  <c r="I1589" i="13" s="1"/>
  <c r="J1773" i="14" a="1"/>
  <c r="J1773" i="14" s="1"/>
  <c r="N1774" i="14"/>
  <c r="J1774" i="13" a="1"/>
  <c r="J1774" i="13" s="1"/>
  <c r="N1775" i="13"/>
  <c r="K1589" i="13" l="1"/>
  <c r="L1589" i="13" s="1"/>
  <c r="I1590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612" i="14" l="1"/>
  <c r="L1612" i="14" s="1"/>
  <c r="I1613" i="14" s="1"/>
  <c r="K1590" i="13"/>
  <c r="L1590" i="13" s="1"/>
  <c r="I1591" i="13" s="1"/>
  <c r="N1776" i="14"/>
  <c r="J1775" i="14" a="1"/>
  <c r="J1775" i="14" s="1"/>
  <c r="M1780" i="14"/>
  <c r="M1779" i="13"/>
  <c r="J1776" i="13" a="1"/>
  <c r="J1776" i="13" s="1"/>
  <c r="N1777" i="13"/>
  <c r="K1591" i="13" l="1"/>
  <c r="L1591" i="13" s="1"/>
  <c r="I1592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2" i="13" l="1"/>
  <c r="L1592" i="13" s="1"/>
  <c r="I1593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3" i="13" l="1"/>
  <c r="L1593" i="13" s="1"/>
  <c r="I1594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4" i="13" l="1"/>
  <c r="L1594" i="13" s="1"/>
  <c r="I1595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617" i="14" l="1"/>
  <c r="L1617" i="14" s="1"/>
  <c r="I1618" i="14" s="1"/>
  <c r="K1595" i="13"/>
  <c r="L1595" i="13" s="1"/>
  <c r="I1596" i="13" s="1"/>
  <c r="N1782" i="13"/>
  <c r="J1781" i="13" a="1"/>
  <c r="J1781" i="13" s="1"/>
  <c r="M1784" i="13"/>
  <c r="J1780" i="14" a="1"/>
  <c r="J1780" i="14" s="1"/>
  <c r="N1781" i="14"/>
  <c r="M1785" i="14"/>
  <c r="K1596" i="13" l="1"/>
  <c r="L1596" i="13" s="1"/>
  <c r="I1597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619" i="14" l="1"/>
  <c r="L1619" i="14" s="1"/>
  <c r="I1620" i="14" s="1"/>
  <c r="K1597" i="13"/>
  <c r="L1597" i="13" s="1"/>
  <c r="I1598" i="13" s="1"/>
  <c r="J1783" i="13" a="1"/>
  <c r="J1783" i="13" s="1"/>
  <c r="N1784" i="13"/>
  <c r="M1786" i="13"/>
  <c r="J1782" i="14" a="1"/>
  <c r="J1782" i="14" s="1"/>
  <c r="N1783" i="14"/>
  <c r="M1787" i="14"/>
  <c r="N1784" i="14" l="1"/>
  <c r="J1783" i="14" a="1"/>
  <c r="J1783" i="14" s="1"/>
  <c r="M1788" i="14"/>
  <c r="M1787" i="13"/>
  <c r="K1598" i="13"/>
  <c r="L1598" i="13" s="1"/>
  <c r="I1599" i="13" s="1"/>
  <c r="J1784" i="13" a="1"/>
  <c r="J1784" i="13" s="1"/>
  <c r="N1785" i="13"/>
  <c r="K1620" i="14"/>
  <c r="L1620" i="14" s="1"/>
  <c r="I1621" i="14" s="1"/>
  <c r="K1621" i="14" l="1"/>
  <c r="L1621" i="14" s="1"/>
  <c r="I1622" i="14" s="1"/>
  <c r="K1599" i="13"/>
  <c r="L1599" i="13" s="1"/>
  <c r="I1600" i="13" s="1"/>
  <c r="N1786" i="13"/>
  <c r="J1785" i="13" a="1"/>
  <c r="J1785" i="13" s="1"/>
  <c r="M1788" i="13"/>
  <c r="M1789" i="14"/>
  <c r="J1784" i="14" a="1"/>
  <c r="J1784" i="14" s="1"/>
  <c r="N1785" i="14"/>
  <c r="K1600" i="13" l="1"/>
  <c r="L1600" i="13" s="1"/>
  <c r="I1601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23" i="14" l="1"/>
  <c r="L1623" i="14" s="1"/>
  <c r="I1624" i="14" s="1"/>
  <c r="K1601" i="13"/>
  <c r="L1601" i="13" s="1"/>
  <c r="I1602" i="13" s="1"/>
  <c r="J1787" i="13" a="1"/>
  <c r="J1787" i="13" s="1"/>
  <c r="N1788" i="13"/>
  <c r="M1790" i="13"/>
  <c r="J1786" i="14" a="1"/>
  <c r="J1786" i="14" s="1"/>
  <c r="N1787" i="14"/>
  <c r="M1791" i="14"/>
  <c r="K1602" i="13" l="1"/>
  <c r="L1602" i="13" s="1"/>
  <c r="I1603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25" i="14" l="1"/>
  <c r="L1625" i="14" s="1"/>
  <c r="I1626" i="14" s="1"/>
  <c r="K1603" i="13"/>
  <c r="L1603" i="13" s="1"/>
  <c r="I1604" i="13" s="1"/>
  <c r="J1788" i="14" a="1"/>
  <c r="J1788" i="14" s="1"/>
  <c r="N1789" i="14"/>
  <c r="M1792" i="13"/>
  <c r="N1790" i="13"/>
  <c r="J1789" i="13" a="1"/>
  <c r="J1789" i="13" s="1"/>
  <c r="M1793" i="14"/>
  <c r="K1604" i="13" l="1"/>
  <c r="L1604" i="13" s="1"/>
  <c r="I1605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27" i="14" l="1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/>
  <c r="L1605" i="13" s="1"/>
  <c r="I1606" i="13" s="1"/>
  <c r="K1606" i="13" l="1"/>
  <c r="L1606" i="13" s="1"/>
  <c r="I1607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29" i="14" l="1"/>
  <c r="L1629" i="14" s="1"/>
  <c r="I1630" i="14" s="1"/>
  <c r="K1607" i="13"/>
  <c r="L1607" i="13" s="1"/>
  <c r="I1608" i="13" s="1"/>
  <c r="N1794" i="13"/>
  <c r="J1793" i="13" a="1"/>
  <c r="J1793" i="13" s="1"/>
  <c r="M1796" i="13"/>
  <c r="M1797" i="14"/>
  <c r="J1792" i="14" a="1"/>
  <c r="J1792" i="14" s="1"/>
  <c r="N1793" i="14"/>
  <c r="K1608" i="13" l="1"/>
  <c r="L1608" i="13" s="1"/>
  <c r="I1609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31" i="14" l="1"/>
  <c r="L1631" i="14" s="1"/>
  <c r="I1632" i="14" s="1"/>
  <c r="M1799" i="14"/>
  <c r="J1795" i="13" a="1"/>
  <c r="J1795" i="13" s="1"/>
  <c r="N1796" i="13"/>
  <c r="K1609" i="13"/>
  <c r="L1609" i="13" s="1"/>
  <c r="I1610" i="13" s="1"/>
  <c r="M1798" i="13"/>
  <c r="J1794" i="14" a="1"/>
  <c r="J1794" i="14" s="1"/>
  <c r="N1795" i="14"/>
  <c r="K1632" i="14" l="1"/>
  <c r="L1632" i="14" s="1"/>
  <c r="I1633" i="14" s="1"/>
  <c r="M1799" i="13"/>
  <c r="N1796" i="14"/>
  <c r="J1795" i="14" a="1"/>
  <c r="J1795" i="14" s="1"/>
  <c r="K1610" i="13"/>
  <c r="L1610" i="13" s="1"/>
  <c r="I1611" i="13" s="1"/>
  <c r="M1800" i="14"/>
  <c r="J1796" i="13" a="1"/>
  <c r="J1796" i="13" s="1"/>
  <c r="N1797" i="13"/>
  <c r="K1611" i="13" l="1"/>
  <c r="L1611" i="13" s="1"/>
  <c r="I1612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34" i="14" l="1"/>
  <c r="L1634" i="14" s="1"/>
  <c r="I1635" i="14" s="1"/>
  <c r="K1612" i="13"/>
  <c r="L1612" i="13" s="1"/>
  <c r="I1613" i="13" s="1"/>
  <c r="J1797" i="14" a="1"/>
  <c r="J1797" i="14" s="1"/>
  <c r="N1798" i="14"/>
  <c r="M1801" i="13"/>
  <c r="M1802" i="14"/>
  <c r="J1798" i="13" a="1"/>
  <c r="J1798" i="13" s="1"/>
  <c r="N1799" i="13"/>
  <c r="K1613" i="13" l="1"/>
  <c r="L1613" i="13" s="1"/>
  <c r="I1614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4" i="13" l="1"/>
  <c r="L1614" i="13" s="1"/>
  <c r="I1615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37" i="14" l="1"/>
  <c r="L1637" i="14" s="1"/>
  <c r="I1638" i="14" s="1"/>
  <c r="K1615" i="13"/>
  <c r="L1615" i="13" s="1"/>
  <c r="I1616" i="13" s="1"/>
  <c r="N1802" i="13"/>
  <c r="J1801" i="13" a="1"/>
  <c r="J1801" i="13" s="1"/>
  <c r="M1805" i="14"/>
  <c r="M1804" i="13"/>
  <c r="J1800" i="14" a="1"/>
  <c r="J1800" i="14" s="1"/>
  <c r="N1801" i="14"/>
  <c r="K1616" i="13" l="1"/>
  <c r="L1616" i="13" s="1"/>
  <c r="I1617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39" i="14" l="1"/>
  <c r="L1639" i="14" s="1"/>
  <c r="I1640" i="14" s="1"/>
  <c r="K1617" i="13"/>
  <c r="L1617" i="13" s="1"/>
  <c r="I1618" i="13" s="1"/>
  <c r="J1803" i="13" a="1"/>
  <c r="J1803" i="13" s="1"/>
  <c r="N1804" i="13"/>
  <c r="M1807" i="14"/>
  <c r="J1802" i="14" a="1"/>
  <c r="J1802" i="14" s="1"/>
  <c r="N1803" i="14"/>
  <c r="M1806" i="13"/>
  <c r="K1618" i="13" l="1"/>
  <c r="L1618" i="13" s="1"/>
  <c r="I1619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41" i="14" l="1"/>
  <c r="L1641" i="14" s="1"/>
  <c r="I1642" i="14" s="1"/>
  <c r="K1619" i="13"/>
  <c r="L1619" i="13" s="1"/>
  <c r="I1620" i="13" s="1"/>
  <c r="M1808" i="13"/>
  <c r="N1806" i="13"/>
  <c r="J1805" i="13" a="1"/>
  <c r="J1805" i="13" s="1"/>
  <c r="M1809" i="14"/>
  <c r="J1804" i="14" a="1"/>
  <c r="J1804" i="14" s="1"/>
  <c r="N1805" i="14"/>
  <c r="K1620" i="13" l="1"/>
  <c r="L1620" i="13" s="1"/>
  <c r="I1621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43" i="14" l="1"/>
  <c r="L1643" i="14" s="1"/>
  <c r="I1644" i="14" s="1"/>
  <c r="K1621" i="13"/>
  <c r="L1621" i="13" s="1"/>
  <c r="I1622" i="13" s="1"/>
  <c r="M1811" i="14"/>
  <c r="M1810" i="13"/>
  <c r="J1806" i="14" a="1"/>
  <c r="J1806" i="14" s="1"/>
  <c r="N1807" i="14"/>
  <c r="J1807" i="13" a="1"/>
  <c r="J1807" i="13" s="1"/>
  <c r="N1808" i="13"/>
  <c r="K1644" i="14" l="1"/>
  <c r="L1644" i="14" s="1"/>
  <c r="I1645" i="14" s="1"/>
  <c r="K1622" i="13"/>
  <c r="L1622" i="13" s="1"/>
  <c r="I1623" i="13" s="1"/>
  <c r="J1808" i="13" a="1"/>
  <c r="J1808" i="13" s="1"/>
  <c r="N1809" i="13"/>
  <c r="M1811" i="13"/>
  <c r="N1808" i="14"/>
  <c r="J1807" i="14" a="1"/>
  <c r="J1807" i="14" s="1"/>
  <c r="M1812" i="14"/>
  <c r="K1623" i="13" l="1"/>
  <c r="L1623" i="13" s="1"/>
  <c r="I1624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46" i="14" l="1"/>
  <c r="L1646" i="14" s="1"/>
  <c r="I1647" i="14" s="1"/>
  <c r="K1624" i="13"/>
  <c r="L1624" i="13" s="1"/>
  <c r="I1625" i="13" s="1"/>
  <c r="J1810" i="13" a="1"/>
  <c r="J1810" i="13" s="1"/>
  <c r="N1811" i="13"/>
  <c r="M1814" i="14"/>
  <c r="M1813" i="13"/>
  <c r="J1809" i="14" a="1"/>
  <c r="J1809" i="14" s="1"/>
  <c r="N1810" i="14"/>
  <c r="K1625" i="13" l="1"/>
  <c r="L1625" i="13" s="1"/>
  <c r="I1626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48" i="14" l="1"/>
  <c r="L1648" i="14" s="1"/>
  <c r="I1649" i="14" s="1"/>
  <c r="K1626" i="13"/>
  <c r="L1626" i="13" s="1"/>
  <c r="I1627" i="13" s="1"/>
  <c r="J1812" i="13" a="1"/>
  <c r="J1812" i="13" s="1"/>
  <c r="N1813" i="13"/>
  <c r="M1815" i="13"/>
  <c r="M1816" i="14"/>
  <c r="N1812" i="14"/>
  <c r="J1811" i="14" a="1"/>
  <c r="J1811" i="14" s="1"/>
  <c r="K1627" i="13" l="1"/>
  <c r="L1627" i="13" s="1"/>
  <c r="I1628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50" i="14" l="1"/>
  <c r="L1650" i="14" s="1"/>
  <c r="I1651" i="14" s="1"/>
  <c r="K1628" i="13"/>
  <c r="L1628" i="13" s="1"/>
  <c r="I1629" i="13" s="1"/>
  <c r="M1817" i="13"/>
  <c r="M1818" i="14"/>
  <c r="J1813" i="14" a="1"/>
  <c r="J1813" i="14" s="1"/>
  <c r="N1814" i="14"/>
  <c r="J1814" i="13" a="1"/>
  <c r="J1814" i="13" s="1"/>
  <c r="N1815" i="13"/>
  <c r="K1651" i="14" l="1"/>
  <c r="L1651" i="14" s="1"/>
  <c r="I1652" i="14" s="1"/>
  <c r="J1815" i="13" a="1"/>
  <c r="J1815" i="13" s="1"/>
  <c r="N1816" i="13"/>
  <c r="M1819" i="14"/>
  <c r="K1629" i="13"/>
  <c r="L1629" i="13" s="1"/>
  <c r="I1630" i="13" s="1"/>
  <c r="J1814" i="14" a="1"/>
  <c r="J1814" i="14" s="1"/>
  <c r="N1815" i="14"/>
  <c r="M1818" i="13"/>
  <c r="K1630" i="13" l="1"/>
  <c r="L1630" i="13" s="1"/>
  <c r="I1631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53" i="14" l="1"/>
  <c r="L1653" i="14" s="1"/>
  <c r="I1654" i="14" s="1"/>
  <c r="K1631" i="13"/>
  <c r="L1631" i="13" s="1"/>
  <c r="I1632" i="13" s="1"/>
  <c r="M1821" i="14"/>
  <c r="J1816" i="14" a="1"/>
  <c r="J1816" i="14" s="1"/>
  <c r="N1817" i="14"/>
  <c r="N1818" i="13"/>
  <c r="J1817" i="13" a="1"/>
  <c r="J1817" i="13" s="1"/>
  <c r="M1820" i="13"/>
  <c r="K1654" i="14" l="1"/>
  <c r="L1654" i="14" s="1"/>
  <c r="I1655" i="14" s="1"/>
  <c r="M1821" i="13"/>
  <c r="J1817" i="14" a="1"/>
  <c r="J1817" i="14" s="1"/>
  <c r="N1818" i="14"/>
  <c r="K1632" i="13"/>
  <c r="L1632" i="13" s="1"/>
  <c r="I1633" i="13" s="1"/>
  <c r="J1818" i="13" a="1"/>
  <c r="J1818" i="13" s="1"/>
  <c r="N1819" i="13"/>
  <c r="M1822" i="14"/>
  <c r="K1633" i="13" l="1"/>
  <c r="L1633" i="13" s="1"/>
  <c r="I1634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56" i="14" l="1"/>
  <c r="L1656" i="14" s="1"/>
  <c r="I1657" i="14" s="1"/>
  <c r="K1634" i="13"/>
  <c r="L1634" i="13" s="1"/>
  <c r="I1635" i="13" s="1"/>
  <c r="N1820" i="14"/>
  <c r="J1819" i="14" a="1"/>
  <c r="J1819" i="14" s="1"/>
  <c r="M1824" i="14"/>
  <c r="J1820" i="13" a="1"/>
  <c r="J1820" i="13" s="1"/>
  <c r="N1821" i="13"/>
  <c r="M1823" i="13"/>
  <c r="K1635" i="13" l="1"/>
  <c r="L1635" i="13" s="1"/>
  <c r="I1636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58" i="14" l="1"/>
  <c r="L1658" i="14" s="1"/>
  <c r="I1659" i="14" s="1"/>
  <c r="K1636" i="13"/>
  <c r="L1636" i="13" s="1"/>
  <c r="I1637" i="13" s="1"/>
  <c r="J1821" i="14" a="1"/>
  <c r="J1821" i="14" s="1"/>
  <c r="N1822" i="14"/>
  <c r="M1826" i="14"/>
  <c r="M1825" i="13"/>
  <c r="J1822" i="13" a="1"/>
  <c r="J1822" i="13" s="1"/>
  <c r="N1823" i="13"/>
  <c r="K1637" i="13" l="1"/>
  <c r="L1637" i="13" s="1"/>
  <c r="I1638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60" i="14" l="1"/>
  <c r="L1660" i="14" s="1"/>
  <c r="I1661" i="14" s="1"/>
  <c r="K1638" i="13"/>
  <c r="L1638" i="13" s="1"/>
  <c r="I1639" i="13" s="1"/>
  <c r="M1827" i="13"/>
  <c r="M1828" i="14"/>
  <c r="N1824" i="14"/>
  <c r="J1823" i="14" a="1"/>
  <c r="J1823" i="14" s="1"/>
  <c r="J1824" i="13" a="1"/>
  <c r="J1824" i="13" s="1"/>
  <c r="N1825" i="13"/>
  <c r="K1639" i="13" l="1"/>
  <c r="L1639" i="13" s="1"/>
  <c r="I1640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62" i="14" l="1"/>
  <c r="L1662" i="14" s="1"/>
  <c r="I1663" i="14" s="1"/>
  <c r="K1640" i="13"/>
  <c r="L1640" i="13" s="1"/>
  <c r="I1641" i="13" s="1"/>
  <c r="J1826" i="13" a="1"/>
  <c r="J1826" i="13" s="1"/>
  <c r="N1827" i="13"/>
  <c r="M1829" i="13"/>
  <c r="J1825" i="14" a="1"/>
  <c r="J1825" i="14" s="1"/>
  <c r="N1826" i="14"/>
  <c r="M1830" i="14"/>
  <c r="K1641" i="13" l="1"/>
  <c r="L1641" i="13" s="1"/>
  <c r="I1642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64" i="14" l="1"/>
  <c r="L1664" i="14" s="1"/>
  <c r="I1665" i="14" s="1"/>
  <c r="K1642" i="13"/>
  <c r="L1642" i="13" s="1"/>
  <c r="I1643" i="13" s="1"/>
  <c r="M1832" i="14"/>
  <c r="N1828" i="14"/>
  <c r="J1827" i="14" a="1"/>
  <c r="J1827" i="14" s="1"/>
  <c r="J1828" i="13" a="1"/>
  <c r="J1828" i="13" s="1"/>
  <c r="N1829" i="13"/>
  <c r="M1831" i="13"/>
  <c r="K1643" i="13" l="1"/>
  <c r="L1643" i="13" s="1"/>
  <c r="I1644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66" i="14" l="1"/>
  <c r="L1666" i="14" s="1"/>
  <c r="I1667" i="14" s="1"/>
  <c r="K1644" i="13"/>
  <c r="L1644" i="13" s="1"/>
  <c r="I1645" i="13" s="1"/>
  <c r="M1834" i="14"/>
  <c r="J1830" i="13" a="1"/>
  <c r="J1830" i="13" s="1"/>
  <c r="N1831" i="13"/>
  <c r="J1829" i="14" a="1"/>
  <c r="J1829" i="14" s="1"/>
  <c r="N1830" i="14"/>
  <c r="M1833" i="13"/>
  <c r="K1645" i="13" l="1"/>
  <c r="L1645" i="13" s="1"/>
  <c r="I1646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68" i="14" l="1"/>
  <c r="L1668" i="14" s="1"/>
  <c r="I1669" i="14" s="1"/>
  <c r="K1646" i="13"/>
  <c r="L1646" i="13" s="1"/>
  <c r="I1647" i="13" s="1"/>
  <c r="N1832" i="14"/>
  <c r="J1831" i="14" a="1"/>
  <c r="J1831" i="14" s="1"/>
  <c r="M1835" i="13"/>
  <c r="J1832" i="13" a="1"/>
  <c r="J1832" i="13" s="1"/>
  <c r="N1833" i="13"/>
  <c r="M1836" i="14"/>
  <c r="K1647" i="13" l="1"/>
  <c r="L1647" i="13" s="1"/>
  <c r="I1648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70" i="14" l="1"/>
  <c r="L1670" i="14" s="1"/>
  <c r="I1671" i="14" s="1"/>
  <c r="K1648" i="13"/>
  <c r="L1648" i="13" s="1"/>
  <c r="I1649" i="13" s="1"/>
  <c r="M1838" i="14"/>
  <c r="J1833" i="14" a="1"/>
  <c r="J1833" i="14" s="1"/>
  <c r="N1834" i="14"/>
  <c r="M1837" i="13"/>
  <c r="J1834" i="13" a="1"/>
  <c r="J1834" i="13" s="1"/>
  <c r="N1835" i="13"/>
  <c r="K1649" i="13" l="1"/>
  <c r="L1649" i="13" s="1"/>
  <c r="I1650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72" i="14" l="1"/>
  <c r="L1672" i="14" s="1"/>
  <c r="I1673" i="14" s="1"/>
  <c r="K1650" i="13"/>
  <c r="L1650" i="13" s="1"/>
  <c r="I1651" i="13" s="1"/>
  <c r="M1839" i="13"/>
  <c r="N1836" i="14"/>
  <c r="J1835" i="14" a="1"/>
  <c r="J1835" i="14" s="1"/>
  <c r="J1836" i="13" a="1"/>
  <c r="J1836" i="13" s="1"/>
  <c r="N1837" i="13"/>
  <c r="M1840" i="14"/>
  <c r="K1651" i="13" l="1"/>
  <c r="L1651" i="13" s="1"/>
  <c r="I1652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74" i="14" l="1"/>
  <c r="L1674" i="14" s="1"/>
  <c r="I1675" i="14" s="1"/>
  <c r="K1652" i="13"/>
  <c r="L1652" i="13" s="1"/>
  <c r="I1653" i="13" s="1"/>
  <c r="J1837" i="14" a="1"/>
  <c r="J1837" i="14" s="1"/>
  <c r="N1838" i="14"/>
  <c r="M1841" i="13"/>
  <c r="J1838" i="13" a="1"/>
  <c r="J1838" i="13" s="1"/>
  <c r="N1839" i="13"/>
  <c r="M1842" i="14"/>
  <c r="K1653" i="13" l="1"/>
  <c r="L1653" i="13" s="1"/>
  <c r="I1654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76" i="14" l="1"/>
  <c r="L1676" i="14" s="1"/>
  <c r="I1677" i="14" s="1"/>
  <c r="K1654" i="13"/>
  <c r="L1654" i="13" s="1"/>
  <c r="I1655" i="13" s="1"/>
  <c r="M1843" i="13"/>
  <c r="J1840" i="13" a="1"/>
  <c r="J1840" i="13" s="1"/>
  <c r="N1841" i="13"/>
  <c r="N1840" i="14"/>
  <c r="J1839" i="14" a="1"/>
  <c r="J1839" i="14" s="1"/>
  <c r="M1844" i="14"/>
  <c r="K1677" i="14" l="1"/>
  <c r="L1677" i="14" s="1"/>
  <c r="I1678" i="14" s="1"/>
  <c r="K1655" i="13"/>
  <c r="L1655" i="13" s="1"/>
  <c r="I1656" i="13" s="1"/>
  <c r="N1842" i="13"/>
  <c r="J1841" i="13" a="1"/>
  <c r="J1841" i="13" s="1"/>
  <c r="M1845" i="14"/>
  <c r="J1840" i="14" a="1"/>
  <c r="J1840" i="14" s="1"/>
  <c r="N1841" i="14"/>
  <c r="M1844" i="13"/>
  <c r="K1656" i="13" l="1"/>
  <c r="L1656" i="13" s="1"/>
  <c r="I1657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79" i="14" l="1"/>
  <c r="L1679" i="14" s="1"/>
  <c r="I1680" i="14" s="1"/>
  <c r="K1657" i="13"/>
  <c r="L1657" i="13" s="1"/>
  <c r="I1658" i="13" s="1"/>
  <c r="J1843" i="13" a="1"/>
  <c r="J1843" i="13" s="1"/>
  <c r="N1844" i="13"/>
  <c r="M1846" i="13"/>
  <c r="M1847" i="14"/>
  <c r="J1842" i="14" a="1"/>
  <c r="J1842" i="14" s="1"/>
  <c r="N1843" i="14"/>
  <c r="K1658" i="13" l="1"/>
  <c r="L1658" i="13" s="1"/>
  <c r="I1659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81" i="14" l="1"/>
  <c r="L1681" i="14" s="1"/>
  <c r="I1682" i="14" s="1"/>
  <c r="K1659" i="13"/>
  <c r="L1659" i="13" s="1"/>
  <c r="I1660" i="13" s="1"/>
  <c r="M1849" i="14"/>
  <c r="J1844" i="14" a="1"/>
  <c r="J1844" i="14" s="1"/>
  <c r="N1845" i="14"/>
  <c r="N1846" i="13"/>
  <c r="J1845" i="13" a="1"/>
  <c r="J1845" i="13" s="1"/>
  <c r="M1848" i="13"/>
  <c r="K1660" i="13" l="1"/>
  <c r="L1660" i="13" s="1"/>
  <c r="I1661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83" i="14" l="1"/>
  <c r="L1683" i="14" s="1"/>
  <c r="I1684" i="14" s="1"/>
  <c r="K1661" i="13"/>
  <c r="L1661" i="13" s="1"/>
  <c r="I1662" i="13" s="1"/>
  <c r="M1851" i="14"/>
  <c r="M1850" i="13"/>
  <c r="J1847" i="13" a="1"/>
  <c r="J1847" i="13" s="1"/>
  <c r="N1848" i="13"/>
  <c r="J1846" i="14" a="1"/>
  <c r="J1846" i="14" s="1"/>
  <c r="N1847" i="14"/>
  <c r="K1662" i="13" l="1"/>
  <c r="L1662" i="13" s="1"/>
  <c r="I1663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85" i="14" l="1"/>
  <c r="L1685" i="14" s="1"/>
  <c r="I1686" i="14" s="1"/>
  <c r="K1663" i="13"/>
  <c r="L1663" i="13" s="1"/>
  <c r="I1664" i="13" s="1"/>
  <c r="M1852" i="13"/>
  <c r="M1853" i="14"/>
  <c r="N1850" i="13"/>
  <c r="J1849" i="13" a="1"/>
  <c r="J1849" i="13" s="1"/>
  <c r="J1848" i="14" a="1"/>
  <c r="J1848" i="14" s="1"/>
  <c r="N1849" i="14"/>
  <c r="K1664" i="13" l="1"/>
  <c r="L1664" i="13" s="1"/>
  <c r="I1665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87" i="14" l="1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/>
  <c r="L1665" i="13" s="1"/>
  <c r="I1666" i="13" s="1"/>
  <c r="K1666" i="13" l="1"/>
  <c r="L1666" i="13" s="1"/>
  <c r="I1667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7" i="13" l="1"/>
  <c r="L1667" i="13" s="1"/>
  <c r="I1668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8" i="13" l="1"/>
  <c r="L1668" i="13" s="1"/>
  <c r="I1669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9" i="13" l="1"/>
  <c r="L1669" i="13" s="1"/>
  <c r="I1670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92" i="14" l="1"/>
  <c r="L1692" i="14" s="1"/>
  <c r="I1693" i="14" s="1"/>
  <c r="K1670" i="13"/>
  <c r="L1670" i="13" s="1"/>
  <c r="I1671" i="13" s="1"/>
  <c r="M1859" i="13"/>
  <c r="M1860" i="14"/>
  <c r="J1856" i="13" a="1"/>
  <c r="J1856" i="13" s="1"/>
  <c r="N1857" i="13"/>
  <c r="N1856" i="14"/>
  <c r="J1855" i="14" a="1"/>
  <c r="J1855" i="14" s="1"/>
  <c r="K1671" i="13" l="1"/>
  <c r="L1671" i="13" s="1"/>
  <c r="I1672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94" i="14" l="1"/>
  <c r="L1694" i="14" s="1"/>
  <c r="I1695" i="14" s="1"/>
  <c r="K1672" i="13"/>
  <c r="L1672" i="13" s="1"/>
  <c r="I1673" i="13" s="1"/>
  <c r="J1858" i="13" a="1"/>
  <c r="J1858" i="13" s="1"/>
  <c r="N1859" i="13"/>
  <c r="M1861" i="13"/>
  <c r="M1862" i="14"/>
  <c r="J1857" i="14" a="1"/>
  <c r="J1857" i="14" s="1"/>
  <c r="N1858" i="14"/>
  <c r="K1673" i="13" l="1"/>
  <c r="L1673" i="13" s="1"/>
  <c r="I1674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4" i="13" l="1"/>
  <c r="L1674" i="13" s="1"/>
  <c r="I1675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5" i="13" l="1"/>
  <c r="L1675" i="13" s="1"/>
  <c r="I1676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98" i="14" l="1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/>
  <c r="L1676" i="13" s="1"/>
  <c r="I1677" i="13" s="1"/>
  <c r="K1677" i="13" l="1"/>
  <c r="L1677" i="13" s="1"/>
  <c r="I1678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700" i="14" l="1"/>
  <c r="L1700" i="14" s="1"/>
  <c r="I1701" i="14" s="1"/>
  <c r="K1678" i="13"/>
  <c r="L1678" i="13" s="1"/>
  <c r="I1679" i="13" s="1"/>
  <c r="J1864" i="13" a="1"/>
  <c r="J1864" i="13" s="1"/>
  <c r="N1865" i="13"/>
  <c r="M1867" i="13"/>
  <c r="N1864" i="14"/>
  <c r="J1863" i="14" a="1"/>
  <c r="J1863" i="14" s="1"/>
  <c r="M1868" i="14"/>
  <c r="K1679" i="13" l="1"/>
  <c r="L1679" i="13" s="1"/>
  <c r="I1680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80" i="13" l="1"/>
  <c r="L1680" i="13" s="1"/>
  <c r="I1681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703" i="14" l="1"/>
  <c r="L1703" i="14" s="1"/>
  <c r="I1704" i="14" s="1"/>
  <c r="K1681" i="13"/>
  <c r="L1681" i="13" s="1"/>
  <c r="I1682" i="13" s="1"/>
  <c r="J1866" i="14" a="1"/>
  <c r="J1866" i="14" s="1"/>
  <c r="N1867" i="14"/>
  <c r="M1871" i="14"/>
  <c r="J1867" i="13" a="1"/>
  <c r="J1867" i="13" s="1"/>
  <c r="N1868" i="13"/>
  <c r="M1870" i="13"/>
  <c r="K1704" i="14" l="1"/>
  <c r="L1704" i="14" s="1"/>
  <c r="I1705" i="14" s="1"/>
  <c r="K1682" i="13"/>
  <c r="L1682" i="13" s="1"/>
  <c r="I1683" i="13" s="1"/>
  <c r="M1871" i="13"/>
  <c r="M1872" i="14"/>
  <c r="J1868" i="13" a="1"/>
  <c r="J1868" i="13" s="1"/>
  <c r="N1869" i="13"/>
  <c r="N1868" i="14"/>
  <c r="J1867" i="14" a="1"/>
  <c r="J1867" i="14" s="1"/>
  <c r="K1683" i="13" l="1"/>
  <c r="L1683" i="13" s="1"/>
  <c r="I1684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4" i="13" l="1"/>
  <c r="L1684" i="13" s="1"/>
  <c r="I1685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5" i="13" l="1"/>
  <c r="L1685" i="13" s="1"/>
  <c r="I1686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6" i="13" l="1"/>
  <c r="L1686" i="13" s="1"/>
  <c r="I1687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7" i="13" l="1"/>
  <c r="L1687" i="13" s="1"/>
  <c r="I1688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710" i="14" l="1"/>
  <c r="L1710" i="14" s="1"/>
  <c r="I1711" i="14" s="1"/>
  <c r="K1688" i="13"/>
  <c r="L1688" i="13" s="1"/>
  <c r="I1689" i="13" s="1"/>
  <c r="J1874" i="13" a="1"/>
  <c r="J1874" i="13" s="1"/>
  <c r="N1875" i="13"/>
  <c r="M1877" i="13"/>
  <c r="M1878" i="14"/>
  <c r="J1873" i="14" a="1"/>
  <c r="J1873" i="14" s="1"/>
  <c r="N1874" i="14"/>
  <c r="K1689" i="13" l="1"/>
  <c r="L1689" i="13" s="1"/>
  <c r="I1690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90" i="13" l="1"/>
  <c r="L1690" i="13" s="1"/>
  <c r="I1691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713" i="14" l="1"/>
  <c r="L1713" i="14" s="1"/>
  <c r="I1714" i="14" s="1"/>
  <c r="K1691" i="13"/>
  <c r="L1691" i="13" s="1"/>
  <c r="I1692" i="13" s="1"/>
  <c r="N1878" i="13"/>
  <c r="J1877" i="13" a="1"/>
  <c r="J1877" i="13" s="1"/>
  <c r="M1880" i="13"/>
  <c r="M1881" i="14"/>
  <c r="J1876" i="14" a="1"/>
  <c r="J1876" i="14" s="1"/>
  <c r="N1877" i="14"/>
  <c r="M1882" i="14" l="1"/>
  <c r="J1877" i="14" a="1"/>
  <c r="J1877" i="14" s="1"/>
  <c r="N1878" i="14"/>
  <c r="M1881" i="13"/>
  <c r="K1692" i="13"/>
  <c r="L1692" i="13" s="1"/>
  <c r="I1693" i="13" s="1"/>
  <c r="J1878" i="13" a="1"/>
  <c r="J1878" i="13" s="1"/>
  <c r="N1879" i="13"/>
  <c r="K1714" i="14"/>
  <c r="L1714" i="14" s="1"/>
  <c r="I1715" i="14" s="1"/>
  <c r="K1715" i="14" l="1"/>
  <c r="L1715" i="14" s="1"/>
  <c r="I1716" i="14" s="1"/>
  <c r="K1693" i="13"/>
  <c r="L1693" i="13" s="1"/>
  <c r="I1694" i="13" s="1"/>
  <c r="J1878" i="14" a="1"/>
  <c r="J1878" i="14" s="1"/>
  <c r="N1879" i="14"/>
  <c r="J1879" i="13" a="1"/>
  <c r="J1879" i="13" s="1"/>
  <c r="N1880" i="13"/>
  <c r="M1883" i="14"/>
  <c r="M1882" i="13"/>
  <c r="K1716" i="14" l="1"/>
  <c r="L1716" i="14" s="1"/>
  <c r="I1717" i="14" s="1"/>
  <c r="K1694" i="13"/>
  <c r="L1694" i="13" s="1"/>
  <c r="I1695" i="13" s="1"/>
  <c r="M1884" i="14"/>
  <c r="J1880" i="13" a="1"/>
  <c r="J1880" i="13" s="1"/>
  <c r="N1881" i="13"/>
  <c r="N1880" i="14"/>
  <c r="J1879" i="14" a="1"/>
  <c r="J1879" i="14" s="1"/>
  <c r="M1883" i="13"/>
  <c r="K1717" i="14" l="1"/>
  <c r="L1717" i="14" s="1"/>
  <c r="I1718" i="14" s="1"/>
  <c r="N1882" i="13"/>
  <c r="J1881" i="13" a="1"/>
  <c r="J1881" i="13" s="1"/>
  <c r="M1884" i="13"/>
  <c r="K1695" i="13"/>
  <c r="L1695" i="13" s="1"/>
  <c r="I1696" i="13" s="1"/>
  <c r="J1880" i="14" a="1"/>
  <c r="J1880" i="14" s="1"/>
  <c r="N1881" i="14"/>
  <c r="M1885" i="14"/>
  <c r="K1696" i="13" l="1"/>
  <c r="L1696" i="13" s="1"/>
  <c r="I1697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719" i="14" l="1"/>
  <c r="L1719" i="14" s="1"/>
  <c r="I1720" i="14" s="1"/>
  <c r="K1697" i="13"/>
  <c r="L1697" i="13" s="1"/>
  <c r="I1698" i="13" s="1"/>
  <c r="J1882" i="14" a="1"/>
  <c r="J1882" i="14" s="1"/>
  <c r="N1883" i="14"/>
  <c r="M1887" i="14"/>
  <c r="M1886" i="13"/>
  <c r="J1883" i="13" a="1"/>
  <c r="J1883" i="13" s="1"/>
  <c r="N1884" i="13"/>
  <c r="K1698" i="13" l="1"/>
  <c r="L1698" i="13" s="1"/>
  <c r="I1699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9" i="13" l="1"/>
  <c r="L1699" i="13" s="1"/>
  <c r="I1700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722" i="14" l="1"/>
  <c r="L1722" i="14" s="1"/>
  <c r="I1723" i="14" s="1"/>
  <c r="K1700" i="13"/>
  <c r="L1700" i="13" s="1"/>
  <c r="I1701" i="13" s="1"/>
  <c r="J1885" i="14" a="1"/>
  <c r="J1885" i="14" s="1"/>
  <c r="N1886" i="14"/>
  <c r="M1889" i="13"/>
  <c r="J1886" i="13" a="1"/>
  <c r="J1886" i="13" s="1"/>
  <c r="N1887" i="13"/>
  <c r="M1890" i="14"/>
  <c r="K1701" i="13" l="1"/>
  <c r="L1701" i="13" s="1"/>
  <c r="I1702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2" i="13" l="1"/>
  <c r="L1702" i="13" s="1"/>
  <c r="I1703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3" i="13" l="1"/>
  <c r="L1703" i="13" s="1"/>
  <c r="I1704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4" i="13" l="1"/>
  <c r="L1704" i="13" s="1"/>
  <c r="I1705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27" i="14" l="1"/>
  <c r="L1727" i="14" s="1"/>
  <c r="I1728" i="14" s="1"/>
  <c r="K1705" i="13"/>
  <c r="L1705" i="13" s="1"/>
  <c r="I1706" i="13" s="1"/>
  <c r="J1890" i="14" a="1"/>
  <c r="J1890" i="14" s="1"/>
  <c r="N1891" i="14"/>
  <c r="J1891" i="13" a="1"/>
  <c r="J1891" i="13" s="1"/>
  <c r="N1892" i="13"/>
  <c r="M1895" i="14"/>
  <c r="M1894" i="13"/>
  <c r="K1728" i="14" l="1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/>
  <c r="L1706" i="13" s="1"/>
  <c r="I1707" i="13" s="1"/>
  <c r="K1707" i="13" l="1"/>
  <c r="L1707" i="13" s="1"/>
  <c r="I1708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8" i="13" l="1"/>
  <c r="L1708" i="13" s="1"/>
  <c r="I1709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31" i="14" l="1"/>
  <c r="L1731" i="14" s="1"/>
  <c r="I1732" i="14" s="1"/>
  <c r="K1709" i="13"/>
  <c r="L1709" i="13" s="1"/>
  <c r="I1710" i="13" s="1"/>
  <c r="J1895" i="13" a="1"/>
  <c r="J1895" i="13" s="1"/>
  <c r="N1896" i="13"/>
  <c r="J1894" i="14" a="1"/>
  <c r="J1894" i="14" s="1"/>
  <c r="N1895" i="14"/>
  <c r="M1899" i="14"/>
  <c r="M1898" i="13"/>
  <c r="K1732" i="14" l="1"/>
  <c r="L1732" i="14" s="1"/>
  <c r="I1733" i="14" s="1"/>
  <c r="N1896" i="14"/>
  <c r="J1895" i="14" a="1"/>
  <c r="J1895" i="14" s="1"/>
  <c r="K1710" i="13"/>
  <c r="L1710" i="13" s="1"/>
  <c r="I1711" i="13" s="1"/>
  <c r="M1899" i="13"/>
  <c r="J1896" i="13" a="1"/>
  <c r="J1896" i="13" s="1"/>
  <c r="N1897" i="13"/>
  <c r="M1900" i="14"/>
  <c r="K1711" i="13" l="1"/>
  <c r="L1711" i="13" s="1"/>
  <c r="I1712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34" i="14" l="1"/>
  <c r="L1734" i="14" s="1"/>
  <c r="I1735" i="14" s="1"/>
  <c r="K1712" i="13"/>
  <c r="L1712" i="13" s="1"/>
  <c r="I1713" i="13" s="1"/>
  <c r="M1901" i="13"/>
  <c r="J1898" i="13" a="1"/>
  <c r="J1898" i="13" s="1"/>
  <c r="N1899" i="13"/>
  <c r="J1897" i="14" a="1"/>
  <c r="J1897" i="14" s="1"/>
  <c r="N1898" i="14"/>
  <c r="M1902" i="14"/>
  <c r="K1713" i="13" l="1"/>
  <c r="L1713" i="13" s="1"/>
  <c r="I1714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4" i="13" l="1"/>
  <c r="L1714" i="13" s="1"/>
  <c r="I1715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37" i="14" l="1"/>
  <c r="L1737" i="14" s="1"/>
  <c r="I1738" i="14" s="1"/>
  <c r="K1715" i="13"/>
  <c r="L1715" i="13" s="1"/>
  <c r="I1716" i="13" s="1"/>
  <c r="N1902" i="13"/>
  <c r="J1901" i="13" a="1"/>
  <c r="J1901" i="13" s="1"/>
  <c r="J1900" i="14" a="1"/>
  <c r="J1900" i="14" s="1"/>
  <c r="N1901" i="14"/>
  <c r="M1905" i="14"/>
  <c r="M1904" i="13"/>
  <c r="K1738" i="14" l="1"/>
  <c r="L1738" i="14" s="1"/>
  <c r="I1739" i="14" s="1"/>
  <c r="M1906" i="14"/>
  <c r="M1905" i="13"/>
  <c r="J1901" i="14" a="1"/>
  <c r="J1901" i="14" s="1"/>
  <c r="N1902" i="14"/>
  <c r="K1716" i="13"/>
  <c r="L1716" i="13" s="1"/>
  <c r="I1717" i="13" s="1"/>
  <c r="J1902" i="13" a="1"/>
  <c r="J1902" i="13" s="1"/>
  <c r="N1903" i="13"/>
  <c r="K1717" i="13" l="1"/>
  <c r="L1717" i="13" s="1"/>
  <c r="I1718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8" i="13" l="1"/>
  <c r="L1718" i="13" s="1"/>
  <c r="I1719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41" i="14" l="1"/>
  <c r="L1741" i="14" s="1"/>
  <c r="I1742" i="14" s="1"/>
  <c r="K1719" i="13"/>
  <c r="L1719" i="13" s="1"/>
  <c r="I1720" i="13" s="1"/>
  <c r="J1904" i="14" a="1"/>
  <c r="J1904" i="14" s="1"/>
  <c r="N1905" i="14"/>
  <c r="N1906" i="13"/>
  <c r="J1905" i="13" a="1"/>
  <c r="J1905" i="13" s="1"/>
  <c r="M1909" i="14"/>
  <c r="M1908" i="13"/>
  <c r="K1742" i="14" l="1"/>
  <c r="L1742" i="14" s="1"/>
  <c r="I1743" i="14" s="1"/>
  <c r="K1720" i="13"/>
  <c r="L1720" i="13" s="1"/>
  <c r="I1721" i="13" s="1"/>
  <c r="M1909" i="13"/>
  <c r="J1905" i="14" a="1"/>
  <c r="J1905" i="14" s="1"/>
  <c r="N1906" i="14"/>
  <c r="J1906" i="13" a="1"/>
  <c r="J1906" i="13" s="1"/>
  <c r="N1907" i="13"/>
  <c r="M1910" i="14"/>
  <c r="K1721" i="13" l="1"/>
  <c r="L1721" i="13" s="1"/>
  <c r="I1722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44" i="14" l="1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/>
  <c r="L1722" i="13" s="1"/>
  <c r="I1723" i="13" s="1"/>
  <c r="K1723" i="13" l="1"/>
  <c r="L1723" i="13" s="1"/>
  <c r="I1724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4" i="13" l="1"/>
  <c r="L1724" i="13" s="1"/>
  <c r="I1725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47" i="14" l="1"/>
  <c r="L1747" i="14" s="1"/>
  <c r="I1748" i="14" s="1"/>
  <c r="K1725" i="13"/>
  <c r="L1725" i="13" s="1"/>
  <c r="I1726" i="13" s="1"/>
  <c r="J1911" i="13" a="1"/>
  <c r="J1911" i="13" s="1"/>
  <c r="N1912" i="13"/>
  <c r="M1915" i="14"/>
  <c r="M1914" i="13"/>
  <c r="J1910" i="14" a="1"/>
  <c r="J1910" i="14" s="1"/>
  <c r="N1911" i="14"/>
  <c r="K1748" i="14" l="1"/>
  <c r="L1748" i="14" s="1"/>
  <c r="I1749" i="14" s="1"/>
  <c r="M1915" i="13"/>
  <c r="N1912" i="14"/>
  <c r="J1911" i="14" a="1"/>
  <c r="J1911" i="14" s="1"/>
  <c r="K1726" i="13"/>
  <c r="L1726" i="13" s="1"/>
  <c r="I1727" i="13" s="1"/>
  <c r="M1916" i="14"/>
  <c r="J1912" i="13" a="1"/>
  <c r="J1912" i="13" s="1"/>
  <c r="N1913" i="13"/>
  <c r="K1749" i="14" l="1"/>
  <c r="L1749" i="14" s="1"/>
  <c r="I1750" i="14" s="1"/>
  <c r="N1914" i="13"/>
  <c r="J1913" i="13" a="1"/>
  <c r="J1913" i="13" s="1"/>
  <c r="K1727" i="13"/>
  <c r="L1727" i="13" s="1"/>
  <c r="I1728" i="13" s="1"/>
  <c r="M1916" i="13"/>
  <c r="M1917" i="14"/>
  <c r="J1912" i="14" a="1"/>
  <c r="J1912" i="14" s="1"/>
  <c r="N1913" i="14"/>
  <c r="K1728" i="13" l="1"/>
  <c r="L1728" i="13" s="1"/>
  <c r="I1729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M1918" i="13" l="1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/>
  <c r="L1729" i="13" s="1"/>
  <c r="I1730" i="13" s="1"/>
  <c r="K1752" i="14" l="1"/>
  <c r="L1752" i="14" s="1"/>
  <c r="I1753" i="14" s="1"/>
  <c r="K1730" i="13"/>
  <c r="L1730" i="13" s="1"/>
  <c r="I1731" i="13" s="1"/>
  <c r="J1916" i="13" a="1"/>
  <c r="J1916" i="13" s="1"/>
  <c r="N1917" i="13"/>
  <c r="M1920" i="14"/>
  <c r="N1916" i="14"/>
  <c r="J1915" i="14" a="1"/>
  <c r="J1915" i="14" s="1"/>
  <c r="M1919" i="13"/>
  <c r="K1731" i="13" l="1"/>
  <c r="L1731" i="13" s="1"/>
  <c r="I1732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54" i="14" l="1"/>
  <c r="L1754" i="14" s="1"/>
  <c r="I1755" i="14" s="1"/>
  <c r="K1732" i="13"/>
  <c r="L1732" i="13" s="1"/>
  <c r="I1733" i="13" s="1"/>
  <c r="M1922" i="14"/>
  <c r="M1921" i="13"/>
  <c r="J1917" i="14" a="1"/>
  <c r="J1917" i="14" s="1"/>
  <c r="N1918" i="14"/>
  <c r="J1918" i="13" a="1"/>
  <c r="J1918" i="13" s="1"/>
  <c r="N1919" i="13"/>
  <c r="K1733" i="13" l="1"/>
  <c r="L1733" i="13" s="1"/>
  <c r="I1734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56" i="14" l="1"/>
  <c r="L1756" i="14" s="1"/>
  <c r="I1757" i="14" s="1"/>
  <c r="K1734" i="13"/>
  <c r="L1734" i="13" s="1"/>
  <c r="I1735" i="13" s="1"/>
  <c r="J1920" i="13" a="1"/>
  <c r="J1920" i="13" s="1"/>
  <c r="N1921" i="13"/>
  <c r="N1920" i="14"/>
  <c r="J1919" i="14" a="1"/>
  <c r="J1919" i="14" s="1"/>
  <c r="M1924" i="14"/>
  <c r="M1923" i="13"/>
  <c r="K1757" i="14" l="1"/>
  <c r="L1757" i="14" s="1"/>
  <c r="I1758" i="14" s="1"/>
  <c r="M1924" i="13"/>
  <c r="K1735" i="13"/>
  <c r="L1735" i="13" s="1"/>
  <c r="I1736" i="13" s="1"/>
  <c r="N1922" i="13"/>
  <c r="J1921" i="13" a="1"/>
  <c r="J1921" i="13" s="1"/>
  <c r="J1920" i="14" a="1"/>
  <c r="J1920" i="14" s="1"/>
  <c r="N1921" i="14"/>
  <c r="M1925" i="14"/>
  <c r="K1736" i="13" l="1"/>
  <c r="L1736" i="13" s="1"/>
  <c r="I1737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59" i="14" l="1"/>
  <c r="L1759" i="14" s="1"/>
  <c r="I1760" i="14" s="1"/>
  <c r="K1737" i="13"/>
  <c r="L1737" i="13" s="1"/>
  <c r="I1738" i="13" s="1"/>
  <c r="J1923" i="13" a="1"/>
  <c r="J1923" i="13" s="1"/>
  <c r="N1924" i="13"/>
  <c r="M1926" i="13"/>
  <c r="J1922" i="14" a="1"/>
  <c r="J1922" i="14" s="1"/>
  <c r="N1923" i="14"/>
  <c r="M1927" i="14"/>
  <c r="K1738" i="13" l="1"/>
  <c r="L1738" i="13" s="1"/>
  <c r="I1739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9" i="13" l="1"/>
  <c r="L1739" i="13" s="1"/>
  <c r="I1740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62" i="14" l="1"/>
  <c r="L1762" i="14" s="1"/>
  <c r="I1763" i="14" s="1"/>
  <c r="K1740" i="13"/>
  <c r="L1740" i="13" s="1"/>
  <c r="I1741" i="13" s="1"/>
  <c r="M1929" i="13"/>
  <c r="J1926" i="13" a="1"/>
  <c r="J1926" i="13" s="1"/>
  <c r="N1927" i="13"/>
  <c r="J1925" i="14" a="1"/>
  <c r="J1925" i="14" s="1"/>
  <c r="N1926" i="14"/>
  <c r="M1930" i="14"/>
  <c r="K1741" i="13" l="1"/>
  <c r="L1741" i="13" s="1"/>
  <c r="I1742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64" i="14" l="1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/>
  <c r="L1742" i="13" s="1"/>
  <c r="I1743" i="13" s="1"/>
  <c r="K1743" i="13" l="1"/>
  <c r="L1743" i="13" s="1"/>
  <c r="I1744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4" i="13" l="1"/>
  <c r="L1744" i="13" s="1"/>
  <c r="I1745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67" i="14" l="1"/>
  <c r="L1767" i="14" s="1"/>
  <c r="I1768" i="14" s="1"/>
  <c r="K1745" i="13"/>
  <c r="L1745" i="13" s="1"/>
  <c r="I1746" i="13" s="1"/>
  <c r="J1931" i="13" a="1"/>
  <c r="J1931" i="13" s="1"/>
  <c r="N1932" i="13"/>
  <c r="M1934" i="13"/>
  <c r="M1935" i="14"/>
  <c r="J1930" i="14" a="1"/>
  <c r="J1930" i="14" s="1"/>
  <c r="N1931" i="14"/>
  <c r="K1746" i="13" l="1"/>
  <c r="L1746" i="13" s="1"/>
  <c r="I1747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7" i="13" l="1"/>
  <c r="L1747" i="13" s="1"/>
  <c r="I1748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8" i="13" l="1"/>
  <c r="L1748" i="13" s="1"/>
  <c r="I1749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9" i="13" l="1"/>
  <c r="L1749" i="13" s="1"/>
  <c r="I1750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50" i="13" l="1"/>
  <c r="L1750" i="13" s="1"/>
  <c r="I1751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1" i="13" l="1"/>
  <c r="L1751" i="13" s="1"/>
  <c r="I1752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74" i="14" l="1"/>
  <c r="L1774" i="14" s="1"/>
  <c r="I1775" i="14" s="1"/>
  <c r="K1752" i="13"/>
  <c r="L1752" i="13" s="1"/>
  <c r="I1753" i="13" s="1"/>
  <c r="J1937" i="14" a="1"/>
  <c r="J1937" i="14" s="1"/>
  <c r="N1938" i="14"/>
  <c r="M1942" i="14"/>
  <c r="M1941" i="13"/>
  <c r="J1938" i="13" a="1"/>
  <c r="J1938" i="13" s="1"/>
  <c r="N1939" i="13"/>
  <c r="K1753" i="13" l="1"/>
  <c r="L1753" i="13" s="1"/>
  <c r="I1754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4" i="13" l="1"/>
  <c r="L1754" i="13" s="1"/>
  <c r="I1755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77" i="14" l="1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/>
  <c r="L1755" i="13" s="1"/>
  <c r="I1756" i="13" s="1"/>
  <c r="K1756" i="13" l="1"/>
  <c r="L1756" i="13" s="1"/>
  <c r="I1757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7" i="13" l="1"/>
  <c r="L1757" i="13" s="1"/>
  <c r="I1758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80" i="14" l="1"/>
  <c r="L1780" i="14" s="1"/>
  <c r="I1781" i="14" s="1"/>
  <c r="K1758" i="13"/>
  <c r="L1758" i="13" s="1"/>
  <c r="I1759" i="13" s="1"/>
  <c r="N1944" i="14"/>
  <c r="J1943" i="14" a="1"/>
  <c r="J1943" i="14" s="1"/>
  <c r="M1948" i="14"/>
  <c r="M1947" i="13"/>
  <c r="J1944" i="13" a="1"/>
  <c r="J1944" i="13" s="1"/>
  <c r="N1945" i="13"/>
  <c r="K1759" i="13" l="1"/>
  <c r="L1759" i="13" s="1"/>
  <c r="I1760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82" i="14" l="1"/>
  <c r="L1782" i="14" s="1"/>
  <c r="I1783" i="14" s="1"/>
  <c r="K1760" i="13"/>
  <c r="L1760" i="13" s="1"/>
  <c r="I1761" i="13" s="1"/>
  <c r="J1946" i="13" a="1"/>
  <c r="J1946" i="13" s="1"/>
  <c r="N1947" i="13"/>
  <c r="J1945" i="14" a="1"/>
  <c r="J1945" i="14" s="1"/>
  <c r="N1946" i="14"/>
  <c r="M1949" i="13"/>
  <c r="M1950" i="14"/>
  <c r="K1761" i="13" l="1"/>
  <c r="L1761" i="13" s="1"/>
  <c r="I1762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84" i="14" l="1"/>
  <c r="L1784" i="14" s="1"/>
  <c r="I1785" i="14" s="1"/>
  <c r="K1762" i="13"/>
  <c r="L1762" i="13" s="1"/>
  <c r="I1763" i="13" s="1"/>
  <c r="J1948" i="13" a="1"/>
  <c r="J1948" i="13" s="1"/>
  <c r="N1949" i="13"/>
  <c r="N1948" i="14"/>
  <c r="J1947" i="14" a="1"/>
  <c r="J1947" i="14" s="1"/>
  <c r="M1951" i="13"/>
  <c r="M1952" i="14"/>
  <c r="K1763" i="13" l="1"/>
  <c r="L1763" i="13" s="1"/>
  <c r="I1764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4" i="13" l="1"/>
  <c r="L1764" i="13" s="1"/>
  <c r="I1765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87" i="14" l="1"/>
  <c r="L1787" i="14" s="1"/>
  <c r="I1788" i="14" s="1"/>
  <c r="K1765" i="13"/>
  <c r="L1765" i="13" s="1"/>
  <c r="I1766" i="13" s="1"/>
  <c r="J1950" i="14" a="1"/>
  <c r="J1950" i="14" s="1"/>
  <c r="N1951" i="14"/>
  <c r="M1955" i="14"/>
  <c r="M1954" i="13"/>
  <c r="J1951" i="13" a="1"/>
  <c r="J1951" i="13" s="1"/>
  <c r="N1952" i="13"/>
  <c r="K1766" i="13" l="1"/>
  <c r="L1766" i="13" s="1"/>
  <c r="I1767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7" i="13" l="1"/>
  <c r="L1767" i="13" s="1"/>
  <c r="I1768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90" i="14" l="1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/>
  <c r="L1768" i="13" s="1"/>
  <c r="I1769" i="13" s="1"/>
  <c r="K1769" i="13" l="1"/>
  <c r="L1769" i="13" s="1"/>
  <c r="I1770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92" i="14" l="1"/>
  <c r="L1792" i="14" s="1"/>
  <c r="I1793" i="14" s="1"/>
  <c r="K1770" i="13"/>
  <c r="L1770" i="13" s="1"/>
  <c r="I1771" i="13" s="1"/>
  <c r="M1959" i="13"/>
  <c r="J1956" i="13" a="1"/>
  <c r="J1956" i="13" s="1"/>
  <c r="N1957" i="13"/>
  <c r="N1956" i="14"/>
  <c r="J1955" i="14" a="1"/>
  <c r="J1955" i="14" s="1"/>
  <c r="M1960" i="14"/>
  <c r="K1771" i="13" l="1"/>
  <c r="L1771" i="13" s="1"/>
  <c r="I1772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94" i="14" l="1"/>
  <c r="L1794" i="14" s="1"/>
  <c r="I1795" i="14" s="1"/>
  <c r="K1772" i="13"/>
  <c r="L1772" i="13" s="1"/>
  <c r="I1773" i="13" s="1"/>
  <c r="M1961" i="13"/>
  <c r="M1962" i="14"/>
  <c r="J1957" i="14" a="1"/>
  <c r="J1957" i="14" s="1"/>
  <c r="N1958" i="14"/>
  <c r="J1958" i="13" a="1"/>
  <c r="J1958" i="13" s="1"/>
  <c r="N1959" i="13"/>
  <c r="K1773" i="13" l="1"/>
  <c r="L1773" i="13" s="1"/>
  <c r="I1774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4" i="13" l="1"/>
  <c r="L1774" i="13" s="1"/>
  <c r="I1775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97" i="14" l="1"/>
  <c r="L1797" i="14" s="1"/>
  <c r="I1798" i="14" s="1"/>
  <c r="K1775" i="13"/>
  <c r="L1775" i="13" s="1"/>
  <c r="I1776" i="13" s="1"/>
  <c r="M1965" i="14"/>
  <c r="J1960" i="14" a="1"/>
  <c r="J1960" i="14" s="1"/>
  <c r="N1961" i="14"/>
  <c r="N1962" i="13"/>
  <c r="J1961" i="13" a="1"/>
  <c r="J1961" i="13" s="1"/>
  <c r="M1964" i="13"/>
  <c r="K1776" i="13" l="1"/>
  <c r="L1776" i="13" s="1"/>
  <c r="I1777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99" i="14" l="1"/>
  <c r="L1799" i="14" s="1"/>
  <c r="I1800" i="14" s="1"/>
  <c r="K1777" i="13"/>
  <c r="L1777" i="13" s="1"/>
  <c r="I1778" i="13" s="1"/>
  <c r="M1967" i="14"/>
  <c r="M1966" i="13"/>
  <c r="J1962" i="14" a="1"/>
  <c r="J1962" i="14" s="1"/>
  <c r="N1963" i="14"/>
  <c r="J1963" i="13" a="1"/>
  <c r="J1963" i="13" s="1"/>
  <c r="N1964" i="13"/>
  <c r="K1778" i="13" l="1"/>
  <c r="L1778" i="13" s="1"/>
  <c r="I1779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801" i="14" l="1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/>
  <c r="L1779" i="13" s="1"/>
  <c r="I1780" i="13" s="1"/>
  <c r="K1780" i="13" l="1"/>
  <c r="L1780" i="13" s="1"/>
  <c r="I1781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803" i="14" l="1"/>
  <c r="L1803" i="14" s="1"/>
  <c r="I1804" i="14" s="1"/>
  <c r="K1781" i="13"/>
  <c r="L1781" i="13" s="1"/>
  <c r="I1782" i="13" s="1"/>
  <c r="M1970" i="13"/>
  <c r="M1971" i="14"/>
  <c r="J1967" i="13" a="1"/>
  <c r="J1967" i="13" s="1"/>
  <c r="N1968" i="13"/>
  <c r="J1966" i="14" a="1"/>
  <c r="J1966" i="14" s="1"/>
  <c r="N1967" i="14"/>
  <c r="K1782" i="13" l="1"/>
  <c r="L1782" i="13" s="1"/>
  <c r="I1783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3" i="13" l="1"/>
  <c r="L1783" i="13" s="1"/>
  <c r="I1784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806" i="14" l="1"/>
  <c r="L1806" i="14" s="1"/>
  <c r="I1807" i="14" s="1"/>
  <c r="K1784" i="13"/>
  <c r="L1784" i="13" s="1"/>
  <c r="I1785" i="13" s="1"/>
  <c r="M1973" i="13"/>
  <c r="J1969" i="14" a="1"/>
  <c r="J1969" i="14" s="1"/>
  <c r="N1970" i="14"/>
  <c r="J1970" i="13" a="1"/>
  <c r="J1970" i="13" s="1"/>
  <c r="N1971" i="13"/>
  <c r="M1974" i="14"/>
  <c r="K1807" i="14" l="1"/>
  <c r="L1807" i="14" s="1"/>
  <c r="I1808" i="14" s="1"/>
  <c r="J1970" i="14" a="1"/>
  <c r="J1970" i="14" s="1"/>
  <c r="N1971" i="14"/>
  <c r="M1975" i="14"/>
  <c r="K1785" i="13"/>
  <c r="L1785" i="13" s="1"/>
  <c r="I1786" i="13" s="1"/>
  <c r="J1971" i="13" a="1"/>
  <c r="J1971" i="13" s="1"/>
  <c r="N1972" i="13"/>
  <c r="M1974" i="13"/>
  <c r="K1786" i="13" l="1"/>
  <c r="L1786" i="13" s="1"/>
  <c r="I1787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809" i="14" l="1"/>
  <c r="L1809" i="14" s="1"/>
  <c r="I1810" i="14" s="1"/>
  <c r="K1787" i="13"/>
  <c r="L1787" i="13" s="1"/>
  <c r="I1788" i="13" s="1"/>
  <c r="N1974" i="13"/>
  <c r="J1973" i="13" a="1"/>
  <c r="J1973" i="13" s="1"/>
  <c r="M1977" i="14"/>
  <c r="M1976" i="13"/>
  <c r="J1972" i="14" a="1"/>
  <c r="J1972" i="14" s="1"/>
  <c r="N1973" i="14"/>
  <c r="K1788" i="13" l="1"/>
  <c r="L1788" i="13" s="1"/>
  <c r="I1789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9" i="13" l="1"/>
  <c r="L1789" i="13" s="1"/>
  <c r="I1790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90" i="13" l="1"/>
  <c r="L1790" i="13" s="1"/>
  <c r="I1791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1" i="13" l="1"/>
  <c r="L1791" i="13" s="1"/>
  <c r="I1792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814" i="14" l="1"/>
  <c r="L1814" i="14" s="1"/>
  <c r="I1815" i="14" s="1"/>
  <c r="K1792" i="13"/>
  <c r="L1792" i="13" s="1"/>
  <c r="I1793" i="13" s="1"/>
  <c r="J1977" i="14" a="1"/>
  <c r="J1977" i="14" s="1"/>
  <c r="N1978" i="14"/>
  <c r="M1981" i="13"/>
  <c r="J1978" i="13" a="1"/>
  <c r="J1978" i="13" s="1"/>
  <c r="N1979" i="13"/>
  <c r="M1982" i="14"/>
  <c r="K1815" i="14" l="1"/>
  <c r="L1815" i="14" s="1"/>
  <c r="I1816" i="14" s="1"/>
  <c r="K1793" i="13"/>
  <c r="L1793" i="13" s="1"/>
  <c r="I1794" i="13" s="1"/>
  <c r="J1979" i="13" a="1"/>
  <c r="J1979" i="13" s="1"/>
  <c r="N1980" i="13"/>
  <c r="J1978" i="14" a="1"/>
  <c r="J1978" i="14" s="1"/>
  <c r="N1979" i="14"/>
  <c r="M1983" i="14"/>
  <c r="M1982" i="13"/>
  <c r="K1794" i="13" l="1"/>
  <c r="L1794" i="13" s="1"/>
  <c r="I1795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5" i="13" l="1"/>
  <c r="L1795" i="13" s="1"/>
  <c r="I1796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6" i="13" l="1"/>
  <c r="L1796" i="13" s="1"/>
  <c r="I1797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819" i="14" l="1"/>
  <c r="L1819" i="14" s="1"/>
  <c r="I1820" i="14" s="1"/>
  <c r="K1797" i="13"/>
  <c r="L1797" i="13" s="1"/>
  <c r="I1798" i="13" s="1"/>
  <c r="J1982" i="14" a="1"/>
  <c r="J1982" i="14" s="1"/>
  <c r="N1983" i="14"/>
  <c r="J1983" i="13" a="1"/>
  <c r="J1983" i="13" s="1"/>
  <c r="N1984" i="13"/>
  <c r="M1986" i="13"/>
  <c r="M1987" i="14"/>
  <c r="K1798" i="13" l="1"/>
  <c r="L1798" i="13" s="1"/>
  <c r="I1799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821" i="14" l="1"/>
  <c r="L1821" i="14" s="1"/>
  <c r="I1822" i="14" s="1"/>
  <c r="K1799" i="13"/>
  <c r="L1799" i="13" s="1"/>
  <c r="I1800" i="13" s="1"/>
  <c r="M1988" i="13"/>
  <c r="M1989" i="14"/>
  <c r="N1986" i="13"/>
  <c r="J1985" i="13" a="1"/>
  <c r="J1985" i="13" s="1"/>
  <c r="J1984" i="14" a="1"/>
  <c r="J1984" i="14" s="1"/>
  <c r="N1985" i="14"/>
  <c r="K1800" i="13" l="1"/>
  <c r="L1800" i="13" s="1"/>
  <c r="I1801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23" i="14" l="1"/>
  <c r="L1823" i="14" s="1"/>
  <c r="I1824" i="14" s="1"/>
  <c r="K1801" i="13"/>
  <c r="L1801" i="13" s="1"/>
  <c r="I1802" i="13" s="1"/>
  <c r="J1986" i="14" a="1"/>
  <c r="J1986" i="14" s="1"/>
  <c r="N1987" i="14"/>
  <c r="J1987" i="13" a="1"/>
  <c r="J1987" i="13" s="1"/>
  <c r="N1988" i="13"/>
  <c r="M1991" i="14"/>
  <c r="M1990" i="13"/>
  <c r="K1802" i="13" l="1"/>
  <c r="L1802" i="13" s="1"/>
  <c r="I1803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25" i="14" l="1"/>
  <c r="L1825" i="14" s="1"/>
  <c r="I1826" i="14" s="1"/>
  <c r="K1803" i="13"/>
  <c r="L1803" i="13" s="1"/>
  <c r="I1804" i="13" s="1"/>
  <c r="N1990" i="13"/>
  <c r="J1989" i="13" a="1"/>
  <c r="J1989" i="13" s="1"/>
  <c r="J1988" i="14" a="1"/>
  <c r="J1988" i="14" s="1"/>
  <c r="N1989" i="14"/>
  <c r="M1992" i="13"/>
  <c r="M1993" i="14"/>
  <c r="K1826" i="14" l="1"/>
  <c r="L1826" i="14" s="1"/>
  <c r="I1827" i="14" s="1"/>
  <c r="K1804" i="13"/>
  <c r="L1804" i="13" s="1"/>
  <c r="I1805" i="13" s="1"/>
  <c r="M1993" i="13"/>
  <c r="J1989" i="14" a="1"/>
  <c r="J1989" i="14" s="1"/>
  <c r="N1990" i="14"/>
  <c r="M1994" i="14"/>
  <c r="J1990" i="13" a="1"/>
  <c r="J1990" i="13" s="1"/>
  <c r="N1991" i="13"/>
  <c r="K1827" i="14" l="1"/>
  <c r="L1827" i="14" s="1"/>
  <c r="I1828" i="14" s="1"/>
  <c r="K1805" i="13"/>
  <c r="L1805" i="13" s="1"/>
  <c r="I1806" i="13" s="1"/>
  <c r="J1991" i="13" a="1"/>
  <c r="J1991" i="13" s="1"/>
  <c r="N1992" i="13"/>
  <c r="J1990" i="14" a="1"/>
  <c r="J1990" i="14" s="1"/>
  <c r="N1991" i="14"/>
  <c r="M1995" i="14"/>
  <c r="M1994" i="13"/>
  <c r="K1828" i="14" l="1"/>
  <c r="L1828" i="14" s="1"/>
  <c r="I1829" i="14" s="1"/>
  <c r="K1806" i="13"/>
  <c r="L1806" i="13" s="1"/>
  <c r="I1807" i="13" s="1"/>
  <c r="N1992" i="14"/>
  <c r="J1991" i="14" a="1"/>
  <c r="J1991" i="14" s="1"/>
  <c r="M1996" i="14"/>
  <c r="M1995" i="13"/>
  <c r="J1992" i="13" a="1"/>
  <c r="J1992" i="13" s="1"/>
  <c r="N1993" i="13"/>
  <c r="K1807" i="13" l="1"/>
  <c r="L1807" i="13" s="1"/>
  <c r="I1808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30" i="14" l="1"/>
  <c r="L1830" i="14" s="1"/>
  <c r="I1831" i="14" s="1"/>
  <c r="K1808" i="13"/>
  <c r="L1808" i="13" s="1"/>
  <c r="I1809" i="13" s="1"/>
  <c r="J1993" i="14" a="1"/>
  <c r="J1993" i="14" s="1"/>
  <c r="N1994" i="14"/>
  <c r="M1997" i="13"/>
  <c r="M1998" i="14"/>
  <c r="J1994" i="13" a="1"/>
  <c r="J1994" i="13" s="1"/>
  <c r="N1995" i="13"/>
  <c r="K1809" i="13" l="1"/>
  <c r="L1809" i="13" s="1"/>
  <c r="I1810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10" i="13" l="1"/>
  <c r="L1810" i="13" s="1"/>
  <c r="I1811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33" i="14" l="1"/>
  <c r="L1833" i="14" s="1"/>
  <c r="I1834" i="14" s="1"/>
  <c r="K1811" i="13"/>
  <c r="L1811" i="13" s="1"/>
  <c r="I1812" i="13" s="1"/>
  <c r="N1998" i="13"/>
  <c r="J1997" i="13" a="1"/>
  <c r="J1997" i="13" s="1"/>
  <c r="M2001" i="14"/>
  <c r="J1996" i="14" a="1"/>
  <c r="J1996" i="14" s="1"/>
  <c r="N1997" i="14"/>
  <c r="M2000" i="13"/>
  <c r="K1834" i="14" l="1"/>
  <c r="L1834" i="14" s="1"/>
  <c r="I1835" i="14" s="1"/>
  <c r="K1812" i="13"/>
  <c r="L1812" i="13" s="1"/>
  <c r="I1813" i="13" s="1"/>
  <c r="J1997" i="14" a="1"/>
  <c r="J1997" i="14" s="1"/>
  <c r="N1998" i="14"/>
  <c r="M2001" i="13"/>
  <c r="M2002" i="14"/>
  <c r="J1998" i="13" a="1"/>
  <c r="J1998" i="13" s="1"/>
  <c r="N1999" i="13"/>
  <c r="K1835" i="14" l="1"/>
  <c r="L1835" i="14" s="1"/>
  <c r="I1836" i="14" s="1"/>
  <c r="K1813" i="13"/>
  <c r="L1813" i="13" s="1"/>
  <c r="I1814" i="13" s="1"/>
  <c r="J1999" i="13" a="1"/>
  <c r="J1999" i="13" s="1"/>
  <c r="N2000" i="13"/>
  <c r="J1998" i="14" a="1"/>
  <c r="J1998" i="14" s="1"/>
  <c r="N1999" i="14"/>
  <c r="M2002" i="13"/>
  <c r="M2003" i="14"/>
  <c r="K1814" i="13" l="1"/>
  <c r="L1814" i="13" s="1"/>
  <c r="I1815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37" i="14" l="1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/>
  <c r="L1815" i="13" s="1"/>
  <c r="I1816" i="13" s="1"/>
  <c r="K1816" i="13" l="1"/>
  <c r="L1816" i="13" s="1"/>
  <c r="I1817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39" i="14" l="1"/>
  <c r="L1839" i="14" s="1"/>
  <c r="I1840" i="14" s="1"/>
  <c r="K1817" i="13"/>
  <c r="L1817" i="13" s="1"/>
  <c r="I1818" i="13" s="1"/>
  <c r="J2002" i="14" a="1"/>
  <c r="J2002" i="14" s="1"/>
  <c r="N2003" i="14"/>
  <c r="J2003" i="13" a="1"/>
  <c r="J2003" i="13" s="1"/>
  <c r="N2004" i="13"/>
  <c r="M2007" i="14"/>
  <c r="M2006" i="13"/>
  <c r="K1818" i="13" l="1"/>
  <c r="L1818" i="13" s="1"/>
  <c r="I1819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41" i="14" l="1"/>
  <c r="L1841" i="14" s="1"/>
  <c r="I1842" i="14" s="1"/>
  <c r="K1819" i="13"/>
  <c r="L1819" i="13" s="1"/>
  <c r="I1820" i="13" s="1"/>
  <c r="N2006" i="13"/>
  <c r="J2005" i="13" a="1"/>
  <c r="J2005" i="13" s="1"/>
  <c r="M2008" i="13"/>
  <c r="J2004" i="14" a="1"/>
  <c r="J2004" i="14" s="1"/>
  <c r="N2005" i="14"/>
  <c r="M2009" i="14"/>
  <c r="K1820" i="13" l="1"/>
  <c r="L1820" i="13" s="1"/>
  <c r="I1821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43" i="14" l="1"/>
  <c r="L1843" i="14" s="1"/>
  <c r="I1844" i="14" s="1"/>
  <c r="K1821" i="13"/>
  <c r="L1821" i="13" s="1"/>
  <c r="I1822" i="13" s="1"/>
  <c r="M2011" i="14"/>
  <c r="J2007" i="13" a="1"/>
  <c r="J2007" i="13" s="1"/>
  <c r="N2008" i="13"/>
  <c r="J2006" i="14" a="1"/>
  <c r="J2006" i="14" s="1"/>
  <c r="N2007" i="14"/>
  <c r="M2010" i="13"/>
  <c r="K1822" i="13" l="1"/>
  <c r="L1822" i="13" s="1"/>
  <c r="I1823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45" i="14" l="1"/>
  <c r="L1845" i="14" s="1"/>
  <c r="I1846" i="14" s="1"/>
  <c r="K1823" i="13"/>
  <c r="L1823" i="13" s="1"/>
  <c r="I1824" i="13" s="1"/>
  <c r="M2012" i="13"/>
  <c r="M2013" i="14"/>
  <c r="J2008" i="14" a="1"/>
  <c r="J2008" i="14" s="1"/>
  <c r="N2009" i="14"/>
  <c r="N2010" i="13"/>
  <c r="J2009" i="13" a="1"/>
  <c r="J2009" i="13" s="1"/>
  <c r="K1824" i="13" l="1"/>
  <c r="L1824" i="13" s="1"/>
  <c r="I1825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47" i="14" l="1"/>
  <c r="L1847" i="14" s="1"/>
  <c r="I1848" i="14" s="1"/>
  <c r="K1825" i="13"/>
  <c r="L1825" i="13" s="1"/>
  <c r="I1826" i="13" s="1"/>
  <c r="J2010" i="14" a="1"/>
  <c r="J2010" i="14" s="1"/>
  <c r="N2011" i="14"/>
  <c r="M2015" i="14"/>
  <c r="M2014" i="13"/>
  <c r="J2011" i="13" a="1"/>
  <c r="J2011" i="13" s="1"/>
  <c r="N2012" i="13"/>
  <c r="K1826" i="13" l="1"/>
  <c r="L1826" i="13" s="1"/>
  <c r="I1827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49" i="14" l="1"/>
  <c r="L1849" i="14" s="1"/>
  <c r="I1850" i="14" s="1"/>
  <c r="K1827" i="13"/>
  <c r="L1827" i="13" s="1"/>
  <c r="I1828" i="13" s="1"/>
  <c r="M2016" i="13"/>
  <c r="M2017" i="14"/>
  <c r="N2014" i="13"/>
  <c r="J2013" i="13" a="1"/>
  <c r="J2013" i="13" s="1"/>
  <c r="J2012" i="14" a="1"/>
  <c r="J2012" i="14" s="1"/>
  <c r="N2013" i="14"/>
  <c r="K1828" i="13" l="1"/>
  <c r="L1828" i="13" s="1"/>
  <c r="I1829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51" i="14" l="1"/>
  <c r="L1851" i="14" s="1"/>
  <c r="I1852" i="14" s="1"/>
  <c r="K1829" i="13"/>
  <c r="L1829" i="13" s="1"/>
  <c r="I1830" i="13" s="1"/>
  <c r="J2015" i="13" a="1"/>
  <c r="J2015" i="13" s="1"/>
  <c r="N2016" i="13"/>
  <c r="M2018" i="13"/>
  <c r="J2014" i="14" a="1"/>
  <c r="J2014" i="14" s="1"/>
  <c r="N2015" i="14"/>
  <c r="M2019" i="14"/>
  <c r="K1830" i="13" l="1"/>
  <c r="L1830" i="13" s="1"/>
  <c r="I1831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53" i="14" l="1"/>
  <c r="L1853" i="14" s="1"/>
  <c r="I1854" i="14" s="1"/>
  <c r="K1831" i="13"/>
  <c r="L1831" i="13" s="1"/>
  <c r="I1832" i="13" s="1"/>
  <c r="M2021" i="14"/>
  <c r="N2018" i="13"/>
  <c r="J2017" i="13" a="1"/>
  <c r="J2017" i="13" s="1"/>
  <c r="M2020" i="13"/>
  <c r="J2016" i="14" a="1"/>
  <c r="J2016" i="14" s="1"/>
  <c r="N2017" i="14"/>
  <c r="K1832" i="13" l="1"/>
  <c r="L1832" i="13" s="1"/>
  <c r="I1833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55" i="14" l="1"/>
  <c r="L1855" i="14" s="1"/>
  <c r="I1856" i="14" s="1"/>
  <c r="K1833" i="13"/>
  <c r="L1833" i="13" s="1"/>
  <c r="I1834" i="13" s="1"/>
  <c r="M2023" i="14"/>
  <c r="J2019" i="13" a="1"/>
  <c r="J2019" i="13" s="1"/>
  <c r="N2020" i="13"/>
  <c r="M2022" i="13"/>
  <c r="J2018" i="14" a="1"/>
  <c r="J2018" i="14" s="1"/>
  <c r="N2019" i="14"/>
  <c r="K1834" i="13" l="1"/>
  <c r="L1834" i="13" s="1"/>
  <c r="I1835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57" i="14" l="1"/>
  <c r="L1857" i="14" s="1"/>
  <c r="I1858" i="14" s="1"/>
  <c r="K1835" i="13"/>
  <c r="L1835" i="13" s="1"/>
  <c r="I1836" i="13" s="1"/>
  <c r="J2020" i="14" a="1"/>
  <c r="J2020" i="14" s="1"/>
  <c r="N2021" i="14"/>
  <c r="N2022" i="13"/>
  <c r="J2021" i="13" a="1"/>
  <c r="J2021" i="13" s="1"/>
  <c r="M2025" i="14"/>
  <c r="M2024" i="13"/>
  <c r="K1836" i="13" l="1"/>
  <c r="L1836" i="13" s="1"/>
  <c r="I1837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59" i="14" l="1"/>
  <c r="L1859" i="14" s="1"/>
  <c r="I1860" i="14" s="1"/>
  <c r="K1837" i="13"/>
  <c r="L1837" i="13" s="1"/>
  <c r="I1838" i="13" s="1"/>
  <c r="J2023" i="13" a="1"/>
  <c r="J2023" i="13" s="1"/>
  <c r="N2024" i="13"/>
  <c r="J2022" i="14" a="1"/>
  <c r="J2022" i="14" s="1"/>
  <c r="N2023" i="14"/>
  <c r="M2027" i="14"/>
  <c r="M2026" i="13"/>
  <c r="K1838" i="13" l="1"/>
  <c r="L1838" i="13" s="1"/>
  <c r="I1839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61" i="14" l="1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/>
  <c r="L1839" i="13" s="1"/>
  <c r="I1840" i="13" s="1"/>
  <c r="K1840" i="13" l="1"/>
  <c r="L1840" i="13" s="1"/>
  <c r="I1841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63" i="14" l="1"/>
  <c r="L1863" i="14" s="1"/>
  <c r="I1864" i="14" s="1"/>
  <c r="K1841" i="13"/>
  <c r="L1841" i="13" s="1"/>
  <c r="I1842" i="13" s="1"/>
  <c r="J2027" i="13" a="1"/>
  <c r="J2027" i="13" s="1"/>
  <c r="N2028" i="13"/>
  <c r="M2031" i="14"/>
  <c r="J2026" i="14" a="1"/>
  <c r="J2026" i="14" s="1"/>
  <c r="N2027" i="14"/>
  <c r="M2030" i="13"/>
  <c r="K1842" i="13" l="1"/>
  <c r="L1842" i="13" s="1"/>
  <c r="I1843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3" i="13" l="1"/>
  <c r="L1843" i="13" s="1"/>
  <c r="I1844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66" i="14" l="1"/>
  <c r="L1866" i="14" s="1"/>
  <c r="I1867" i="14" s="1"/>
  <c r="K1844" i="13"/>
  <c r="L1844" i="13" s="1"/>
  <c r="I1845" i="13" s="1"/>
  <c r="M2033" i="13"/>
  <c r="M2034" i="14"/>
  <c r="J2029" i="14" a="1"/>
  <c r="J2029" i="14" s="1"/>
  <c r="N2030" i="14"/>
  <c r="J2030" i="13" a="1"/>
  <c r="J2030" i="13" s="1"/>
  <c r="N2031" i="13"/>
  <c r="K1845" i="13" l="1"/>
  <c r="L1845" i="13" s="1"/>
  <c r="I1846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68" i="14" l="1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/>
  <c r="L1846" i="13" s="1"/>
  <c r="I1847" i="13" s="1"/>
  <c r="K1847" i="13" l="1"/>
  <c r="L1847" i="13" s="1"/>
  <c r="I1848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70" i="14" l="1"/>
  <c r="L1870" i="14" s="1"/>
  <c r="I1871" i="14" s="1"/>
  <c r="K1848" i="13"/>
  <c r="L1848" i="13" s="1"/>
  <c r="I1849" i="13" s="1"/>
  <c r="J2033" i="14" a="1"/>
  <c r="J2033" i="14" s="1"/>
  <c r="N2034" i="14"/>
  <c r="M2037" i="13"/>
  <c r="M2038" i="14"/>
  <c r="J2034" i="13" a="1"/>
  <c r="J2034" i="13" s="1"/>
  <c r="N2035" i="13"/>
  <c r="K1849" i="13" l="1"/>
  <c r="L1849" i="13" s="1"/>
  <c r="I1850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72" i="14" l="1"/>
  <c r="L1872" i="14" s="1"/>
  <c r="I1873" i="14" s="1"/>
  <c r="K1850" i="13"/>
  <c r="L1850" i="13" s="1"/>
  <c r="I1851" i="13" s="1"/>
  <c r="J2036" i="13" a="1"/>
  <c r="J2036" i="13" s="1"/>
  <c r="N2037" i="13"/>
  <c r="N2036" i="14"/>
  <c r="J2035" i="14" a="1"/>
  <c r="J2035" i="14" s="1"/>
  <c r="M2040" i="14"/>
  <c r="M2039" i="13"/>
  <c r="K1851" i="13" l="1"/>
  <c r="L1851" i="13" s="1"/>
  <c r="I1852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74" i="14" l="1"/>
  <c r="L1874" i="14" s="1"/>
  <c r="I1875" i="14" s="1"/>
  <c r="K1852" i="13"/>
  <c r="L1852" i="13" s="1"/>
  <c r="I1853" i="13" s="1"/>
  <c r="J2037" i="14" a="1"/>
  <c r="J2037" i="14" s="1"/>
  <c r="N2038" i="14"/>
  <c r="M2042" i="14"/>
  <c r="M2041" i="13"/>
  <c r="J2038" i="13" a="1"/>
  <c r="J2038" i="13" s="1"/>
  <c r="N2039" i="13"/>
  <c r="K1853" i="13" l="1"/>
  <c r="L1853" i="13" s="1"/>
  <c r="I1854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76" i="14" l="1"/>
  <c r="L1876" i="14" s="1"/>
  <c r="I1877" i="14" s="1"/>
  <c r="K1854" i="13"/>
  <c r="L1854" i="13" s="1"/>
  <c r="I1855" i="13" s="1"/>
  <c r="N2040" i="14"/>
  <c r="J2039" i="14" a="1"/>
  <c r="J2039" i="14" s="1"/>
  <c r="J2040" i="13" a="1"/>
  <c r="J2040" i="13" s="1"/>
  <c r="N2041" i="13"/>
  <c r="M2043" i="13"/>
  <c r="M2044" i="14"/>
  <c r="K1855" i="13" l="1"/>
  <c r="L1855" i="13" s="1"/>
  <c r="I1856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78" i="14" l="1"/>
  <c r="L1878" i="14" s="1"/>
  <c r="I1879" i="14" s="1"/>
  <c r="K1856" i="13"/>
  <c r="L1856" i="13" s="1"/>
  <c r="I1857" i="13" s="1"/>
  <c r="J2041" i="14" a="1"/>
  <c r="J2041" i="14" s="1"/>
  <c r="N2042" i="14"/>
  <c r="M2046" i="14"/>
  <c r="M2045" i="13"/>
  <c r="J2042" i="13" a="1"/>
  <c r="J2042" i="13" s="1"/>
  <c r="N2043" i="13"/>
  <c r="K1879" i="14" l="1"/>
  <c r="L1879" i="14" s="1"/>
  <c r="I1880" i="14" s="1"/>
  <c r="K1857" i="13"/>
  <c r="L1857" i="13" s="1"/>
  <c r="I1858" i="13" s="1"/>
  <c r="M2046" i="13"/>
  <c r="J2043" i="13" a="1"/>
  <c r="J2043" i="13" s="1"/>
  <c r="N2044" i="13"/>
  <c r="M2047" i="14"/>
  <c r="J2042" i="14" a="1"/>
  <c r="J2042" i="14" s="1"/>
  <c r="N2043" i="14"/>
  <c r="K1858" i="13" l="1"/>
  <c r="L1858" i="13" s="1"/>
  <c r="I1859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81" i="14" l="1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/>
  <c r="L1859" i="13" s="1"/>
  <c r="I1860" i="13" s="1"/>
  <c r="K1860" i="13" l="1"/>
  <c r="L1860" i="13" s="1"/>
  <c r="I1861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83" i="14" l="1"/>
  <c r="L1883" i="14" s="1"/>
  <c r="I1884" i="14" s="1"/>
  <c r="K1861" i="13"/>
  <c r="L1861" i="13" s="1"/>
  <c r="I1862" i="13" s="1"/>
  <c r="M2051" i="14"/>
  <c r="M2050" i="13"/>
  <c r="J2047" i="13" a="1"/>
  <c r="J2047" i="13" s="1"/>
  <c r="N2048" i="13"/>
  <c r="J2046" i="14" a="1"/>
  <c r="J2046" i="14" s="1"/>
  <c r="N2047" i="14"/>
  <c r="K1884" i="14" l="1"/>
  <c r="L1884" i="14" s="1"/>
  <c r="I1885" i="14" s="1"/>
  <c r="K1862" i="13"/>
  <c r="L1862" i="13" s="1"/>
  <c r="I1863" i="13" s="1"/>
  <c r="N2048" i="14"/>
  <c r="J2047" i="14" a="1"/>
  <c r="J2047" i="14" s="1"/>
  <c r="M2051" i="13"/>
  <c r="J2048" i="13" a="1"/>
  <c r="J2048" i="13" s="1"/>
  <c r="N2049" i="13"/>
  <c r="M2052" i="14"/>
  <c r="K1863" i="13" l="1"/>
  <c r="L1863" i="13" s="1"/>
  <c r="I1864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86" i="14" l="1"/>
  <c r="L1886" i="14" s="1"/>
  <c r="I1887" i="14" s="1"/>
  <c r="K1864" i="13"/>
  <c r="L1864" i="13" s="1"/>
  <c r="I1865" i="13" s="1"/>
  <c r="J2049" i="14" a="1"/>
  <c r="J2049" i="14" s="1"/>
  <c r="N2050" i="14"/>
  <c r="M2054" i="14"/>
  <c r="M2053" i="13"/>
  <c r="J2050" i="13" a="1"/>
  <c r="J2050" i="13" s="1"/>
  <c r="N2051" i="13"/>
  <c r="K1887" i="14" l="1"/>
  <c r="L1887" i="14" s="1"/>
  <c r="I1888" i="14" s="1"/>
  <c r="K1865" i="13"/>
  <c r="L1865" i="13" s="1"/>
  <c r="I1866" i="13" s="1"/>
  <c r="M2054" i="13"/>
  <c r="M2055" i="14"/>
  <c r="J2051" i="13" a="1"/>
  <c r="J2051" i="13" s="1"/>
  <c r="N2052" i="13"/>
  <c r="J2050" i="14" a="1"/>
  <c r="J2050" i="14" s="1"/>
  <c r="N2051" i="14"/>
  <c r="K1866" i="13" l="1"/>
  <c r="L1866" i="13" s="1"/>
  <c r="I1867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89" i="14" l="1"/>
  <c r="L1889" i="14" s="1"/>
  <c r="I1890" i="14" s="1"/>
  <c r="K1867" i="13"/>
  <c r="L1867" i="13" s="1"/>
  <c r="I1868" i="13" s="1"/>
  <c r="N2054" i="13"/>
  <c r="J2053" i="13" a="1"/>
  <c r="J2053" i="13" s="1"/>
  <c r="J2052" i="14" a="1"/>
  <c r="J2052" i="14" s="1"/>
  <c r="N2053" i="14"/>
  <c r="M2056" i="13"/>
  <c r="M2057" i="14"/>
  <c r="K1868" i="13" l="1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<sst xmlns="http://schemas.openxmlformats.org/spreadsheetml/2006/main" count="2826" uniqueCount="877">
  <si>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</si>
  <si>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</si>
  <si>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</si>
  <si>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</si>
  <si>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</si>
  <si>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</si>
  <si>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</si>
  <si>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</si>
  <si>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</si>
  <si>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</si>
  <si>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</si>
  <si>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</si>
  <si>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</si>
  <si>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</si>
  <si>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</si>
  <si>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</si>
  <si>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</si>
  <si>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</si>
  <si>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</si>
  <si>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</si>
  <si>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</si>
  <si>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</si>
  <si>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</si>
  <si>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</si>
  <si>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</si>
  <si>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</si>
  <si>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</si>
  <si>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</si>
  <si>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</si>
  <si>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</si>
  <si>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</si>
  <si>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</si>
  <si>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</si>
  <si>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</si>
  <si>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</si>
  <si>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</si>
  <si>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</si>
  <si>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</si>
  <si>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</si>
  <si>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</si>
  <si>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</si>
  <si>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</si>
  <si>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</si>
  <si>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</si>
  <si>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</si>
  <si>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</si>
  <si>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</si>
  <si>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</si>
  <si>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</si>
  <si>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</si>
  <si>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</si>
  <si>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</si>
  <si>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</si>
  <si>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</si>
  <si>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</si>
  <si>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</si>
  <si>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</si>
  <si>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</si>
  <si>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</si>
  <si>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</si>
  <si>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</si>
  <si>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</si>
  <si>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</si>
  <si>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</si>
  <si>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</si>
  <si>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</si>
  <si>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</si>
  <si>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</si>
  <si>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</si>
  <si>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</si>
  <si>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</si>
  <si>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</si>
  <si>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</si>
  <si>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</si>
  <si>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</si>
  <si>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</si>
  <si>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</si>
  <si>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</si>
  <si>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</si>
  <si>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</si>
  <si>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</si>
  <si>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</si>
  <si>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</si>
  <si>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</si>
  <si>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</si>
  <si>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</si>
  <si>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</si>
  <si>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</si>
  <si>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</si>
  <si>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</si>
  <si>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</si>
  <si>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</si>
  <si>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</si>
  <si>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</si>
  <si>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</si>
  <si>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</si>
  <si>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</si>
  <si>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</si>
  <si>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</si>
  <si>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</si>
  <si>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</si>
  <si>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</si>
  <si>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</si>
  <si>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</si>
  <si>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</si>
  <si>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</si>
  <si>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</si>
  <si>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</si>
  <si>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</si>
  <si>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</si>
  <si>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</si>
  <si>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</si>
  <si>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</si>
  <si>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</si>
  <si>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</si>
  <si>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</si>
  <si>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</si>
  <si>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</si>
  <si>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</si>
  <si>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</si>
  <si>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</si>
  <si>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</si>
  <si>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</si>
  <si>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</si>
  <si>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</si>
  <si>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</si>
  <si>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</si>
  <si>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</si>
  <si>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</si>
  <si>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</si>
  <si>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</si>
  <si>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</si>
  <si>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</si>
  <si>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</si>
  <si>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</si>
  <si>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</si>
  <si>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</si>
  <si>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</si>
  <si>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</si>
  <si>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</si>
  <si>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</si>
  <si>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</si>
  <si>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</si>
  <si>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</si>
  <si>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</si>
  <si>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</si>
  <si>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</si>
  <si>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</si>
  <si>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</si>
  <si>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</si>
  <si>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</si>
  <si>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</si>
  <si>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</si>
  <si>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</si>
  <si>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</si>
  <si>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</si>
  <si>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</si>
  <si>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</si>
  <si>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</si>
  <si>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</si>
  <si>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</si>
  <si>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</si>
  <si>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</si>
  <si>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</si>
  <si>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</si>
  <si>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</si>
  <si>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</si>
  <si>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</si>
  <si>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</si>
  <si>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</si>
  <si>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</si>
  <si>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</si>
  <si>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</si>
  <si>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</si>
  <si>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</si>
  <si>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</si>
  <si>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</si>
  <si>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</si>
  <si>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</si>
  <si>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</si>
  <si>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</si>
  <si>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</si>
  <si>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</si>
  <si>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</si>
  <si>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</si>
  <si>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</si>
  <si>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</si>
  <si>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</si>
  <si>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</si>
  <si>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</si>
  <si>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</si>
  <si>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</si>
  <si>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</si>
  <si>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</si>
  <si>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</si>
  <si>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</si>
  <si>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</si>
  <si>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</si>
  <si>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</si>
  <si>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</si>
  <si>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</si>
  <si>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</si>
  <si>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</si>
  <si>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</si>
  <si>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</si>
  <si>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</si>
  <si>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</si>
  <si>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</si>
  <si>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</si>
  <si>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</si>
  <si>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</si>
  <si>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</si>
  <si>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</si>
  <si>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</si>
  <si>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</si>
  <si>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</si>
  <si>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</si>
  <si>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</si>
  <si>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</si>
  <si>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</si>
  <si>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</si>
  <si>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</si>
  <si>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</si>
  <si>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</si>
  <si>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</si>
  <si>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</si>
  <si>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</si>
  <si>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</si>
  <si>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</si>
  <si>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</si>
  <si>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</si>
  <si>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</si>
  <si>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</si>
  <si>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</si>
  <si>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</si>
  <si>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</si>
  <si>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</si>
  <si>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</si>
  <si>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</si>
  <si>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</si>
  <si>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</si>
  <si>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</si>
  <si>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</si>
  <si>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</si>
  <si>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</si>
  <si>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</si>
  <si>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</si>
  <si>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</si>
  <si>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</si>
  <si>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</si>
  <si>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</si>
  <si>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</si>
  <si>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</si>
  <si>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</si>
  <si>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</si>
  <si>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</si>
  <si>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</si>
  <si>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</si>
  <si>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</si>
  <si>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</si>
  <si>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</si>
  <si>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</si>
  <si>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</si>
  <si>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</si>
  <si>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</si>
  <si>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</si>
  <si>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</si>
  <si>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</si>
  <si>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</si>
  <si>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</si>
  <si>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</si>
  <si>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</si>
  <si>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</si>
  <si>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</si>
  <si>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</si>
  <si>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</si>
  <si>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</si>
  <si>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</si>
  <si>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</si>
  <si>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</si>
  <si>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</si>
  <si>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</si>
  <si>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</si>
  <si>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</si>
  <si>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</si>
  <si>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</si>
  <si>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</si>
  <si>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</si>
  <si>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</si>
  <si>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</si>
  <si>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</si>
  <si>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</si>
  <si>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</si>
  <si>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</si>
  <si>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</si>
  <si>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</si>
  <si>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</si>
  <si>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</si>
  <si>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</si>
  <si>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</si>
  <si>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</si>
  <si>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</si>
  <si>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</si>
  <si>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</si>
  <si>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</si>
  <si>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</si>
  <si>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Amazon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</si>
  <si>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</si>
  <si>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</si>
  <si>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</si>
  <si>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</si>
  <si>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</si>
  <si>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</si>
  <si>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</si>
  <si>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</si>
  <si>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</si>
  <si>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</si>
  <si>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CashApp - Yasmary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</si>
  <si>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</si>
  <si>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</si>
  <si>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</si>
  <si>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</si>
  <si>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</si>
  <si>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</si>
  <si>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</si>
  <si>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</si>
  <si>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Regan Cash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</si>
  <si>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</si>
  <si>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</si>
  <si>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</si>
  <si>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</si>
  <si>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</si>
  <si>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</si>
  <si>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</si>
  <si>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AppleTV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</si>
  <si>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</si>
  <si>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</si>
  <si>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</si>
  <si>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</si>
  <si>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</si>
  <si>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</si>
  <si>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</si>
  <si>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</si>
  <si>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</si>
  <si>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</si>
  <si>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</si>
  <si>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</si>
  <si>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</si>
  <si>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</si>
  <si>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</si>
  <si>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</si>
  <si>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</si>
  <si>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</si>
  <si>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</si>
  <si>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</si>
  <si>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</si>
  <si>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</si>
  <si>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</si>
  <si>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</si>
  <si>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</si>
  <si>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</si>
  <si>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</si>
  <si>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</si>
  <si>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</si>
  <si>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</si>
  <si>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</si>
  <si>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</si>
  <si>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</si>
  <si>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</si>
  <si>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</si>
  <si>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</si>
  <si>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</si>
  <si>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</si>
  <si>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</si>
  <si>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</si>
  <si>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</si>
  <si>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</si>
  <si>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</si>
  <si>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</si>
  <si>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</si>
  <si>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</si>
  <si>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</si>
  <si>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</si>
  <si>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</si>
  <si>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</si>
  <si>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</si>
  <si>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</si>
  <si>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</si>
  <si>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</si>
  <si>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</si>
  <si>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</si>
  <si>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</si>
  <si>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</si>
  <si>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</si>
  <si>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</si>
  <si>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</si>
  <si>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</si>
  <si>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</si>
  <si>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</si>
  <si>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</si>
  <si>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</si>
  <si>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Julie - Can Insruance</t>
  </si>
  <si>
    <t>Lowes</t>
  </si>
  <si>
    <t>Action Network</t>
  </si>
  <si>
    <t>Northfield Park</t>
  </si>
  <si>
    <t>Amazon Digital Services</t>
  </si>
  <si>
    <t>Disney Plus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</si>
  <si>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</si>
  <si>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</si>
  <si>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</si>
  <si>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</si>
  <si>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</si>
  <si>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</si>
  <si>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</si>
  <si>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</si>
  <si>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</si>
  <si>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</si>
  <si>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</si>
  <si>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</si>
  <si>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</si>
  <si>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</si>
  <si>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</si>
  <si>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</si>
  <si>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</si>
  <si>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</si>
  <si>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</si>
  <si>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</si>
  <si>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</si>
  <si>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</si>
  <si>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</si>
  <si>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</si>
  <si>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</si>
  <si>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</si>
  <si>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</si>
  <si>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</si>
  <si>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</si>
  <si>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</si>
  <si>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EZ Pass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</si>
  <si>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</si>
  <si>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</si>
  <si>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</si>
  <si>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</si>
  <si>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</si>
  <si>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</si>
  <si>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</si>
  <si>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</si>
  <si>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</si>
  <si>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</si>
  <si>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</si>
  <si>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</si>
  <si>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</si>
  <si>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</si>
  <si>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</si>
  <si>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</si>
  <si>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</si>
  <si>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</si>
  <si>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First Energy - Main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</si>
  <si>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</si>
  <si>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</si>
  <si>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</si>
  <si>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</si>
  <si>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</si>
  <si>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</si>
  <si>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</si>
  <si>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</si>
  <si>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</si>
  <si>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</si>
  <si>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</si>
  <si>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</si>
  <si>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</si>
  <si>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CashApp - Superbowl Squares</t>
  </si>
  <si>
    <t>Frontier Airlines</t>
  </si>
  <si>
    <t>Home Depot - Kitchen Remodel</t>
  </si>
  <si>
    <t>Shotz Bar</t>
  </si>
  <si>
    <t>Transfer to Venmo - Kathleen Chambers;Challenge</t>
  </si>
  <si>
    <t>CashApp - Starbucks</t>
  </si>
  <si>
    <t>CashApp - McDonalds</t>
  </si>
  <si>
    <t>Sorrento</t>
  </si>
  <si>
    <t>Cash from Casino</t>
  </si>
  <si>
    <t>Garretts Mill Diner</t>
  </si>
  <si>
    <t>Accelerated Fitness</t>
  </si>
  <si>
    <t>Guard Hotel</t>
  </si>
  <si>
    <t>Prime Video</t>
  </si>
  <si>
    <t>Fairview Tavern</t>
  </si>
  <si>
    <t>PJ McIntyres</t>
  </si>
  <si>
    <t>Zack Drzik - Oil Change</t>
  </si>
  <si>
    <t>Winking Lizard</t>
  </si>
  <si>
    <t>January Rent</t>
  </si>
  <si>
    <t>Heinens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</si>
  <si>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</si>
  <si>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</si>
  <si>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</si>
  <si>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</si>
  <si>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</si>
  <si>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</si>
  <si>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</si>
  <si>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</si>
  <si>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</si>
  <si>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</si>
  <si>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</si>
  <si>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</si>
  <si>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</si>
  <si>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</si>
  <si>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</si>
  <si>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</si>
  <si>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</si>
  <si>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</si>
  <si>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</si>
  <si>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</si>
  <si>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</si>
  <si>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</si>
  <si>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</si>
  <si>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</si>
  <si>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</si>
  <si>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</si>
  <si>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</si>
  <si>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</si>
  <si>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</si>
  <si>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</si>
  <si>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</si>
  <si>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</si>
  <si>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</si>
  <si>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</si>
  <si>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</si>
  <si>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</si>
  <si>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</si>
  <si>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</si>
  <si>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</si>
  <si>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</si>
  <si>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</si>
  <si>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</si>
  <si>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</si>
  <si>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</si>
  <si>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</si>
  <si>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</si>
  <si>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</si>
  <si>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</si>
  <si>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</si>
  <si>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</si>
  <si>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</si>
  <si>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</si>
  <si>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</si>
  <si>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</si>
  <si>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</si>
  <si>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</si>
  <si>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</si>
  <si>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</si>
  <si>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</si>
  <si>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</si>
  <si>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</si>
  <si>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</si>
  <si>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</si>
  <si>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</si>
  <si>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</si>
  <si>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</si>
  <si>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</si>
  <si>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</si>
  <si>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</si>
  <si>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</si>
  <si>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</si>
  <si>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</si>
  <si>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</si>
  <si>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</si>
  <si>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</si>
  <si>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</si>
  <si>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</si>
  <si>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</si>
  <si>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</si>
  <si>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</si>
  <si>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</si>
  <si>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</si>
  <si>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</si>
  <si>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</si>
  <si>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</si>
  <si>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</si>
  <si>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</si>
  <si>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</si>
  <si>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</si>
  <si>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</si>
  <si>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</si>
  <si>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</si>
  <si>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</si>
  <si>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</si>
  <si>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</si>
  <si>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</si>
  <si>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</si>
  <si>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</si>
  <si>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</si>
  <si>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</si>
  <si>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</si>
  <si>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</si>
  <si>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</si>
  <si>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</si>
  <si>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</si>
  <si>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</si>
  <si>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</si>
  <si>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</si>
  <si>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</si>
  <si>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</si>
  <si>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</si>
  <si>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</si>
  <si>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</si>
  <si>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</si>
  <si>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</si>
  <si>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</si>
  <si>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</si>
  <si>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</si>
  <si>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</si>
  <si>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</si>
  <si>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</si>
  <si>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</si>
  <si>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</si>
  <si>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</si>
  <si>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</si>
  <si>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</si>
  <si>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</si>
  <si>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</si>
  <si>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</si>
  <si>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</si>
  <si>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</si>
  <si>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</si>
  <si>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</si>
  <si>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</si>
  <si>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</si>
  <si>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</si>
  <si>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</si>
  <si>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</si>
  <si>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</si>
  <si>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</si>
  <si>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</si>
  <si>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</si>
  <si>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</si>
  <si>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</si>
  <si>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</si>
  <si>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</si>
  <si>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</si>
  <si>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</si>
  <si>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</si>
  <si>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</si>
  <si>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</si>
  <si>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</si>
  <si>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</si>
  <si>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</si>
  <si>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</si>
  <si>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</si>
  <si>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</si>
  <si>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</si>
  <si>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</si>
  <si>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</si>
  <si>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</si>
  <si>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</si>
  <si>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</si>
  <si>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</si>
  <si>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</si>
  <si>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</si>
  <si>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</si>
  <si>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</si>
  <si>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</si>
  <si>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</si>
  <si>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</si>
  <si>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</si>
  <si>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</si>
  <si>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</si>
  <si>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</si>
  <si>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</si>
  <si>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</si>
  <si>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</si>
  <si>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</si>
  <si>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</si>
  <si>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</si>
  <si>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</si>
  <si>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</si>
  <si>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</si>
  <si>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</si>
  <si>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</si>
  <si>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</si>
  <si>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</si>
  <si>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</si>
  <si>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</si>
  <si>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</si>
  <si>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</si>
  <si>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</si>
  <si>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</si>
  <si>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</si>
  <si>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</si>
  <si>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</si>
  <si>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</si>
  <si>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</si>
  <si>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</si>
  <si>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</si>
  <si>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</si>
  <si>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</si>
  <si>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</si>
  <si>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</si>
  <si>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</si>
  <si>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</si>
  <si>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</si>
  <si>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</si>
  <si>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</si>
  <si>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</si>
  <si>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</si>
  <si>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</si>
  <si>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</si>
  <si>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</si>
  <si>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</si>
  <si>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</si>
  <si>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</si>
  <si>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</si>
  <si>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</si>
  <si>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</si>
  <si>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</si>
  <si>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</si>
  <si>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</si>
  <si>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</si>
  <si>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</si>
  <si>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</si>
  <si>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</si>
  <si>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</si>
  <si>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</si>
  <si>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</si>
  <si>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</si>
  <si>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</si>
  <si>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</si>
  <si>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</si>
  <si>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</si>
  <si>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</si>
  <si>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</si>
  <si>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</si>
  <si>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</si>
  <si>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</si>
  <si>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</si>
  <si>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</si>
  <si>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</si>
  <si>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</si>
  <si>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</si>
  <si>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</si>
  <si>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</si>
  <si>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</si>
  <si>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</si>
  <si>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</si>
  <si>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</si>
  <si>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</si>
  <si>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</si>
  <si>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</si>
  <si>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</si>
  <si>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</si>
  <si>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</si>
  <si>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</si>
  <si>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</si>
  <si>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</si>
  <si>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</si>
  <si>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</si>
  <si>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</si>
  <si>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</si>
  <si>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</si>
  <si>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</si>
  <si>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</si>
  <si>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</si>
  <si>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</si>
  <si>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</si>
  <si>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</si>
  <si>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</si>
  <si>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</si>
  <si>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</si>
  <si>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</si>
  <si>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</si>
  <si>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</si>
  <si>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</si>
  <si>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</si>
  <si>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</si>
  <si>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</si>
  <si>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</si>
  <si>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</si>
  <si>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</si>
  <si>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</si>
  <si>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</si>
  <si>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</si>
  <si>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</si>
  <si>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</si>
  <si>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</si>
  <si>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</si>
  <si>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</si>
  <si>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</si>
  <si>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</si>
  <si>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</si>
  <si>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</si>
  <si>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</si>
  <si>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</si>
  <si>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</si>
  <si>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</si>
  <si>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</si>
  <si>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</si>
  <si>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</si>
  <si>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</si>
  <si>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</si>
  <si>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</si>
  <si>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</si>
  <si>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</si>
  <si>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</si>
  <si>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</si>
  <si>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</si>
  <si>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</si>
  <si>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</si>
  <si>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</si>
  <si>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</si>
  <si>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</si>
  <si>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</si>
  <si>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</si>
  <si>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</si>
  <si>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</si>
  <si>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</si>
  <si>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</si>
  <si>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</si>
  <si>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</si>
  <si>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</si>
  <si>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</si>
  <si>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</si>
  <si>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</si>
  <si>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</si>
  <si>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</si>
  <si>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</si>
  <si>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</si>
  <si>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</si>
  <si>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</si>
  <si>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</si>
  <si>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</si>
  <si>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</si>
  <si>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</si>
  <si>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</si>
  <si>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</si>
  <si>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</si>
  <si>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</si>
  <si>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</si>
  <si>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</si>
  <si>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</si>
  <si>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</si>
  <si>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</si>
  <si>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</si>
  <si>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</si>
  <si>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</si>
  <si>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</si>
  <si>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</si>
  <si>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</si>
  <si>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</si>
  <si>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</si>
  <si>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Amazon Kindle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</si>
  <si>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</si>
  <si>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</si>
  <si>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</si>
  <si>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</si>
  <si>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</si>
  <si>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</si>
  <si>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</si>
  <si>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</si>
  <si>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</si>
  <si>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</si>
  <si>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</si>
  <si>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GM Financial (2 payments left)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</si>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</sst>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81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44" fontId="6" fillId="3" borderId="25" xfId="0" applyNumberFormat="1" applyFont="1" applyFill="1" applyBorder="1" applyAlignment="1">
      <alignment horizontal="center"/>
    </xf>
    <xf numFmtId="10" fontId="6" fillId="3" borderId="25" xfId="0" applyNumberFormat="1" applyFont="1" applyFill="1" applyBorder="1" applyAlignment="1">
      <alignment horizontal="center"/>
    </xf>
    <xf numFmtId="44" fontId="6" fillId="4" borderId="25" xfId="0" applyNumberFormat="1" applyFont="1" applyFill="1" applyBorder="1" applyAlignment="1">
      <alignment horizontal="center"/>
    </xf>
    <xf numFmtId="10" fontId="6" fillId="4" borderId="5" xfId="0" applyNumberFormat="1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44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 applyAlignment="1">
      <alignment horizontal="center"/>
    </xf>
    <xf numFmtId="164" fontId="6" fillId="2" borderId="36" xfId="0" applyFont="1" applyFill="1" applyBorder="1"/>
    <xf numFmtId="44" fontId="6" fillId="3" borderId="37" xfId="0" applyNumberFormat="1" applyFont="1" applyFill="1" applyBorder="1" applyAlignment="1">
      <alignment horizontal="center"/>
    </xf>
    <xf numFmtId="10" fontId="6" fillId="3" borderId="37" xfId="0" applyNumberFormat="1" applyFont="1" applyFill="1" applyBorder="1" applyAlignment="1">
      <alignment horizontal="center"/>
    </xf>
    <xf numFmtId="44" fontId="6" fillId="4" borderId="37" xfId="0" applyNumberFormat="1" applyFont="1" applyFill="1" applyBorder="1" applyAlignment="1">
      <alignment horizontal="center"/>
    </xf>
    <xf numFmtId="10" fontId="6" fillId="4" borderId="38" xfId="0" applyNumberFormat="1" applyFont="1" applyFill="1" applyBorder="1" applyAlignment="1">
      <alignment horizontal="center"/>
    </xf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9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40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41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40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3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4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3" xfId="0" applyNumberFormat="1" applyFont="1" applyFill="1" applyBorder="1" applyAlignment="1">
      <alignment horizontal="center"/>
    </xf>
    <xf numFmtId="44" fontId="11" fillId="9" borderId="45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3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41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41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40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4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4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3" xfId="0" applyNumberFormat="1" applyFont="1" applyFill="1" applyBorder="1"/>
    <xf numFmtId="44" fontId="11" fillId="13" borderId="11" xfId="0" applyNumberFormat="1" applyFont="1" applyFill="1" applyBorder="1"/>
    <xf numFmtId="164" fontId="11" fillId="5" borderId="46" xfId="0" applyFont="1" applyFill="1" applyBorder="1"/>
    <xf numFmtId="1" fontId="11" fillId="5" borderId="46" xfId="0" applyNumberFormat="1" applyFont="1" applyFill="1" applyBorder="1"/>
    <xf numFmtId="16" fontId="11" fillId="5" borderId="46" xfId="0" applyNumberFormat="1" applyFont="1" applyFill="1" applyBorder="1" applyAlignment="1">
      <alignment horizontal="left" vertical="center"/>
    </xf>
    <xf numFmtId="16" fontId="11" fillId="5" borderId="46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5" xfId="0" applyNumberFormat="1" applyFont="1" applyFill="1" applyBorder="1" applyAlignment="1">
      <alignment horizontal="left" vertical="center"/>
    </xf>
    <xf numFmtId="16" fontId="11" fillId="5" borderId="45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5" xfId="0" applyFont="1" applyFill="1" applyBorder="1" applyAlignment="1">
      <alignment horizontal="left" vertical="center"/>
    </xf>
    <xf numFmtId="164" fontId="11" fillId="5" borderId="45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5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5" xfId="0" applyNumberFormat="1" applyFont="1" applyFill="1" applyBorder="1" applyAlignment="1">
      <alignment horizontal="center" vertical="center"/>
    </xf>
    <xf numFmtId="44" fontId="12" fillId="5" borderId="45" xfId="0" applyNumberFormat="1" applyFont="1" applyFill="1" applyBorder="1" applyAlignment="1">
      <alignment horizontal="center"/>
    </xf>
    <xf numFmtId="164" fontId="12" fillId="5" borderId="45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6" xfId="0" applyNumberFormat="1" applyFont="1" applyFill="1" applyBorder="1"/>
    <xf numFmtId="44" fontId="13" fillId="10" borderId="46" xfId="0" applyNumberFormat="1" applyFont="1" applyFill="1" applyBorder="1"/>
    <xf numFmtId="164" fontId="13" fillId="13" borderId="46" xfId="0" applyFont="1" applyFill="1" applyBorder="1"/>
    <xf numFmtId="44" fontId="13" fillId="13" borderId="46" xfId="0" applyNumberFormat="1" applyFont="1" applyFill="1" applyBorder="1"/>
    <xf numFmtId="164" fontId="13" fillId="15" borderId="46" xfId="0" applyFont="1" applyFill="1" applyBorder="1"/>
    <xf numFmtId="44" fontId="13" fillId="15" borderId="46" xfId="0" applyNumberFormat="1" applyFont="1" applyFill="1" applyBorder="1"/>
    <xf numFmtId="164" fontId="13" fillId="8" borderId="46" xfId="0" applyFont="1" applyFill="1" applyBorder="1"/>
    <xf numFmtId="44" fontId="13" fillId="8" borderId="46" xfId="0" applyNumberFormat="1" applyFont="1" applyFill="1" applyBorder="1"/>
    <xf numFmtId="164" fontId="13" fillId="12" borderId="46" xfId="0" applyFont="1" applyFill="1" applyBorder="1"/>
    <xf numFmtId="44" fontId="13" fillId="12" borderId="46" xfId="0" applyNumberFormat="1" applyFont="1" applyFill="1" applyBorder="1"/>
    <xf numFmtId="164" fontId="13" fillId="9" borderId="46" xfId="0" applyFont="1" applyFill="1" applyBorder="1"/>
    <xf numFmtId="44" fontId="13" fillId="9" borderId="46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5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5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5" xfId="0" applyNumberFormat="1" applyFont="1" applyFill="1" applyBorder="1" applyAlignment="1">
      <alignment horizontal="center"/>
    </xf>
    <xf numFmtId="165" fontId="11" fillId="5" borderId="45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5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5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9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7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6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6" xfId="0" applyNumberFormat="1" applyFont="1" applyFill="1" applyBorder="1" applyAlignment="1">
      <alignment horizontal="center"/>
    </xf>
    <xf numFmtId="165" fontId="12" fillId="18" borderId="46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6" xfId="0" applyNumberFormat="1" applyFont="1" applyFill="1" applyBorder="1" applyAlignment="1">
      <alignment horizontal="center"/>
    </xf>
    <xf numFmtId="165" fontId="6" fillId="4" borderId="46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6" xfId="0" applyNumberFormat="1" applyFont="1" applyFill="1" applyBorder="1"/>
    <xf numFmtId="165" fontId="6" fillId="2" borderId="46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7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8" xfId="0" applyNumberFormat="1" applyFont="1" applyBorder="1"/>
    <xf numFmtId="164" fontId="13" fillId="0" borderId="47" xfId="0" applyFont="1" applyBorder="1" applyAlignment="1">
      <alignment horizontal="center"/>
    </xf>
    <xf numFmtId="44" fontId="13" fillId="0" borderId="47" xfId="0" applyNumberFormat="1" applyFont="1" applyBorder="1" applyAlignment="1">
      <alignment horizontal="center"/>
    </xf>
    <xf numFmtId="164" fontId="13" fillId="12" borderId="47" xfId="0" applyFont="1" applyFill="1" applyBorder="1" applyAlignment="1">
      <alignment horizontal="center"/>
    </xf>
    <xf numFmtId="165" fontId="11" fillId="4" borderId="47" xfId="0" applyNumberFormat="1" applyFont="1" applyFill="1" applyBorder="1" applyAlignment="1">
      <alignment horizontal="center"/>
    </xf>
    <xf numFmtId="165" fontId="11" fillId="14" borderId="47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7" xfId="0" applyNumberFormat="1" applyFont="1" applyFill="1" applyBorder="1" applyAlignment="1">
      <alignment horizontal="center"/>
    </xf>
    <xf numFmtId="8" fontId="11" fillId="14" borderId="47" xfId="0" applyNumberFormat="1" applyFont="1" applyFill="1" applyBorder="1" applyAlignment="1">
      <alignment horizontal="center"/>
    </xf>
    <xf numFmtId="8" fontId="11" fillId="3" borderId="47" xfId="0" applyNumberFormat="1" applyFont="1" applyFill="1" applyBorder="1" applyAlignment="1">
      <alignment horizontal="center"/>
    </xf>
    <xf numFmtId="164" fontId="14" fillId="0" borderId="47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50" xfId="0" applyNumberFormat="1" applyFont="1" applyFill="1" applyBorder="1" applyAlignment="1">
      <alignment horizontal="center"/>
    </xf>
    <xf numFmtId="0" fontId="5" fillId="0" borderId="51" xfId="0" applyNumberFormat="1" applyFont="1" applyBorder="1"/>
    <xf numFmtId="0" fontId="5" fillId="0" borderId="52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D1" sqref="D1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35" bestFit="1" customWidth="1"/>
    <col min="4" max="7" width="11.33203125" bestFit="1" customWidth="1"/>
  </cols>
  <sheetData>
    <row r="1" spans="1:3" x14ac:dyDescent="0.3">
      <c r="A1" t="s">
        <v>790</v>
      </c>
      <c r="B1" t="s">
        <v>820</v>
      </c>
      <c r="C1" s="534" t="s">
        <v>844</v>
      </c>
    </row>
    <row r="2" spans="1:3" x14ac:dyDescent="0.3">
      <c r="A2" t="s">
        <v>106</v>
      </c>
      <c r="B2" t="s">
        <v>821</v>
      </c>
      <c r="C2" s="535">
        <v>1975.0252370000001</v>
      </c>
    </row>
    <row r="3" spans="1:3" x14ac:dyDescent="0.3">
      <c r="A3" t="s">
        <v>106</v>
      </c>
      <c r="B3" t="s">
        <v>822</v>
      </c>
      <c r="C3" s="535">
        <v>951.31528000000003</v>
      </c>
    </row>
    <row r="4" spans="1:3" x14ac:dyDescent="0.3">
      <c r="A4" t="s">
        <v>106</v>
      </c>
      <c r="B4" t="s">
        <v>823</v>
      </c>
      <c r="C4" s="535">
        <v>1353.018769</v>
      </c>
    </row>
    <row r="5" spans="1:3" x14ac:dyDescent="0.3">
      <c r="A5" t="s">
        <v>824</v>
      </c>
      <c r="B5" t="s">
        <v>821</v>
      </c>
      <c r="C5" s="535">
        <v>461.22561999999999</v>
      </c>
    </row>
    <row r="6" spans="1:3" x14ac:dyDescent="0.3">
      <c r="A6" t="s">
        <v>824</v>
      </c>
      <c r="B6" t="s">
        <v>822</v>
      </c>
      <c r="C6" s="535">
        <v>733.12704199999996</v>
      </c>
    </row>
    <row r="7" spans="1:3" x14ac:dyDescent="0.3">
      <c r="A7" t="s">
        <v>826</v>
      </c>
      <c r="B7" t="s">
        <v>825</v>
      </c>
      <c r="C7" s="535">
        <v>203.505</v>
      </c>
    </row>
    <row r="8" spans="1:3" x14ac:dyDescent="0.3">
      <c r="A8" t="s">
        <v>826</v>
      </c>
      <c r="B8" t="s">
        <v>827</v>
      </c>
      <c r="C8" s="535">
        <v>1217.0540000000001</v>
      </c>
    </row>
    <row r="9" spans="1:3" x14ac:dyDescent="0.3">
      <c r="A9" t="s">
        <v>826</v>
      </c>
      <c r="B9" t="s">
        <v>828</v>
      </c>
      <c r="C9" s="535">
        <v>138.60499999999999</v>
      </c>
    </row>
    <row r="10" spans="1:3" x14ac:dyDescent="0.3">
      <c r="A10" t="s">
        <v>829</v>
      </c>
      <c r="B10" t="s">
        <v>827</v>
      </c>
      <c r="C10" s="535">
        <v>677.71900000000005</v>
      </c>
    </row>
    <row r="11" spans="1:3" x14ac:dyDescent="0.3">
      <c r="A11" t="s">
        <v>54</v>
      </c>
      <c r="B11" t="s">
        <v>830</v>
      </c>
      <c r="C11" s="535">
        <v>50.346319999999999</v>
      </c>
    </row>
    <row r="12" spans="1:3" x14ac:dyDescent="0.3">
      <c r="A12" t="s">
        <v>54</v>
      </c>
      <c r="B12" t="s">
        <v>831</v>
      </c>
      <c r="C12" s="535">
        <v>32.164059999999999</v>
      </c>
    </row>
    <row r="13" spans="1:3" x14ac:dyDescent="0.3">
      <c r="A13" t="s">
        <v>54</v>
      </c>
      <c r="B13" t="s">
        <v>832</v>
      </c>
      <c r="C13" s="535">
        <v>224.54397</v>
      </c>
    </row>
    <row r="14" spans="1:3" x14ac:dyDescent="0.3">
      <c r="A14" t="s">
        <v>54</v>
      </c>
      <c r="B14" t="s">
        <v>833</v>
      </c>
      <c r="C14" s="535">
        <v>211.67348999999999</v>
      </c>
    </row>
    <row r="15" spans="1:3" x14ac:dyDescent="0.3">
      <c r="A15" t="s">
        <v>54</v>
      </c>
      <c r="B15" t="s">
        <v>834</v>
      </c>
      <c r="C15" s="535">
        <v>204.95385999999999</v>
      </c>
    </row>
    <row r="16" spans="1:3" x14ac:dyDescent="0.3">
      <c r="A16" t="s">
        <v>59</v>
      </c>
      <c r="B16" t="s">
        <v>835</v>
      </c>
      <c r="C16" s="535">
        <v>0.10882</v>
      </c>
    </row>
    <row r="17" spans="1:3" x14ac:dyDescent="0.3">
      <c r="A17" t="s">
        <v>59</v>
      </c>
      <c r="B17" t="s">
        <v>836</v>
      </c>
      <c r="C17" s="535">
        <v>1.6377699999999999</v>
      </c>
    </row>
    <row r="18" spans="1:3" x14ac:dyDescent="0.3">
      <c r="A18" t="s">
        <v>59</v>
      </c>
      <c r="B18" t="s">
        <v>837</v>
      </c>
      <c r="C18" s="535">
        <v>22.54139</v>
      </c>
    </row>
    <row r="19" spans="1:3" x14ac:dyDescent="0.3">
      <c r="A19" t="s">
        <v>59</v>
      </c>
      <c r="B19" t="s">
        <v>838</v>
      </c>
      <c r="C19" s="535">
        <v>5.2892619999999999</v>
      </c>
    </row>
    <row r="20" spans="1:3" x14ac:dyDescent="0.3">
      <c r="A20" t="s">
        <v>59</v>
      </c>
      <c r="B20" t="s">
        <v>839</v>
      </c>
      <c r="C20" s="535">
        <v>32.208689999999997</v>
      </c>
    </row>
    <row r="21" spans="1:3" x14ac:dyDescent="0.3">
      <c r="A21" t="s">
        <v>59</v>
      </c>
      <c r="B21" t="s">
        <v>840</v>
      </c>
      <c r="C21" s="535">
        <v>144.69972000000001</v>
      </c>
    </row>
    <row r="22" spans="1:3" x14ac:dyDescent="0.3">
      <c r="A22" t="s">
        <v>59</v>
      </c>
      <c r="B22" t="s">
        <v>841</v>
      </c>
      <c r="C22" s="535">
        <v>364.74335000000002</v>
      </c>
    </row>
    <row r="23" spans="1:3" x14ac:dyDescent="0.3">
      <c r="A23" s="532" t="s">
        <v>842</v>
      </c>
      <c r="B23" s="532" t="s">
        <v>830</v>
      </c>
      <c r="C23" s="535">
        <v>8.55701</v>
      </c>
    </row>
    <row r="24" spans="1:3" x14ac:dyDescent="0.3">
      <c r="A24" s="532" t="s">
        <v>842</v>
      </c>
      <c r="B24" s="532" t="s">
        <v>832</v>
      </c>
      <c r="C24" s="535">
        <v>25.439640000000001</v>
      </c>
    </row>
    <row r="25" spans="1:3" x14ac:dyDescent="0.3">
      <c r="A25" s="532" t="s">
        <v>842</v>
      </c>
      <c r="B25" s="532" t="s">
        <v>843</v>
      </c>
      <c r="C25" s="535">
        <v>29.35069</v>
      </c>
    </row>
    <row r="26" spans="1:3" x14ac:dyDescent="0.3">
      <c r="A26" s="532" t="s">
        <v>842</v>
      </c>
      <c r="B26" s="532" t="s">
        <v>833</v>
      </c>
      <c r="C26" s="535">
        <v>22.982579999999999</v>
      </c>
    </row>
    <row r="27" spans="1:3" x14ac:dyDescent="0.3">
      <c r="A27" s="532" t="s">
        <v>842</v>
      </c>
      <c r="B27" s="532" t="s">
        <v>834</v>
      </c>
      <c r="C27" s="535">
        <v>18.57837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I26" sqref="I26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2" t="s">
        <v>34</v>
      </c>
      <c r="B1" s="553"/>
      <c r="C1" s="554"/>
      <c r="E1" s="5" t="s">
        <v>35</v>
      </c>
      <c r="F1" s="6">
        <f ca="1">SUM($B$7,$B$19,$B$26,$B$31,$B$38)</f>
        <v>1697738.46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46157</v>
      </c>
      <c r="E2" s="13" t="s">
        <v>40</v>
      </c>
      <c r="F2" s="16">
        <f>F14</f>
        <v>184020.32</v>
      </c>
      <c r="H2" s="17"/>
      <c r="J2" s="18" t="s">
        <v>41</v>
      </c>
      <c r="K2" s="19">
        <v>0.75</v>
      </c>
      <c r="L2" s="20">
        <f>K5/(K5+K6)</f>
        <v>0.82559561516504409</v>
      </c>
      <c r="N2" s="21" t="s">
        <v>42</v>
      </c>
      <c r="O2" s="22">
        <f>B12-O1</f>
        <v>-9575</v>
      </c>
      <c r="P2" s="11"/>
      <c r="Q2" s="23" t="s">
        <v>43</v>
      </c>
      <c r="R2" s="23">
        <f ca="1">E20*(1+$Q$1)</f>
        <v>1740775.8609999998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46157</v>
      </c>
      <c r="E3" s="21" t="s">
        <v>45</v>
      </c>
      <c r="F3" s="22">
        <f ca="1">F1-F2</f>
        <v>1513718.14</v>
      </c>
      <c r="H3" s="17"/>
      <c r="J3" s="18" t="s">
        <v>46</v>
      </c>
      <c r="K3" s="19">
        <v>0.25</v>
      </c>
      <c r="L3" s="20">
        <f>K6/(K5+K6)</f>
        <v>0.17440438483495588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2001892.2401499995</v>
      </c>
    </row>
    <row r="4" spans="1:18" ht="14.4" x14ac:dyDescent="0.3">
      <c r="A4" s="13" t="s">
        <v>49</v>
      </c>
      <c r="B4" s="14">
        <v>0</v>
      </c>
      <c r="C4" s="15">
        <f t="shared" ca="1" si="0"/>
        <v>46157</v>
      </c>
      <c r="F4" s="7"/>
      <c r="H4" s="17"/>
      <c r="J4" s="24"/>
      <c r="K4" s="25"/>
      <c r="L4" s="26"/>
      <c r="N4" s="27" t="s">
        <v>50</v>
      </c>
      <c r="O4" s="28">
        <f>B10-O3</f>
        <v>21717.099999999991</v>
      </c>
      <c r="P4" s="11"/>
      <c r="Q4" s="23" t="s">
        <v>51</v>
      </c>
      <c r="R4" s="23">
        <f t="shared" ca="1" si="1"/>
        <v>2302176.0761724995</v>
      </c>
    </row>
    <row r="5" spans="1:18" ht="14.4" x14ac:dyDescent="0.3">
      <c r="A5" s="13" t="s">
        <v>52</v>
      </c>
      <c r="B5" s="14">
        <f ca="1">'Checking Transaction Log'!G1</f>
        <v>15480.469999999985</v>
      </c>
      <c r="C5" s="15">
        <f t="shared" ca="1" si="0"/>
        <v>46157</v>
      </c>
      <c r="E5" s="555" t="s">
        <v>53</v>
      </c>
      <c r="F5" s="553"/>
      <c r="G5" s="554"/>
      <c r="H5" s="17"/>
      <c r="J5" s="29" t="s">
        <v>54</v>
      </c>
      <c r="K5" s="30">
        <f>B10</f>
        <v>89587.18</v>
      </c>
      <c r="L5" s="20">
        <f ca="1">K5/F3</f>
        <v>5.9183528051001619E-2</v>
      </c>
      <c r="N5" s="5" t="s">
        <v>55</v>
      </c>
      <c r="O5" s="6"/>
      <c r="P5" s="11"/>
      <c r="Q5" s="23" t="s">
        <v>56</v>
      </c>
      <c r="R5" s="23">
        <f t="shared" ca="1" si="1"/>
        <v>2647502.487598374</v>
      </c>
    </row>
    <row r="6" spans="1:18" ht="14.4" x14ac:dyDescent="0.3">
      <c r="A6" s="13" t="s">
        <v>57</v>
      </c>
      <c r="B6" s="14">
        <f>'Savings Transaction Log'!A3</f>
        <v>20346.010000000002</v>
      </c>
      <c r="C6" s="15">
        <f t="shared" ca="1" si="0"/>
        <v>46157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18925</v>
      </c>
      <c r="L6" s="20">
        <f ca="1">K6/F3</f>
        <v>1.250232754692363E-2</v>
      </c>
      <c r="N6" s="21" t="s">
        <v>60</v>
      </c>
      <c r="O6" s="22"/>
      <c r="P6" s="11"/>
      <c r="Q6" s="23" t="s">
        <v>61</v>
      </c>
      <c r="R6" s="23">
        <f t="shared" ca="1" si="1"/>
        <v>3044627.8607381298</v>
      </c>
    </row>
    <row r="7" spans="1:18" ht="14.4" x14ac:dyDescent="0.3">
      <c r="A7" s="21" t="s">
        <v>62</v>
      </c>
      <c r="B7" s="33">
        <f ca="1">SUM(B2:B6)</f>
        <v>35926.479999999989</v>
      </c>
      <c r="C7" s="34">
        <f ca="1">B7/F3</f>
        <v>2.3733929752602419E-2</v>
      </c>
      <c r="E7" s="540" t="s">
        <v>851</v>
      </c>
      <c r="F7" s="14">
        <v>18968</v>
      </c>
      <c r="G7" s="32">
        <v>46142</v>
      </c>
      <c r="H7" s="7"/>
      <c r="J7" s="18" t="s">
        <v>64</v>
      </c>
      <c r="K7" s="30">
        <f>IF((B3+B4+B6)&gt;10000,(B3+B4+B6-10000),0)</f>
        <v>10346.010000000002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3501322.0398488492</v>
      </c>
    </row>
    <row r="8" spans="1:18" ht="14.4" x14ac:dyDescent="0.3">
      <c r="B8" s="7"/>
      <c r="C8" s="37"/>
      <c r="E8" s="31" t="s">
        <v>857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118858.19</v>
      </c>
      <c r="L8" s="20">
        <f ca="1">K8/F3</f>
        <v>7.8520688138149691E-2</v>
      </c>
      <c r="N8" s="21" t="s">
        <v>69</v>
      </c>
      <c r="O8" s="22">
        <f t="shared" si="2"/>
        <v>12142.099999999991</v>
      </c>
      <c r="P8" s="11"/>
      <c r="Q8" s="23" t="s">
        <v>70</v>
      </c>
      <c r="R8" s="23">
        <f t="shared" ca="1" si="1"/>
        <v>4026520.3458261765</v>
      </c>
    </row>
    <row r="9" spans="1:18" ht="14.4" x14ac:dyDescent="0.3">
      <c r="A9" s="552" t="s">
        <v>71</v>
      </c>
      <c r="B9" s="553"/>
      <c r="C9" s="554"/>
      <c r="E9" s="539" t="s">
        <v>856</v>
      </c>
      <c r="F9" s="537">
        <v>9840</v>
      </c>
      <c r="G9" s="538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4630498.397700103</v>
      </c>
    </row>
    <row r="10" spans="1:18" ht="14.4" x14ac:dyDescent="0.3">
      <c r="A10" s="31" t="s">
        <v>74</v>
      </c>
      <c r="B10" s="14">
        <v>89587.18</v>
      </c>
      <c r="C10" s="15">
        <v>46144</v>
      </c>
      <c r="D10" s="17"/>
      <c r="E10" s="539" t="s">
        <v>852</v>
      </c>
      <c r="F10" s="537">
        <v>11965.33</v>
      </c>
      <c r="G10" s="538">
        <v>46149</v>
      </c>
      <c r="H10" s="17"/>
      <c r="I10" s="7"/>
      <c r="J10" s="18" t="s">
        <v>54</v>
      </c>
      <c r="K10" s="30">
        <f>(K8*K2)-K5</f>
        <v>-443.53749999999127</v>
      </c>
      <c r="L10" s="40">
        <f t="shared" ref="L10:L11" si="3">K10+K5</f>
        <v>89143.642500000002</v>
      </c>
      <c r="P10" s="11"/>
      <c r="Q10" s="23" t="s">
        <v>75</v>
      </c>
      <c r="R10" s="23">
        <f t="shared" ca="1" si="1"/>
        <v>5325073.1573551176</v>
      </c>
    </row>
    <row r="11" spans="1:18" ht="14.4" x14ac:dyDescent="0.3">
      <c r="A11" s="31" t="s">
        <v>76</v>
      </c>
      <c r="B11" s="14">
        <v>12181.44</v>
      </c>
      <c r="C11" s="15">
        <v>46144</v>
      </c>
      <c r="D11" s="17"/>
      <c r="E11" s="539" t="s">
        <v>853</v>
      </c>
      <c r="F11" s="537">
        <v>1040.6300000000001</v>
      </c>
      <c r="G11" s="538">
        <v>46155</v>
      </c>
      <c r="H11" s="17"/>
      <c r="I11" s="7"/>
      <c r="J11" s="43" t="s">
        <v>78</v>
      </c>
      <c r="K11" s="44">
        <f>(K8*K3)-K6</f>
        <v>10789.547500000001</v>
      </c>
      <c r="L11" s="45">
        <f t="shared" si="3"/>
        <v>29714.547500000001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6123834.1309583848</v>
      </c>
    </row>
    <row r="12" spans="1:18" ht="14.4" x14ac:dyDescent="0.3">
      <c r="A12" s="47" t="s">
        <v>81</v>
      </c>
      <c r="B12" s="48">
        <v>18925</v>
      </c>
      <c r="C12" s="15">
        <v>46144</v>
      </c>
      <c r="D12" s="17"/>
      <c r="E12" s="536" t="s">
        <v>854</v>
      </c>
      <c r="F12" s="537">
        <v>3944.13</v>
      </c>
      <c r="G12" s="538">
        <v>46155</v>
      </c>
      <c r="I12" s="7"/>
      <c r="J12" s="49"/>
      <c r="K12" s="25"/>
      <c r="L12" s="50">
        <f ca="1">L11/F3</f>
        <v>1.9630172034537423E-2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36" t="s">
        <v>855</v>
      </c>
      <c r="F13" s="537">
        <v>815.04</v>
      </c>
      <c r="G13" s="538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184020.32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101768.62</v>
      </c>
      <c r="L15" s="59">
        <f ca="1">K15/F3</f>
        <v>6.7230891478911661E-2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144438.65999999997</v>
      </c>
      <c r="I16" s="7"/>
      <c r="J16" s="18" t="s">
        <v>46</v>
      </c>
      <c r="K16" s="63">
        <f>B12</f>
        <v>18925</v>
      </c>
      <c r="L16" s="20">
        <f ca="1">K16/F3</f>
        <v>1.250232754692363E-2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1454610.19</v>
      </c>
      <c r="P18" s="11"/>
    </row>
    <row r="19" spans="1:17" ht="14.4" x14ac:dyDescent="0.3">
      <c r="A19" s="68" t="s">
        <v>92</v>
      </c>
      <c r="B19" s="33">
        <f>SUM(B10:B18)</f>
        <v>120693.62</v>
      </c>
      <c r="C19" s="34">
        <f ca="1">B19/F3</f>
        <v>7.9733219025835286E-2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275255.95499999996</v>
      </c>
      <c r="P19" s="73">
        <f t="shared" ref="P19:P32" si="4">O19/$O$18</f>
        <v>0.18923004726097786</v>
      </c>
      <c r="Q19" s="74" t="s">
        <v>97</v>
      </c>
    </row>
    <row r="20" spans="1:17" ht="14.4" x14ac:dyDescent="0.3">
      <c r="B20" s="7"/>
      <c r="C20" s="37"/>
      <c r="E20" s="56">
        <f ca="1">F3</f>
        <v>1513718.14</v>
      </c>
      <c r="F20" s="44">
        <f ca="1">E20-E22</f>
        <v>98715.709999999963</v>
      </c>
      <c r="G20" s="34">
        <f ca="1">(E20-E22)/E22</f>
        <v>6.9763632844079257E-2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256303.22499999998</v>
      </c>
      <c r="P20" s="78">
        <f t="shared" si="4"/>
        <v>0.17620062526854702</v>
      </c>
      <c r="Q20" s="79" t="s">
        <v>101</v>
      </c>
    </row>
    <row r="21" spans="1:17" ht="15.75" customHeight="1" x14ac:dyDescent="0.3">
      <c r="A21" s="552" t="s">
        <v>102</v>
      </c>
      <c r="B21" s="553"/>
      <c r="C21" s="554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0.24314093000000003</v>
      </c>
      <c r="L21" s="11"/>
      <c r="N21" s="27" t="s">
        <v>104</v>
      </c>
      <c r="O21" s="51">
        <f>($B$10+$B$11)*0.25</f>
        <v>25442.154999999999</v>
      </c>
      <c r="P21" s="82">
        <f t="shared" si="4"/>
        <v>1.7490703127825608E-2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416706.47999999992</v>
      </c>
      <c r="C22" s="15">
        <v>46144</v>
      </c>
      <c r="E22" s="56">
        <v>1415002.43</v>
      </c>
      <c r="F22" s="45">
        <f ca="1">((F20/(C2-E21))*365)+E22</f>
        <v>1683892.237089552</v>
      </c>
      <c r="G22" s="34">
        <f ca="1">(F22-E22)/E22</f>
        <v>0.19002780588126061</v>
      </c>
      <c r="I22" s="7"/>
      <c r="J22" s="81">
        <v>3000000</v>
      </c>
      <c r="K22" s="50">
        <f ca="1">1-($E$20/J22)</f>
        <v>0.49542728666666669</v>
      </c>
      <c r="L22" s="11"/>
      <c r="N22" s="5" t="s">
        <v>108</v>
      </c>
      <c r="O22" s="72">
        <f>($B$22+$B$23)*0.3</f>
        <v>165153.57299999997</v>
      </c>
      <c r="P22" s="73">
        <f t="shared" si="4"/>
        <v>0.1135380283565867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133805.42999999996</v>
      </c>
      <c r="C23" s="15">
        <f>C22</f>
        <v>46144</v>
      </c>
      <c r="E23" s="7"/>
      <c r="G23" s="65"/>
      <c r="I23" s="7"/>
      <c r="J23" s="81">
        <v>4000000</v>
      </c>
      <c r="K23" s="50">
        <f ca="1">1-($E$20/J23)</f>
        <v>0.62157046500000002</v>
      </c>
      <c r="L23" s="11"/>
      <c r="N23" s="13" t="s">
        <v>111</v>
      </c>
      <c r="O23" s="14">
        <f>($B$24+$B$25)*0.3</f>
        <v>153781.93499999997</v>
      </c>
      <c r="P23" s="78">
        <f t="shared" si="4"/>
        <v>0.1057203751611282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392470.39999999991</v>
      </c>
      <c r="C24" s="15">
        <f>C22</f>
        <v>46144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0.69725637200000001</v>
      </c>
      <c r="L24" s="11"/>
      <c r="N24" s="13" t="s">
        <v>113</v>
      </c>
      <c r="O24" s="14">
        <f t="shared" ref="O24:O25" si="5">($B$10+$B$11)*0.25</f>
        <v>25442.154999999999</v>
      </c>
      <c r="P24" s="78">
        <f t="shared" si="4"/>
        <v>1.7490703127825608E-2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120136.05000000005</v>
      </c>
      <c r="C25" s="15">
        <f>C22</f>
        <v>46144</v>
      </c>
      <c r="E25" s="75" t="s">
        <v>34</v>
      </c>
      <c r="F25" s="76">
        <f ca="1">B7</f>
        <v>35926.479999999989</v>
      </c>
      <c r="G25" s="77">
        <f t="shared" ref="G25:G31" ca="1" si="6">F25/SUM($F$25:$F$31)</f>
        <v>2.3308854605173117E-2</v>
      </c>
      <c r="I25" s="7"/>
      <c r="J25" s="84"/>
      <c r="K25" s="25"/>
      <c r="L25" s="11"/>
      <c r="N25" s="27" t="s">
        <v>116</v>
      </c>
      <c r="O25" s="51">
        <f t="shared" si="5"/>
        <v>25442.154999999999</v>
      </c>
      <c r="P25" s="82">
        <f t="shared" si="4"/>
        <v>1.7490703127825608E-2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1063118.3599999999</v>
      </c>
      <c r="C26" s="34">
        <f ca="1">B26/F3</f>
        <v>0.70232253410136181</v>
      </c>
      <c r="E26" s="80" t="s">
        <v>103</v>
      </c>
      <c r="F26" s="30">
        <f>(B11)</f>
        <v>12181.44</v>
      </c>
      <c r="G26" s="20">
        <f t="shared" ca="1" si="6"/>
        <v>7.9032349910606366E-3</v>
      </c>
      <c r="I26" s="7"/>
      <c r="J26" s="49"/>
      <c r="K26" s="25"/>
      <c r="L26" s="11"/>
      <c r="N26" s="5" t="s">
        <v>119</v>
      </c>
      <c r="O26" s="72">
        <f>($B$22+$B$23)*0.2</f>
        <v>110102.38199999998</v>
      </c>
      <c r="P26" s="73">
        <f t="shared" si="4"/>
        <v>7.5692018904391145E-2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89587.18</v>
      </c>
      <c r="G27" s="20">
        <f t="shared" ca="1" si="6"/>
        <v>5.8123549902675507E-2</v>
      </c>
      <c r="I27" s="7"/>
      <c r="J27" s="49"/>
      <c r="K27" s="25"/>
      <c r="L27" s="11"/>
      <c r="N27" s="13" t="s">
        <v>120</v>
      </c>
      <c r="O27" s="14">
        <f>($B$24+$B$25)*0.2</f>
        <v>102521.29</v>
      </c>
      <c r="P27" s="78">
        <f t="shared" si="4"/>
        <v>7.0480250107418818E-2</v>
      </c>
      <c r="Q27" s="79" t="s">
        <v>101</v>
      </c>
    </row>
    <row r="28" spans="1:17" ht="15.75" customHeight="1" x14ac:dyDescent="0.3">
      <c r="A28" s="552" t="s">
        <v>115</v>
      </c>
      <c r="B28" s="553"/>
      <c r="C28" s="554"/>
      <c r="E28" s="80" t="s">
        <v>110</v>
      </c>
      <c r="F28" s="30">
        <f>B12</f>
        <v>18925</v>
      </c>
      <c r="G28" s="20">
        <f t="shared" ca="1" si="6"/>
        <v>1.2278410615314981E-2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10176.862000000001</v>
      </c>
      <c r="P28" s="78">
        <f t="shared" si="4"/>
        <v>6.9962812511302434E-3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46144</v>
      </c>
      <c r="E29" s="80" t="s">
        <v>102</v>
      </c>
      <c r="F29" s="30">
        <f>B26</f>
        <v>1063118.3599999999</v>
      </c>
      <c r="G29" s="20">
        <f t="shared" ca="1" si="6"/>
        <v>0.68974392373898297</v>
      </c>
      <c r="H29" s="86"/>
      <c r="I29" s="7"/>
      <c r="J29" s="49"/>
      <c r="K29" s="25"/>
      <c r="L29" s="11"/>
      <c r="N29" s="27" t="s">
        <v>123</v>
      </c>
      <c r="O29" s="51">
        <f t="shared" si="7"/>
        <v>10176.862000000001</v>
      </c>
      <c r="P29" s="82">
        <f t="shared" si="4"/>
        <v>6.9962812511302434E-3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46144</v>
      </c>
      <c r="E30" s="80" t="s">
        <v>115</v>
      </c>
      <c r="F30" s="30">
        <f>B31-F6</f>
        <v>270798.20999999996</v>
      </c>
      <c r="G30" s="20">
        <f t="shared" ca="1" si="6"/>
        <v>0.17569202727990993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0.18616548396378274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0.17889605920954346</v>
      </c>
      <c r="E31" s="85" t="s">
        <v>118</v>
      </c>
      <c r="F31" s="44">
        <f>B38-F8-F7</f>
        <v>50786.600000000006</v>
      </c>
      <c r="G31" s="34">
        <f t="shared" ca="1" si="6"/>
        <v>3.294999886688274E-2</v>
      </c>
      <c r="I31" s="7"/>
      <c r="J31" s="49"/>
      <c r="K31" s="25"/>
      <c r="L31" s="11"/>
      <c r="N31" s="27" t="s">
        <v>127</v>
      </c>
      <c r="O31" s="51">
        <f>($B$10+$B$11)*0.05</f>
        <v>5088.4310000000005</v>
      </c>
      <c r="P31" s="82">
        <f t="shared" si="4"/>
        <v>3.4981406255651217E-3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18925</v>
      </c>
      <c r="P32" s="88">
        <f t="shared" si="4"/>
        <v>1.3010358465865002E-2</v>
      </c>
      <c r="Q32" s="89" t="s">
        <v>59</v>
      </c>
    </row>
    <row r="33" spans="1:16" ht="15.75" customHeight="1" x14ac:dyDescent="0.3">
      <c r="A33" s="552" t="s">
        <v>118</v>
      </c>
      <c r="B33" s="553"/>
      <c r="C33" s="554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17500</v>
      </c>
      <c r="C34" s="15">
        <v>46144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18000</v>
      </c>
      <c r="C35" s="15">
        <v>46144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557001.33499999996</v>
      </c>
      <c r="P35" s="59">
        <f t="shared" ref="P35:P39" si="8">O35/$O$18</f>
        <v>0.38292137565735052</v>
      </c>
    </row>
    <row r="36" spans="1:16" ht="15.75" customHeight="1" x14ac:dyDescent="0.3">
      <c r="A36" s="13" t="s">
        <v>131</v>
      </c>
      <c r="B36" s="14">
        <v>5500</v>
      </c>
      <c r="C36" s="15">
        <v>46144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369819.81799999997</v>
      </c>
      <c r="P36" s="20">
        <f t="shared" si="8"/>
        <v>0.25423980977336613</v>
      </c>
    </row>
    <row r="37" spans="1:16" ht="15.75" customHeight="1" x14ac:dyDescent="0.3">
      <c r="A37" s="13" t="s">
        <v>133</v>
      </c>
      <c r="B37" s="14">
        <v>30000</v>
      </c>
      <c r="C37" s="15">
        <v>46144</v>
      </c>
      <c r="D37" s="86"/>
      <c r="I37" s="7"/>
      <c r="N37" s="13" t="s">
        <v>134</v>
      </c>
      <c r="O37" s="14">
        <f>SUM(O26:O29)</f>
        <v>232977.39599999995</v>
      </c>
      <c r="P37" s="20">
        <f t="shared" si="8"/>
        <v>0.1601648315140704</v>
      </c>
    </row>
    <row r="38" spans="1:16" ht="15.75" customHeight="1" x14ac:dyDescent="0.3">
      <c r="A38" s="21" t="s">
        <v>135</v>
      </c>
      <c r="B38" s="33">
        <f>SUM(B34:B37)</f>
        <v>71000</v>
      </c>
      <c r="C38" s="34">
        <f ca="1">(B38-F8-F7)/F3</f>
        <v>3.3550896073690446E-2</v>
      </c>
      <c r="D38" s="86"/>
      <c r="E38" s="39"/>
      <c r="F38" s="11"/>
      <c r="G38" s="39"/>
      <c r="I38" s="7"/>
      <c r="N38" s="13" t="s">
        <v>115</v>
      </c>
      <c r="O38" s="14">
        <f>O30+O31</f>
        <v>275886.64099999995</v>
      </c>
      <c r="P38" s="20">
        <f t="shared" si="8"/>
        <v>0.18966362458934785</v>
      </c>
    </row>
    <row r="39" spans="1:16" ht="15" customHeight="1" x14ac:dyDescent="0.3">
      <c r="E39" s="25"/>
      <c r="F39" s="25"/>
      <c r="G39" s="25"/>
      <c r="N39" s="27" t="s">
        <v>46</v>
      </c>
      <c r="O39" s="51">
        <f>O32</f>
        <v>18925</v>
      </c>
      <c r="P39" s="91">
        <f t="shared" si="8"/>
        <v>1.3010358465865002E-2</v>
      </c>
    </row>
    <row r="40" spans="1:16" ht="15" customHeight="1" x14ac:dyDescent="0.3">
      <c r="A40" s="92" t="s">
        <v>136</v>
      </c>
      <c r="E40" s="25"/>
      <c r="F40" s="25"/>
      <c r="G40" s="25"/>
      <c r="N40" s="93" t="s">
        <v>137</v>
      </c>
      <c r="O40" s="94">
        <f t="shared" ref="O40:P40" si="9">SUM(O35:O39)</f>
        <v>1454610.19</v>
      </c>
      <c r="P40" s="95">
        <f t="shared" si="9"/>
        <v>0.99999999999999989</v>
      </c>
    </row>
    <row r="41" spans="1:16" ht="15" customHeight="1" x14ac:dyDescent="0.3">
      <c r="A41" s="92" t="s">
        <v>138</v>
      </c>
      <c r="E41" s="25"/>
      <c r="F41" s="25"/>
      <c r="G41" s="25"/>
      <c r="P41" s="11"/>
    </row>
    <row r="42" spans="1:16" ht="15" customHeight="1" x14ac:dyDescent="0.3">
      <c r="A42" s="92" t="s">
        <v>139</v>
      </c>
      <c r="E42" s="7"/>
      <c r="G42" s="7"/>
      <c r="P42" s="11"/>
    </row>
    <row r="43" spans="1:16" ht="15.75" customHeight="1" x14ac:dyDescent="0.3"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display="GM Financial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W2" activeCellId="2" sqref="K2 Q2 W2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9" t="s">
        <v>36</v>
      </c>
      <c r="C1" s="558"/>
      <c r="D1" s="560" t="s">
        <v>140</v>
      </c>
      <c r="E1" s="554"/>
      <c r="G1" s="96"/>
      <c r="H1" s="557" t="s">
        <v>36</v>
      </c>
      <c r="I1" s="558"/>
      <c r="J1" s="556" t="s">
        <v>140</v>
      </c>
      <c r="K1" s="554"/>
      <c r="M1" s="96"/>
      <c r="N1" s="557" t="s">
        <v>36</v>
      </c>
      <c r="O1" s="558"/>
      <c r="P1" s="556" t="s">
        <v>140</v>
      </c>
      <c r="Q1" s="554"/>
      <c r="S1" s="96"/>
      <c r="T1" s="557" t="s">
        <v>36</v>
      </c>
      <c r="U1" s="558"/>
      <c r="V1" s="556" t="s">
        <v>140</v>
      </c>
      <c r="W1" s="554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85713.54</v>
      </c>
      <c r="E2" s="20"/>
      <c r="G2" s="98" t="s">
        <v>142</v>
      </c>
      <c r="H2" s="99">
        <f>SUM(H4:H24)</f>
        <v>92820</v>
      </c>
      <c r="I2" s="100">
        <f>H2/B2</f>
        <v>0.4532089314948447</v>
      </c>
      <c r="J2" s="101">
        <f>SUM(J4:J24)</f>
        <v>39337.18</v>
      </c>
      <c r="K2" s="102">
        <f>J2/D2</f>
        <v>0.45893775942517373</v>
      </c>
      <c r="M2" s="98" t="s">
        <v>143</v>
      </c>
      <c r="N2" s="99">
        <f>SUM(N4:N20)</f>
        <v>63180</v>
      </c>
      <c r="O2" s="100">
        <f>N2/B2</f>
        <v>0.30848675168976825</v>
      </c>
      <c r="P2" s="101">
        <f>SUM(P4:P20)</f>
        <v>24636.89</v>
      </c>
      <c r="Q2" s="102">
        <f>P2/D2</f>
        <v>0.28743288399942413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21739.470000000016</v>
      </c>
      <c r="W2" s="102">
        <f>V2/D2</f>
        <v>0.25362935657540242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40086.149999999994</v>
      </c>
      <c r="E4" s="20">
        <f t="shared" ref="E4:E7" si="1">D4/$D$2</f>
        <v>0.46767581877962333</v>
      </c>
      <c r="G4" s="96" t="str">
        <f>'Proposed Budget'!C14</f>
        <v>Rocket Mortgage</v>
      </c>
      <c r="H4" s="111">
        <f>'Proposed Budget'!F14</f>
        <v>15420</v>
      </c>
      <c r="I4" s="112">
        <f t="shared" ref="I4:I24" si="2">H4/$B$2</f>
        <v>7.5290688684017504E-2</v>
      </c>
      <c r="J4" s="113">
        <f>'Monthly Breakdown'!E14</f>
        <v>6357.7999999999993</v>
      </c>
      <c r="K4" s="114">
        <f t="shared" ref="K4:K24" si="3">J4/$D$2</f>
        <v>7.4174978655647636E-2</v>
      </c>
      <c r="M4" s="96" t="str">
        <f>'Proposed Budget'!C6</f>
        <v>Dining Out</v>
      </c>
      <c r="N4" s="111">
        <f>'Proposed Budget'!F6</f>
        <v>14400</v>
      </c>
      <c r="O4" s="112">
        <f t="shared" ref="O4:O19" si="4">N4/$B$2</f>
        <v>7.0310370755502727E-2</v>
      </c>
      <c r="P4" s="113">
        <f>'Monthly Breakdown'!E6</f>
        <v>4785.1099999999997</v>
      </c>
      <c r="Q4" s="114">
        <f t="shared" ref="Q4:Q19" si="5">P4/$D$2</f>
        <v>5.5826769026223862E-2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6">T4/$B$2</f>
        <v>0.23537471803390783</v>
      </c>
      <c r="V4" s="104">
        <f>'Monthly Breakdown'!E46</f>
        <v>16885.949999999997</v>
      </c>
      <c r="W4" s="102">
        <f t="shared" ref="W4:W7" si="7">V4/$D$2</f>
        <v>0.19700446393883625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28218.28</v>
      </c>
      <c r="E5" s="20">
        <f t="shared" si="1"/>
        <v>0.32921613084700507</v>
      </c>
      <c r="G5" s="98" t="str">
        <f>'Proposed Budget'!C5</f>
        <v>Groceries/Household</v>
      </c>
      <c r="H5" s="99">
        <f>'Proposed Budget'!F5</f>
        <v>14400</v>
      </c>
      <c r="I5" s="100">
        <f t="shared" si="2"/>
        <v>7.0310370755502727E-2</v>
      </c>
      <c r="J5" s="101">
        <f>'Monthly Breakdown'!E5</f>
        <v>5220.51</v>
      </c>
      <c r="K5" s="102">
        <f t="shared" si="3"/>
        <v>6.0906479886375021E-2</v>
      </c>
      <c r="M5" s="98" t="str">
        <f>'Proposed Budget'!C9</f>
        <v>Family Entertainment</v>
      </c>
      <c r="N5" s="99">
        <f>'Proposed Budget'!F9</f>
        <v>8400</v>
      </c>
      <c r="O5" s="100">
        <f t="shared" si="4"/>
        <v>4.1014382940709929E-2</v>
      </c>
      <c r="P5" s="101">
        <f>'Monthly Breakdown'!E9</f>
        <v>3782.82</v>
      </c>
      <c r="Q5" s="102">
        <f t="shared" si="5"/>
        <v>4.4133283959570453E-2</v>
      </c>
      <c r="S5" s="98" t="str">
        <f>'Proposed Budget'!C45</f>
        <v>Kids Savings</v>
      </c>
      <c r="T5" s="103">
        <f>'Proposed Budget'!F45</f>
        <v>600</v>
      </c>
      <c r="U5" s="100">
        <f t="shared" si="6"/>
        <v>2.9295987814792804E-3</v>
      </c>
      <c r="V5" s="104">
        <f>'Monthly Breakdown'!E45</f>
        <v>250</v>
      </c>
      <c r="W5" s="102">
        <f t="shared" si="7"/>
        <v>2.9166920418874313E-3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14209.11</v>
      </c>
      <c r="E6" s="20">
        <f t="shared" si="1"/>
        <v>0.16577439223721249</v>
      </c>
      <c r="G6" s="98" t="str">
        <f>'Proposed Budget'!C28</f>
        <v>GM Financial/Toyota</v>
      </c>
      <c r="H6" s="99">
        <f>'Proposed Budget'!F28</f>
        <v>14400</v>
      </c>
      <c r="I6" s="100">
        <f t="shared" si="2"/>
        <v>7.0310370755502727E-2</v>
      </c>
      <c r="J6" s="101">
        <f>'Monthly Breakdown'!E28</f>
        <v>4721.3600000000006</v>
      </c>
      <c r="K6" s="102">
        <f t="shared" si="3"/>
        <v>5.5083012555542578E-2</v>
      </c>
      <c r="M6" s="98" t="str">
        <f>'Proposed Budget'!C12</f>
        <v>Alcohol/Bars</v>
      </c>
      <c r="N6" s="99">
        <f>'Proposed Budget'!F12</f>
        <v>8400</v>
      </c>
      <c r="O6" s="100">
        <f t="shared" si="4"/>
        <v>4.1014382940709929E-2</v>
      </c>
      <c r="P6" s="101">
        <f>'Monthly Breakdown'!E12</f>
        <v>3139.25</v>
      </c>
      <c r="Q6" s="102">
        <f t="shared" si="5"/>
        <v>3.6624901969980472E-2</v>
      </c>
      <c r="S6" s="98" t="s">
        <v>148</v>
      </c>
      <c r="T6" s="103"/>
      <c r="U6" s="100"/>
      <c r="V6" s="104">
        <f>'Budget Breakdown'!T16</f>
        <v>12977.110000000015</v>
      </c>
      <c r="W6" s="102">
        <f t="shared" si="7"/>
        <v>0.15140093385479139</v>
      </c>
    </row>
    <row r="7" spans="1:23" ht="14.4" x14ac:dyDescent="0.3">
      <c r="A7" s="21" t="s">
        <v>149</v>
      </c>
      <c r="B7" s="33">
        <f>'Proposed Budget'!J22</f>
        <v>9600</v>
      </c>
      <c r="C7" s="115">
        <f t="shared" si="0"/>
        <v>4.6873580503668487E-2</v>
      </c>
      <c r="D7" s="44">
        <f>'Monthly Breakdown'!E52</f>
        <v>3200</v>
      </c>
      <c r="E7" s="34">
        <f t="shared" si="1"/>
        <v>3.7333658136159117E-2</v>
      </c>
      <c r="G7" s="98" t="str">
        <f>'Proposed Budget'!C10</f>
        <v>Miscellaneous Spending</v>
      </c>
      <c r="H7" s="99">
        <f>'Proposed Budget'!F10</f>
        <v>10800</v>
      </c>
      <c r="I7" s="100">
        <f t="shared" si="2"/>
        <v>5.2732778066627045E-2</v>
      </c>
      <c r="J7" s="101">
        <f>'Monthly Breakdown'!E10</f>
        <v>3336.91</v>
      </c>
      <c r="K7" s="102">
        <f t="shared" si="3"/>
        <v>3.8930955365978355E-2</v>
      </c>
      <c r="M7" s="98" t="str">
        <f>'Proposed Budget'!C38</f>
        <v>Camping/Vacation</v>
      </c>
      <c r="N7" s="99">
        <f>'Proposed Budget'!F38</f>
        <v>4800</v>
      </c>
      <c r="O7" s="100">
        <f t="shared" si="4"/>
        <v>2.3436790251834243E-2</v>
      </c>
      <c r="P7" s="101">
        <f>'Savings Transaction Log'!R5</f>
        <v>3824.78</v>
      </c>
      <c r="Q7" s="102">
        <f t="shared" si="5"/>
        <v>4.462282155188084E-2</v>
      </c>
      <c r="S7" s="116" t="s">
        <v>150</v>
      </c>
      <c r="T7" s="117"/>
      <c r="U7" s="118"/>
      <c r="V7" s="119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-8373.5899999999983</v>
      </c>
      <c r="W7" s="120">
        <f t="shared" si="7"/>
        <v>-9.7692733260112685E-2</v>
      </c>
    </row>
    <row r="8" spans="1:23" ht="14.4" x14ac:dyDescent="0.3">
      <c r="B8" s="7"/>
      <c r="C8" s="121"/>
      <c r="D8" s="39"/>
      <c r="E8" s="50"/>
      <c r="G8" s="98" t="str">
        <f>'Proposed Budget'!C8</f>
        <v>Gasoline</v>
      </c>
      <c r="H8" s="99">
        <f>'Proposed Budget'!F8</f>
        <v>7200</v>
      </c>
      <c r="I8" s="100">
        <f t="shared" si="2"/>
        <v>3.5155185377751363E-2</v>
      </c>
      <c r="J8" s="101">
        <f>'Monthly Breakdown'!E8</f>
        <v>2766.5</v>
      </c>
      <c r="K8" s="102">
        <f t="shared" si="3"/>
        <v>3.2276114135526314E-2</v>
      </c>
      <c r="M8" s="98" t="str">
        <f>'Proposed Budget'!C11</f>
        <v>Department Stores/Clothes</v>
      </c>
      <c r="N8" s="99">
        <f>'Proposed Budget'!F11</f>
        <v>4200</v>
      </c>
      <c r="O8" s="100">
        <f t="shared" si="4"/>
        <v>2.0507191470354964E-2</v>
      </c>
      <c r="P8" s="101">
        <f>'Monthly Breakdown'!E11</f>
        <v>2024.2800000000002</v>
      </c>
      <c r="Q8" s="102">
        <f t="shared" si="5"/>
        <v>2.361680546620756E-2</v>
      </c>
      <c r="T8" s="7"/>
      <c r="U8" s="11"/>
      <c r="V8" s="7"/>
      <c r="W8" s="50"/>
    </row>
    <row r="9" spans="1:23" ht="14.4" x14ac:dyDescent="0.3">
      <c r="D9" s="39"/>
      <c r="E9" s="50"/>
      <c r="G9" s="98" t="str">
        <f>'Proposed Budget'!C23</f>
        <v>Lowes Rewards</v>
      </c>
      <c r="H9" s="99">
        <f>'Proposed Budget'!F23</f>
        <v>4800</v>
      </c>
      <c r="I9" s="100">
        <f t="shared" si="2"/>
        <v>2.3436790251834243E-2</v>
      </c>
      <c r="J9" s="101">
        <f>'Monthly Breakdown'!E23</f>
        <v>2000</v>
      </c>
      <c r="K9" s="102">
        <f t="shared" si="3"/>
        <v>2.333353633509945E-2</v>
      </c>
      <c r="M9" s="98" t="str">
        <f>'Proposed Budget'!C16</f>
        <v>Verizon Wireless</v>
      </c>
      <c r="N9" s="99">
        <f>'Proposed Budget'!F16</f>
        <v>3240</v>
      </c>
      <c r="O9" s="100">
        <f t="shared" si="4"/>
        <v>1.5819833419988116E-2</v>
      </c>
      <c r="P9" s="101">
        <f>'Monthly Breakdown'!E16</f>
        <v>1284.69</v>
      </c>
      <c r="Q9" s="102">
        <f t="shared" si="5"/>
        <v>1.4988180397169457E-2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98" t="str">
        <f>'Proposed Budget'!C39</f>
        <v>Home Maintenance</v>
      </c>
      <c r="H10" s="99">
        <f>'Proposed Budget'!F39</f>
        <v>4500</v>
      </c>
      <c r="I10" s="100">
        <f t="shared" si="2"/>
        <v>2.1971990861094602E-2</v>
      </c>
      <c r="J10" s="101">
        <f>'Savings Transaction Log'!T5</f>
        <v>9617.66</v>
      </c>
      <c r="K10" s="102">
        <f t="shared" si="3"/>
        <v>0.11220700953431628</v>
      </c>
      <c r="M10" s="98" t="str">
        <f>'Proposed Budget'!C17</f>
        <v>Spectrum TV/Internet</v>
      </c>
      <c r="N10" s="99">
        <f>'Proposed Budget'!F17</f>
        <v>2460</v>
      </c>
      <c r="O10" s="100">
        <f t="shared" si="4"/>
        <v>1.201135500406505E-2</v>
      </c>
      <c r="P10" s="101">
        <f>'Monthly Breakdown'!E17</f>
        <v>828.51</v>
      </c>
      <c r="Q10" s="102">
        <f t="shared" si="5"/>
        <v>9.6660340944966228E-3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98" t="str">
        <f>'Proposed Budget'!C33</f>
        <v>Vehicle Maintenance</v>
      </c>
      <c r="H11" s="99">
        <f>'Proposed Budget'!F33</f>
        <v>4200</v>
      </c>
      <c r="I11" s="100">
        <f t="shared" si="2"/>
        <v>2.0507191470354964E-2</v>
      </c>
      <c r="J11" s="101">
        <f>'Savings Transaction Log'!H5</f>
        <v>529.04999999999995</v>
      </c>
      <c r="K11" s="102">
        <f t="shared" si="3"/>
        <v>6.1723036990421814E-3</v>
      </c>
      <c r="M11" s="98" t="str">
        <f>'Proposed Budget'!C24</f>
        <v>Wells Fargo - Pool</v>
      </c>
      <c r="N11" s="99">
        <f>'Proposed Budget'!F24</f>
        <v>2400</v>
      </c>
      <c r="O11" s="100">
        <f t="shared" si="4"/>
        <v>1.1718395125917122E-2</v>
      </c>
      <c r="P11" s="101">
        <f>'Monthly Breakdown'!E24</f>
        <v>1000</v>
      </c>
      <c r="Q11" s="102">
        <f t="shared" si="5"/>
        <v>1.1666768167549725E-2</v>
      </c>
      <c r="T11" s="7"/>
      <c r="U11" s="11"/>
      <c r="V11" s="7"/>
      <c r="W11" s="50"/>
    </row>
    <row r="12" spans="1:23" ht="14.4" x14ac:dyDescent="0.3">
      <c r="D12" s="39"/>
      <c r="E12" s="50"/>
      <c r="G12" s="98" t="str">
        <f>'Proposed Budget'!C34</f>
        <v>Car Insurance</v>
      </c>
      <c r="H12" s="99">
        <f>'Proposed Budget'!F34</f>
        <v>3840</v>
      </c>
      <c r="I12" s="100">
        <f t="shared" si="2"/>
        <v>1.8749432201467395E-2</v>
      </c>
      <c r="J12" s="101">
        <f>'Savings Transaction Log'!J5</f>
        <v>0</v>
      </c>
      <c r="K12" s="102">
        <f t="shared" si="3"/>
        <v>0</v>
      </c>
      <c r="M12" s="98" t="str">
        <f>'Proposed Budget'!C7</f>
        <v>Misc Food</v>
      </c>
      <c r="N12" s="99">
        <f>'Proposed Budget'!F7</f>
        <v>1800</v>
      </c>
      <c r="O12" s="100">
        <f t="shared" si="4"/>
        <v>8.7887963444378409E-3</v>
      </c>
      <c r="P12" s="101">
        <f>'Monthly Breakdown'!E7</f>
        <v>595.45999999999992</v>
      </c>
      <c r="Q12" s="102">
        <f t="shared" si="5"/>
        <v>6.9470937730491582E-3</v>
      </c>
      <c r="T12" s="7"/>
      <c r="U12" s="11"/>
      <c r="V12" s="7"/>
      <c r="W12" s="50"/>
    </row>
    <row r="13" spans="1:23" ht="14.4" x14ac:dyDescent="0.3">
      <c r="A13" s="122"/>
      <c r="D13" s="39"/>
      <c r="E13" s="50"/>
      <c r="G13" s="98" t="str">
        <f>'Proposed Budget'!C18</f>
        <v>First Energy</v>
      </c>
      <c r="H13" s="99">
        <f>'Proposed Budget'!F18</f>
        <v>2160</v>
      </c>
      <c r="I13" s="100">
        <f t="shared" si="2"/>
        <v>1.0546555613325409E-2</v>
      </c>
      <c r="J13" s="101">
        <f>'Monthly Breakdown'!E18</f>
        <v>688.86000000000013</v>
      </c>
      <c r="K13" s="102">
        <f t="shared" si="3"/>
        <v>8.036769919898306E-3</v>
      </c>
      <c r="M13" s="98" t="str">
        <f>'Proposed Budget'!C19</f>
        <v>Vivint Home Security</v>
      </c>
      <c r="N13" s="99">
        <f>'Proposed Budget'!F19</f>
        <v>1680</v>
      </c>
      <c r="O13" s="100">
        <f t="shared" si="4"/>
        <v>8.2028765881419843E-3</v>
      </c>
      <c r="P13" s="101">
        <f>'Monthly Breakdown'!E19</f>
        <v>680.06999999999994</v>
      </c>
      <c r="Q13" s="102">
        <f t="shared" si="5"/>
        <v>7.9342190277055403E-3</v>
      </c>
      <c r="T13" s="7"/>
      <c r="U13" s="11"/>
      <c r="V13" s="7"/>
      <c r="W13" s="50"/>
    </row>
    <row r="14" spans="1:23" ht="14.4" x14ac:dyDescent="0.3">
      <c r="D14" s="39"/>
      <c r="E14" s="50"/>
      <c r="G14" s="98" t="str">
        <f>'Proposed Budget'!C29</f>
        <v>Ohio Turnpike</v>
      </c>
      <c r="H14" s="99">
        <f>'Proposed Budget'!F29</f>
        <v>1440</v>
      </c>
      <c r="I14" s="100">
        <f t="shared" si="2"/>
        <v>7.031037075550273E-3</v>
      </c>
      <c r="J14" s="101">
        <f>'Monthly Breakdown'!E29</f>
        <v>443.73999999999995</v>
      </c>
      <c r="K14" s="102">
        <f t="shared" si="3"/>
        <v>5.1770117066685141E-3</v>
      </c>
      <c r="M14" s="98" t="str">
        <f>'Proposed Budget'!C27</f>
        <v>Streaming/Music</v>
      </c>
      <c r="N14" s="99">
        <f>'Proposed Budget'!F27</f>
        <v>1200</v>
      </c>
      <c r="O14" s="100">
        <f t="shared" si="4"/>
        <v>5.8591975629585609E-3</v>
      </c>
      <c r="P14" s="101">
        <f>'Monthly Breakdown'!E27</f>
        <v>496.02</v>
      </c>
      <c r="Q14" s="102">
        <f t="shared" si="5"/>
        <v>5.7869503464680148E-3</v>
      </c>
      <c r="T14" s="7"/>
      <c r="U14" s="11"/>
      <c r="V14" s="7"/>
      <c r="W14" s="50"/>
    </row>
    <row r="15" spans="1:23" ht="14.4" x14ac:dyDescent="0.3">
      <c r="D15" s="39"/>
      <c r="E15" s="50"/>
      <c r="G15" s="98" t="str">
        <f>'Proposed Budget'!C20</f>
        <v>Columbia Gas</v>
      </c>
      <c r="H15" s="99">
        <f>'Proposed Budget'!F20</f>
        <v>1200</v>
      </c>
      <c r="I15" s="100">
        <f t="shared" si="2"/>
        <v>5.8591975629585609E-3</v>
      </c>
      <c r="J15" s="101">
        <f>'Monthly Breakdown'!E20</f>
        <v>626.88</v>
      </c>
      <c r="K15" s="102">
        <f t="shared" si="3"/>
        <v>7.3136636288735719E-3</v>
      </c>
      <c r="M15" s="98" t="str">
        <f>'Proposed Budget'!C26</f>
        <v>Massage Envy</v>
      </c>
      <c r="N15" s="99">
        <f>'Proposed Budget'!F26</f>
        <v>1020</v>
      </c>
      <c r="O15" s="100">
        <f t="shared" si="4"/>
        <v>4.9803179285147769E-3</v>
      </c>
      <c r="P15" s="101">
        <f>'Monthly Breakdown'!E26</f>
        <v>401.05999999999995</v>
      </c>
      <c r="Q15" s="102">
        <f t="shared" si="5"/>
        <v>4.6790740412774919E-3</v>
      </c>
      <c r="T15" s="7"/>
      <c r="U15" s="11"/>
      <c r="V15" s="7"/>
      <c r="W15" s="50"/>
    </row>
    <row r="16" spans="1:23" ht="14.4" x14ac:dyDescent="0.3">
      <c r="D16" s="39"/>
      <c r="E16" s="50"/>
      <c r="G16" s="98" t="str">
        <f>'Proposed Budget'!C30</f>
        <v>Water Bill - Main</v>
      </c>
      <c r="H16" s="99">
        <f>'Proposed Budget'!F30</f>
        <v>900</v>
      </c>
      <c r="I16" s="100">
        <f t="shared" si="2"/>
        <v>4.3943981722189204E-3</v>
      </c>
      <c r="J16" s="101">
        <f>'Monthly Breakdown'!E30</f>
        <v>353.85</v>
      </c>
      <c r="K16" s="102">
        <f t="shared" si="3"/>
        <v>4.1282859160874704E-3</v>
      </c>
      <c r="M16" s="98" t="str">
        <f>'Proposed Budget'!C22</f>
        <v>Planet Fitness</v>
      </c>
      <c r="N16" s="99">
        <f>'Proposed Budget'!F22</f>
        <v>1740</v>
      </c>
      <c r="O16" s="100">
        <f t="shared" si="4"/>
        <v>8.4958364662899126E-3</v>
      </c>
      <c r="P16" s="101">
        <f>'Monthly Breakdown'!E22</f>
        <v>888.18000000000006</v>
      </c>
      <c r="Q16" s="102">
        <f t="shared" si="5"/>
        <v>1.0362190151054315E-2</v>
      </c>
      <c r="T16" s="7"/>
      <c r="U16" s="11"/>
      <c r="V16" s="7"/>
      <c r="W16" s="50"/>
    </row>
    <row r="17" spans="7:17" ht="14.4" x14ac:dyDescent="0.3">
      <c r="G17" s="98" t="str">
        <f>'Proposed Budget'!C37</f>
        <v>Sanitation - Main</v>
      </c>
      <c r="H17" s="99">
        <f>'Proposed Budget'!F37</f>
        <v>540</v>
      </c>
      <c r="I17" s="100">
        <f t="shared" si="2"/>
        <v>2.6366389033313522E-3</v>
      </c>
      <c r="J17" s="101">
        <f>'Savings Transaction Log'!P5</f>
        <v>185.64</v>
      </c>
      <c r="K17" s="102">
        <f t="shared" si="3"/>
        <v>2.165818842623931E-3</v>
      </c>
      <c r="M17" s="98" t="str">
        <f>'Proposed Budget'!C15</f>
        <v>EH Roberts</v>
      </c>
      <c r="N17" s="99">
        <f>'Proposed Budget'!F15</f>
        <v>240</v>
      </c>
      <c r="O17" s="100">
        <f t="shared" si="4"/>
        <v>1.1718395125917122E-3</v>
      </c>
      <c r="P17" s="101">
        <f>'Monthly Breakdown'!E15</f>
        <v>71.599999999999994</v>
      </c>
      <c r="Q17" s="102">
        <f t="shared" si="5"/>
        <v>8.3534060079656024E-4</v>
      </c>
    </row>
    <row r="18" spans="7:17" ht="14.4" x14ac:dyDescent="0.3">
      <c r="G18" s="116" t="str">
        <f>'Proposed Budget'!C36</f>
        <v>Garbage</v>
      </c>
      <c r="H18" s="123">
        <f>'Proposed Budget'!F36</f>
        <v>300</v>
      </c>
      <c r="I18" s="118">
        <f t="shared" si="2"/>
        <v>1.4647993907396402E-3</v>
      </c>
      <c r="J18" s="124">
        <f>'Savings Transaction Log'!N5</f>
        <v>126.96000000000001</v>
      </c>
      <c r="K18" s="120">
        <f t="shared" si="3"/>
        <v>1.4812128865521132E-3</v>
      </c>
      <c r="M18" s="98" t="str">
        <f>'Proposed Budget'!C21</f>
        <v>Medical Bills</v>
      </c>
      <c r="N18" s="99">
        <f>'Proposed Budget'!F21</f>
        <v>0</v>
      </c>
      <c r="O18" s="100">
        <f t="shared" si="4"/>
        <v>0</v>
      </c>
      <c r="P18" s="101">
        <f>'Monthly Breakdown'!E21</f>
        <v>835.06</v>
      </c>
      <c r="Q18" s="102">
        <f t="shared" si="5"/>
        <v>9.7424514259940725E-3</v>
      </c>
    </row>
    <row r="19" spans="7:17" ht="14.4" x14ac:dyDescent="0.3">
      <c r="G19" s="125" t="str">
        <f>'Proposed Budget'!C42</f>
        <v>Rental Property Taxes</v>
      </c>
      <c r="H19" s="126">
        <f>'Proposed Budget'!F42</f>
        <v>2760</v>
      </c>
      <c r="I19" s="127">
        <f t="shared" si="2"/>
        <v>1.347615439480469E-2</v>
      </c>
      <c r="J19" s="128">
        <f>'Savings Transaction Log'!Z5</f>
        <v>1276.4000000000001</v>
      </c>
      <c r="K19" s="129">
        <f t="shared" si="3"/>
        <v>1.489146288906047E-2</v>
      </c>
      <c r="M19" s="116" t="str">
        <f>'Proposed Budget'!C25</f>
        <v>Wells Fargo - Deck</v>
      </c>
      <c r="N19" s="123">
        <f>'Proposed Budget'!F25</f>
        <v>7200</v>
      </c>
      <c r="O19" s="118">
        <f t="shared" si="4"/>
        <v>3.5155185377751363E-2</v>
      </c>
      <c r="P19" s="124">
        <f>'Monthly Breakdown'!E25</f>
        <v>0</v>
      </c>
      <c r="Q19" s="120">
        <f t="shared" si="5"/>
        <v>0</v>
      </c>
    </row>
    <row r="20" spans="7:17" ht="14.4" x14ac:dyDescent="0.3">
      <c r="G20" s="98" t="str">
        <f>'Proposed Budget'!C40</f>
        <v>Rental Repairs</v>
      </c>
      <c r="H20" s="99">
        <f>'Proposed Budget'!F40</f>
        <v>1200</v>
      </c>
      <c r="I20" s="100">
        <f t="shared" si="2"/>
        <v>5.8591975629585609E-3</v>
      </c>
      <c r="J20" s="101">
        <f>'Savings Transaction Log'!V5</f>
        <v>0</v>
      </c>
      <c r="K20" s="102">
        <f t="shared" si="3"/>
        <v>0</v>
      </c>
      <c r="N20" s="11"/>
      <c r="O20" s="11"/>
      <c r="P20" s="11"/>
      <c r="Q20" s="11"/>
    </row>
    <row r="21" spans="7:17" ht="15.75" customHeight="1" x14ac:dyDescent="0.3">
      <c r="G21" s="98" t="str">
        <f>'Proposed Budget'!C41</f>
        <v>Rental Insurance</v>
      </c>
      <c r="H21" s="99">
        <f>'Proposed Budget'!F41</f>
        <v>1020</v>
      </c>
      <c r="I21" s="100">
        <f t="shared" si="2"/>
        <v>4.9803179285147769E-3</v>
      </c>
      <c r="J21" s="101">
        <f>'Savings Transaction Log'!X5</f>
        <v>500.5</v>
      </c>
      <c r="K21" s="102">
        <f t="shared" si="3"/>
        <v>5.8392174678586371E-3</v>
      </c>
      <c r="N21" s="39"/>
      <c r="O21" s="50"/>
      <c r="P21" s="39"/>
      <c r="Q21" s="50"/>
    </row>
    <row r="22" spans="7:17" ht="15.75" customHeight="1" x14ac:dyDescent="0.3">
      <c r="G22" s="98" t="str">
        <f>'Proposed Budget'!C31</f>
        <v>Water Bill - Rental</v>
      </c>
      <c r="H22" s="99">
        <f>'Proposed Budget'!F31</f>
        <v>900</v>
      </c>
      <c r="I22" s="100">
        <f t="shared" si="2"/>
        <v>4.3943981722189204E-3</v>
      </c>
      <c r="J22" s="101">
        <f>'Monthly Breakdown'!E31</f>
        <v>271.96000000000004</v>
      </c>
      <c r="K22" s="102">
        <f t="shared" si="3"/>
        <v>3.1728942708468236E-3</v>
      </c>
      <c r="N22" s="39"/>
      <c r="O22" s="50"/>
      <c r="P22" s="39"/>
      <c r="Q22" s="50"/>
    </row>
    <row r="23" spans="7:17" ht="15.75" customHeight="1" x14ac:dyDescent="0.3">
      <c r="G23" s="98" t="str">
        <f>'Proposed Budget'!C43</f>
        <v>Rental Sanitation</v>
      </c>
      <c r="H23" s="99">
        <f>'Proposed Budget'!F43</f>
        <v>540</v>
      </c>
      <c r="I23" s="100">
        <f t="shared" si="2"/>
        <v>2.6366389033313522E-3</v>
      </c>
      <c r="J23" s="101">
        <f>'Savings Transaction Log'!AB5</f>
        <v>185.64</v>
      </c>
      <c r="K23" s="102">
        <f t="shared" si="3"/>
        <v>2.165818842623931E-3</v>
      </c>
      <c r="N23" s="39"/>
      <c r="O23" s="11"/>
      <c r="P23" s="39"/>
      <c r="Q23" s="50"/>
    </row>
    <row r="24" spans="7:17" ht="15.75" customHeight="1" x14ac:dyDescent="0.3">
      <c r="G24" s="116" t="str">
        <f>'Proposed Budget'!C35</f>
        <v>Rental Garbage</v>
      </c>
      <c r="H24" s="123">
        <f>'Proposed Budget'!F35</f>
        <v>300</v>
      </c>
      <c r="I24" s="118">
        <f t="shared" si="2"/>
        <v>1.4647993907396402E-3</v>
      </c>
      <c r="J24" s="124">
        <f>'Savings Transaction Log'!L5</f>
        <v>126.96000000000001</v>
      </c>
      <c r="K24" s="120">
        <f t="shared" si="3"/>
        <v>1.4812128865521132E-3</v>
      </c>
      <c r="N24" s="39"/>
      <c r="O24" s="11"/>
      <c r="P24" s="39"/>
      <c r="Q24" s="50"/>
    </row>
    <row r="25" spans="7:17" ht="15.75" customHeight="1" x14ac:dyDescent="0.3">
      <c r="N25" s="11"/>
      <c r="O25" s="11"/>
      <c r="P25" s="11"/>
      <c r="Q25" s="11"/>
    </row>
    <row r="26" spans="7:17" ht="15.75" customHeight="1" x14ac:dyDescent="0.3">
      <c r="N26" s="11"/>
      <c r="O26" s="11"/>
      <c r="P26" s="11"/>
      <c r="Q26" s="11"/>
    </row>
    <row r="27" spans="7:17" ht="15.75" customHeight="1" x14ac:dyDescent="0.3">
      <c r="N27" s="11"/>
      <c r="O27" s="11"/>
      <c r="P27" s="11"/>
      <c r="Q27" s="11"/>
    </row>
    <row r="28" spans="7:17" ht="15.75" customHeight="1" x14ac:dyDescent="0.3">
      <c r="N28" s="11"/>
      <c r="O28" s="11"/>
      <c r="P28" s="11"/>
      <c r="Q28" s="11"/>
    </row>
    <row r="29" spans="7:17" ht="15.75" customHeight="1" x14ac:dyDescent="0.3">
      <c r="N29" s="11"/>
      <c r="O29" s="11"/>
      <c r="P29" s="11"/>
      <c r="Q29" s="11"/>
    </row>
    <row r="30" spans="7:17" ht="15.75" customHeight="1" x14ac:dyDescent="0.3"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>
      <c r="N1000" s="11"/>
      <c r="O1000" s="11"/>
      <c r="P1000" s="11"/>
      <c r="Q1000" s="11"/>
    </row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1" t="s">
        <v>151</v>
      </c>
      <c r="B1" s="562"/>
      <c r="C1" s="562"/>
      <c r="D1" s="562"/>
      <c r="E1" s="562"/>
      <c r="F1" s="562"/>
      <c r="G1" s="562"/>
      <c r="H1" s="562"/>
      <c r="I1" s="562"/>
      <c r="J1" s="562"/>
      <c r="K1" s="562"/>
      <c r="L1" s="562"/>
      <c r="M1" s="562"/>
      <c r="N1" s="130"/>
      <c r="O1" s="131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spans="1:26" ht="11.25" customHeight="1" x14ac:dyDescent="0.3">
      <c r="A2" s="133"/>
      <c r="B2" s="134"/>
      <c r="C2" s="130"/>
      <c r="D2" s="135" t="s">
        <v>152</v>
      </c>
      <c r="E2" s="136" t="s">
        <v>153</v>
      </c>
      <c r="F2" s="136" t="s">
        <v>154</v>
      </c>
      <c r="G2" s="137" t="s">
        <v>155</v>
      </c>
      <c r="H2" s="130"/>
      <c r="I2" s="138"/>
      <c r="J2" s="136" t="s">
        <v>154</v>
      </c>
      <c r="K2" s="136" t="s">
        <v>153</v>
      </c>
      <c r="L2" s="137" t="s">
        <v>152</v>
      </c>
      <c r="M2" s="133"/>
      <c r="N2" s="130"/>
      <c r="O2" s="131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spans="1:26" ht="11.25" customHeight="1" x14ac:dyDescent="0.3">
      <c r="A3" s="133"/>
      <c r="B3" s="134"/>
      <c r="C3" s="139" t="s">
        <v>156</v>
      </c>
      <c r="D3" s="140">
        <f t="shared" ref="D3:F3" si="0">SUM(D5:D61)</f>
        <v>17067.183505159996</v>
      </c>
      <c r="E3" s="141">
        <f t="shared" si="0"/>
        <v>1</v>
      </c>
      <c r="F3" s="142">
        <f t="shared" si="0"/>
        <v>204806.20206191996</v>
      </c>
      <c r="G3" s="143">
        <f>F3/52</f>
        <v>3938.5808088830763</v>
      </c>
      <c r="H3" s="130"/>
      <c r="I3" s="144" t="s">
        <v>157</v>
      </c>
      <c r="J3" s="145">
        <f>L29+L49</f>
        <v>276499.56874399999</v>
      </c>
      <c r="K3" s="146"/>
      <c r="L3" s="147">
        <f>J3/12</f>
        <v>23041.630728666667</v>
      </c>
      <c r="M3" s="133"/>
      <c r="N3" s="130"/>
      <c r="O3" s="131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spans="1:26" ht="11.25" customHeight="1" x14ac:dyDescent="0.3">
      <c r="A4" s="133"/>
      <c r="B4" s="134"/>
      <c r="C4" s="130"/>
      <c r="D4" s="148"/>
      <c r="E4" s="149"/>
      <c r="F4" s="148"/>
      <c r="G4" s="148"/>
      <c r="H4" s="130"/>
      <c r="I4" s="150"/>
      <c r="J4" s="151"/>
      <c r="K4" s="152"/>
      <c r="L4" s="153"/>
      <c r="M4" s="133"/>
      <c r="N4" s="130"/>
      <c r="O4" s="131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spans="1:26" ht="11.25" customHeight="1" x14ac:dyDescent="0.3">
      <c r="A5" s="135" t="s">
        <v>158</v>
      </c>
      <c r="B5" s="154">
        <v>1</v>
      </c>
      <c r="C5" s="155" t="s">
        <v>159</v>
      </c>
      <c r="D5" s="156">
        <v>1200</v>
      </c>
      <c r="E5" s="157">
        <f t="shared" ref="E5:E12" si="1">D5/$O$24</f>
        <v>7.0310370755502741E-2</v>
      </c>
      <c r="F5" s="156">
        <f t="shared" ref="F5:F12" si="2">D5*12</f>
        <v>14400</v>
      </c>
      <c r="G5" s="158">
        <f t="shared" ref="G5:G12" si="3">F5/52</f>
        <v>276.92307692307691</v>
      </c>
      <c r="H5" s="130"/>
      <c r="I5" s="150" t="s">
        <v>160</v>
      </c>
      <c r="J5" s="151">
        <f>L31+L53+L54+L55</f>
        <v>4120.8999999999996</v>
      </c>
      <c r="K5" s="159">
        <f>J5/J3</f>
        <v>1.4903820713787E-2</v>
      </c>
      <c r="L5" s="153">
        <f t="shared" ref="L5:L6" si="4">J5/12</f>
        <v>343.4083333333333</v>
      </c>
      <c r="M5" s="133"/>
      <c r="N5" s="130"/>
      <c r="O5" s="131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spans="1:26" ht="11.25" customHeight="1" x14ac:dyDescent="0.3">
      <c r="A6" s="160" t="s">
        <v>158</v>
      </c>
      <c r="B6" s="161">
        <v>2</v>
      </c>
      <c r="C6" s="162" t="s">
        <v>161</v>
      </c>
      <c r="D6" s="151">
        <v>1200</v>
      </c>
      <c r="E6" s="159">
        <f t="shared" si="1"/>
        <v>7.0310370755502741E-2</v>
      </c>
      <c r="F6" s="151">
        <f t="shared" si="2"/>
        <v>14400</v>
      </c>
      <c r="G6" s="153">
        <f t="shared" si="3"/>
        <v>276.92307692307691</v>
      </c>
      <c r="H6" s="130"/>
      <c r="I6" s="150" t="s">
        <v>162</v>
      </c>
      <c r="J6" s="151">
        <f>L32+L56</f>
        <v>17269.97781208</v>
      </c>
      <c r="K6" s="159">
        <f>J6/J3</f>
        <v>6.2459330010997557E-2</v>
      </c>
      <c r="L6" s="153">
        <f t="shared" si="4"/>
        <v>1439.1648176733333</v>
      </c>
      <c r="M6" s="133"/>
      <c r="N6" s="130"/>
      <c r="O6" s="131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spans="1:26" ht="11.25" customHeight="1" x14ac:dyDescent="0.3">
      <c r="A7" s="160" t="s">
        <v>158</v>
      </c>
      <c r="B7" s="161">
        <v>3</v>
      </c>
      <c r="C7" s="162" t="s">
        <v>163</v>
      </c>
      <c r="D7" s="151">
        <v>150</v>
      </c>
      <c r="E7" s="159">
        <f t="shared" si="1"/>
        <v>8.7887963444378426E-3</v>
      </c>
      <c r="F7" s="151">
        <f t="shared" si="2"/>
        <v>1800</v>
      </c>
      <c r="G7" s="153">
        <f t="shared" si="3"/>
        <v>34.615384615384613</v>
      </c>
      <c r="H7" s="130"/>
      <c r="I7" s="144" t="s">
        <v>164</v>
      </c>
      <c r="J7" s="145">
        <f>SUM(J5:J6)</f>
        <v>21390.877812079998</v>
      </c>
      <c r="K7" s="163">
        <f>J7/J3</f>
        <v>7.7363150724784543E-2</v>
      </c>
      <c r="L7" s="147">
        <f>SUM(L5:L6)</f>
        <v>1782.5731510066666</v>
      </c>
      <c r="M7" s="133"/>
      <c r="N7" s="130"/>
      <c r="O7" s="131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spans="1:26" ht="11.25" customHeight="1" x14ac:dyDescent="0.3">
      <c r="A8" s="160" t="s">
        <v>158</v>
      </c>
      <c r="B8" s="161">
        <v>4</v>
      </c>
      <c r="C8" s="162" t="s">
        <v>165</v>
      </c>
      <c r="D8" s="151">
        <v>600</v>
      </c>
      <c r="E8" s="159">
        <f t="shared" si="1"/>
        <v>3.515518537775137E-2</v>
      </c>
      <c r="F8" s="151">
        <f t="shared" si="2"/>
        <v>7200</v>
      </c>
      <c r="G8" s="153">
        <f t="shared" si="3"/>
        <v>138.46153846153845</v>
      </c>
      <c r="H8" s="130"/>
      <c r="I8" s="150"/>
      <c r="J8" s="152"/>
      <c r="K8" s="159"/>
      <c r="L8" s="153"/>
      <c r="M8" s="133"/>
      <c r="N8" s="130"/>
      <c r="O8" s="131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spans="1:26" ht="11.25" customHeight="1" x14ac:dyDescent="0.3">
      <c r="A9" s="160" t="s">
        <v>158</v>
      </c>
      <c r="B9" s="161">
        <v>5</v>
      </c>
      <c r="C9" s="162" t="s">
        <v>166</v>
      </c>
      <c r="D9" s="151">
        <v>700</v>
      </c>
      <c r="E9" s="159">
        <f t="shared" si="1"/>
        <v>4.1014382940709929E-2</v>
      </c>
      <c r="F9" s="151">
        <f t="shared" si="2"/>
        <v>8400</v>
      </c>
      <c r="G9" s="153">
        <f t="shared" si="3"/>
        <v>161.53846153846155</v>
      </c>
      <c r="H9" s="130"/>
      <c r="I9" s="144" t="s">
        <v>167</v>
      </c>
      <c r="J9" s="145">
        <f>L35+L59</f>
        <v>255924.69093192002</v>
      </c>
      <c r="K9" s="163"/>
      <c r="L9" s="147">
        <f>J9/12</f>
        <v>21327.057577660002</v>
      </c>
      <c r="M9" s="148"/>
      <c r="N9" s="130"/>
      <c r="O9" s="131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spans="1:26" ht="11.25" customHeight="1" x14ac:dyDescent="0.3">
      <c r="A10" s="160" t="s">
        <v>158</v>
      </c>
      <c r="B10" s="161">
        <v>6</v>
      </c>
      <c r="C10" s="162" t="s">
        <v>168</v>
      </c>
      <c r="D10" s="151">
        <v>900</v>
      </c>
      <c r="E10" s="159">
        <f t="shared" si="1"/>
        <v>5.2732778066627052E-2</v>
      </c>
      <c r="F10" s="151">
        <f t="shared" si="2"/>
        <v>10800</v>
      </c>
      <c r="G10" s="153">
        <f t="shared" si="3"/>
        <v>207.69230769230768</v>
      </c>
      <c r="H10" s="130"/>
      <c r="I10" s="150"/>
      <c r="J10" s="151"/>
      <c r="K10" s="159"/>
      <c r="L10" s="153"/>
      <c r="M10" s="148"/>
      <c r="N10" s="130"/>
      <c r="O10" s="131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spans="1:26" ht="11.25" customHeight="1" x14ac:dyDescent="0.3">
      <c r="A11" s="164" t="s">
        <v>158</v>
      </c>
      <c r="B11" s="165">
        <v>7</v>
      </c>
      <c r="C11" s="166" t="s">
        <v>169</v>
      </c>
      <c r="D11" s="167">
        <v>350</v>
      </c>
      <c r="E11" s="168">
        <f t="shared" si="1"/>
        <v>2.0507191470354964E-2</v>
      </c>
      <c r="F11" s="167">
        <f t="shared" si="2"/>
        <v>4200</v>
      </c>
      <c r="G11" s="169">
        <f t="shared" si="3"/>
        <v>80.769230769230774</v>
      </c>
      <c r="H11" s="130"/>
      <c r="I11" s="150" t="s">
        <v>170</v>
      </c>
      <c r="J11" s="151">
        <f t="shared" ref="J11:J14" si="5">L37+L61</f>
        <v>39427.360000000001</v>
      </c>
      <c r="K11" s="159">
        <f>J11/J9</f>
        <v>0.15405844530447552</v>
      </c>
      <c r="L11" s="153">
        <f t="shared" ref="L11:L16" si="6">J11/12</f>
        <v>3285.6133333333332</v>
      </c>
      <c r="M11" s="133"/>
      <c r="N11" s="130"/>
      <c r="O11" s="131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spans="1:26" ht="11.25" customHeight="1" x14ac:dyDescent="0.3">
      <c r="A12" s="170" t="s">
        <v>158</v>
      </c>
      <c r="B12" s="171">
        <v>8</v>
      </c>
      <c r="C12" s="172" t="s">
        <v>171</v>
      </c>
      <c r="D12" s="142">
        <v>700</v>
      </c>
      <c r="E12" s="141">
        <f t="shared" si="1"/>
        <v>4.1014382940709929E-2</v>
      </c>
      <c r="F12" s="142">
        <f t="shared" si="2"/>
        <v>8400</v>
      </c>
      <c r="G12" s="143">
        <f t="shared" si="3"/>
        <v>161.53846153846155</v>
      </c>
      <c r="H12" s="130"/>
      <c r="I12" s="150" t="s">
        <v>172</v>
      </c>
      <c r="J12" s="151">
        <f t="shared" si="5"/>
        <v>7415.6</v>
      </c>
      <c r="K12" s="159">
        <f>J12/J9</f>
        <v>2.8975711460261823E-2</v>
      </c>
      <c r="L12" s="153">
        <f t="shared" si="6"/>
        <v>617.9666666666667</v>
      </c>
      <c r="M12" s="133"/>
      <c r="N12" s="130"/>
      <c r="O12" s="131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spans="1:26" ht="11.25" customHeight="1" x14ac:dyDescent="0.3">
      <c r="A13" s="133"/>
      <c r="B13" s="134"/>
      <c r="C13" s="173"/>
      <c r="D13" s="148"/>
      <c r="E13" s="149"/>
      <c r="F13" s="148"/>
      <c r="G13" s="148"/>
      <c r="H13" s="130"/>
      <c r="I13" s="150" t="s">
        <v>173</v>
      </c>
      <c r="J13" s="151">
        <f t="shared" si="5"/>
        <v>3961.26451</v>
      </c>
      <c r="K13" s="159">
        <f>J13/(J9+J6)</f>
        <v>1.4499787013457225E-2</v>
      </c>
      <c r="L13" s="153">
        <f t="shared" si="6"/>
        <v>330.10537583333331</v>
      </c>
      <c r="M13" s="133"/>
      <c r="N13" s="130"/>
      <c r="O13" s="131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spans="1:26" ht="11.25" customHeight="1" x14ac:dyDescent="0.3">
      <c r="A14" s="135" t="s">
        <v>174</v>
      </c>
      <c r="B14" s="154">
        <v>9</v>
      </c>
      <c r="C14" s="174" t="s">
        <v>58</v>
      </c>
      <c r="D14" s="156">
        <v>1285</v>
      </c>
      <c r="E14" s="157">
        <f t="shared" ref="E14:E31" si="7">D14/$O$24</f>
        <v>7.5290688684017518E-2</v>
      </c>
      <c r="F14" s="156">
        <f t="shared" ref="F14:F31" si="8">D14*12</f>
        <v>15420</v>
      </c>
      <c r="G14" s="158">
        <f t="shared" ref="G14:G31" si="9">F14/52</f>
        <v>296.53846153846155</v>
      </c>
      <c r="H14" s="130"/>
      <c r="I14" s="150" t="s">
        <v>175</v>
      </c>
      <c r="J14" s="151">
        <f t="shared" si="5"/>
        <v>16938.027560000002</v>
      </c>
      <c r="K14" s="159">
        <f>J14/(J9+J6)</f>
        <v>6.1999846621721456E-2</v>
      </c>
      <c r="L14" s="153">
        <f t="shared" si="6"/>
        <v>1411.5022966666668</v>
      </c>
      <c r="M14" s="133"/>
      <c r="N14" s="130"/>
      <c r="O14" s="131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spans="1:26" ht="11.25" customHeight="1" x14ac:dyDescent="0.3">
      <c r="A15" s="160" t="s">
        <v>174</v>
      </c>
      <c r="B15" s="161">
        <v>10</v>
      </c>
      <c r="C15" s="175" t="s">
        <v>176</v>
      </c>
      <c r="D15" s="151">
        <v>20</v>
      </c>
      <c r="E15" s="159">
        <f t="shared" si="7"/>
        <v>1.1718395125917122E-3</v>
      </c>
      <c r="F15" s="151">
        <f t="shared" si="8"/>
        <v>240</v>
      </c>
      <c r="G15" s="153">
        <f t="shared" si="9"/>
        <v>4.615384615384615</v>
      </c>
      <c r="H15" s="130"/>
      <c r="I15" s="150" t="s">
        <v>177</v>
      </c>
      <c r="J15" s="151">
        <f>L41</f>
        <v>833.99680000000001</v>
      </c>
      <c r="K15" s="159">
        <f>J15/J3</f>
        <v>3.0162679956009793E-3</v>
      </c>
      <c r="L15" s="153">
        <f t="shared" si="6"/>
        <v>69.499733333333339</v>
      </c>
      <c r="M15" s="133"/>
      <c r="N15" s="130"/>
      <c r="O15" s="131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spans="1:26" ht="11.25" customHeight="1" x14ac:dyDescent="0.3">
      <c r="A16" s="160" t="s">
        <v>174</v>
      </c>
      <c r="B16" s="161">
        <v>11</v>
      </c>
      <c r="C16" s="175" t="s">
        <v>178</v>
      </c>
      <c r="D16" s="151">
        <v>270</v>
      </c>
      <c r="E16" s="159">
        <f t="shared" si="7"/>
        <v>1.5819833419988116E-2</v>
      </c>
      <c r="F16" s="151">
        <f t="shared" si="8"/>
        <v>3240</v>
      </c>
      <c r="G16" s="153">
        <f t="shared" si="9"/>
        <v>62.307692307692307</v>
      </c>
      <c r="H16" s="130"/>
      <c r="I16" s="150" t="s">
        <v>179</v>
      </c>
      <c r="J16" s="151">
        <f>L65</f>
        <v>4326.24</v>
      </c>
      <c r="K16" s="159">
        <f>J16/J9</f>
        <v>1.6904347854232039E-2</v>
      </c>
      <c r="L16" s="153">
        <f t="shared" si="6"/>
        <v>360.52</v>
      </c>
      <c r="M16" s="133"/>
      <c r="N16" s="130"/>
      <c r="O16" s="131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spans="1:26" ht="11.25" customHeight="1" x14ac:dyDescent="0.3">
      <c r="A17" s="160" t="s">
        <v>174</v>
      </c>
      <c r="B17" s="161">
        <v>12</v>
      </c>
      <c r="C17" s="162" t="s">
        <v>180</v>
      </c>
      <c r="D17" s="151">
        <v>205</v>
      </c>
      <c r="E17" s="159">
        <f t="shared" si="7"/>
        <v>1.201135500406505E-2</v>
      </c>
      <c r="F17" s="151">
        <f t="shared" si="8"/>
        <v>2460</v>
      </c>
      <c r="G17" s="153">
        <f t="shared" si="9"/>
        <v>47.307692307692307</v>
      </c>
      <c r="H17" s="130"/>
      <c r="I17" s="144" t="s">
        <v>181</v>
      </c>
      <c r="J17" s="145">
        <f>SUM(J11:J16)</f>
        <v>72902.488870000001</v>
      </c>
      <c r="K17" s="163">
        <f>J17/J3</f>
        <v>0.26366221546442098</v>
      </c>
      <c r="L17" s="147">
        <f>SUM(L11:L16)</f>
        <v>6075.2074058333328</v>
      </c>
      <c r="M17" s="133"/>
      <c r="N17" s="130"/>
      <c r="O17" s="131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spans="1:26" ht="11.25" customHeight="1" x14ac:dyDescent="0.3">
      <c r="A18" s="160" t="s">
        <v>174</v>
      </c>
      <c r="B18" s="161">
        <v>13</v>
      </c>
      <c r="C18" s="162" t="s">
        <v>182</v>
      </c>
      <c r="D18" s="151">
        <v>180</v>
      </c>
      <c r="E18" s="159">
        <f t="shared" si="7"/>
        <v>1.054655561332541E-2</v>
      </c>
      <c r="F18" s="151">
        <f t="shared" si="8"/>
        <v>2160</v>
      </c>
      <c r="G18" s="153">
        <f t="shared" si="9"/>
        <v>41.53846153846154</v>
      </c>
      <c r="H18" s="130"/>
      <c r="I18" s="150"/>
      <c r="J18" s="151"/>
      <c r="K18" s="159"/>
      <c r="L18" s="153"/>
      <c r="M18" s="133"/>
      <c r="N18" s="130"/>
      <c r="O18" s="131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spans="1:26" ht="11.25" customHeight="1" x14ac:dyDescent="0.3">
      <c r="A19" s="160" t="s">
        <v>174</v>
      </c>
      <c r="B19" s="161">
        <v>14</v>
      </c>
      <c r="C19" s="176" t="s">
        <v>183</v>
      </c>
      <c r="D19" s="151">
        <v>140</v>
      </c>
      <c r="E19" s="159">
        <f t="shared" si="7"/>
        <v>8.2028765881419861E-3</v>
      </c>
      <c r="F19" s="151">
        <f t="shared" si="8"/>
        <v>1680</v>
      </c>
      <c r="G19" s="153">
        <f t="shared" si="9"/>
        <v>32.307692307692307</v>
      </c>
      <c r="H19" s="130"/>
      <c r="I19" s="177" t="s">
        <v>184</v>
      </c>
      <c r="J19" s="178">
        <f>L44+L68</f>
        <v>182206.20206191996</v>
      </c>
      <c r="K19" s="179">
        <f>J19/J3</f>
        <v>0.65897463381079435</v>
      </c>
      <c r="L19" s="180"/>
      <c r="M19" s="133"/>
      <c r="N19" s="130"/>
      <c r="O19" s="131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spans="1:26" ht="11.25" customHeight="1" x14ac:dyDescent="0.3">
      <c r="A20" s="160" t="s">
        <v>174</v>
      </c>
      <c r="B20" s="161">
        <v>15</v>
      </c>
      <c r="C20" s="162" t="s">
        <v>185</v>
      </c>
      <c r="D20" s="151">
        <v>100</v>
      </c>
      <c r="E20" s="159">
        <f t="shared" si="7"/>
        <v>5.8591975629585609E-3</v>
      </c>
      <c r="F20" s="151">
        <f t="shared" si="8"/>
        <v>1200</v>
      </c>
      <c r="G20" s="153">
        <f t="shared" si="9"/>
        <v>23.076923076923077</v>
      </c>
      <c r="H20" s="130"/>
      <c r="I20" s="150"/>
      <c r="J20" s="151"/>
      <c r="K20" s="159"/>
      <c r="L20" s="153"/>
      <c r="M20" s="133"/>
      <c r="N20" s="130"/>
      <c r="O20" s="131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spans="1:26" ht="11.25" customHeight="1" x14ac:dyDescent="0.3">
      <c r="A21" s="160" t="s">
        <v>174</v>
      </c>
      <c r="B21" s="161">
        <v>16</v>
      </c>
      <c r="C21" s="175" t="s">
        <v>186</v>
      </c>
      <c r="D21" s="151">
        <v>0</v>
      </c>
      <c r="E21" s="159">
        <f t="shared" si="7"/>
        <v>0</v>
      </c>
      <c r="F21" s="151">
        <f t="shared" si="8"/>
        <v>0</v>
      </c>
      <c r="G21" s="153">
        <f t="shared" si="9"/>
        <v>0</v>
      </c>
      <c r="H21" s="130"/>
      <c r="I21" s="150" t="s">
        <v>187</v>
      </c>
      <c r="J21" s="151">
        <v>13000</v>
      </c>
      <c r="K21" s="159"/>
      <c r="L21" s="153">
        <f t="shared" ref="L21:L22" si="10">J21/12</f>
        <v>1083.3333333333333</v>
      </c>
      <c r="M21" s="133"/>
      <c r="N21" s="130"/>
      <c r="O21" s="131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spans="1:26" ht="11.25" customHeight="1" x14ac:dyDescent="0.3">
      <c r="A22" s="160" t="s">
        <v>174</v>
      </c>
      <c r="B22" s="161">
        <v>17</v>
      </c>
      <c r="C22" s="162" t="s">
        <v>188</v>
      </c>
      <c r="D22" s="151">
        <v>145</v>
      </c>
      <c r="E22" s="159">
        <f t="shared" si="7"/>
        <v>8.4958364662899143E-3</v>
      </c>
      <c r="F22" s="151">
        <f t="shared" si="8"/>
        <v>1740</v>
      </c>
      <c r="G22" s="153">
        <f t="shared" si="9"/>
        <v>33.46153846153846</v>
      </c>
      <c r="H22" s="130"/>
      <c r="I22" s="150" t="s">
        <v>189</v>
      </c>
      <c r="J22" s="151">
        <v>9600</v>
      </c>
      <c r="K22" s="159"/>
      <c r="L22" s="153">
        <f t="shared" si="10"/>
        <v>800</v>
      </c>
      <c r="M22" s="148">
        <f>L22-D31-D35-D40-D41-D42-D43</f>
        <v>240</v>
      </c>
      <c r="N22" s="131">
        <f>M22*12</f>
        <v>2880</v>
      </c>
      <c r="O22" s="131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spans="1:26" ht="11.25" customHeight="1" x14ac:dyDescent="0.3">
      <c r="A23" s="160" t="s">
        <v>174</v>
      </c>
      <c r="B23" s="161">
        <v>18</v>
      </c>
      <c r="C23" s="176" t="s">
        <v>190</v>
      </c>
      <c r="D23" s="151">
        <v>400</v>
      </c>
      <c r="E23" s="159">
        <f t="shared" si="7"/>
        <v>2.3436790251834243E-2</v>
      </c>
      <c r="F23" s="151">
        <f t="shared" si="8"/>
        <v>4800</v>
      </c>
      <c r="G23" s="153">
        <f t="shared" si="9"/>
        <v>92.307692307692307</v>
      </c>
      <c r="H23" s="130"/>
      <c r="I23" s="150"/>
      <c r="J23" s="152"/>
      <c r="K23" s="152"/>
      <c r="L23" s="153"/>
      <c r="M23" s="133"/>
      <c r="N23" s="130"/>
      <c r="O23" s="131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spans="1:26" ht="11.25" customHeight="1" x14ac:dyDescent="0.3">
      <c r="A24" s="160" t="s">
        <v>174</v>
      </c>
      <c r="B24" s="161">
        <v>19</v>
      </c>
      <c r="C24" s="176" t="s">
        <v>191</v>
      </c>
      <c r="D24" s="151">
        <v>200</v>
      </c>
      <c r="E24" s="159">
        <f t="shared" si="7"/>
        <v>1.1718395125917122E-2</v>
      </c>
      <c r="F24" s="151">
        <f t="shared" si="8"/>
        <v>2400</v>
      </c>
      <c r="G24" s="153">
        <f t="shared" si="9"/>
        <v>46.153846153846153</v>
      </c>
      <c r="H24" s="130"/>
      <c r="I24" s="181" t="s">
        <v>192</v>
      </c>
      <c r="J24" s="182">
        <f>J19+J22+J21</f>
        <v>204806.20206191996</v>
      </c>
      <c r="K24" s="183">
        <f>(J24+J6)/J3</f>
        <v>0.80317007683875097</v>
      </c>
      <c r="L24" s="184">
        <f>J24/12</f>
        <v>17067.183505159996</v>
      </c>
      <c r="M24" s="133"/>
      <c r="N24" s="185">
        <f>J21+J22+N44+N68</f>
        <v>204806.20206191996</v>
      </c>
      <c r="O24" s="131">
        <f>N24/12</f>
        <v>17067.183505159996</v>
      </c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spans="1:26" ht="11.25" customHeight="1" x14ac:dyDescent="0.3">
      <c r="A25" s="160" t="s">
        <v>174</v>
      </c>
      <c r="B25" s="161">
        <v>20</v>
      </c>
      <c r="C25" s="176" t="s">
        <v>193</v>
      </c>
      <c r="D25" s="151">
        <v>600</v>
      </c>
      <c r="E25" s="159">
        <f t="shared" si="7"/>
        <v>3.515518537775137E-2</v>
      </c>
      <c r="F25" s="151">
        <f t="shared" si="8"/>
        <v>7200</v>
      </c>
      <c r="G25" s="153">
        <f t="shared" si="9"/>
        <v>138.46153846153845</v>
      </c>
      <c r="H25" s="130"/>
      <c r="I25" s="130"/>
      <c r="J25" s="148"/>
      <c r="K25" s="149"/>
      <c r="L25" s="148"/>
      <c r="M25" s="133"/>
      <c r="N25" s="130"/>
      <c r="O25" s="131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spans="1:26" ht="11.25" customHeight="1" x14ac:dyDescent="0.3">
      <c r="A26" s="160" t="s">
        <v>174</v>
      </c>
      <c r="B26" s="161">
        <v>21</v>
      </c>
      <c r="C26" s="175" t="s">
        <v>194</v>
      </c>
      <c r="D26" s="151">
        <v>85</v>
      </c>
      <c r="E26" s="159">
        <f t="shared" si="7"/>
        <v>4.9803179285147769E-3</v>
      </c>
      <c r="F26" s="151">
        <f t="shared" si="8"/>
        <v>1020</v>
      </c>
      <c r="G26" s="153">
        <f t="shared" si="9"/>
        <v>19.615384615384617</v>
      </c>
      <c r="H26" s="130"/>
      <c r="I26" s="130"/>
      <c r="J26" s="148"/>
      <c r="K26" s="149"/>
      <c r="L26" s="148"/>
      <c r="M26" s="133"/>
      <c r="N26" s="130"/>
      <c r="O26" s="131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spans="1:26" ht="11.25" customHeight="1" x14ac:dyDescent="0.3">
      <c r="A27" s="160" t="s">
        <v>174</v>
      </c>
      <c r="B27" s="161">
        <v>22</v>
      </c>
      <c r="C27" s="175" t="s">
        <v>195</v>
      </c>
      <c r="D27" s="151">
        <v>100</v>
      </c>
      <c r="E27" s="159">
        <f t="shared" si="7"/>
        <v>5.8591975629585609E-3</v>
      </c>
      <c r="F27" s="151">
        <f t="shared" si="8"/>
        <v>1200</v>
      </c>
      <c r="G27" s="153">
        <f t="shared" si="9"/>
        <v>23.076923076923077</v>
      </c>
      <c r="H27" s="130"/>
      <c r="I27" s="138" t="s">
        <v>196</v>
      </c>
      <c r="J27" s="186">
        <v>50.12</v>
      </c>
      <c r="K27" s="174"/>
      <c r="L27" s="174"/>
      <c r="M27" s="187"/>
      <c r="N27" s="130"/>
      <c r="O27" s="131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spans="1:26" ht="11.25" customHeight="1" x14ac:dyDescent="0.3">
      <c r="A28" s="160" t="s">
        <v>174</v>
      </c>
      <c r="B28" s="161">
        <v>23</v>
      </c>
      <c r="C28" s="176" t="s">
        <v>197</v>
      </c>
      <c r="D28" s="151">
        <v>1200</v>
      </c>
      <c r="E28" s="159">
        <f t="shared" si="7"/>
        <v>7.0310370755502741E-2</v>
      </c>
      <c r="F28" s="151">
        <f t="shared" si="8"/>
        <v>14400</v>
      </c>
      <c r="G28" s="153">
        <f t="shared" si="9"/>
        <v>276.92307692307691</v>
      </c>
      <c r="H28" s="130"/>
      <c r="I28" s="150"/>
      <c r="J28" s="152" t="s">
        <v>198</v>
      </c>
      <c r="K28" s="152" t="s">
        <v>153</v>
      </c>
      <c r="L28" s="152" t="s">
        <v>154</v>
      </c>
      <c r="M28" s="188" t="s">
        <v>152</v>
      </c>
      <c r="N28" s="130"/>
      <c r="O28" s="131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spans="1:26" ht="11.25" customHeight="1" x14ac:dyDescent="0.3">
      <c r="A29" s="160" t="s">
        <v>174</v>
      </c>
      <c r="B29" s="161">
        <v>24</v>
      </c>
      <c r="C29" s="175" t="s">
        <v>199</v>
      </c>
      <c r="D29" s="151">
        <v>120</v>
      </c>
      <c r="E29" s="159">
        <f t="shared" si="7"/>
        <v>7.031037075550273E-3</v>
      </c>
      <c r="F29" s="151">
        <f t="shared" si="8"/>
        <v>1440</v>
      </c>
      <c r="G29" s="153">
        <f t="shared" si="9"/>
        <v>27.692307692307693</v>
      </c>
      <c r="H29" s="130"/>
      <c r="I29" s="144" t="s">
        <v>157</v>
      </c>
      <c r="J29" s="145">
        <f>J27*80</f>
        <v>4009.6</v>
      </c>
      <c r="K29" s="146"/>
      <c r="L29" s="145">
        <f>J29*26</f>
        <v>104249.59999999999</v>
      </c>
      <c r="M29" s="147">
        <f>L29/12</f>
        <v>8687.4666666666653</v>
      </c>
      <c r="N29" s="130"/>
      <c r="O29" s="131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spans="1:26" ht="11.25" customHeight="1" x14ac:dyDescent="0.3">
      <c r="A30" s="160" t="s">
        <v>174</v>
      </c>
      <c r="B30" s="161">
        <v>42</v>
      </c>
      <c r="C30" s="175" t="s">
        <v>200</v>
      </c>
      <c r="D30" s="151">
        <v>75</v>
      </c>
      <c r="E30" s="159">
        <f t="shared" si="7"/>
        <v>4.3943981722189213E-3</v>
      </c>
      <c r="F30" s="151">
        <f t="shared" si="8"/>
        <v>900</v>
      </c>
      <c r="G30" s="153">
        <f t="shared" si="9"/>
        <v>17.307692307692307</v>
      </c>
      <c r="H30" s="130"/>
      <c r="I30" s="150"/>
      <c r="J30" s="151"/>
      <c r="K30" s="152"/>
      <c r="L30" s="151"/>
      <c r="M30" s="153"/>
      <c r="N30" s="130"/>
      <c r="O30" s="131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spans="1:26" ht="11.25" customHeight="1" x14ac:dyDescent="0.3">
      <c r="A31" s="170" t="s">
        <v>174</v>
      </c>
      <c r="B31" s="171">
        <v>43</v>
      </c>
      <c r="C31" s="189" t="s">
        <v>201</v>
      </c>
      <c r="D31" s="142">
        <v>75</v>
      </c>
      <c r="E31" s="141">
        <f t="shared" si="7"/>
        <v>4.3943981722189213E-3</v>
      </c>
      <c r="F31" s="142">
        <f t="shared" si="8"/>
        <v>900</v>
      </c>
      <c r="G31" s="143">
        <f t="shared" si="9"/>
        <v>17.307692307692307</v>
      </c>
      <c r="H31" s="130"/>
      <c r="I31" s="150" t="s">
        <v>202</v>
      </c>
      <c r="J31" s="151">
        <v>157.97</v>
      </c>
      <c r="K31" s="159">
        <f>J31/J29</f>
        <v>3.9397944932162809E-2</v>
      </c>
      <c r="L31" s="151">
        <f t="shared" ref="L31:L32" si="11">J31*26</f>
        <v>4107.22</v>
      </c>
      <c r="M31" s="153">
        <f t="shared" ref="M31:M32" si="12">L31/12</f>
        <v>342.26833333333337</v>
      </c>
      <c r="N31" s="130"/>
      <c r="O31" s="131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spans="1:26" ht="11.25" customHeight="1" x14ac:dyDescent="0.3">
      <c r="A32" s="133"/>
      <c r="B32" s="134"/>
      <c r="C32" s="130"/>
      <c r="D32" s="148"/>
      <c r="E32" s="149"/>
      <c r="F32" s="148"/>
      <c r="G32" s="148"/>
      <c r="H32" s="130"/>
      <c r="I32" s="150" t="s">
        <v>97</v>
      </c>
      <c r="J32" s="151">
        <f>K32*J29</f>
        <v>200.48000000000002</v>
      </c>
      <c r="K32" s="159">
        <v>0.05</v>
      </c>
      <c r="L32" s="151">
        <f t="shared" si="11"/>
        <v>5212.4800000000005</v>
      </c>
      <c r="M32" s="153">
        <f t="shared" si="12"/>
        <v>434.37333333333339</v>
      </c>
      <c r="N32" s="130"/>
      <c r="O32" s="131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spans="1:26" ht="11.25" customHeight="1" x14ac:dyDescent="0.3">
      <c r="A33" s="135" t="s">
        <v>203</v>
      </c>
      <c r="B33" s="154">
        <v>25</v>
      </c>
      <c r="C33" s="155" t="s">
        <v>204</v>
      </c>
      <c r="D33" s="156">
        <v>350</v>
      </c>
      <c r="E33" s="157">
        <f t="shared" ref="E33:E43" si="13">D33/$O$24</f>
        <v>2.0507191470354964E-2</v>
      </c>
      <c r="F33" s="156">
        <f t="shared" ref="F33:F43" si="14">D33*12</f>
        <v>4200</v>
      </c>
      <c r="G33" s="158">
        <f t="shared" ref="G33:G43" si="15">F33/52</f>
        <v>80.769230769230774</v>
      </c>
      <c r="H33" s="130"/>
      <c r="I33" s="144" t="s">
        <v>164</v>
      </c>
      <c r="J33" s="145">
        <f>SUM(J31:J32)</f>
        <v>358.45000000000005</v>
      </c>
      <c r="K33" s="163"/>
      <c r="L33" s="145"/>
      <c r="M33" s="147"/>
      <c r="N33" s="130"/>
      <c r="O33" s="131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spans="1:26" ht="11.25" customHeight="1" x14ac:dyDescent="0.3">
      <c r="A34" s="160" t="s">
        <v>203</v>
      </c>
      <c r="B34" s="161">
        <v>26</v>
      </c>
      <c r="C34" s="175" t="s">
        <v>205</v>
      </c>
      <c r="D34" s="151">
        <v>320</v>
      </c>
      <c r="E34" s="159">
        <f t="shared" si="13"/>
        <v>1.8749432201467395E-2</v>
      </c>
      <c r="F34" s="151">
        <f t="shared" si="14"/>
        <v>3840</v>
      </c>
      <c r="G34" s="153">
        <f t="shared" si="15"/>
        <v>73.84615384615384</v>
      </c>
      <c r="H34" s="130"/>
      <c r="I34" s="150"/>
      <c r="J34" s="151"/>
      <c r="K34" s="159"/>
      <c r="L34" s="151"/>
      <c r="M34" s="153"/>
      <c r="N34" s="130"/>
      <c r="O34" s="131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spans="1:26" ht="11.25" customHeight="1" x14ac:dyDescent="0.3">
      <c r="A35" s="160" t="s">
        <v>203</v>
      </c>
      <c r="B35" s="161">
        <v>27</v>
      </c>
      <c r="C35" s="175" t="s">
        <v>206</v>
      </c>
      <c r="D35" s="151">
        <v>25</v>
      </c>
      <c r="E35" s="159">
        <f t="shared" si="13"/>
        <v>1.4647993907396402E-3</v>
      </c>
      <c r="F35" s="151">
        <f t="shared" si="14"/>
        <v>300</v>
      </c>
      <c r="G35" s="153">
        <f t="shared" si="15"/>
        <v>5.7692307692307692</v>
      </c>
      <c r="H35" s="130"/>
      <c r="I35" s="144" t="s">
        <v>167</v>
      </c>
      <c r="J35" s="145">
        <f>J29+J30-J31-J32</f>
        <v>3651.15</v>
      </c>
      <c r="K35" s="163">
        <f>J35/J29</f>
        <v>0.9106020550678372</v>
      </c>
      <c r="L35" s="145">
        <f>J35*26</f>
        <v>94929.900000000009</v>
      </c>
      <c r="M35" s="147">
        <f>L35/12</f>
        <v>7910.8250000000007</v>
      </c>
      <c r="N35" s="130"/>
      <c r="O35" s="131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spans="1:26" ht="11.25" customHeight="1" x14ac:dyDescent="0.3">
      <c r="A36" s="160" t="s">
        <v>203</v>
      </c>
      <c r="B36" s="161">
        <v>28</v>
      </c>
      <c r="C36" s="175" t="s">
        <v>207</v>
      </c>
      <c r="D36" s="151">
        <v>25</v>
      </c>
      <c r="E36" s="159">
        <f t="shared" si="13"/>
        <v>1.4647993907396402E-3</v>
      </c>
      <c r="F36" s="151">
        <f t="shared" si="14"/>
        <v>300</v>
      </c>
      <c r="G36" s="153">
        <f t="shared" si="15"/>
        <v>5.7692307692307692</v>
      </c>
      <c r="H36" s="130"/>
      <c r="I36" s="150"/>
      <c r="J36" s="151"/>
      <c r="K36" s="159"/>
      <c r="L36" s="151"/>
      <c r="M36" s="153"/>
      <c r="N36" s="130"/>
      <c r="O36" s="131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spans="1:26" ht="11.25" customHeight="1" x14ac:dyDescent="0.3">
      <c r="A37" s="160" t="s">
        <v>203</v>
      </c>
      <c r="B37" s="161">
        <v>29</v>
      </c>
      <c r="C37" s="175" t="s">
        <v>208</v>
      </c>
      <c r="D37" s="151">
        <v>45</v>
      </c>
      <c r="E37" s="159">
        <f t="shared" si="13"/>
        <v>2.6366389033313526E-3</v>
      </c>
      <c r="F37" s="151">
        <f t="shared" si="14"/>
        <v>540</v>
      </c>
      <c r="G37" s="153">
        <f t="shared" si="15"/>
        <v>10.384615384615385</v>
      </c>
      <c r="H37" s="130"/>
      <c r="I37" s="150" t="s">
        <v>170</v>
      </c>
      <c r="J37" s="151">
        <v>463.64</v>
      </c>
      <c r="K37" s="159">
        <f>J37/J35</f>
        <v>0.12698464867233611</v>
      </c>
      <c r="L37" s="151">
        <f t="shared" ref="L37:L41" si="16">J37*26</f>
        <v>12054.64</v>
      </c>
      <c r="M37" s="153">
        <f t="shared" ref="M37:M41" si="17">L37/12</f>
        <v>1004.5533333333333</v>
      </c>
      <c r="N37" s="130"/>
      <c r="O37" s="131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spans="1:26" ht="11.25" customHeight="1" x14ac:dyDescent="0.3">
      <c r="A38" s="160" t="s">
        <v>203</v>
      </c>
      <c r="B38" s="161">
        <v>30</v>
      </c>
      <c r="C38" s="175" t="s">
        <v>209</v>
      </c>
      <c r="D38" s="151">
        <v>400</v>
      </c>
      <c r="E38" s="159">
        <f t="shared" si="13"/>
        <v>2.3436790251834243E-2</v>
      </c>
      <c r="F38" s="151">
        <f t="shared" si="14"/>
        <v>4800</v>
      </c>
      <c r="G38" s="153">
        <f t="shared" si="15"/>
        <v>92.307692307692307</v>
      </c>
      <c r="H38" s="130"/>
      <c r="I38" s="150" t="s">
        <v>172</v>
      </c>
      <c r="J38" s="151">
        <v>97</v>
      </c>
      <c r="K38" s="159">
        <f>J38/J35</f>
        <v>2.6566972049902084E-2</v>
      </c>
      <c r="L38" s="151">
        <f t="shared" si="16"/>
        <v>2522</v>
      </c>
      <c r="M38" s="153">
        <f t="shared" si="17"/>
        <v>210.16666666666666</v>
      </c>
      <c r="N38" s="130"/>
      <c r="O38" s="131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spans="1:26" ht="11.25" customHeight="1" x14ac:dyDescent="0.3">
      <c r="A39" s="160" t="s">
        <v>203</v>
      </c>
      <c r="B39" s="161">
        <v>31</v>
      </c>
      <c r="C39" s="175" t="s">
        <v>210</v>
      </c>
      <c r="D39" s="151">
        <v>375</v>
      </c>
      <c r="E39" s="159">
        <f t="shared" si="13"/>
        <v>2.1971990861094606E-2</v>
      </c>
      <c r="F39" s="151">
        <f t="shared" si="14"/>
        <v>4500</v>
      </c>
      <c r="G39" s="153">
        <f t="shared" si="15"/>
        <v>86.538461538461533</v>
      </c>
      <c r="H39" s="130"/>
      <c r="I39" s="150" t="s">
        <v>173</v>
      </c>
      <c r="J39" s="151">
        <f>(J35+J32)*K39</f>
        <v>55.848635000000002</v>
      </c>
      <c r="K39" s="159">
        <v>1.4500000000000001E-2</v>
      </c>
      <c r="L39" s="151">
        <f t="shared" si="16"/>
        <v>1452.0645100000002</v>
      </c>
      <c r="M39" s="153">
        <f t="shared" si="17"/>
        <v>121.00537583333335</v>
      </c>
      <c r="N39" s="130"/>
      <c r="O39" s="131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spans="1:26" ht="11.25" customHeight="1" x14ac:dyDescent="0.3">
      <c r="A40" s="160" t="s">
        <v>203</v>
      </c>
      <c r="B40" s="161">
        <v>32</v>
      </c>
      <c r="C40" s="175" t="s">
        <v>211</v>
      </c>
      <c r="D40" s="151">
        <v>100</v>
      </c>
      <c r="E40" s="159">
        <f t="shared" si="13"/>
        <v>5.8591975629585609E-3</v>
      </c>
      <c r="F40" s="151">
        <f t="shared" si="14"/>
        <v>1200</v>
      </c>
      <c r="G40" s="153">
        <f t="shared" si="15"/>
        <v>23.076923076923077</v>
      </c>
      <c r="H40" s="130"/>
      <c r="I40" s="150" t="s">
        <v>175</v>
      </c>
      <c r="J40" s="151">
        <f>(J35+J32)*K40</f>
        <v>238.80106000000001</v>
      </c>
      <c r="K40" s="159">
        <v>6.2E-2</v>
      </c>
      <c r="L40" s="151">
        <f t="shared" si="16"/>
        <v>6208.8275599999997</v>
      </c>
      <c r="M40" s="153">
        <f t="shared" si="17"/>
        <v>517.40229666666664</v>
      </c>
      <c r="N40" s="130"/>
      <c r="O40" s="131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spans="1:26" ht="11.25" customHeight="1" x14ac:dyDescent="0.3">
      <c r="A41" s="160" t="s">
        <v>203</v>
      </c>
      <c r="B41" s="161">
        <v>33</v>
      </c>
      <c r="C41" s="175" t="s">
        <v>212</v>
      </c>
      <c r="D41" s="151">
        <v>85</v>
      </c>
      <c r="E41" s="159">
        <f t="shared" si="13"/>
        <v>4.9803179285147769E-3</v>
      </c>
      <c r="F41" s="151">
        <f t="shared" si="14"/>
        <v>1020</v>
      </c>
      <c r="G41" s="153">
        <f t="shared" si="15"/>
        <v>19.615384615384617</v>
      </c>
      <c r="H41" s="130"/>
      <c r="I41" s="150" t="s">
        <v>177</v>
      </c>
      <c r="J41" s="151">
        <f>K41*J29</f>
        <v>32.076799999999999</v>
      </c>
      <c r="K41" s="159">
        <v>8.0000000000000002E-3</v>
      </c>
      <c r="L41" s="151">
        <f t="shared" si="16"/>
        <v>833.99680000000001</v>
      </c>
      <c r="M41" s="153">
        <f t="shared" si="17"/>
        <v>69.499733333333339</v>
      </c>
      <c r="N41" s="130"/>
      <c r="O41" s="133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spans="1:26" ht="11.25" customHeight="1" x14ac:dyDescent="0.3">
      <c r="A42" s="160" t="s">
        <v>203</v>
      </c>
      <c r="B42" s="161">
        <v>34</v>
      </c>
      <c r="C42" s="175" t="s">
        <v>213</v>
      </c>
      <c r="D42" s="151">
        <v>230</v>
      </c>
      <c r="E42" s="159">
        <f t="shared" si="13"/>
        <v>1.3476154394804691E-2</v>
      </c>
      <c r="F42" s="151">
        <f t="shared" si="14"/>
        <v>2760</v>
      </c>
      <c r="G42" s="153">
        <f t="shared" si="15"/>
        <v>53.07692307692308</v>
      </c>
      <c r="H42" s="130"/>
      <c r="I42" s="144" t="s">
        <v>181</v>
      </c>
      <c r="J42" s="145">
        <f>SUM(J37:J41)</f>
        <v>887.36649499999999</v>
      </c>
      <c r="K42" s="163">
        <f>J42/J29</f>
        <v>0.22131047860135675</v>
      </c>
      <c r="L42" s="145"/>
      <c r="M42" s="147"/>
      <c r="N42" s="130"/>
      <c r="O42" s="133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spans="1:26" ht="11.25" customHeight="1" x14ac:dyDescent="0.3">
      <c r="A43" s="170" t="s">
        <v>203</v>
      </c>
      <c r="B43" s="171">
        <v>35</v>
      </c>
      <c r="C43" s="189" t="s">
        <v>214</v>
      </c>
      <c r="D43" s="142">
        <v>45</v>
      </c>
      <c r="E43" s="141">
        <f t="shared" si="13"/>
        <v>2.6366389033313526E-3</v>
      </c>
      <c r="F43" s="142">
        <f t="shared" si="14"/>
        <v>540</v>
      </c>
      <c r="G43" s="143">
        <f t="shared" si="15"/>
        <v>10.384615384615385</v>
      </c>
      <c r="H43" s="130"/>
      <c r="I43" s="150"/>
      <c r="J43" s="151"/>
      <c r="K43" s="159"/>
      <c r="L43" s="151"/>
      <c r="M43" s="153"/>
      <c r="N43" s="130"/>
      <c r="O43" s="133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spans="1:26" ht="11.25" customHeight="1" x14ac:dyDescent="0.3">
      <c r="A44" s="133"/>
      <c r="B44" s="134"/>
      <c r="C44" s="130"/>
      <c r="D44" s="133"/>
      <c r="E44" s="148"/>
      <c r="F44" s="148"/>
      <c r="G44" s="148"/>
      <c r="H44" s="130"/>
      <c r="I44" s="190" t="s">
        <v>215</v>
      </c>
      <c r="J44" s="191">
        <f>J29-J33-J42</f>
        <v>2763.7835049999994</v>
      </c>
      <c r="K44" s="192">
        <f>(J44+J32)/J29</f>
        <v>0.73929157646648036</v>
      </c>
      <c r="L44" s="191">
        <f>J44*26</f>
        <v>71858.371129999985</v>
      </c>
      <c r="M44" s="193">
        <f>L44/12</f>
        <v>5988.1975941666651</v>
      </c>
      <c r="N44" s="185">
        <f>L44</f>
        <v>71858.371129999985</v>
      </c>
      <c r="O44" s="131">
        <f>N44/26</f>
        <v>2763.7835049999994</v>
      </c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spans="1:26" ht="11.25" customHeight="1" x14ac:dyDescent="0.3">
      <c r="A45" s="135" t="s">
        <v>216</v>
      </c>
      <c r="B45" s="154">
        <v>36</v>
      </c>
      <c r="C45" s="174" t="s">
        <v>103</v>
      </c>
      <c r="D45" s="156">
        <f t="shared" ref="D45:D46" si="18">F45/12</f>
        <v>50</v>
      </c>
      <c r="E45" s="157">
        <f t="shared" ref="E45:E46" si="19">D45/$O$24</f>
        <v>2.9295987814792804E-3</v>
      </c>
      <c r="F45" s="156">
        <f>50*12</f>
        <v>600</v>
      </c>
      <c r="G45" s="158">
        <f t="shared" ref="G45:G46" si="20">F45/52</f>
        <v>11.538461538461538</v>
      </c>
      <c r="H45" s="130"/>
      <c r="I45" s="130"/>
      <c r="J45" s="133"/>
      <c r="K45" s="133"/>
      <c r="L45" s="133"/>
      <c r="M45" s="148"/>
      <c r="N45" s="130"/>
      <c r="O45" s="131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spans="1:26" ht="11.25" customHeight="1" x14ac:dyDescent="0.3">
      <c r="A46" s="170" t="s">
        <v>216</v>
      </c>
      <c r="B46" s="171">
        <v>37</v>
      </c>
      <c r="C46" s="189" t="s">
        <v>217</v>
      </c>
      <c r="D46" s="142">
        <f t="shared" si="18"/>
        <v>4017.1835051599969</v>
      </c>
      <c r="E46" s="141">
        <f t="shared" si="19"/>
        <v>0.23537471803390783</v>
      </c>
      <c r="F46" s="194">
        <f>(N24-SUM(F5:F45))</f>
        <v>48206.202061919961</v>
      </c>
      <c r="G46" s="143">
        <f t="shared" si="20"/>
        <v>927.04234734461465</v>
      </c>
      <c r="H46" s="130"/>
      <c r="I46" s="130"/>
      <c r="J46" s="133"/>
      <c r="K46" s="133"/>
      <c r="L46" s="133"/>
      <c r="M46" s="148"/>
      <c r="N46" s="130"/>
      <c r="O46" s="131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spans="1:26" ht="11.25" customHeight="1" x14ac:dyDescent="0.3">
      <c r="A47" s="133"/>
      <c r="B47" s="134"/>
      <c r="C47" s="130"/>
      <c r="D47" s="148"/>
      <c r="E47" s="149"/>
      <c r="F47" s="148"/>
      <c r="G47" s="148"/>
      <c r="H47" s="130"/>
      <c r="I47" s="138" t="s">
        <v>218</v>
      </c>
      <c r="J47" s="186">
        <v>82.809299999999993</v>
      </c>
      <c r="K47" s="174"/>
      <c r="L47" s="174"/>
      <c r="M47" s="187"/>
      <c r="N47" s="130"/>
      <c r="O47" s="131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spans="1:26" ht="11.25" customHeight="1" x14ac:dyDescent="0.3">
      <c r="A48" s="133"/>
      <c r="B48" s="134"/>
      <c r="C48" s="130"/>
      <c r="D48" s="133"/>
      <c r="E48" s="133"/>
      <c r="F48" s="133"/>
      <c r="G48" s="133"/>
      <c r="H48" s="130"/>
      <c r="I48" s="150"/>
      <c r="J48" s="152" t="s">
        <v>198</v>
      </c>
      <c r="K48" s="152" t="s">
        <v>153</v>
      </c>
      <c r="L48" s="152" t="s">
        <v>154</v>
      </c>
      <c r="M48" s="188" t="s">
        <v>152</v>
      </c>
      <c r="N48" s="130"/>
      <c r="O48" s="131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spans="1:26" ht="11.25" customHeight="1" x14ac:dyDescent="0.3">
      <c r="A49" s="133"/>
      <c r="B49" s="134"/>
      <c r="C49" s="130"/>
      <c r="D49" s="133"/>
      <c r="E49" s="133"/>
      <c r="F49" s="133"/>
      <c r="G49" s="133"/>
      <c r="H49" s="130"/>
      <c r="I49" s="150" t="s">
        <v>157</v>
      </c>
      <c r="J49" s="151">
        <f>J47*86.67</f>
        <v>7177.0820309999999</v>
      </c>
      <c r="K49" s="152"/>
      <c r="L49" s="151">
        <f>J49*24</f>
        <v>172249.96874400001</v>
      </c>
      <c r="M49" s="153">
        <f>L49/12</f>
        <v>14354.164062000002</v>
      </c>
      <c r="N49" s="130"/>
      <c r="O49" s="131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spans="1:26" ht="11.25" customHeight="1" x14ac:dyDescent="0.3">
      <c r="A50" s="133"/>
      <c r="B50" s="134"/>
      <c r="C50" s="130"/>
      <c r="D50" s="133"/>
      <c r="E50" s="133"/>
      <c r="F50" s="133"/>
      <c r="G50" s="133"/>
      <c r="H50" s="130"/>
      <c r="I50" s="150" t="s">
        <v>219</v>
      </c>
      <c r="J50" s="151">
        <v>34</v>
      </c>
      <c r="K50" s="152"/>
      <c r="L50" s="151"/>
      <c r="M50" s="153"/>
      <c r="N50" s="130"/>
      <c r="O50" s="131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spans="1:26" ht="11.25" customHeight="1" x14ac:dyDescent="0.3">
      <c r="A51" s="133"/>
      <c r="B51" s="134"/>
      <c r="C51" s="130"/>
      <c r="D51" s="133"/>
      <c r="E51" s="133"/>
      <c r="F51" s="133"/>
      <c r="G51" s="133"/>
      <c r="H51" s="130"/>
      <c r="I51" s="144" t="s">
        <v>220</v>
      </c>
      <c r="J51" s="145">
        <f>J49+J50</f>
        <v>7211.0820309999999</v>
      </c>
      <c r="K51" s="146"/>
      <c r="L51" s="145"/>
      <c r="M51" s="147"/>
      <c r="N51" s="130"/>
      <c r="O51" s="131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spans="1:26" ht="11.25" customHeight="1" x14ac:dyDescent="0.3">
      <c r="A52" s="133"/>
      <c r="B52" s="134"/>
      <c r="C52" s="130"/>
      <c r="D52" s="195"/>
      <c r="E52" s="133"/>
      <c r="F52" s="133"/>
      <c r="G52" s="133"/>
      <c r="H52" s="130"/>
      <c r="I52" s="150"/>
      <c r="J52" s="151"/>
      <c r="K52" s="152"/>
      <c r="L52" s="151"/>
      <c r="M52" s="153"/>
      <c r="N52" s="130"/>
      <c r="O52" s="131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spans="1:26" ht="11.25" customHeight="1" x14ac:dyDescent="0.3">
      <c r="A53" s="132"/>
      <c r="B53" s="132"/>
      <c r="C53" s="132"/>
      <c r="D53" s="132"/>
      <c r="E53" s="132"/>
      <c r="F53" s="132"/>
      <c r="G53" s="132"/>
      <c r="H53" s="132"/>
      <c r="I53" s="150" t="s">
        <v>221</v>
      </c>
      <c r="J53" s="151">
        <v>9.0500000000000007</v>
      </c>
      <c r="K53" s="159">
        <f>J53/J49</f>
        <v>1.2609581388244274E-3</v>
      </c>
      <c r="L53" s="151">
        <f t="shared" ref="L53:L56" si="21">J53*24</f>
        <v>217.20000000000002</v>
      </c>
      <c r="M53" s="153">
        <f t="shared" ref="M53:M56" si="22">L53/12</f>
        <v>18.100000000000001</v>
      </c>
      <c r="N53" s="130"/>
      <c r="O53" s="131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spans="1:26" ht="11.25" customHeight="1" x14ac:dyDescent="0.3">
      <c r="A54" s="132"/>
      <c r="B54" s="132"/>
      <c r="C54" s="132"/>
      <c r="D54" s="132"/>
      <c r="E54" s="132"/>
      <c r="F54" s="132"/>
      <c r="G54" s="132"/>
      <c r="H54" s="132"/>
      <c r="I54" s="150" t="s">
        <v>222</v>
      </c>
      <c r="J54" s="151">
        <v>23.67</v>
      </c>
      <c r="K54" s="159">
        <f>J54/J49</f>
        <v>3.2979976956877561E-3</v>
      </c>
      <c r="L54" s="151">
        <f t="shared" si="21"/>
        <v>568.08000000000004</v>
      </c>
      <c r="M54" s="153">
        <f t="shared" si="22"/>
        <v>47.34</v>
      </c>
      <c r="N54" s="130"/>
      <c r="O54" s="131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spans="1:26" ht="11.25" customHeight="1" x14ac:dyDescent="0.3">
      <c r="A55" s="132"/>
      <c r="B55" s="132"/>
      <c r="C55" s="132"/>
      <c r="D55" s="132"/>
      <c r="E55" s="132"/>
      <c r="F55" s="132"/>
      <c r="G55" s="132"/>
      <c r="H55" s="132"/>
      <c r="I55" s="150" t="s">
        <v>223</v>
      </c>
      <c r="J55" s="151">
        <v>-32.15</v>
      </c>
      <c r="K55" s="159">
        <f>J55/J49</f>
        <v>-4.4795363716248985E-3</v>
      </c>
      <c r="L55" s="151">
        <f t="shared" si="21"/>
        <v>-771.59999999999991</v>
      </c>
      <c r="M55" s="153">
        <f t="shared" si="22"/>
        <v>-64.3</v>
      </c>
      <c r="N55" s="130"/>
      <c r="O55" s="131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spans="1:26" ht="11.25" customHeight="1" x14ac:dyDescent="0.3">
      <c r="A56" s="132"/>
      <c r="B56" s="132"/>
      <c r="C56" s="132"/>
      <c r="D56" s="132"/>
      <c r="E56" s="132"/>
      <c r="F56" s="132"/>
      <c r="G56" s="132"/>
      <c r="H56" s="132"/>
      <c r="I56" s="150" t="s">
        <v>162</v>
      </c>
      <c r="J56" s="151">
        <f>J49*K56</f>
        <v>502.39574217000006</v>
      </c>
      <c r="K56" s="159">
        <v>7.0000000000000007E-2</v>
      </c>
      <c r="L56" s="151">
        <f t="shared" si="21"/>
        <v>12057.497812080001</v>
      </c>
      <c r="M56" s="153">
        <f t="shared" si="22"/>
        <v>1004.79148434</v>
      </c>
      <c r="N56" s="130"/>
      <c r="O56" s="131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spans="1:26" ht="11.25" customHeight="1" x14ac:dyDescent="0.3">
      <c r="A57" s="132"/>
      <c r="B57" s="132"/>
      <c r="C57" s="132"/>
      <c r="D57" s="132"/>
      <c r="E57" s="132"/>
      <c r="F57" s="132"/>
      <c r="G57" s="132"/>
      <c r="H57" s="132"/>
      <c r="I57" s="144" t="s">
        <v>164</v>
      </c>
      <c r="J57" s="145">
        <f>SUM(J53:J56)</f>
        <v>502.96574217000006</v>
      </c>
      <c r="K57" s="146"/>
      <c r="L57" s="145"/>
      <c r="M57" s="147"/>
      <c r="N57" s="131"/>
      <c r="O57" s="131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spans="1:26" ht="11.25" customHeight="1" x14ac:dyDescent="0.3">
      <c r="A58" s="132"/>
      <c r="B58" s="132"/>
      <c r="C58" s="132"/>
      <c r="D58" s="132"/>
      <c r="E58" s="132"/>
      <c r="F58" s="132"/>
      <c r="G58" s="132"/>
      <c r="H58" s="132"/>
      <c r="I58" s="150"/>
      <c r="J58" s="151"/>
      <c r="K58" s="152"/>
      <c r="L58" s="151"/>
      <c r="M58" s="153"/>
      <c r="N58" s="131"/>
      <c r="O58" s="131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spans="1:26" ht="11.25" customHeight="1" x14ac:dyDescent="0.3">
      <c r="A59" s="132"/>
      <c r="B59" s="132"/>
      <c r="C59" s="132"/>
      <c r="D59" s="132"/>
      <c r="E59" s="132"/>
      <c r="F59" s="132"/>
      <c r="G59" s="132"/>
      <c r="H59" s="132"/>
      <c r="I59" s="144" t="s">
        <v>167</v>
      </c>
      <c r="J59" s="145">
        <f>J51-J57</f>
        <v>6708.1162888299996</v>
      </c>
      <c r="K59" s="146"/>
      <c r="L59" s="145">
        <f>J59*24</f>
        <v>160994.79093192</v>
      </c>
      <c r="M59" s="147">
        <f>L59/12</f>
        <v>13416.232577659999</v>
      </c>
      <c r="N59" s="130"/>
      <c r="O59" s="131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spans="1:26" ht="11.25" customHeight="1" x14ac:dyDescent="0.3">
      <c r="A60" s="132"/>
      <c r="B60" s="132"/>
      <c r="C60" s="132"/>
      <c r="D60" s="132"/>
      <c r="E60" s="132"/>
      <c r="F60" s="132"/>
      <c r="G60" s="132"/>
      <c r="H60" s="132"/>
      <c r="I60" s="150"/>
      <c r="J60" s="151"/>
      <c r="K60" s="152"/>
      <c r="L60" s="151"/>
      <c r="M60" s="153"/>
      <c r="N60" s="130"/>
      <c r="O60" s="131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spans="1:26" ht="11.25" customHeight="1" x14ac:dyDescent="0.3">
      <c r="A61" s="132"/>
      <c r="B61" s="132"/>
      <c r="C61" s="132"/>
      <c r="D61" s="132"/>
      <c r="E61" s="132"/>
      <c r="F61" s="132"/>
      <c r="G61" s="132"/>
      <c r="H61" s="132"/>
      <c r="I61" s="150" t="s">
        <v>170</v>
      </c>
      <c r="J61" s="151">
        <v>1140.53</v>
      </c>
      <c r="K61" s="159">
        <f>J61/J59</f>
        <v>0.17002239539274985</v>
      </c>
      <c r="L61" s="151">
        <f t="shared" ref="L61:L65" si="23">J61*24</f>
        <v>27372.720000000001</v>
      </c>
      <c r="M61" s="153">
        <f t="shared" ref="M61:M65" si="24">L61/12</f>
        <v>2281.06</v>
      </c>
      <c r="N61" s="130"/>
      <c r="O61" s="131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spans="1:26" ht="11.25" customHeight="1" x14ac:dyDescent="0.3">
      <c r="A62" s="132"/>
      <c r="B62" s="132"/>
      <c r="C62" s="132"/>
      <c r="D62" s="132"/>
      <c r="E62" s="132"/>
      <c r="F62" s="132"/>
      <c r="G62" s="132"/>
      <c r="H62" s="132"/>
      <c r="I62" s="150" t="s">
        <v>172</v>
      </c>
      <c r="J62" s="151">
        <v>203.9</v>
      </c>
      <c r="K62" s="159">
        <f>J62/J59</f>
        <v>3.0396014502539783E-2</v>
      </c>
      <c r="L62" s="151">
        <f t="shared" si="23"/>
        <v>4893.6000000000004</v>
      </c>
      <c r="M62" s="153">
        <f t="shared" si="24"/>
        <v>407.8</v>
      </c>
      <c r="N62" s="130"/>
      <c r="O62" s="131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spans="1:26" ht="11.25" customHeight="1" x14ac:dyDescent="0.3">
      <c r="A63" s="132"/>
      <c r="B63" s="132"/>
      <c r="C63" s="132"/>
      <c r="D63" s="132"/>
      <c r="E63" s="132"/>
      <c r="F63" s="132"/>
      <c r="G63" s="132"/>
      <c r="H63" s="132"/>
      <c r="I63" s="150" t="s">
        <v>173</v>
      </c>
      <c r="J63" s="151">
        <v>104.55</v>
      </c>
      <c r="K63" s="159">
        <f>J63/J51</f>
        <v>1.4498517635847984E-2</v>
      </c>
      <c r="L63" s="151">
        <f t="shared" si="23"/>
        <v>2509.1999999999998</v>
      </c>
      <c r="M63" s="153">
        <f t="shared" si="24"/>
        <v>209.1</v>
      </c>
      <c r="N63" s="130"/>
      <c r="O63" s="131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spans="1:26" ht="11.25" customHeight="1" x14ac:dyDescent="0.3">
      <c r="A64" s="132"/>
      <c r="B64" s="132"/>
      <c r="C64" s="132"/>
      <c r="D64" s="132"/>
      <c r="E64" s="132"/>
      <c r="F64" s="132"/>
      <c r="G64" s="132"/>
      <c r="H64" s="132"/>
      <c r="I64" s="150" t="s">
        <v>175</v>
      </c>
      <c r="J64" s="151">
        <v>447.05</v>
      </c>
      <c r="K64" s="159">
        <f>J64/J51</f>
        <v>6.1994857093312691E-2</v>
      </c>
      <c r="L64" s="151">
        <f t="shared" si="23"/>
        <v>10729.2</v>
      </c>
      <c r="M64" s="153">
        <f t="shared" si="24"/>
        <v>894.1</v>
      </c>
      <c r="N64" s="130"/>
      <c r="O64" s="131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spans="1:26" ht="11.25" customHeight="1" x14ac:dyDescent="0.3">
      <c r="A65" s="132"/>
      <c r="B65" s="132"/>
      <c r="C65" s="132"/>
      <c r="D65" s="132"/>
      <c r="E65" s="132"/>
      <c r="F65" s="132"/>
      <c r="G65" s="132"/>
      <c r="H65" s="132"/>
      <c r="I65" s="150" t="s">
        <v>179</v>
      </c>
      <c r="J65" s="151">
        <v>180.26</v>
      </c>
      <c r="K65" s="159">
        <f>J65/J51</f>
        <v>2.4997635476211932E-2</v>
      </c>
      <c r="L65" s="151">
        <f t="shared" si="23"/>
        <v>4326.24</v>
      </c>
      <c r="M65" s="153">
        <f t="shared" si="24"/>
        <v>360.52</v>
      </c>
      <c r="N65" s="130"/>
      <c r="O65" s="131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spans="1:26" ht="11.25" customHeight="1" x14ac:dyDescent="0.3">
      <c r="A66" s="132"/>
      <c r="B66" s="132"/>
      <c r="C66" s="132"/>
      <c r="D66" s="132"/>
      <c r="E66" s="132"/>
      <c r="F66" s="132"/>
      <c r="G66" s="132"/>
      <c r="H66" s="132"/>
      <c r="I66" s="144" t="s">
        <v>181</v>
      </c>
      <c r="J66" s="145">
        <f>SUM(J61:J65)</f>
        <v>2076.29</v>
      </c>
      <c r="K66" s="163">
        <f>J66/J49</f>
        <v>0.28929445017235028</v>
      </c>
      <c r="L66" s="145"/>
      <c r="M66" s="147"/>
      <c r="N66" s="130"/>
      <c r="O66" s="131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spans="1:26" ht="11.25" customHeight="1" x14ac:dyDescent="0.3">
      <c r="A67" s="132"/>
      <c r="B67" s="132"/>
      <c r="C67" s="132"/>
      <c r="D67" s="132"/>
      <c r="E67" s="132"/>
      <c r="F67" s="132"/>
      <c r="G67" s="132"/>
      <c r="H67" s="132"/>
      <c r="I67" s="150"/>
      <c r="J67" s="151"/>
      <c r="K67" s="152"/>
      <c r="L67" s="151"/>
      <c r="M67" s="153"/>
      <c r="N67" s="130"/>
      <c r="O67" s="131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spans="1:26" ht="11.25" customHeight="1" x14ac:dyDescent="0.3">
      <c r="A68" s="132"/>
      <c r="B68" s="132"/>
      <c r="C68" s="132"/>
      <c r="D68" s="132"/>
      <c r="E68" s="132"/>
      <c r="F68" s="132"/>
      <c r="G68" s="132"/>
      <c r="H68" s="132"/>
      <c r="I68" s="190" t="s">
        <v>215</v>
      </c>
      <c r="J68" s="191">
        <f>J49-J57-J66</f>
        <v>4597.8262888299996</v>
      </c>
      <c r="K68" s="192">
        <f>(J68+J56)/J49</f>
        <v>0.71062613036476241</v>
      </c>
      <c r="L68" s="191">
        <f>J68*24</f>
        <v>110347.83093191999</v>
      </c>
      <c r="M68" s="193">
        <f>L68/12</f>
        <v>9195.6525776599992</v>
      </c>
      <c r="N68" s="185">
        <f>L68</f>
        <v>110347.83093191999</v>
      </c>
      <c r="O68" s="131">
        <f>N68/24</f>
        <v>4597.8262888299996</v>
      </c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spans="1:26" ht="11.25" customHeight="1" x14ac:dyDescent="0.3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spans="1:26" ht="11.25" customHeight="1" x14ac:dyDescent="0.3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spans="1:26" ht="11.25" customHeight="1" x14ac:dyDescent="0.3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spans="1:26" ht="11.25" customHeight="1" x14ac:dyDescent="0.3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spans="1:26" ht="11.25" customHeight="1" x14ac:dyDescent="0.3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spans="1:26" ht="11.25" customHeight="1" x14ac:dyDescent="0.3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spans="1:26" ht="11.25" customHeight="1" x14ac:dyDescent="0.3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spans="1:26" ht="11.25" customHeight="1" x14ac:dyDescent="0.3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spans="1:26" ht="11.25" customHeight="1" x14ac:dyDescent="0.3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spans="1:26" ht="11.25" customHeight="1" x14ac:dyDescent="0.3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spans="1:26" ht="11.25" customHeight="1" x14ac:dyDescent="0.3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spans="1:26" ht="11.25" customHeight="1" x14ac:dyDescent="0.3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spans="1:26" ht="11.25" customHeight="1" x14ac:dyDescent="0.3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spans="1:26" ht="11.25" customHeight="1" x14ac:dyDescent="0.3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spans="1:26" ht="11.25" customHeight="1" x14ac:dyDescent="0.3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spans="1:26" ht="11.25" customHeight="1" x14ac:dyDescent="0.3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spans="1:26" ht="11.25" customHeight="1" x14ac:dyDescent="0.3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spans="1:26" ht="11.25" customHeight="1" x14ac:dyDescent="0.3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spans="1:26" ht="11.25" customHeight="1" x14ac:dyDescent="0.3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spans="1:26" ht="11.25" customHeight="1" x14ac:dyDescent="0.3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spans="1:26" ht="11.25" customHeight="1" x14ac:dyDescent="0.3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spans="1:26" ht="11.25" customHeight="1" x14ac:dyDescent="0.3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spans="1:26" ht="11.25" customHeight="1" x14ac:dyDescent="0.3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spans="1:26" ht="11.25" customHeight="1" x14ac:dyDescent="0.3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spans="1:26" ht="11.25" customHeight="1" x14ac:dyDescent="0.3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spans="1:26" ht="11.25" customHeight="1" x14ac:dyDescent="0.3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spans="1:26" ht="11.25" customHeight="1" x14ac:dyDescent="0.3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spans="1:26" ht="11.25" customHeight="1" x14ac:dyDescent="0.3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spans="1:26" ht="11.25" customHeight="1" x14ac:dyDescent="0.3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spans="1:26" ht="11.25" customHeight="1" x14ac:dyDescent="0.3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spans="1:26" ht="11.25" customHeight="1" x14ac:dyDescent="0.3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spans="1:26" ht="11.25" customHeight="1" x14ac:dyDescent="0.3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spans="1:26" ht="11.25" customHeight="1" x14ac:dyDescent="0.3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spans="1:26" ht="11.25" customHeight="1" x14ac:dyDescent="0.3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spans="1:26" ht="11.25" customHeight="1" x14ac:dyDescent="0.3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spans="1:26" ht="11.25" customHeight="1" x14ac:dyDescent="0.3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spans="1:26" ht="11.25" customHeight="1" x14ac:dyDescent="0.3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spans="1:26" ht="11.25" customHeight="1" x14ac:dyDescent="0.3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spans="1:26" ht="11.25" customHeight="1" x14ac:dyDescent="0.3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spans="1:26" ht="11.25" customHeight="1" x14ac:dyDescent="0.3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spans="1:26" ht="11.25" customHeight="1" x14ac:dyDescent="0.3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spans="1:26" ht="11.25" customHeight="1" x14ac:dyDescent="0.3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spans="1:26" ht="11.25" customHeight="1" x14ac:dyDescent="0.3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spans="1:26" ht="11.25" customHeight="1" x14ac:dyDescent="0.3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spans="1:26" ht="11.25" customHeight="1" x14ac:dyDescent="0.3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spans="1:26" ht="11.25" customHeight="1" x14ac:dyDescent="0.3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spans="1:26" ht="11.25" customHeight="1" x14ac:dyDescent="0.3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spans="1:26" ht="11.25" customHeight="1" x14ac:dyDescent="0.3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spans="1:26" ht="11.25" customHeight="1" x14ac:dyDescent="0.3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spans="1:26" ht="11.25" customHeight="1" x14ac:dyDescent="0.3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spans="1:26" ht="11.25" customHeight="1" x14ac:dyDescent="0.3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spans="1:26" ht="11.25" customHeight="1" x14ac:dyDescent="0.3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spans="1:26" ht="11.25" customHeight="1" x14ac:dyDescent="0.3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spans="1:26" ht="11.25" customHeight="1" x14ac:dyDescent="0.3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spans="1:26" ht="11.25" customHeight="1" x14ac:dyDescent="0.3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spans="1:26" ht="11.25" customHeight="1" x14ac:dyDescent="0.3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spans="1:26" ht="11.25" customHeight="1" x14ac:dyDescent="0.3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spans="1:26" ht="11.25" customHeight="1" x14ac:dyDescent="0.3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spans="1:26" ht="11.25" customHeight="1" x14ac:dyDescent="0.3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spans="1:26" ht="11.25" customHeight="1" x14ac:dyDescent="0.3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spans="1:26" ht="11.25" customHeight="1" x14ac:dyDescent="0.3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spans="1:26" ht="11.25" customHeight="1" x14ac:dyDescent="0.3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spans="1:26" ht="11.25" customHeight="1" x14ac:dyDescent="0.3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spans="1:26" ht="11.25" customHeight="1" x14ac:dyDescent="0.3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spans="1:26" ht="11.25" customHeight="1" x14ac:dyDescent="0.3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spans="1:26" ht="11.25" customHeight="1" x14ac:dyDescent="0.3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spans="1:26" ht="11.25" customHeight="1" x14ac:dyDescent="0.3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spans="1:26" ht="11.25" customHeight="1" x14ac:dyDescent="0.3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spans="1:26" ht="11.25" customHeight="1" x14ac:dyDescent="0.3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spans="1:26" ht="11.25" customHeight="1" x14ac:dyDescent="0.3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spans="1:26" ht="11.25" customHeight="1" x14ac:dyDescent="0.3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spans="1:26" ht="11.25" customHeight="1" x14ac:dyDescent="0.3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spans="1:26" ht="11.25" customHeight="1" x14ac:dyDescent="0.3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spans="1:26" ht="11.25" customHeight="1" x14ac:dyDescent="0.3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spans="1:26" ht="11.25" customHeight="1" x14ac:dyDescent="0.3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spans="1:26" ht="11.25" customHeight="1" x14ac:dyDescent="0.3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spans="1:26" ht="11.25" customHeight="1" x14ac:dyDescent="0.3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spans="1:26" ht="11.25" customHeight="1" x14ac:dyDescent="0.3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spans="1:26" ht="11.25" customHeight="1" x14ac:dyDescent="0.3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spans="1:26" ht="11.25" customHeight="1" x14ac:dyDescent="0.3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spans="1:26" ht="11.25" customHeight="1" x14ac:dyDescent="0.3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spans="1:26" ht="11.25" customHeight="1" x14ac:dyDescent="0.3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spans="1:26" ht="11.25" customHeight="1" x14ac:dyDescent="0.3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spans="1:26" ht="11.25" customHeight="1" x14ac:dyDescent="0.3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spans="1:26" ht="11.25" customHeight="1" x14ac:dyDescent="0.3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spans="1:26" ht="11.25" customHeight="1" x14ac:dyDescent="0.3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spans="1:26" ht="11.25" customHeight="1" x14ac:dyDescent="0.3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spans="1:26" ht="11.25" customHeight="1" x14ac:dyDescent="0.3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spans="1:26" ht="11.25" customHeight="1" x14ac:dyDescent="0.3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spans="1:26" ht="11.25" customHeight="1" x14ac:dyDescent="0.3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spans="1:26" ht="11.25" customHeight="1" x14ac:dyDescent="0.3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spans="1:26" ht="11.25" customHeight="1" x14ac:dyDescent="0.3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spans="1:26" ht="11.25" customHeight="1" x14ac:dyDescent="0.3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spans="1:26" ht="11.25" customHeight="1" x14ac:dyDescent="0.3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spans="1:26" ht="11.25" customHeight="1" x14ac:dyDescent="0.3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spans="1:26" ht="11.25" customHeight="1" x14ac:dyDescent="0.3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spans="1:26" ht="11.25" customHeight="1" x14ac:dyDescent="0.3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spans="1:26" ht="11.25" customHeight="1" x14ac:dyDescent="0.3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spans="1:26" ht="11.25" customHeight="1" x14ac:dyDescent="0.3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spans="1:26" ht="11.25" customHeight="1" x14ac:dyDescent="0.3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spans="1:26" ht="11.25" customHeight="1" x14ac:dyDescent="0.3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spans="1:26" ht="11.25" customHeight="1" x14ac:dyDescent="0.3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spans="1:26" ht="11.25" customHeight="1" x14ac:dyDescent="0.3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spans="1:26" ht="11.25" customHeight="1" x14ac:dyDescent="0.3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spans="1:26" ht="11.25" customHeight="1" x14ac:dyDescent="0.3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spans="1:26" ht="11.25" customHeight="1" x14ac:dyDescent="0.3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spans="1:26" ht="11.25" customHeight="1" x14ac:dyDescent="0.3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spans="1:26" ht="11.25" customHeight="1" x14ac:dyDescent="0.3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spans="1:26" ht="11.25" customHeight="1" x14ac:dyDescent="0.3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spans="1:26" ht="11.25" customHeight="1" x14ac:dyDescent="0.3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spans="1:26" ht="11.25" customHeight="1" x14ac:dyDescent="0.3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spans="1:26" ht="11.25" customHeight="1" x14ac:dyDescent="0.3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spans="1:26" ht="11.25" customHeight="1" x14ac:dyDescent="0.3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spans="1:26" ht="11.25" customHeight="1" x14ac:dyDescent="0.3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spans="1:26" ht="11.25" customHeight="1" x14ac:dyDescent="0.3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spans="1:26" ht="11.25" customHeight="1" x14ac:dyDescent="0.3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spans="1:26" ht="11.25" customHeight="1" x14ac:dyDescent="0.3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spans="1:26" ht="11.25" customHeight="1" x14ac:dyDescent="0.3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spans="1:26" ht="11.25" customHeight="1" x14ac:dyDescent="0.3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spans="1:26" ht="11.25" customHeight="1" x14ac:dyDescent="0.3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spans="1:26" ht="11.25" customHeight="1" x14ac:dyDescent="0.3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spans="1:26" ht="11.25" customHeight="1" x14ac:dyDescent="0.3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spans="1:26" ht="11.25" customHeight="1" x14ac:dyDescent="0.3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spans="1:26" ht="11.25" customHeight="1" x14ac:dyDescent="0.3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spans="1:26" ht="11.25" customHeight="1" x14ac:dyDescent="0.3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spans="1:26" ht="11.25" customHeight="1" x14ac:dyDescent="0.3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spans="1:26" ht="11.25" customHeight="1" x14ac:dyDescent="0.3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spans="1:26" ht="11.25" customHeight="1" x14ac:dyDescent="0.3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spans="1:26" ht="11.25" customHeight="1" x14ac:dyDescent="0.3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spans="1:26" ht="11.25" customHeight="1" x14ac:dyDescent="0.3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spans="1:26" ht="11.25" customHeight="1" x14ac:dyDescent="0.3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spans="1:26" ht="11.25" customHeight="1" x14ac:dyDescent="0.3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spans="1:26" ht="11.25" customHeight="1" x14ac:dyDescent="0.3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spans="1:26" ht="11.25" customHeight="1" x14ac:dyDescent="0.3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spans="1:26" ht="11.25" customHeight="1" x14ac:dyDescent="0.3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spans="1:26" ht="11.25" customHeight="1" x14ac:dyDescent="0.3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spans="1:26" ht="11.25" customHeight="1" x14ac:dyDescent="0.3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spans="1:26" ht="11.25" customHeight="1" x14ac:dyDescent="0.3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spans="1:26" ht="11.25" customHeight="1" x14ac:dyDescent="0.3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spans="1:26" ht="11.25" customHeight="1" x14ac:dyDescent="0.3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spans="1:26" ht="11.25" customHeight="1" x14ac:dyDescent="0.3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spans="1:26" ht="11.25" customHeight="1" x14ac:dyDescent="0.3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spans="1:26" ht="11.25" customHeight="1" x14ac:dyDescent="0.3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spans="1:26" ht="11.25" customHeight="1" x14ac:dyDescent="0.3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spans="1:26" ht="11.25" customHeight="1" x14ac:dyDescent="0.3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spans="1:26" ht="11.25" customHeight="1" x14ac:dyDescent="0.3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spans="1:26" ht="11.25" customHeight="1" x14ac:dyDescent="0.3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spans="1:26" ht="11.25" customHeight="1" x14ac:dyDescent="0.3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spans="1:26" ht="11.25" customHeight="1" x14ac:dyDescent="0.3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spans="1:26" ht="11.25" customHeight="1" x14ac:dyDescent="0.3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spans="1:26" ht="11.25" customHeight="1" x14ac:dyDescent="0.3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spans="1:26" ht="11.25" customHeight="1" x14ac:dyDescent="0.3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spans="1:26" ht="11.25" customHeight="1" x14ac:dyDescent="0.3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spans="1:26" ht="11.25" customHeight="1" x14ac:dyDescent="0.3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spans="1:26" ht="11.25" customHeight="1" x14ac:dyDescent="0.3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spans="1:26" ht="11.25" customHeight="1" x14ac:dyDescent="0.3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spans="1:26" ht="11.25" customHeight="1" x14ac:dyDescent="0.3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spans="1:26" ht="11.25" customHeight="1" x14ac:dyDescent="0.3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spans="1:26" ht="11.25" customHeight="1" x14ac:dyDescent="0.3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spans="1:26" ht="11.25" customHeight="1" x14ac:dyDescent="0.3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spans="1:26" ht="11.25" customHeight="1" x14ac:dyDescent="0.3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spans="1:26" ht="11.25" customHeight="1" x14ac:dyDescent="0.3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spans="1:26" ht="11.25" customHeight="1" x14ac:dyDescent="0.3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spans="1:26" ht="11.25" customHeight="1" x14ac:dyDescent="0.3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spans="1:26" ht="11.25" customHeight="1" x14ac:dyDescent="0.3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spans="1:26" ht="11.25" customHeight="1" x14ac:dyDescent="0.3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spans="1:26" ht="11.25" customHeight="1" x14ac:dyDescent="0.3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spans="1:26" ht="11.25" customHeight="1" x14ac:dyDescent="0.3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spans="1:26" ht="11.25" customHeight="1" x14ac:dyDescent="0.3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spans="1:26" ht="11.25" customHeight="1" x14ac:dyDescent="0.3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spans="1:26" ht="11.25" customHeight="1" x14ac:dyDescent="0.3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spans="1:26" ht="11.25" customHeight="1" x14ac:dyDescent="0.3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spans="1:26" ht="11.25" customHeight="1" x14ac:dyDescent="0.3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spans="1:26" ht="11.25" customHeight="1" x14ac:dyDescent="0.3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spans="1:26" ht="11.25" customHeight="1" x14ac:dyDescent="0.3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spans="1:26" ht="11.25" customHeight="1" x14ac:dyDescent="0.3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spans="1:26" ht="11.25" customHeight="1" x14ac:dyDescent="0.3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spans="1:26" ht="11.25" customHeight="1" x14ac:dyDescent="0.3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spans="1:26" ht="11.25" customHeight="1" x14ac:dyDescent="0.3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spans="1:26" ht="11.25" customHeight="1" x14ac:dyDescent="0.3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spans="1:26" ht="11.25" customHeight="1" x14ac:dyDescent="0.3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spans="1:26" ht="11.25" customHeight="1" x14ac:dyDescent="0.3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spans="1:26" ht="11.25" customHeight="1" x14ac:dyDescent="0.3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spans="1:26" ht="11.25" customHeight="1" x14ac:dyDescent="0.3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spans="1:26" ht="11.25" customHeight="1" x14ac:dyDescent="0.3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spans="1:26" ht="11.25" customHeight="1" x14ac:dyDescent="0.3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spans="1:26" ht="11.25" customHeight="1" x14ac:dyDescent="0.3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spans="1:26" ht="11.25" customHeight="1" x14ac:dyDescent="0.3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spans="1:26" ht="11.25" customHeight="1" x14ac:dyDescent="0.3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spans="1:26" ht="11.25" customHeight="1" x14ac:dyDescent="0.3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spans="1:26" ht="11.25" customHeight="1" x14ac:dyDescent="0.3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spans="1:26" ht="11.25" customHeight="1" x14ac:dyDescent="0.3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spans="1:26" ht="11.25" customHeight="1" x14ac:dyDescent="0.3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spans="1:26" ht="11.25" customHeight="1" x14ac:dyDescent="0.3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spans="1:26" ht="11.25" customHeight="1" x14ac:dyDescent="0.3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spans="1:26" ht="11.25" customHeight="1" x14ac:dyDescent="0.3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spans="1:26" ht="11.25" customHeight="1" x14ac:dyDescent="0.3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spans="1:26" ht="11.25" customHeight="1" x14ac:dyDescent="0.3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spans="1:26" ht="11.25" customHeight="1" x14ac:dyDescent="0.3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spans="1:26" ht="11.25" customHeight="1" x14ac:dyDescent="0.3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spans="1:26" ht="11.25" customHeight="1" x14ac:dyDescent="0.3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spans="1:26" ht="11.25" customHeight="1" x14ac:dyDescent="0.3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spans="1:26" ht="11.25" customHeight="1" x14ac:dyDescent="0.3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spans="1:26" ht="11.25" customHeight="1" x14ac:dyDescent="0.3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spans="1:26" ht="11.25" customHeight="1" x14ac:dyDescent="0.3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 spans="1:26" ht="11.25" customHeight="1" x14ac:dyDescent="0.3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 spans="1:26" ht="11.25" customHeight="1" x14ac:dyDescent="0.3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 spans="1:26" ht="11.25" customHeight="1" x14ac:dyDescent="0.3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 spans="1:26" ht="11.25" customHeight="1" x14ac:dyDescent="0.3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 spans="1:26" ht="11.25" customHeight="1" x14ac:dyDescent="0.3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 spans="1:26" ht="11.25" customHeight="1" x14ac:dyDescent="0.3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 spans="1:26" ht="11.25" customHeight="1" x14ac:dyDescent="0.3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 spans="1:26" ht="11.25" customHeight="1" x14ac:dyDescent="0.3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 spans="1:26" ht="11.25" customHeight="1" x14ac:dyDescent="0.3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 spans="1:26" ht="11.25" customHeight="1" x14ac:dyDescent="0.3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 spans="1:26" ht="11.25" customHeight="1" x14ac:dyDescent="0.3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 spans="1:26" ht="11.25" customHeight="1" x14ac:dyDescent="0.3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 spans="1:26" ht="11.25" customHeight="1" x14ac:dyDescent="0.3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 spans="1:26" ht="11.25" customHeight="1" x14ac:dyDescent="0.3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 spans="1:26" ht="11.25" customHeight="1" x14ac:dyDescent="0.3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 spans="1:26" ht="11.25" customHeight="1" x14ac:dyDescent="0.3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 spans="1:26" ht="11.25" customHeight="1" x14ac:dyDescent="0.3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 spans="1:26" ht="11.25" customHeight="1" x14ac:dyDescent="0.3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 spans="1:26" ht="11.25" customHeight="1" x14ac:dyDescent="0.3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 spans="1:26" ht="11.25" customHeight="1" x14ac:dyDescent="0.3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 spans="1:26" ht="11.25" customHeight="1" x14ac:dyDescent="0.3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 spans="1:26" ht="11.25" customHeight="1" x14ac:dyDescent="0.3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 spans="1:26" ht="11.25" customHeight="1" x14ac:dyDescent="0.3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 spans="1:26" ht="11.25" customHeight="1" x14ac:dyDescent="0.3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 spans="1:26" ht="11.25" customHeight="1" x14ac:dyDescent="0.3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 spans="1:26" ht="11.25" customHeight="1" x14ac:dyDescent="0.3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 spans="1:26" ht="11.25" customHeight="1" x14ac:dyDescent="0.3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 spans="1:26" ht="11.25" customHeight="1" x14ac:dyDescent="0.3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 spans="1:26" ht="11.25" customHeight="1" x14ac:dyDescent="0.3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 spans="1:26" ht="11.25" customHeight="1" x14ac:dyDescent="0.3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 spans="1:26" ht="11.25" customHeight="1" x14ac:dyDescent="0.3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 spans="1:26" ht="11.25" customHeight="1" x14ac:dyDescent="0.3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 spans="1:26" ht="11.25" customHeight="1" x14ac:dyDescent="0.3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 spans="1:26" ht="11.25" customHeight="1" x14ac:dyDescent="0.3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 spans="1:26" ht="11.25" customHeight="1" x14ac:dyDescent="0.3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 spans="1:26" ht="11.25" customHeight="1" x14ac:dyDescent="0.3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 spans="1:26" ht="11.25" customHeight="1" x14ac:dyDescent="0.3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 spans="1:26" ht="11.25" customHeight="1" x14ac:dyDescent="0.3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 spans="1:26" ht="11.25" customHeight="1" x14ac:dyDescent="0.3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 spans="1:26" ht="11.25" customHeight="1" x14ac:dyDescent="0.3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 spans="1:26" ht="11.25" customHeight="1" x14ac:dyDescent="0.3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 spans="1:26" ht="11.25" customHeight="1" x14ac:dyDescent="0.3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 spans="1:26" ht="11.25" customHeight="1" x14ac:dyDescent="0.3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 spans="1:26" ht="11.25" customHeight="1" x14ac:dyDescent="0.3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 spans="1:26" ht="11.25" customHeight="1" x14ac:dyDescent="0.3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 spans="1:26" ht="11.25" customHeight="1" x14ac:dyDescent="0.3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 spans="1:26" ht="11.25" customHeight="1" x14ac:dyDescent="0.3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 spans="1:26" ht="11.25" customHeight="1" x14ac:dyDescent="0.3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 spans="1:26" ht="11.25" customHeight="1" x14ac:dyDescent="0.3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 spans="1:26" ht="11.25" customHeight="1" x14ac:dyDescent="0.3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 spans="1:26" ht="11.25" customHeight="1" x14ac:dyDescent="0.3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 spans="1:26" ht="11.25" customHeight="1" x14ac:dyDescent="0.3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 spans="1:26" ht="11.25" customHeight="1" x14ac:dyDescent="0.3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 spans="1:26" ht="11.25" customHeight="1" x14ac:dyDescent="0.3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 spans="1:26" ht="11.25" customHeight="1" x14ac:dyDescent="0.3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 spans="1:26" ht="11.25" customHeight="1" x14ac:dyDescent="0.3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 spans="1:26" ht="11.25" customHeight="1" x14ac:dyDescent="0.3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 spans="1:26" ht="11.25" customHeight="1" x14ac:dyDescent="0.3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 spans="1:26" ht="11.25" customHeight="1" x14ac:dyDescent="0.3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 spans="1:26" ht="11.25" customHeight="1" x14ac:dyDescent="0.3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 spans="1:26" ht="11.25" customHeight="1" x14ac:dyDescent="0.3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 spans="1:26" ht="11.25" customHeight="1" x14ac:dyDescent="0.3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 spans="1:26" ht="11.25" customHeight="1" x14ac:dyDescent="0.3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 spans="1:26" ht="11.25" customHeight="1" x14ac:dyDescent="0.3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 spans="1:26" ht="11.25" customHeight="1" x14ac:dyDescent="0.3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 spans="1:26" ht="11.25" customHeight="1" x14ac:dyDescent="0.3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 spans="1:26" ht="11.25" customHeight="1" x14ac:dyDescent="0.3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 spans="1:26" ht="11.25" customHeight="1" x14ac:dyDescent="0.3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 spans="1:26" ht="11.25" customHeight="1" x14ac:dyDescent="0.3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 spans="1:26" ht="11.25" customHeight="1" x14ac:dyDescent="0.3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 spans="1:26" ht="11.25" customHeight="1" x14ac:dyDescent="0.3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 spans="1:26" ht="11.25" customHeight="1" x14ac:dyDescent="0.3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 spans="1:26" ht="11.25" customHeight="1" x14ac:dyDescent="0.3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 spans="1:26" ht="11.25" customHeight="1" x14ac:dyDescent="0.3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 spans="1:26" ht="11.25" customHeight="1" x14ac:dyDescent="0.3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 spans="1:26" ht="11.25" customHeight="1" x14ac:dyDescent="0.3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 spans="1:26" ht="11.25" customHeight="1" x14ac:dyDescent="0.3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 spans="1:26" ht="11.25" customHeight="1" x14ac:dyDescent="0.3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 spans="1:26" ht="11.25" customHeight="1" x14ac:dyDescent="0.3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 spans="1:26" ht="11.25" customHeight="1" x14ac:dyDescent="0.3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 spans="1:26" ht="11.25" customHeight="1" x14ac:dyDescent="0.3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 spans="1:26" ht="11.25" customHeight="1" x14ac:dyDescent="0.3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 spans="1:26" ht="11.25" customHeight="1" x14ac:dyDescent="0.3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 spans="1:26" ht="11.25" customHeight="1" x14ac:dyDescent="0.3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 spans="1:26" ht="11.25" customHeight="1" x14ac:dyDescent="0.3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 spans="1:26" ht="11.25" customHeight="1" x14ac:dyDescent="0.3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 spans="1:26" ht="11.25" customHeight="1" x14ac:dyDescent="0.3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 spans="1:26" ht="11.25" customHeight="1" x14ac:dyDescent="0.3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 spans="1:26" ht="11.25" customHeight="1" x14ac:dyDescent="0.3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 spans="1:26" ht="11.25" customHeight="1" x14ac:dyDescent="0.3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 spans="1:26" ht="11.25" customHeight="1" x14ac:dyDescent="0.3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 spans="1:26" ht="11.25" customHeight="1" x14ac:dyDescent="0.3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 spans="1:26" ht="11.25" customHeight="1" x14ac:dyDescent="0.3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 spans="1:26" ht="11.25" customHeight="1" x14ac:dyDescent="0.3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 spans="1:26" ht="11.25" customHeight="1" x14ac:dyDescent="0.3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 spans="1:26" ht="11.25" customHeight="1" x14ac:dyDescent="0.3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 spans="1:26" ht="11.25" customHeight="1" x14ac:dyDescent="0.3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 spans="1:26" ht="11.25" customHeight="1" x14ac:dyDescent="0.3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 spans="1:26" ht="11.25" customHeight="1" x14ac:dyDescent="0.3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 spans="1:26" ht="11.25" customHeight="1" x14ac:dyDescent="0.3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 spans="1:26" ht="11.25" customHeight="1" x14ac:dyDescent="0.3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 spans="1:26" ht="11.25" customHeight="1" x14ac:dyDescent="0.3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 spans="1:26" ht="11.25" customHeight="1" x14ac:dyDescent="0.3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 spans="1:26" ht="11.25" customHeight="1" x14ac:dyDescent="0.3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 spans="1:26" ht="11.25" customHeight="1" x14ac:dyDescent="0.3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 spans="1:26" ht="11.25" customHeight="1" x14ac:dyDescent="0.3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 spans="1:26" ht="11.25" customHeight="1" x14ac:dyDescent="0.3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 spans="1:26" ht="11.25" customHeight="1" x14ac:dyDescent="0.3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 spans="1:26" ht="11.25" customHeight="1" x14ac:dyDescent="0.3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 spans="1:26" ht="11.25" customHeight="1" x14ac:dyDescent="0.3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 spans="1:26" ht="11.25" customHeight="1" x14ac:dyDescent="0.3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 spans="1:26" ht="11.25" customHeight="1" x14ac:dyDescent="0.3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 spans="1:26" ht="11.25" customHeight="1" x14ac:dyDescent="0.3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 spans="1:26" ht="11.25" customHeight="1" x14ac:dyDescent="0.3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 spans="1:26" ht="11.25" customHeight="1" x14ac:dyDescent="0.3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 spans="1:26" ht="11.25" customHeight="1" x14ac:dyDescent="0.3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 spans="1:26" ht="11.25" customHeight="1" x14ac:dyDescent="0.3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 spans="1:26" ht="11.25" customHeight="1" x14ac:dyDescent="0.3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 spans="1:26" ht="11.25" customHeight="1" x14ac:dyDescent="0.3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 spans="1:26" ht="11.25" customHeight="1" x14ac:dyDescent="0.3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 spans="1:26" ht="11.25" customHeight="1" x14ac:dyDescent="0.3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 spans="1:26" ht="11.25" customHeight="1" x14ac:dyDescent="0.3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 spans="1:26" ht="11.25" customHeight="1" x14ac:dyDescent="0.3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 spans="1:26" ht="11.25" customHeight="1" x14ac:dyDescent="0.3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 spans="1:26" ht="11.25" customHeight="1" x14ac:dyDescent="0.3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 spans="1:26" ht="11.25" customHeight="1" x14ac:dyDescent="0.3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 spans="1:26" ht="11.25" customHeight="1" x14ac:dyDescent="0.3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 spans="1:26" ht="11.25" customHeight="1" x14ac:dyDescent="0.3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 spans="1:26" ht="11.25" customHeight="1" x14ac:dyDescent="0.3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 spans="1:26" ht="11.25" customHeight="1" x14ac:dyDescent="0.3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 spans="1:26" ht="11.25" customHeight="1" x14ac:dyDescent="0.3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 spans="1:26" ht="11.25" customHeight="1" x14ac:dyDescent="0.3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 spans="1:26" ht="11.25" customHeight="1" x14ac:dyDescent="0.3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 spans="1:26" ht="11.25" customHeight="1" x14ac:dyDescent="0.3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 spans="1:26" ht="11.25" customHeight="1" x14ac:dyDescent="0.3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 spans="1:26" ht="11.25" customHeight="1" x14ac:dyDescent="0.3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 spans="1:26" ht="11.25" customHeight="1" x14ac:dyDescent="0.3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 spans="1:26" ht="11.25" customHeight="1" x14ac:dyDescent="0.3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 spans="1:26" ht="11.25" customHeight="1" x14ac:dyDescent="0.3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 spans="1:26" ht="11.25" customHeight="1" x14ac:dyDescent="0.3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 spans="1:26" ht="11.25" customHeight="1" x14ac:dyDescent="0.3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 spans="1:26" ht="11.25" customHeight="1" x14ac:dyDescent="0.3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 spans="1:26" ht="11.25" customHeight="1" x14ac:dyDescent="0.3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 spans="1:26" ht="11.25" customHeight="1" x14ac:dyDescent="0.3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 spans="1:26" ht="11.25" customHeight="1" x14ac:dyDescent="0.3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 spans="1:26" ht="11.25" customHeight="1" x14ac:dyDescent="0.3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 spans="1:26" ht="11.25" customHeight="1" x14ac:dyDescent="0.3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 spans="1:26" ht="11.25" customHeight="1" x14ac:dyDescent="0.3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 spans="1:26" ht="11.25" customHeight="1" x14ac:dyDescent="0.3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 spans="1:26" ht="11.25" customHeight="1" x14ac:dyDescent="0.3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 spans="1:26" ht="11.25" customHeight="1" x14ac:dyDescent="0.3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 spans="1:26" ht="11.25" customHeight="1" x14ac:dyDescent="0.3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 spans="1:26" ht="11.25" customHeight="1" x14ac:dyDescent="0.3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 spans="1:26" ht="11.25" customHeight="1" x14ac:dyDescent="0.3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 spans="1:26" ht="11.25" customHeight="1" x14ac:dyDescent="0.3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 spans="1:26" ht="11.25" customHeight="1" x14ac:dyDescent="0.3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 spans="1:26" ht="11.25" customHeight="1" x14ac:dyDescent="0.3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 spans="1:26" ht="11.25" customHeight="1" x14ac:dyDescent="0.3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 spans="1:26" ht="11.25" customHeight="1" x14ac:dyDescent="0.3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 spans="1:26" ht="11.25" customHeight="1" x14ac:dyDescent="0.3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 spans="1:26" ht="11.25" customHeight="1" x14ac:dyDescent="0.3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 spans="1:26" ht="11.25" customHeight="1" x14ac:dyDescent="0.3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 spans="1:26" ht="11.25" customHeight="1" x14ac:dyDescent="0.3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 spans="1:26" ht="11.25" customHeight="1" x14ac:dyDescent="0.3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 spans="1:26" ht="11.25" customHeight="1" x14ac:dyDescent="0.3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 spans="1:26" ht="11.25" customHeight="1" x14ac:dyDescent="0.3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 spans="1:26" ht="11.25" customHeight="1" x14ac:dyDescent="0.3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 spans="1:26" ht="11.25" customHeight="1" x14ac:dyDescent="0.3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 spans="1:26" ht="11.25" customHeight="1" x14ac:dyDescent="0.3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 spans="1:26" ht="11.25" customHeight="1" x14ac:dyDescent="0.3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 spans="1:26" ht="11.25" customHeight="1" x14ac:dyDescent="0.3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 spans="1:26" ht="11.25" customHeight="1" x14ac:dyDescent="0.3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 spans="1:26" ht="11.25" customHeight="1" x14ac:dyDescent="0.3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 spans="1:26" ht="11.25" customHeight="1" x14ac:dyDescent="0.3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 spans="1:26" ht="11.25" customHeight="1" x14ac:dyDescent="0.3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 spans="1:26" ht="11.25" customHeight="1" x14ac:dyDescent="0.3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 spans="1:26" ht="11.25" customHeight="1" x14ac:dyDescent="0.3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 spans="1:26" ht="11.25" customHeight="1" x14ac:dyDescent="0.3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 spans="1:26" ht="11.25" customHeight="1" x14ac:dyDescent="0.3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 spans="1:26" ht="11.25" customHeight="1" x14ac:dyDescent="0.3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 spans="1:26" ht="11.25" customHeight="1" x14ac:dyDescent="0.3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 spans="1:26" ht="11.25" customHeight="1" x14ac:dyDescent="0.3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 spans="1:26" ht="11.25" customHeight="1" x14ac:dyDescent="0.3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 spans="1:26" ht="11.25" customHeight="1" x14ac:dyDescent="0.3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 spans="1:26" ht="11.25" customHeight="1" x14ac:dyDescent="0.3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 spans="1:26" ht="11.25" customHeight="1" x14ac:dyDescent="0.3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 spans="1:26" ht="11.25" customHeight="1" x14ac:dyDescent="0.3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 spans="1:26" ht="11.25" customHeight="1" x14ac:dyDescent="0.3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 spans="1:26" ht="11.25" customHeight="1" x14ac:dyDescent="0.3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 spans="1:26" ht="11.25" customHeight="1" x14ac:dyDescent="0.3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 spans="1:26" ht="11.25" customHeight="1" x14ac:dyDescent="0.3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 spans="1:26" ht="11.25" customHeight="1" x14ac:dyDescent="0.3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 spans="1:26" ht="11.25" customHeight="1" x14ac:dyDescent="0.3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 spans="1:26" ht="11.25" customHeight="1" x14ac:dyDescent="0.3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 spans="1:26" ht="11.25" customHeight="1" x14ac:dyDescent="0.3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 spans="1:26" ht="11.25" customHeight="1" x14ac:dyDescent="0.3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 spans="1:26" ht="11.25" customHeight="1" x14ac:dyDescent="0.3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 spans="1:26" ht="11.25" customHeight="1" x14ac:dyDescent="0.3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 spans="1:26" ht="11.25" customHeight="1" x14ac:dyDescent="0.3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 spans="1:26" ht="11.25" customHeight="1" x14ac:dyDescent="0.3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 spans="1:26" ht="11.25" customHeight="1" x14ac:dyDescent="0.3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 spans="1:26" ht="11.25" customHeight="1" x14ac:dyDescent="0.3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 spans="1:26" ht="11.25" customHeight="1" x14ac:dyDescent="0.3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 spans="1:26" ht="11.25" customHeight="1" x14ac:dyDescent="0.3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 spans="1:26" ht="11.25" customHeight="1" x14ac:dyDescent="0.3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 spans="1:26" ht="11.25" customHeight="1" x14ac:dyDescent="0.3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 spans="1:26" ht="11.25" customHeight="1" x14ac:dyDescent="0.3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 spans="1:26" ht="11.25" customHeight="1" x14ac:dyDescent="0.3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 spans="1:26" ht="11.25" customHeight="1" x14ac:dyDescent="0.3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 spans="1:26" ht="11.25" customHeight="1" x14ac:dyDescent="0.3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 spans="1:26" ht="11.25" customHeight="1" x14ac:dyDescent="0.3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 spans="1:26" ht="11.25" customHeight="1" x14ac:dyDescent="0.3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 spans="1:26" ht="11.25" customHeight="1" x14ac:dyDescent="0.3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 spans="1:26" ht="11.25" customHeight="1" x14ac:dyDescent="0.3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 spans="1:26" ht="11.25" customHeight="1" x14ac:dyDescent="0.3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 spans="1:26" ht="11.25" customHeight="1" x14ac:dyDescent="0.3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 spans="1:26" ht="11.25" customHeight="1" x14ac:dyDescent="0.3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 spans="1:26" ht="11.25" customHeight="1" x14ac:dyDescent="0.3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 spans="1:26" ht="11.25" customHeight="1" x14ac:dyDescent="0.3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 spans="1:26" ht="11.25" customHeight="1" x14ac:dyDescent="0.3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 spans="1:26" ht="11.25" customHeight="1" x14ac:dyDescent="0.3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 spans="1:26" ht="11.25" customHeight="1" x14ac:dyDescent="0.3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 spans="1:26" ht="11.25" customHeight="1" x14ac:dyDescent="0.3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 spans="1:26" ht="11.25" customHeight="1" x14ac:dyDescent="0.3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 spans="1:26" ht="11.25" customHeight="1" x14ac:dyDescent="0.3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 spans="1:26" ht="11.25" customHeight="1" x14ac:dyDescent="0.3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 spans="1:26" ht="11.25" customHeight="1" x14ac:dyDescent="0.3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 spans="1:26" ht="11.25" customHeight="1" x14ac:dyDescent="0.3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 spans="1:26" ht="11.25" customHeight="1" x14ac:dyDescent="0.3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 spans="1:26" ht="11.25" customHeight="1" x14ac:dyDescent="0.3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 spans="1:26" ht="11.25" customHeight="1" x14ac:dyDescent="0.3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 spans="1:26" ht="11.25" customHeight="1" x14ac:dyDescent="0.3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 spans="1:26" ht="11.25" customHeight="1" x14ac:dyDescent="0.3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 spans="1:26" ht="11.25" customHeight="1" x14ac:dyDescent="0.3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 spans="1:26" ht="11.25" customHeight="1" x14ac:dyDescent="0.3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 spans="1:26" ht="11.25" customHeight="1" x14ac:dyDescent="0.3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 spans="1:26" ht="11.25" customHeight="1" x14ac:dyDescent="0.3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 spans="1:26" ht="11.25" customHeight="1" x14ac:dyDescent="0.3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 spans="1:26" ht="11.25" customHeight="1" x14ac:dyDescent="0.3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 spans="1:26" ht="11.25" customHeight="1" x14ac:dyDescent="0.3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 spans="1:26" ht="11.25" customHeight="1" x14ac:dyDescent="0.3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 spans="1:26" ht="11.25" customHeight="1" x14ac:dyDescent="0.3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 spans="1:26" ht="11.25" customHeight="1" x14ac:dyDescent="0.3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 spans="1:26" ht="11.25" customHeight="1" x14ac:dyDescent="0.3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 spans="1:26" ht="11.25" customHeight="1" x14ac:dyDescent="0.3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 spans="1:26" ht="11.25" customHeight="1" x14ac:dyDescent="0.3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 spans="1:26" ht="11.25" customHeight="1" x14ac:dyDescent="0.3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 spans="1:26" ht="11.25" customHeight="1" x14ac:dyDescent="0.3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 spans="1:26" ht="11.25" customHeight="1" x14ac:dyDescent="0.3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 spans="1:26" ht="11.25" customHeight="1" x14ac:dyDescent="0.3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 spans="1:26" ht="11.25" customHeight="1" x14ac:dyDescent="0.3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 spans="1:26" ht="11.25" customHeight="1" x14ac:dyDescent="0.3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 spans="1:26" ht="11.25" customHeight="1" x14ac:dyDescent="0.3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 spans="1:26" ht="11.25" customHeight="1" x14ac:dyDescent="0.3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 spans="1:26" ht="11.25" customHeight="1" x14ac:dyDescent="0.3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 spans="1:26" ht="11.25" customHeight="1" x14ac:dyDescent="0.3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 spans="1:26" ht="11.25" customHeight="1" x14ac:dyDescent="0.3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 spans="1:26" ht="11.25" customHeight="1" x14ac:dyDescent="0.3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 spans="1:26" ht="11.25" customHeight="1" x14ac:dyDescent="0.3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 spans="1:26" ht="11.25" customHeight="1" x14ac:dyDescent="0.3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 spans="1:26" ht="11.25" customHeight="1" x14ac:dyDescent="0.3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 spans="1:26" ht="11.25" customHeight="1" x14ac:dyDescent="0.3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spans="1:26" ht="11.25" customHeight="1" x14ac:dyDescent="0.3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spans="1:26" ht="11.25" customHeight="1" x14ac:dyDescent="0.3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 spans="1:26" ht="11.25" customHeight="1" x14ac:dyDescent="0.3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spans="1:26" ht="11.25" customHeight="1" x14ac:dyDescent="0.3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 spans="1:26" ht="11.25" customHeight="1" x14ac:dyDescent="0.3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 spans="1:26" ht="11.25" customHeight="1" x14ac:dyDescent="0.3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 spans="1:26" ht="11.25" customHeight="1" x14ac:dyDescent="0.3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 spans="1:26" ht="11.25" customHeight="1" x14ac:dyDescent="0.3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 spans="1:26" ht="11.25" customHeight="1" x14ac:dyDescent="0.3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 spans="1:26" ht="11.25" customHeight="1" x14ac:dyDescent="0.3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 spans="1:26" ht="11.25" customHeight="1" x14ac:dyDescent="0.3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 spans="1:26" ht="11.25" customHeight="1" x14ac:dyDescent="0.3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 spans="1:26" ht="11.25" customHeight="1" x14ac:dyDescent="0.3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 spans="1:26" ht="11.25" customHeight="1" x14ac:dyDescent="0.3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 spans="1:26" ht="11.25" customHeight="1" x14ac:dyDescent="0.3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 spans="1:26" ht="11.25" customHeight="1" x14ac:dyDescent="0.3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 spans="1:26" ht="11.25" customHeight="1" x14ac:dyDescent="0.3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 spans="1:26" ht="11.25" customHeight="1" x14ac:dyDescent="0.3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 spans="1:26" ht="11.25" customHeight="1" x14ac:dyDescent="0.3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 spans="1:26" ht="11.25" customHeight="1" x14ac:dyDescent="0.3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 spans="1:26" ht="11.25" customHeight="1" x14ac:dyDescent="0.3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 spans="1:26" ht="11.25" customHeight="1" x14ac:dyDescent="0.3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 spans="1:26" ht="11.25" customHeight="1" x14ac:dyDescent="0.3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 spans="1:26" ht="11.25" customHeight="1" x14ac:dyDescent="0.3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 spans="1:26" ht="11.25" customHeight="1" x14ac:dyDescent="0.3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 spans="1:26" ht="11.25" customHeight="1" x14ac:dyDescent="0.3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 spans="1:26" ht="11.25" customHeight="1" x14ac:dyDescent="0.3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 spans="1:26" ht="11.25" customHeight="1" x14ac:dyDescent="0.3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 spans="1:26" ht="11.25" customHeight="1" x14ac:dyDescent="0.3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 spans="1:26" ht="11.25" customHeight="1" x14ac:dyDescent="0.3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 spans="1:26" ht="11.25" customHeight="1" x14ac:dyDescent="0.3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 spans="1:26" ht="11.25" customHeight="1" x14ac:dyDescent="0.3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 spans="1:26" ht="11.25" customHeight="1" x14ac:dyDescent="0.3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 spans="1:26" ht="11.25" customHeight="1" x14ac:dyDescent="0.3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 spans="1:26" ht="11.25" customHeight="1" x14ac:dyDescent="0.3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 spans="1:26" ht="11.25" customHeight="1" x14ac:dyDescent="0.3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 spans="1:26" ht="11.25" customHeight="1" x14ac:dyDescent="0.3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 spans="1:26" ht="11.25" customHeight="1" x14ac:dyDescent="0.3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 spans="1:26" ht="11.25" customHeight="1" x14ac:dyDescent="0.3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 spans="1:26" ht="11.25" customHeight="1" x14ac:dyDescent="0.3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 spans="1:26" ht="11.25" customHeight="1" x14ac:dyDescent="0.3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 spans="1:26" ht="11.25" customHeight="1" x14ac:dyDescent="0.3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 spans="1:26" ht="11.25" customHeight="1" x14ac:dyDescent="0.3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 spans="1:26" ht="11.25" customHeight="1" x14ac:dyDescent="0.3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 spans="1:26" ht="11.25" customHeight="1" x14ac:dyDescent="0.3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 spans="1:26" ht="11.25" customHeight="1" x14ac:dyDescent="0.3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 spans="1:26" ht="11.25" customHeight="1" x14ac:dyDescent="0.3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 spans="1:26" ht="11.25" customHeight="1" x14ac:dyDescent="0.3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 spans="1:26" ht="11.25" customHeight="1" x14ac:dyDescent="0.3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 spans="1:26" ht="11.25" customHeight="1" x14ac:dyDescent="0.3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 spans="1:26" ht="11.25" customHeight="1" x14ac:dyDescent="0.3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 spans="1:26" ht="11.25" customHeight="1" x14ac:dyDescent="0.3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 spans="1:26" ht="11.25" customHeight="1" x14ac:dyDescent="0.3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 spans="1:26" ht="11.25" customHeight="1" x14ac:dyDescent="0.3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 spans="1:26" ht="11.25" customHeight="1" x14ac:dyDescent="0.3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 spans="1:26" ht="11.25" customHeight="1" x14ac:dyDescent="0.3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 spans="1:26" ht="11.25" customHeight="1" x14ac:dyDescent="0.3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 spans="1:26" ht="11.25" customHeight="1" x14ac:dyDescent="0.3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 spans="1:26" ht="11.25" customHeight="1" x14ac:dyDescent="0.3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 spans="1:26" ht="11.25" customHeight="1" x14ac:dyDescent="0.3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 spans="1:26" ht="11.25" customHeight="1" x14ac:dyDescent="0.3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 spans="1:26" ht="11.25" customHeight="1" x14ac:dyDescent="0.3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 spans="1:26" ht="11.25" customHeight="1" x14ac:dyDescent="0.3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 spans="1:26" ht="11.25" customHeight="1" x14ac:dyDescent="0.3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 spans="1:26" ht="11.25" customHeight="1" x14ac:dyDescent="0.3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 spans="1:26" ht="11.25" customHeight="1" x14ac:dyDescent="0.3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 spans="1:26" ht="11.25" customHeight="1" x14ac:dyDescent="0.3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 spans="1:26" ht="11.25" customHeight="1" x14ac:dyDescent="0.3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 spans="1:26" ht="11.25" customHeight="1" x14ac:dyDescent="0.3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 spans="1:26" ht="11.25" customHeight="1" x14ac:dyDescent="0.3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 spans="1:26" ht="11.25" customHeight="1" x14ac:dyDescent="0.3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 spans="1:26" ht="11.25" customHeight="1" x14ac:dyDescent="0.3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 spans="1:26" ht="11.25" customHeight="1" x14ac:dyDescent="0.3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 spans="1:26" ht="11.25" customHeight="1" x14ac:dyDescent="0.3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 spans="1:26" ht="11.25" customHeight="1" x14ac:dyDescent="0.3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 spans="1:26" ht="11.25" customHeight="1" x14ac:dyDescent="0.3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 spans="1:26" ht="11.25" customHeight="1" x14ac:dyDescent="0.3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 spans="1:26" ht="11.25" customHeight="1" x14ac:dyDescent="0.3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 spans="1:26" ht="11.25" customHeight="1" x14ac:dyDescent="0.3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 spans="1:26" ht="11.25" customHeight="1" x14ac:dyDescent="0.3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 spans="1:26" ht="11.25" customHeight="1" x14ac:dyDescent="0.3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 spans="1:26" ht="11.25" customHeight="1" x14ac:dyDescent="0.3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 spans="1:26" ht="11.25" customHeight="1" x14ac:dyDescent="0.3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 spans="1:26" ht="11.25" customHeight="1" x14ac:dyDescent="0.3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 spans="1:26" ht="11.25" customHeight="1" x14ac:dyDescent="0.3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 spans="1:26" ht="11.25" customHeight="1" x14ac:dyDescent="0.3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 spans="1:26" ht="11.25" customHeight="1" x14ac:dyDescent="0.3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 spans="1:26" ht="11.25" customHeight="1" x14ac:dyDescent="0.3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 spans="1:26" ht="11.25" customHeight="1" x14ac:dyDescent="0.3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 spans="1:26" ht="11.25" customHeight="1" x14ac:dyDescent="0.3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 spans="1:26" ht="11.25" customHeight="1" x14ac:dyDescent="0.3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 spans="1:26" ht="11.25" customHeight="1" x14ac:dyDescent="0.3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 spans="1:26" ht="11.25" customHeight="1" x14ac:dyDescent="0.3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 spans="1:26" ht="11.25" customHeight="1" x14ac:dyDescent="0.3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 spans="1:26" ht="11.25" customHeight="1" x14ac:dyDescent="0.3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 spans="1:26" ht="11.25" customHeight="1" x14ac:dyDescent="0.3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 spans="1:26" ht="11.25" customHeight="1" x14ac:dyDescent="0.3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 spans="1:26" ht="11.25" customHeight="1" x14ac:dyDescent="0.3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 spans="1:26" ht="11.25" customHeight="1" x14ac:dyDescent="0.3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 spans="1:26" ht="11.25" customHeight="1" x14ac:dyDescent="0.3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 spans="1:26" ht="11.25" customHeight="1" x14ac:dyDescent="0.3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 spans="1:26" ht="11.25" customHeight="1" x14ac:dyDescent="0.3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 spans="1:26" ht="11.25" customHeight="1" x14ac:dyDescent="0.3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 spans="1:26" ht="11.25" customHeight="1" x14ac:dyDescent="0.3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 spans="1:26" ht="11.25" customHeight="1" x14ac:dyDescent="0.3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 spans="1:26" ht="11.25" customHeight="1" x14ac:dyDescent="0.3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 spans="1:26" ht="11.25" customHeight="1" x14ac:dyDescent="0.3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 spans="1:26" ht="11.25" customHeight="1" x14ac:dyDescent="0.3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 spans="1:26" ht="11.25" customHeight="1" x14ac:dyDescent="0.3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 spans="1:26" ht="11.25" customHeight="1" x14ac:dyDescent="0.3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 spans="1:26" ht="11.25" customHeight="1" x14ac:dyDescent="0.3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 spans="1:26" ht="11.25" customHeight="1" x14ac:dyDescent="0.3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 spans="1:26" ht="11.25" customHeight="1" x14ac:dyDescent="0.3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 spans="1:26" ht="11.25" customHeight="1" x14ac:dyDescent="0.3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 spans="1:26" ht="11.25" customHeight="1" x14ac:dyDescent="0.3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 spans="1:26" ht="11.25" customHeight="1" x14ac:dyDescent="0.3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 spans="1:26" ht="11.25" customHeight="1" x14ac:dyDescent="0.3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 spans="1:26" ht="11.25" customHeight="1" x14ac:dyDescent="0.3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 spans="1:26" ht="11.25" customHeight="1" x14ac:dyDescent="0.3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 spans="1:26" ht="11.25" customHeight="1" x14ac:dyDescent="0.3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 spans="1:26" ht="11.25" customHeight="1" x14ac:dyDescent="0.3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 spans="1:26" ht="11.25" customHeight="1" x14ac:dyDescent="0.3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 spans="1:26" ht="11.25" customHeight="1" x14ac:dyDescent="0.3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 spans="1:26" ht="11.25" customHeight="1" x14ac:dyDescent="0.3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 spans="1:26" ht="11.25" customHeight="1" x14ac:dyDescent="0.3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 spans="1:26" ht="11.25" customHeight="1" x14ac:dyDescent="0.3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 spans="1:26" ht="11.25" customHeight="1" x14ac:dyDescent="0.3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 spans="1:26" ht="11.25" customHeight="1" x14ac:dyDescent="0.3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 spans="1:26" ht="11.25" customHeight="1" x14ac:dyDescent="0.3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 spans="1:26" ht="11.25" customHeight="1" x14ac:dyDescent="0.3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 spans="1:26" ht="11.25" customHeight="1" x14ac:dyDescent="0.3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 spans="1:26" ht="11.25" customHeight="1" x14ac:dyDescent="0.3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 spans="1:26" ht="11.25" customHeight="1" x14ac:dyDescent="0.3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 spans="1:26" ht="11.25" customHeight="1" x14ac:dyDescent="0.3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 spans="1:26" ht="11.25" customHeight="1" x14ac:dyDescent="0.3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 spans="1:26" ht="11.25" customHeight="1" x14ac:dyDescent="0.3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 spans="1:26" ht="11.25" customHeight="1" x14ac:dyDescent="0.3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 spans="1:26" ht="11.25" customHeight="1" x14ac:dyDescent="0.3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 spans="1:26" ht="11.25" customHeight="1" x14ac:dyDescent="0.3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 spans="1:26" ht="11.25" customHeight="1" x14ac:dyDescent="0.3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 spans="1:26" ht="11.25" customHeight="1" x14ac:dyDescent="0.3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 spans="1:26" ht="11.25" customHeight="1" x14ac:dyDescent="0.3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 spans="1:26" ht="11.25" customHeight="1" x14ac:dyDescent="0.3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 spans="1:26" ht="11.25" customHeight="1" x14ac:dyDescent="0.3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 spans="1:26" ht="11.25" customHeight="1" x14ac:dyDescent="0.3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 spans="1:26" ht="11.25" customHeight="1" x14ac:dyDescent="0.3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 spans="1:26" ht="11.25" customHeight="1" x14ac:dyDescent="0.3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 spans="1:26" ht="11.25" customHeight="1" x14ac:dyDescent="0.3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 spans="1:26" ht="11.25" customHeight="1" x14ac:dyDescent="0.3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 spans="1:26" ht="11.25" customHeight="1" x14ac:dyDescent="0.3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 spans="1:26" ht="11.25" customHeight="1" x14ac:dyDescent="0.3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 spans="1:26" ht="11.25" customHeight="1" x14ac:dyDescent="0.3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 spans="1:26" ht="11.25" customHeight="1" x14ac:dyDescent="0.3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 spans="1:26" ht="11.25" customHeight="1" x14ac:dyDescent="0.3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 spans="1:26" ht="11.25" customHeight="1" x14ac:dyDescent="0.3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 spans="1:26" ht="11.25" customHeight="1" x14ac:dyDescent="0.3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 spans="1:26" ht="11.25" customHeight="1" x14ac:dyDescent="0.3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 spans="1:26" ht="11.25" customHeight="1" x14ac:dyDescent="0.3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 spans="1:26" ht="11.25" customHeight="1" x14ac:dyDescent="0.3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 spans="1:26" ht="11.25" customHeight="1" x14ac:dyDescent="0.3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 spans="1:26" ht="11.25" customHeight="1" x14ac:dyDescent="0.3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 spans="1:26" ht="11.25" customHeight="1" x14ac:dyDescent="0.3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 spans="1:26" ht="11.25" customHeight="1" x14ac:dyDescent="0.3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 spans="1:26" ht="11.25" customHeight="1" x14ac:dyDescent="0.3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 spans="1:26" ht="11.25" customHeight="1" x14ac:dyDescent="0.3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 spans="1:26" ht="11.25" customHeight="1" x14ac:dyDescent="0.3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 spans="1:26" ht="11.25" customHeight="1" x14ac:dyDescent="0.3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 spans="1:26" ht="11.25" customHeight="1" x14ac:dyDescent="0.3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 spans="1:26" ht="11.25" customHeight="1" x14ac:dyDescent="0.3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 spans="1:26" ht="11.25" customHeight="1" x14ac:dyDescent="0.3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 spans="1:26" ht="11.25" customHeight="1" x14ac:dyDescent="0.3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 spans="1:26" ht="11.25" customHeight="1" x14ac:dyDescent="0.3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 spans="1:26" ht="11.25" customHeight="1" x14ac:dyDescent="0.3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 spans="1:26" ht="11.25" customHeight="1" x14ac:dyDescent="0.3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 spans="1:26" ht="11.25" customHeight="1" x14ac:dyDescent="0.3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 spans="1:26" ht="11.25" customHeight="1" x14ac:dyDescent="0.3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 spans="1:26" ht="11.25" customHeight="1" x14ac:dyDescent="0.3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 spans="1:26" ht="11.25" customHeight="1" x14ac:dyDescent="0.3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 spans="1:26" ht="11.25" customHeight="1" x14ac:dyDescent="0.3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 spans="1:26" ht="11.25" customHeight="1" x14ac:dyDescent="0.3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 spans="1:26" ht="11.25" customHeight="1" x14ac:dyDescent="0.3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 spans="1:26" ht="11.25" customHeight="1" x14ac:dyDescent="0.3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 spans="1:26" ht="11.25" customHeight="1" x14ac:dyDescent="0.3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 spans="1:26" ht="11.25" customHeight="1" x14ac:dyDescent="0.3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 spans="1:26" ht="11.25" customHeight="1" x14ac:dyDescent="0.3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 spans="1:26" ht="11.25" customHeight="1" x14ac:dyDescent="0.3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 spans="1:26" ht="11.25" customHeight="1" x14ac:dyDescent="0.3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 spans="1:26" ht="11.25" customHeight="1" x14ac:dyDescent="0.3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 spans="1:26" ht="11.25" customHeight="1" x14ac:dyDescent="0.3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 spans="1:26" ht="11.25" customHeight="1" x14ac:dyDescent="0.3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 spans="1:26" ht="11.25" customHeight="1" x14ac:dyDescent="0.3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 spans="1:26" ht="11.25" customHeight="1" x14ac:dyDescent="0.3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 spans="1:26" ht="11.25" customHeight="1" x14ac:dyDescent="0.3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 spans="1:26" ht="11.25" customHeight="1" x14ac:dyDescent="0.3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 spans="1:26" ht="11.25" customHeight="1" x14ac:dyDescent="0.3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 spans="1:26" ht="11.25" customHeight="1" x14ac:dyDescent="0.3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 spans="1:26" ht="11.25" customHeight="1" x14ac:dyDescent="0.3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 spans="1:26" ht="11.25" customHeight="1" x14ac:dyDescent="0.3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 spans="1:26" ht="11.25" customHeight="1" x14ac:dyDescent="0.3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 spans="1:26" ht="11.25" customHeight="1" x14ac:dyDescent="0.3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 spans="1:26" ht="11.25" customHeight="1" x14ac:dyDescent="0.3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 spans="1:26" ht="11.25" customHeight="1" x14ac:dyDescent="0.3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 spans="1:26" ht="11.25" customHeight="1" x14ac:dyDescent="0.3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 spans="1:26" ht="11.25" customHeight="1" x14ac:dyDescent="0.3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 spans="1:26" ht="11.25" customHeight="1" x14ac:dyDescent="0.3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 spans="1:26" ht="11.25" customHeight="1" x14ac:dyDescent="0.3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 spans="1:26" ht="11.25" customHeight="1" x14ac:dyDescent="0.3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 spans="1:26" ht="11.25" customHeight="1" x14ac:dyDescent="0.3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 spans="1:26" ht="11.25" customHeight="1" x14ac:dyDescent="0.3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 spans="1:26" ht="11.25" customHeight="1" x14ac:dyDescent="0.3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 spans="1:26" ht="11.25" customHeight="1" x14ac:dyDescent="0.3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 spans="1:26" ht="11.25" customHeight="1" x14ac:dyDescent="0.3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 spans="1:26" ht="11.25" customHeight="1" x14ac:dyDescent="0.3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 spans="1:26" ht="11.25" customHeight="1" x14ac:dyDescent="0.3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 spans="1:26" ht="11.25" customHeight="1" x14ac:dyDescent="0.3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 spans="1:26" ht="11.25" customHeight="1" x14ac:dyDescent="0.3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 spans="1:26" ht="11.25" customHeight="1" x14ac:dyDescent="0.3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 spans="1:26" ht="11.25" customHeight="1" x14ac:dyDescent="0.3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 spans="1:26" ht="11.25" customHeight="1" x14ac:dyDescent="0.3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 spans="1:26" ht="11.25" customHeight="1" x14ac:dyDescent="0.3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 spans="1:26" ht="11.25" customHeight="1" x14ac:dyDescent="0.3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 spans="1:26" ht="11.25" customHeight="1" x14ac:dyDescent="0.3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 spans="1:26" ht="11.25" customHeight="1" x14ac:dyDescent="0.3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 spans="1:26" ht="11.25" customHeight="1" x14ac:dyDescent="0.3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 spans="1:26" ht="11.25" customHeight="1" x14ac:dyDescent="0.3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 spans="1:26" ht="11.25" customHeight="1" x14ac:dyDescent="0.3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 spans="1:26" ht="11.25" customHeight="1" x14ac:dyDescent="0.3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 spans="1:26" ht="11.25" customHeight="1" x14ac:dyDescent="0.3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 spans="1:26" ht="11.25" customHeight="1" x14ac:dyDescent="0.3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 spans="1:26" ht="11.25" customHeight="1" x14ac:dyDescent="0.3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 spans="1:26" ht="11.25" customHeight="1" x14ac:dyDescent="0.3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 spans="1:26" ht="11.25" customHeight="1" x14ac:dyDescent="0.3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 spans="1:26" ht="11.25" customHeight="1" x14ac:dyDescent="0.3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 spans="1:26" ht="11.25" customHeight="1" x14ac:dyDescent="0.3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 spans="1:26" ht="11.25" customHeight="1" x14ac:dyDescent="0.3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 spans="1:26" ht="11.25" customHeight="1" x14ac:dyDescent="0.3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 spans="1:26" ht="11.25" customHeight="1" x14ac:dyDescent="0.3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 spans="1:26" ht="11.25" customHeight="1" x14ac:dyDescent="0.3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 spans="1:26" ht="11.25" customHeight="1" x14ac:dyDescent="0.3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 spans="1:26" ht="11.25" customHeight="1" x14ac:dyDescent="0.3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 spans="1:26" ht="11.25" customHeight="1" x14ac:dyDescent="0.3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 spans="1:26" ht="11.25" customHeight="1" x14ac:dyDescent="0.3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 spans="1:26" ht="11.25" customHeight="1" x14ac:dyDescent="0.3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 spans="1:26" ht="11.25" customHeight="1" x14ac:dyDescent="0.3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 spans="1:26" ht="11.25" customHeight="1" x14ac:dyDescent="0.3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 spans="1:26" ht="11.25" customHeight="1" x14ac:dyDescent="0.3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 spans="1:26" ht="11.25" customHeight="1" x14ac:dyDescent="0.3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 spans="1:26" ht="11.25" customHeight="1" x14ac:dyDescent="0.3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 spans="1:26" ht="11.25" customHeight="1" x14ac:dyDescent="0.3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 spans="1:26" ht="11.25" customHeight="1" x14ac:dyDescent="0.3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 spans="1:26" ht="11.25" customHeight="1" x14ac:dyDescent="0.3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 spans="1:26" ht="11.25" customHeight="1" x14ac:dyDescent="0.3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 spans="1:26" ht="11.25" customHeight="1" x14ac:dyDescent="0.3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 spans="1:26" ht="11.25" customHeight="1" x14ac:dyDescent="0.3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 spans="1:26" ht="11.25" customHeight="1" x14ac:dyDescent="0.3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 spans="1:26" ht="11.25" customHeight="1" x14ac:dyDescent="0.3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 spans="1:26" ht="11.25" customHeight="1" x14ac:dyDescent="0.3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 spans="1:26" ht="11.25" customHeight="1" x14ac:dyDescent="0.3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 spans="1:26" ht="11.25" customHeight="1" x14ac:dyDescent="0.3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 spans="1:26" ht="11.25" customHeight="1" x14ac:dyDescent="0.3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 spans="1:26" ht="11.25" customHeight="1" x14ac:dyDescent="0.3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 spans="1:26" ht="11.25" customHeight="1" x14ac:dyDescent="0.3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 spans="1:26" ht="11.25" customHeight="1" x14ac:dyDescent="0.3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 spans="1:26" ht="11.25" customHeight="1" x14ac:dyDescent="0.3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 spans="1:26" ht="11.25" customHeight="1" x14ac:dyDescent="0.3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 spans="1:26" ht="11.25" customHeight="1" x14ac:dyDescent="0.3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 spans="1:26" ht="11.25" customHeight="1" x14ac:dyDescent="0.3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 spans="1:26" ht="11.25" customHeight="1" x14ac:dyDescent="0.3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 spans="1:26" ht="11.25" customHeight="1" x14ac:dyDescent="0.3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 spans="1:26" ht="11.25" customHeight="1" x14ac:dyDescent="0.3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 spans="1:26" ht="11.25" customHeight="1" x14ac:dyDescent="0.3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 spans="1:26" ht="11.25" customHeight="1" x14ac:dyDescent="0.3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 spans="1:26" ht="11.25" customHeight="1" x14ac:dyDescent="0.3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 spans="1:26" ht="11.25" customHeight="1" x14ac:dyDescent="0.3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 spans="1:26" ht="11.25" customHeight="1" x14ac:dyDescent="0.3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 spans="1:26" ht="11.25" customHeight="1" x14ac:dyDescent="0.3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 spans="1:26" ht="11.25" customHeight="1" x14ac:dyDescent="0.3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 spans="1:26" ht="11.25" customHeight="1" x14ac:dyDescent="0.3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 spans="1:26" ht="11.25" customHeight="1" x14ac:dyDescent="0.3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 spans="1:26" ht="11.25" customHeight="1" x14ac:dyDescent="0.3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 spans="1:26" ht="11.25" customHeight="1" x14ac:dyDescent="0.3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 spans="1:26" ht="11.25" customHeight="1" x14ac:dyDescent="0.3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 spans="1:26" ht="11.25" customHeight="1" x14ac:dyDescent="0.3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 spans="1:26" ht="11.25" customHeight="1" x14ac:dyDescent="0.3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 spans="1:26" ht="11.25" customHeight="1" x14ac:dyDescent="0.3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 spans="1:26" ht="11.25" customHeight="1" x14ac:dyDescent="0.3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 spans="1:26" ht="11.25" customHeight="1" x14ac:dyDescent="0.3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 spans="1:26" ht="11.25" customHeight="1" x14ac:dyDescent="0.3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 spans="1:26" ht="11.25" customHeight="1" x14ac:dyDescent="0.3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 spans="1:26" ht="11.25" customHeight="1" x14ac:dyDescent="0.3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 spans="1:26" ht="11.25" customHeight="1" x14ac:dyDescent="0.3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 spans="1:26" ht="11.25" customHeight="1" x14ac:dyDescent="0.3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 spans="1:26" ht="11.25" customHeight="1" x14ac:dyDescent="0.3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 spans="1:26" ht="11.25" customHeight="1" x14ac:dyDescent="0.3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 spans="1:26" ht="11.25" customHeight="1" x14ac:dyDescent="0.3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 spans="1:26" ht="11.25" customHeight="1" x14ac:dyDescent="0.3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 spans="1:26" ht="11.25" customHeight="1" x14ac:dyDescent="0.3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 spans="1:26" ht="11.25" customHeight="1" x14ac:dyDescent="0.3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 spans="1:26" ht="11.25" customHeight="1" x14ac:dyDescent="0.3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 spans="1:26" ht="11.25" customHeight="1" x14ac:dyDescent="0.3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 spans="1:26" ht="11.25" customHeight="1" x14ac:dyDescent="0.3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 spans="1:26" ht="11.25" customHeight="1" x14ac:dyDescent="0.3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 spans="1:26" ht="11.25" customHeight="1" x14ac:dyDescent="0.3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 spans="1:26" ht="11.25" customHeight="1" x14ac:dyDescent="0.3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 spans="1:26" ht="11.25" customHeight="1" x14ac:dyDescent="0.3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 spans="1:26" ht="11.25" customHeight="1" x14ac:dyDescent="0.3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 spans="1:26" ht="11.25" customHeight="1" x14ac:dyDescent="0.3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 spans="1:26" ht="11.25" customHeight="1" x14ac:dyDescent="0.3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 spans="1:26" ht="11.25" customHeight="1" x14ac:dyDescent="0.3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 spans="1:26" ht="11.25" customHeight="1" x14ac:dyDescent="0.3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 spans="1:26" ht="11.25" customHeight="1" x14ac:dyDescent="0.3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 spans="1:26" ht="11.25" customHeight="1" x14ac:dyDescent="0.3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 spans="1:26" ht="11.25" customHeight="1" x14ac:dyDescent="0.3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 spans="1:26" ht="11.25" customHeight="1" x14ac:dyDescent="0.3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 spans="1:26" ht="11.25" customHeight="1" x14ac:dyDescent="0.3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 spans="1:26" ht="11.25" customHeight="1" x14ac:dyDescent="0.3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 spans="1:26" ht="11.25" customHeight="1" x14ac:dyDescent="0.3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 spans="1:26" ht="11.25" customHeight="1" x14ac:dyDescent="0.3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 spans="1:26" ht="11.25" customHeight="1" x14ac:dyDescent="0.3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 spans="1:26" ht="11.25" customHeight="1" x14ac:dyDescent="0.3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 spans="1:26" ht="11.25" customHeight="1" x14ac:dyDescent="0.3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 spans="1:26" ht="11.25" customHeight="1" x14ac:dyDescent="0.3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 spans="1:26" ht="11.25" customHeight="1" x14ac:dyDescent="0.3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 spans="1:26" ht="11.25" customHeight="1" x14ac:dyDescent="0.3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 spans="1:26" ht="11.25" customHeight="1" x14ac:dyDescent="0.3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 spans="1:26" ht="11.25" customHeight="1" x14ac:dyDescent="0.3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 spans="1:26" ht="11.25" customHeight="1" x14ac:dyDescent="0.3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 spans="1:26" ht="11.25" customHeight="1" x14ac:dyDescent="0.3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 spans="1:26" ht="11.25" customHeight="1" x14ac:dyDescent="0.3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 spans="1:26" ht="11.25" customHeight="1" x14ac:dyDescent="0.3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 spans="1:26" ht="11.25" customHeight="1" x14ac:dyDescent="0.3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 spans="1:26" ht="11.25" customHeight="1" x14ac:dyDescent="0.3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 spans="1:26" ht="11.25" customHeight="1" x14ac:dyDescent="0.3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 spans="1:26" ht="11.25" customHeight="1" x14ac:dyDescent="0.3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 spans="1:26" ht="11.25" customHeight="1" x14ac:dyDescent="0.3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 spans="1:26" ht="11.25" customHeight="1" x14ac:dyDescent="0.3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 spans="1:26" ht="11.25" customHeight="1" x14ac:dyDescent="0.3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 spans="1:26" ht="11.25" customHeight="1" x14ac:dyDescent="0.3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 spans="1:26" ht="11.25" customHeight="1" x14ac:dyDescent="0.3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 spans="1:26" ht="11.25" customHeight="1" x14ac:dyDescent="0.3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 spans="1:26" ht="11.25" customHeight="1" x14ac:dyDescent="0.3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 spans="1:26" ht="11.25" customHeight="1" x14ac:dyDescent="0.3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 spans="1:26" ht="11.25" customHeight="1" x14ac:dyDescent="0.3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 spans="1:26" ht="11.25" customHeight="1" x14ac:dyDescent="0.3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 spans="1:26" ht="11.25" customHeight="1" x14ac:dyDescent="0.3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 spans="1:26" ht="11.25" customHeight="1" x14ac:dyDescent="0.3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 spans="1:26" ht="11.25" customHeight="1" x14ac:dyDescent="0.3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 spans="1:26" ht="11.25" customHeight="1" x14ac:dyDescent="0.3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 spans="1:26" ht="11.25" customHeight="1" x14ac:dyDescent="0.3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 spans="1:26" ht="11.25" customHeight="1" x14ac:dyDescent="0.3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 spans="1:26" ht="11.25" customHeight="1" x14ac:dyDescent="0.3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 spans="1:26" ht="11.25" customHeight="1" x14ac:dyDescent="0.3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 spans="1:26" ht="11.25" customHeight="1" x14ac:dyDescent="0.3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 spans="1:26" ht="11.25" customHeight="1" x14ac:dyDescent="0.3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 spans="1:26" ht="11.25" customHeight="1" x14ac:dyDescent="0.3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 spans="1:26" ht="11.25" customHeight="1" x14ac:dyDescent="0.3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 spans="1:26" ht="11.25" customHeight="1" x14ac:dyDescent="0.3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 spans="1:26" ht="11.25" customHeight="1" x14ac:dyDescent="0.3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 spans="1:26" ht="11.25" customHeight="1" x14ac:dyDescent="0.3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 spans="1:26" ht="11.25" customHeight="1" x14ac:dyDescent="0.3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 spans="1:26" ht="11.25" customHeight="1" x14ac:dyDescent="0.3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 spans="1:26" ht="11.25" customHeight="1" x14ac:dyDescent="0.3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 spans="1:26" ht="11.25" customHeight="1" x14ac:dyDescent="0.3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 spans="1:26" ht="11.25" customHeight="1" x14ac:dyDescent="0.3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 spans="1:26" ht="11.25" customHeight="1" x14ac:dyDescent="0.3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 spans="1:26" ht="11.25" customHeight="1" x14ac:dyDescent="0.3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 spans="1:26" ht="11.25" customHeight="1" x14ac:dyDescent="0.3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 spans="1:26" ht="11.25" customHeight="1" x14ac:dyDescent="0.3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 spans="1:26" ht="11.25" customHeight="1" x14ac:dyDescent="0.3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 spans="1:26" ht="11.25" customHeight="1" x14ac:dyDescent="0.3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 spans="1:26" ht="11.25" customHeight="1" x14ac:dyDescent="0.3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 spans="1:26" ht="11.25" customHeight="1" x14ac:dyDescent="0.3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 spans="1:26" ht="11.25" customHeight="1" x14ac:dyDescent="0.3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 spans="1:26" ht="11.25" customHeight="1" x14ac:dyDescent="0.3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 spans="1:26" ht="11.25" customHeight="1" x14ac:dyDescent="0.3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 spans="1:26" ht="11.25" customHeight="1" x14ac:dyDescent="0.3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 spans="1:26" ht="11.25" customHeight="1" x14ac:dyDescent="0.3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 spans="1:26" ht="11.25" customHeight="1" x14ac:dyDescent="0.3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 spans="1:26" ht="11.25" customHeight="1" x14ac:dyDescent="0.3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 spans="1:26" ht="11.25" customHeight="1" x14ac:dyDescent="0.3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 spans="1:26" ht="11.25" customHeight="1" x14ac:dyDescent="0.3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 spans="1:26" ht="11.25" customHeight="1" x14ac:dyDescent="0.3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 spans="1:26" ht="11.25" customHeight="1" x14ac:dyDescent="0.3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 spans="1:26" ht="11.25" customHeight="1" x14ac:dyDescent="0.3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 spans="1:26" ht="11.25" customHeight="1" x14ac:dyDescent="0.3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 spans="1:26" ht="11.25" customHeight="1" x14ac:dyDescent="0.3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 spans="1:26" ht="11.25" customHeight="1" x14ac:dyDescent="0.3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 spans="1:26" ht="11.25" customHeight="1" x14ac:dyDescent="0.3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 spans="1:26" ht="11.25" customHeight="1" x14ac:dyDescent="0.3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 spans="1:26" ht="11.25" customHeight="1" x14ac:dyDescent="0.3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 spans="1:26" ht="11.25" customHeight="1" x14ac:dyDescent="0.3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 spans="1:26" ht="11.25" customHeight="1" x14ac:dyDescent="0.3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 spans="1:26" ht="11.25" customHeight="1" x14ac:dyDescent="0.3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 spans="1:26" ht="11.25" customHeight="1" x14ac:dyDescent="0.3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 spans="1:26" ht="11.25" customHeight="1" x14ac:dyDescent="0.3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 spans="1:26" ht="11.25" customHeight="1" x14ac:dyDescent="0.3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 spans="1:26" ht="11.25" customHeight="1" x14ac:dyDescent="0.3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 spans="1:26" ht="11.25" customHeight="1" x14ac:dyDescent="0.3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 spans="1:26" ht="11.25" customHeight="1" x14ac:dyDescent="0.3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 spans="1:26" ht="11.25" customHeight="1" x14ac:dyDescent="0.3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 spans="1:26" ht="11.25" customHeight="1" x14ac:dyDescent="0.3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 spans="1:26" ht="11.25" customHeight="1" x14ac:dyDescent="0.3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 spans="1:26" ht="11.25" customHeight="1" x14ac:dyDescent="0.3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 spans="1:26" ht="11.25" customHeight="1" x14ac:dyDescent="0.3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 spans="1:26" ht="11.25" customHeight="1" x14ac:dyDescent="0.3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 spans="1:26" ht="11.25" customHeight="1" x14ac:dyDescent="0.3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 spans="1:26" ht="11.25" customHeight="1" x14ac:dyDescent="0.3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 spans="1:26" ht="11.25" customHeight="1" x14ac:dyDescent="0.3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 spans="1:26" ht="11.25" customHeight="1" x14ac:dyDescent="0.3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 spans="1:26" ht="11.25" customHeight="1" x14ac:dyDescent="0.3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 spans="1:26" ht="11.25" customHeight="1" x14ac:dyDescent="0.3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 spans="1:26" ht="11.25" customHeight="1" x14ac:dyDescent="0.3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 spans="1:26" ht="11.25" customHeight="1" x14ac:dyDescent="0.3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 spans="1:26" ht="11.25" customHeight="1" x14ac:dyDescent="0.3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 spans="1:26" ht="11.25" customHeight="1" x14ac:dyDescent="0.3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 spans="1:26" ht="11.25" customHeight="1" x14ac:dyDescent="0.3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 spans="1:26" ht="11.25" customHeight="1" x14ac:dyDescent="0.3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 spans="1:26" ht="11.25" customHeight="1" x14ac:dyDescent="0.3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 spans="1:26" ht="11.25" customHeight="1" x14ac:dyDescent="0.3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 spans="1:26" ht="11.25" customHeight="1" x14ac:dyDescent="0.3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 spans="1:26" ht="11.25" customHeight="1" x14ac:dyDescent="0.3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 spans="1:26" ht="11.25" customHeight="1" x14ac:dyDescent="0.3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 spans="1:26" ht="11.25" customHeight="1" x14ac:dyDescent="0.3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 spans="1:26" ht="11.25" customHeight="1" x14ac:dyDescent="0.3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 spans="1:26" ht="11.25" customHeight="1" x14ac:dyDescent="0.3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 spans="1:26" ht="11.25" customHeight="1" x14ac:dyDescent="0.3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 spans="1:26" ht="11.25" customHeight="1" x14ac:dyDescent="0.3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 spans="1:26" ht="11.25" customHeight="1" x14ac:dyDescent="0.3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 spans="1:26" ht="11.25" customHeight="1" x14ac:dyDescent="0.3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 spans="1:26" ht="11.25" customHeight="1" x14ac:dyDescent="0.3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 spans="1:26" ht="11.25" customHeight="1" x14ac:dyDescent="0.3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 spans="1:26" ht="11.25" customHeight="1" x14ac:dyDescent="0.3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 spans="1:26" ht="11.25" customHeight="1" x14ac:dyDescent="0.3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 spans="1:26" ht="11.25" customHeight="1" x14ac:dyDescent="0.3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 spans="1:26" ht="11.25" customHeight="1" x14ac:dyDescent="0.3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 spans="1:26" ht="11.25" customHeight="1" x14ac:dyDescent="0.3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 spans="1:26" ht="11.25" customHeight="1" x14ac:dyDescent="0.3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 spans="1:26" ht="11.25" customHeight="1" x14ac:dyDescent="0.3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 spans="1:26" ht="11.25" customHeight="1" x14ac:dyDescent="0.3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 spans="1:26" ht="11.25" customHeight="1" x14ac:dyDescent="0.3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 spans="1:26" ht="11.25" customHeight="1" x14ac:dyDescent="0.3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 spans="1:26" ht="11.25" customHeight="1" x14ac:dyDescent="0.3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 spans="1:26" ht="11.25" customHeight="1" x14ac:dyDescent="0.3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 spans="1:26" ht="11.25" customHeight="1" x14ac:dyDescent="0.3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 spans="1:26" ht="11.25" customHeight="1" x14ac:dyDescent="0.3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 spans="1:26" ht="11.25" customHeight="1" x14ac:dyDescent="0.3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 spans="1:26" ht="11.25" customHeight="1" x14ac:dyDescent="0.3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 spans="1:26" ht="11.25" customHeight="1" x14ac:dyDescent="0.3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 spans="1:26" ht="11.25" customHeight="1" x14ac:dyDescent="0.3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 spans="1:26" ht="11.25" customHeight="1" x14ac:dyDescent="0.3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 spans="1:26" ht="11.25" customHeight="1" x14ac:dyDescent="0.3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 spans="1:26" ht="11.25" customHeight="1" x14ac:dyDescent="0.3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 spans="1:26" ht="11.25" customHeight="1" x14ac:dyDescent="0.3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 spans="1:26" ht="11.25" customHeight="1" x14ac:dyDescent="0.3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 spans="1:26" ht="11.25" customHeight="1" x14ac:dyDescent="0.3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 spans="1:26" ht="11.25" customHeight="1" x14ac:dyDescent="0.3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 spans="1:26" ht="11.25" customHeight="1" x14ac:dyDescent="0.3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 spans="1:26" ht="11.25" customHeight="1" x14ac:dyDescent="0.3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 spans="1:26" ht="11.25" customHeight="1" x14ac:dyDescent="0.3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 spans="1:26" ht="11.25" customHeight="1" x14ac:dyDescent="0.3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 spans="1:26" ht="11.25" customHeight="1" x14ac:dyDescent="0.3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 spans="1:26" ht="11.25" customHeight="1" x14ac:dyDescent="0.3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 spans="1:26" ht="11.25" customHeight="1" x14ac:dyDescent="0.3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 spans="1:26" ht="11.25" customHeight="1" x14ac:dyDescent="0.3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  <row r="1000" spans="1:26" ht="11.25" customHeight="1" x14ac:dyDescent="0.3">
      <c r="A1000" s="132"/>
      <c r="B1000" s="132"/>
      <c r="C1000" s="132"/>
      <c r="D1000" s="132"/>
      <c r="E1000" s="132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T25" sqref="T25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96" t="s">
        <v>224</v>
      </c>
      <c r="B1" s="197" t="s">
        <v>225</v>
      </c>
      <c r="C1" s="198" t="s">
        <v>226</v>
      </c>
      <c r="D1" s="199"/>
      <c r="E1" s="200" t="s">
        <v>227</v>
      </c>
      <c r="F1" s="201" t="s">
        <v>228</v>
      </c>
      <c r="G1" s="202" t="s">
        <v>229</v>
      </c>
      <c r="H1" s="203" t="s">
        <v>230</v>
      </c>
      <c r="I1" s="204"/>
      <c r="J1" s="205" t="s">
        <v>231</v>
      </c>
      <c r="K1" s="206" t="s">
        <v>232</v>
      </c>
      <c r="L1" s="207" t="s">
        <v>229</v>
      </c>
      <c r="M1" s="208" t="s">
        <v>233</v>
      </c>
      <c r="N1" s="209"/>
      <c r="O1" s="210" t="s">
        <v>234</v>
      </c>
      <c r="P1" s="211" t="s">
        <v>235</v>
      </c>
      <c r="Q1" s="212" t="s">
        <v>229</v>
      </c>
      <c r="R1" s="209"/>
      <c r="S1" s="204"/>
      <c r="T1" s="209"/>
    </row>
    <row r="2" spans="1:20" ht="11.25" customHeight="1" x14ac:dyDescent="0.3">
      <c r="A2" s="213" t="s">
        <v>236</v>
      </c>
      <c r="B2" s="214">
        <v>2</v>
      </c>
      <c r="C2" s="215">
        <v>2</v>
      </c>
      <c r="D2" s="199" t="s">
        <v>287</v>
      </c>
      <c r="E2" s="216">
        <f>(B2*'Proposed Budget'!$O$68)+(C2*'Proposed Budget'!$O$44)+'Proposed Budget'!$L$21+'Proposed Budget'!$L$22</f>
        <v>16606.55292099333</v>
      </c>
      <c r="F2" s="217">
        <f>SUM('Monthly Breakdown'!I49:I52)</f>
        <v>15639.36</v>
      </c>
      <c r="G2" s="218">
        <f t="shared" ref="G2:G13" si="0">F2-E2</f>
        <v>-967.19292099332961</v>
      </c>
      <c r="H2" s="219">
        <f t="shared" ref="H2:H13" si="1">((F2-E2)/E2)</f>
        <v>-5.8241642657257522E-2</v>
      </c>
      <c r="I2" s="209"/>
      <c r="J2" s="220">
        <f t="shared" ref="J2:K2" si="2">SUM(O20,E20,J20)</f>
        <v>13000</v>
      </c>
      <c r="K2" s="221">
        <f t="shared" si="2"/>
        <v>12394.720000000001</v>
      </c>
      <c r="L2" s="222">
        <f t="shared" ref="L2:L13" si="3">J2-K2</f>
        <v>605.27999999999884</v>
      </c>
      <c r="M2" s="223">
        <f t="shared" ref="M2:M13" si="4">((K2-J2)/J2)</f>
        <v>-4.6559999999999907E-2</v>
      </c>
      <c r="N2" s="209"/>
      <c r="O2" s="224">
        <f t="shared" ref="O2:O13" si="5">E2-O20-E20-J20</f>
        <v>3606.5529209933302</v>
      </c>
      <c r="P2" s="225">
        <f>SUM('Monthly Breakdown'!I45:I46)</f>
        <v>3244.64</v>
      </c>
      <c r="Q2" s="226">
        <f t="shared" ref="Q2:Q13" si="6">P2-O2</f>
        <v>-361.91292099333032</v>
      </c>
      <c r="R2" s="209"/>
      <c r="S2" s="209"/>
      <c r="T2" s="209">
        <f t="shared" ref="T2:T13" si="7">F2-K2-P2</f>
        <v>0</v>
      </c>
    </row>
    <row r="3" spans="1:20" ht="11.25" customHeight="1" x14ac:dyDescent="0.3">
      <c r="A3" s="213" t="s">
        <v>237</v>
      </c>
      <c r="B3" s="214">
        <v>2</v>
      </c>
      <c r="C3" s="215">
        <v>2</v>
      </c>
      <c r="D3" s="199" t="s">
        <v>287</v>
      </c>
      <c r="E3" s="216">
        <f>(B3*'Proposed Budget'!$O$68)+(C3*'Proposed Budget'!$O$44)+'Proposed Budget'!$L$21+'Proposed Budget'!$L$22</f>
        <v>16606.55292099333</v>
      </c>
      <c r="F3" s="217">
        <f>SUM('Monthly Breakdown'!K49:K52)</f>
        <v>16615.62</v>
      </c>
      <c r="G3" s="218">
        <f t="shared" si="0"/>
        <v>9.0670790066687914</v>
      </c>
      <c r="H3" s="219">
        <f t="shared" si="1"/>
        <v>5.4599404523057629E-4</v>
      </c>
      <c r="I3" s="209"/>
      <c r="J3" s="220">
        <f t="shared" ref="J3:K3" si="8">SUM(O21,E21,J21)</f>
        <v>13000</v>
      </c>
      <c r="K3" s="221">
        <f t="shared" si="8"/>
        <v>12800.71</v>
      </c>
      <c r="L3" s="222">
        <f t="shared" si="3"/>
        <v>199.29000000000087</v>
      </c>
      <c r="M3" s="223">
        <f t="shared" si="4"/>
        <v>-1.5330000000000068E-2</v>
      </c>
      <c r="N3" s="209"/>
      <c r="O3" s="224">
        <f t="shared" si="5"/>
        <v>3606.5529209933302</v>
      </c>
      <c r="P3" s="225">
        <f>SUM('Monthly Breakdown'!K45:K46)</f>
        <v>3814.91</v>
      </c>
      <c r="Q3" s="226">
        <f t="shared" si="6"/>
        <v>208.35707900666966</v>
      </c>
      <c r="R3" s="209"/>
      <c r="S3" s="209"/>
      <c r="T3" s="209">
        <f t="shared" si="7"/>
        <v>0</v>
      </c>
    </row>
    <row r="4" spans="1:20" ht="11.25" customHeight="1" x14ac:dyDescent="0.3">
      <c r="A4" s="213" t="s">
        <v>238</v>
      </c>
      <c r="B4" s="214">
        <v>2</v>
      </c>
      <c r="C4" s="215">
        <v>2</v>
      </c>
      <c r="D4" s="199" t="s">
        <v>287</v>
      </c>
      <c r="E4" s="216">
        <f>(B4*'Proposed Budget'!$O$68)+(C4*'Proposed Budget'!$O$44)+'Proposed Budget'!$L$21+'Proposed Budget'!$L$22</f>
        <v>16606.55292099333</v>
      </c>
      <c r="F4" s="217">
        <f>SUM('Monthly Breakdown'!M49:M52)</f>
        <v>16971.29</v>
      </c>
      <c r="G4" s="218">
        <f t="shared" si="0"/>
        <v>364.73707900667068</v>
      </c>
      <c r="H4" s="219">
        <f t="shared" si="1"/>
        <v>2.1963443030105594E-2</v>
      </c>
      <c r="I4" s="209"/>
      <c r="J4" s="220">
        <f t="shared" ref="J4:K4" si="9">SUM(O22,E22,J22)</f>
        <v>13000</v>
      </c>
      <c r="K4" s="221">
        <f t="shared" si="9"/>
        <v>12611.71</v>
      </c>
      <c r="L4" s="222">
        <f t="shared" si="3"/>
        <v>388.29000000000087</v>
      </c>
      <c r="M4" s="223">
        <f t="shared" si="4"/>
        <v>-2.9868461538461604E-2</v>
      </c>
      <c r="N4" s="209"/>
      <c r="O4" s="224">
        <f t="shared" si="5"/>
        <v>3606.5529209933302</v>
      </c>
      <c r="P4" s="225">
        <f>SUM('Monthly Breakdown'!M45:M46)</f>
        <v>4359.58</v>
      </c>
      <c r="Q4" s="226">
        <f t="shared" si="6"/>
        <v>753.02707900666974</v>
      </c>
      <c r="R4" s="209"/>
      <c r="S4" s="209"/>
      <c r="T4" s="209">
        <f t="shared" si="7"/>
        <v>0</v>
      </c>
    </row>
    <row r="5" spans="1:20" ht="11.25" customHeight="1" x14ac:dyDescent="0.3">
      <c r="A5" s="213" t="s">
        <v>239</v>
      </c>
      <c r="B5" s="214">
        <v>2</v>
      </c>
      <c r="C5" s="215">
        <v>3</v>
      </c>
      <c r="D5" s="199" t="s">
        <v>287</v>
      </c>
      <c r="E5" s="216">
        <f>(B5*'Proposed Budget'!$O$68)+(C5*'Proposed Budget'!$O$44)+'Proposed Budget'!$L$21+'Proposed Budget'!$L$22</f>
        <v>19370.33642599333</v>
      </c>
      <c r="F5" s="217">
        <f>SUM('Monthly Breakdown'!O49:O52)</f>
        <v>18875.669999999998</v>
      </c>
      <c r="G5" s="218">
        <f t="shared" si="0"/>
        <v>-494.66642599333136</v>
      </c>
      <c r="H5" s="219">
        <f t="shared" si="1"/>
        <v>-2.5537317221270946E-2</v>
      </c>
      <c r="I5" s="209"/>
      <c r="J5" s="220">
        <f t="shared" ref="J5:K5" si="10">SUM(O23,E23,J23)</f>
        <v>13000</v>
      </c>
      <c r="K5" s="221">
        <f t="shared" si="10"/>
        <v>13208.85</v>
      </c>
      <c r="L5" s="222">
        <f t="shared" si="3"/>
        <v>-208.85000000000036</v>
      </c>
      <c r="M5" s="223">
        <f t="shared" si="4"/>
        <v>1.6065384615384645E-2</v>
      </c>
      <c r="N5" s="209"/>
      <c r="O5" s="224">
        <f t="shared" si="5"/>
        <v>6370.3364259933296</v>
      </c>
      <c r="P5" s="225">
        <f>SUM('Monthly Breakdown'!O45:O46)</f>
        <v>5666.82</v>
      </c>
      <c r="Q5" s="226">
        <f t="shared" si="6"/>
        <v>-703.5164259933299</v>
      </c>
      <c r="R5" s="209"/>
      <c r="S5" s="209"/>
      <c r="T5" s="209">
        <f t="shared" si="7"/>
        <v>0</v>
      </c>
    </row>
    <row r="6" spans="1:20" ht="11.25" customHeight="1" x14ac:dyDescent="0.3">
      <c r="A6" s="213" t="s">
        <v>240</v>
      </c>
      <c r="B6" s="214">
        <v>2</v>
      </c>
      <c r="C6" s="215">
        <v>2</v>
      </c>
      <c r="D6" s="199"/>
      <c r="E6" s="216">
        <f>(B6*'Proposed Budget'!$O$68)+(C6*'Proposed Budget'!$O$44)+'Proposed Budget'!$L$21+'Proposed Budget'!$L$22</f>
        <v>16606.55292099333</v>
      </c>
      <c r="F6" s="217">
        <f>SUM('Monthly Breakdown'!Q49:Q52)</f>
        <v>17611.599999999999</v>
      </c>
      <c r="G6" s="218">
        <f t="shared" si="0"/>
        <v>1005.0470790066684</v>
      </c>
      <c r="H6" s="219">
        <f t="shared" si="1"/>
        <v>6.0521113790937831E-2</v>
      </c>
      <c r="I6" s="209"/>
      <c r="J6" s="220">
        <f t="shared" ref="J6:K6" si="11">SUM(O24,E24,J24)</f>
        <v>13000</v>
      </c>
      <c r="K6" s="221">
        <f t="shared" si="11"/>
        <v>4584.49</v>
      </c>
      <c r="L6" s="222">
        <f t="shared" si="3"/>
        <v>8415.51</v>
      </c>
      <c r="M6" s="223">
        <f t="shared" si="4"/>
        <v>-0.6473469230769231</v>
      </c>
      <c r="N6" s="209"/>
      <c r="O6" s="224">
        <f t="shared" si="5"/>
        <v>3606.5529209933302</v>
      </c>
      <c r="P6" s="225">
        <f>SUM('Monthly Breakdown'!Q45:Q46)</f>
        <v>50</v>
      </c>
      <c r="Q6" s="226">
        <f t="shared" si="6"/>
        <v>-3556.5529209933302</v>
      </c>
      <c r="R6" s="209"/>
      <c r="S6" s="209"/>
      <c r="T6" s="209">
        <f t="shared" si="7"/>
        <v>12977.109999999999</v>
      </c>
    </row>
    <row r="7" spans="1:20" ht="11.25" customHeight="1" x14ac:dyDescent="0.3">
      <c r="A7" s="213" t="s">
        <v>241</v>
      </c>
      <c r="B7" s="214">
        <v>2</v>
      </c>
      <c r="C7" s="215">
        <v>2</v>
      </c>
      <c r="D7" s="199"/>
      <c r="E7" s="216">
        <f>(B7*'Proposed Budget'!$O$68)+(C7*'Proposed Budget'!$O$44)+'Proposed Budget'!$L$21+'Proposed Budget'!$L$22</f>
        <v>16606.55292099333</v>
      </c>
      <c r="F7" s="217">
        <f>SUM('Monthly Breakdown'!S49:S52)</f>
        <v>0</v>
      </c>
      <c r="G7" s="218">
        <f t="shared" si="0"/>
        <v>-16606.55292099333</v>
      </c>
      <c r="H7" s="219">
        <f t="shared" si="1"/>
        <v>-1</v>
      </c>
      <c r="I7" s="209"/>
      <c r="J7" s="220">
        <f t="shared" ref="J7:K7" si="12">SUM(O25,E25,J25)</f>
        <v>13000</v>
      </c>
      <c r="K7" s="221">
        <f t="shared" si="12"/>
        <v>0</v>
      </c>
      <c r="L7" s="222">
        <f t="shared" si="3"/>
        <v>13000</v>
      </c>
      <c r="M7" s="223">
        <f t="shared" si="4"/>
        <v>-1</v>
      </c>
      <c r="N7" s="209"/>
      <c r="O7" s="224">
        <f t="shared" si="5"/>
        <v>3606.5529209933302</v>
      </c>
      <c r="P7" s="225">
        <f>SUM('Monthly Breakdown'!S45:S46)</f>
        <v>0</v>
      </c>
      <c r="Q7" s="226">
        <f t="shared" si="6"/>
        <v>-3606.5529209933302</v>
      </c>
      <c r="R7" s="209"/>
      <c r="S7" s="209"/>
      <c r="T7" s="209">
        <f t="shared" si="7"/>
        <v>0</v>
      </c>
    </row>
    <row r="8" spans="1:20" ht="11.25" customHeight="1" x14ac:dyDescent="0.3">
      <c r="A8" s="213" t="s">
        <v>242</v>
      </c>
      <c r="B8" s="214">
        <v>2</v>
      </c>
      <c r="C8" s="215">
        <v>2</v>
      </c>
      <c r="D8" s="199"/>
      <c r="E8" s="216">
        <f>(B8*'Proposed Budget'!$O$68)+(C8*'Proposed Budget'!$O$44)+'Proposed Budget'!$L$21+'Proposed Budget'!$L$22</f>
        <v>16606.55292099333</v>
      </c>
      <c r="F8" s="217">
        <f>SUM('Monthly Breakdown'!U49:U52)</f>
        <v>0</v>
      </c>
      <c r="G8" s="218">
        <f t="shared" si="0"/>
        <v>-16606.55292099333</v>
      </c>
      <c r="H8" s="219">
        <f t="shared" si="1"/>
        <v>-1</v>
      </c>
      <c r="I8" s="209"/>
      <c r="J8" s="220">
        <f t="shared" ref="J8:K8" si="13">SUM(O26,E26,J26)</f>
        <v>13000</v>
      </c>
      <c r="K8" s="221">
        <f t="shared" si="13"/>
        <v>0</v>
      </c>
      <c r="L8" s="222">
        <f t="shared" si="3"/>
        <v>13000</v>
      </c>
      <c r="M8" s="223">
        <f t="shared" si="4"/>
        <v>-1</v>
      </c>
      <c r="N8" s="209"/>
      <c r="O8" s="224">
        <f t="shared" si="5"/>
        <v>3606.5529209933302</v>
      </c>
      <c r="P8" s="225">
        <f>SUM('Monthly Breakdown'!U45:U46)</f>
        <v>0</v>
      </c>
      <c r="Q8" s="226">
        <f t="shared" si="6"/>
        <v>-3606.5529209933302</v>
      </c>
      <c r="R8" s="209"/>
      <c r="S8" s="209"/>
      <c r="T8" s="209">
        <f t="shared" si="7"/>
        <v>0</v>
      </c>
    </row>
    <row r="9" spans="1:20" ht="11.25" customHeight="1" x14ac:dyDescent="0.3">
      <c r="A9" s="213" t="s">
        <v>243</v>
      </c>
      <c r="B9" s="214">
        <v>2</v>
      </c>
      <c r="C9" s="215">
        <v>2</v>
      </c>
      <c r="D9" s="199"/>
      <c r="E9" s="216">
        <f>(B9*'Proposed Budget'!$O$68)+(C9*'Proposed Budget'!$O$44)+'Proposed Budget'!$L$21+'Proposed Budget'!$L$22</f>
        <v>16606.55292099333</v>
      </c>
      <c r="F9" s="217">
        <f>SUM('Monthly Breakdown'!W49:W52)</f>
        <v>0</v>
      </c>
      <c r="G9" s="218">
        <f t="shared" si="0"/>
        <v>-16606.55292099333</v>
      </c>
      <c r="H9" s="219">
        <f t="shared" si="1"/>
        <v>-1</v>
      </c>
      <c r="I9" s="209"/>
      <c r="J9" s="220">
        <f t="shared" ref="J9:K9" si="14">SUM(O27,E27,J27)</f>
        <v>13000</v>
      </c>
      <c r="K9" s="221">
        <f t="shared" si="14"/>
        <v>0</v>
      </c>
      <c r="L9" s="222">
        <f t="shared" si="3"/>
        <v>13000</v>
      </c>
      <c r="M9" s="223">
        <f t="shared" si="4"/>
        <v>-1</v>
      </c>
      <c r="N9" s="209"/>
      <c r="O9" s="224">
        <f t="shared" si="5"/>
        <v>3606.5529209933302</v>
      </c>
      <c r="P9" s="225">
        <f>SUM('Monthly Breakdown'!W45:W46)</f>
        <v>0</v>
      </c>
      <c r="Q9" s="226">
        <f t="shared" si="6"/>
        <v>-3606.5529209933302</v>
      </c>
      <c r="R9" s="209"/>
      <c r="S9" s="209"/>
      <c r="T9" s="209">
        <f t="shared" si="7"/>
        <v>0</v>
      </c>
    </row>
    <row r="10" spans="1:20" ht="11.25" customHeight="1" x14ac:dyDescent="0.3">
      <c r="A10" s="227" t="s">
        <v>244</v>
      </c>
      <c r="B10" s="214">
        <v>2</v>
      </c>
      <c r="C10" s="215">
        <v>3</v>
      </c>
      <c r="D10" s="199"/>
      <c r="E10" s="216">
        <f>(B10*'Proposed Budget'!$O$68)+(C10*'Proposed Budget'!$O$44)+'Proposed Budget'!$L$21+'Proposed Budget'!$L$22</f>
        <v>19370.33642599333</v>
      </c>
      <c r="F10" s="217">
        <f>SUM('Monthly Breakdown'!Y49:Y52)</f>
        <v>0</v>
      </c>
      <c r="G10" s="218">
        <f t="shared" si="0"/>
        <v>-19370.33642599333</v>
      </c>
      <c r="H10" s="219">
        <f t="shared" si="1"/>
        <v>-1</v>
      </c>
      <c r="I10" s="209"/>
      <c r="J10" s="220">
        <f t="shared" ref="J10:K10" si="15">SUM(O28,E28,J28)</f>
        <v>13000</v>
      </c>
      <c r="K10" s="221">
        <f t="shared" si="15"/>
        <v>0</v>
      </c>
      <c r="L10" s="222">
        <f t="shared" si="3"/>
        <v>13000</v>
      </c>
      <c r="M10" s="223">
        <f t="shared" si="4"/>
        <v>-1</v>
      </c>
      <c r="N10" s="209"/>
      <c r="O10" s="224">
        <f t="shared" si="5"/>
        <v>6370.3364259933296</v>
      </c>
      <c r="P10" s="225">
        <f>SUM('Monthly Breakdown'!Y45:Y46)</f>
        <v>0</v>
      </c>
      <c r="Q10" s="226">
        <f t="shared" si="6"/>
        <v>-6370.3364259933296</v>
      </c>
      <c r="R10" s="209"/>
      <c r="S10" s="209"/>
      <c r="T10" s="209">
        <f t="shared" si="7"/>
        <v>0</v>
      </c>
    </row>
    <row r="11" spans="1:20" ht="11.25" customHeight="1" x14ac:dyDescent="0.3">
      <c r="A11" s="227" t="s">
        <v>245</v>
      </c>
      <c r="B11" s="214">
        <v>2</v>
      </c>
      <c r="C11" s="215">
        <v>2</v>
      </c>
      <c r="D11" s="199"/>
      <c r="E11" s="216">
        <f>(B11*'Proposed Budget'!$O$68)+(C11*'Proposed Budget'!$O$44)+'Proposed Budget'!$L$21+'Proposed Budget'!$L$22</f>
        <v>16606.55292099333</v>
      </c>
      <c r="F11" s="217">
        <f>SUM('Monthly Breakdown'!AA49:AA52)</f>
        <v>0</v>
      </c>
      <c r="G11" s="218">
        <f t="shared" si="0"/>
        <v>-16606.55292099333</v>
      </c>
      <c r="H11" s="219">
        <f t="shared" si="1"/>
        <v>-1</v>
      </c>
      <c r="I11" s="209"/>
      <c r="J11" s="220">
        <f t="shared" ref="J11:K11" si="16">SUM(O29,E29,J29)</f>
        <v>13000</v>
      </c>
      <c r="K11" s="221">
        <f t="shared" si="16"/>
        <v>0</v>
      </c>
      <c r="L11" s="222">
        <f t="shared" si="3"/>
        <v>13000</v>
      </c>
      <c r="M11" s="223">
        <f t="shared" si="4"/>
        <v>-1</v>
      </c>
      <c r="N11" s="209"/>
      <c r="O11" s="224">
        <f t="shared" si="5"/>
        <v>3606.5529209933302</v>
      </c>
      <c r="P11" s="225">
        <f>SUM('Monthly Breakdown'!AA45:AA46)</f>
        <v>0</v>
      </c>
      <c r="Q11" s="226">
        <f t="shared" si="6"/>
        <v>-3606.5529209933302</v>
      </c>
      <c r="R11" s="209"/>
      <c r="S11" s="209"/>
      <c r="T11" s="209">
        <f t="shared" si="7"/>
        <v>0</v>
      </c>
    </row>
    <row r="12" spans="1:20" ht="11.25" customHeight="1" x14ac:dyDescent="0.3">
      <c r="A12" s="227" t="s">
        <v>246</v>
      </c>
      <c r="B12" s="214">
        <v>2</v>
      </c>
      <c r="C12" s="215">
        <v>2</v>
      </c>
      <c r="D12" s="199"/>
      <c r="E12" s="216">
        <f>(B12*'Proposed Budget'!$O$68)+(C12*'Proposed Budget'!$O$44)+'Proposed Budget'!$L$21+'Proposed Budget'!$L$22</f>
        <v>16606.55292099333</v>
      </c>
      <c r="F12" s="217">
        <f>SUM('Monthly Breakdown'!AC49:AC52)</f>
        <v>0</v>
      </c>
      <c r="G12" s="218">
        <f t="shared" si="0"/>
        <v>-16606.55292099333</v>
      </c>
      <c r="H12" s="219">
        <f t="shared" si="1"/>
        <v>-1</v>
      </c>
      <c r="I12" s="209"/>
      <c r="J12" s="220">
        <f t="shared" ref="J12:K12" si="17">SUM(O30,E30,J30)</f>
        <v>13000</v>
      </c>
      <c r="K12" s="221">
        <f t="shared" si="17"/>
        <v>0</v>
      </c>
      <c r="L12" s="222">
        <f t="shared" si="3"/>
        <v>13000</v>
      </c>
      <c r="M12" s="223">
        <f t="shared" si="4"/>
        <v>-1</v>
      </c>
      <c r="N12" s="209"/>
      <c r="O12" s="224">
        <f t="shared" si="5"/>
        <v>3606.5529209933302</v>
      </c>
      <c r="P12" s="225">
        <f>SUM('Monthly Breakdown'!AC45:AC46)</f>
        <v>0</v>
      </c>
      <c r="Q12" s="226">
        <f t="shared" si="6"/>
        <v>-3606.5529209933302</v>
      </c>
      <c r="R12" s="209"/>
      <c r="S12" s="209"/>
      <c r="T12" s="209">
        <f t="shared" si="7"/>
        <v>0</v>
      </c>
    </row>
    <row r="13" spans="1:20" ht="11.25" customHeight="1" x14ac:dyDescent="0.3">
      <c r="A13" s="227" t="s">
        <v>247</v>
      </c>
      <c r="B13" s="214">
        <v>2</v>
      </c>
      <c r="C13" s="215">
        <v>2</v>
      </c>
      <c r="D13" s="199"/>
      <c r="E13" s="216">
        <f>(B13*'Proposed Budget'!$O$68)+(C13*'Proposed Budget'!$O$44)+'Proposed Budget'!$L$21+'Proposed Budget'!$L$22</f>
        <v>16606.55292099333</v>
      </c>
      <c r="F13" s="217">
        <f>SUM('Monthly Breakdown'!AE49:AE52)</f>
        <v>0</v>
      </c>
      <c r="G13" s="218">
        <f t="shared" si="0"/>
        <v>-16606.55292099333</v>
      </c>
      <c r="H13" s="219">
        <f t="shared" si="1"/>
        <v>-1</v>
      </c>
      <c r="I13" s="209"/>
      <c r="J13" s="220">
        <f t="shared" ref="J13:K13" si="18">SUM(O31,E31,J31)</f>
        <v>13000</v>
      </c>
      <c r="K13" s="221">
        <f t="shared" si="18"/>
        <v>0</v>
      </c>
      <c r="L13" s="222">
        <f t="shared" si="3"/>
        <v>13000</v>
      </c>
      <c r="M13" s="223">
        <f t="shared" si="4"/>
        <v>-1</v>
      </c>
      <c r="N13" s="209"/>
      <c r="O13" s="224">
        <f t="shared" si="5"/>
        <v>3606.5529209933302</v>
      </c>
      <c r="P13" s="225">
        <f>SUM('Monthly Breakdown'!AE45:AE46)</f>
        <v>0</v>
      </c>
      <c r="Q13" s="226">
        <f t="shared" si="6"/>
        <v>-3606.5529209933302</v>
      </c>
      <c r="R13" s="209"/>
      <c r="S13" s="209"/>
      <c r="T13" s="209">
        <f t="shared" si="7"/>
        <v>0</v>
      </c>
    </row>
    <row r="14" spans="1:20" ht="11.25" customHeight="1" x14ac:dyDescent="0.3">
      <c r="A14" s="228"/>
      <c r="B14" s="214"/>
      <c r="C14" s="215"/>
      <c r="D14" s="199"/>
      <c r="E14" s="216"/>
      <c r="F14" s="217"/>
      <c r="G14" s="218"/>
      <c r="H14" s="219"/>
      <c r="I14" s="209"/>
      <c r="J14" s="220"/>
      <c r="K14" s="221"/>
      <c r="L14" s="222"/>
      <c r="M14" s="223"/>
      <c r="N14" s="209"/>
      <c r="O14" s="224"/>
      <c r="P14" s="225"/>
      <c r="Q14" s="226"/>
      <c r="R14" s="209"/>
      <c r="S14" s="209"/>
      <c r="T14" s="209"/>
    </row>
    <row r="15" spans="1:20" ht="11.25" customHeight="1" x14ac:dyDescent="0.3">
      <c r="A15" s="228"/>
      <c r="B15" s="214"/>
      <c r="C15" s="215"/>
      <c r="D15" s="199"/>
      <c r="E15" s="216"/>
      <c r="F15" s="217"/>
      <c r="G15" s="218"/>
      <c r="H15" s="219"/>
      <c r="I15" s="209"/>
      <c r="J15" s="220"/>
      <c r="K15" s="221"/>
      <c r="L15" s="222"/>
      <c r="M15" s="223"/>
      <c r="N15" s="209"/>
      <c r="O15" s="224"/>
      <c r="P15" s="225"/>
      <c r="Q15" s="226"/>
      <c r="R15" s="209"/>
      <c r="S15" s="209"/>
      <c r="T15" s="209"/>
    </row>
    <row r="16" spans="1:20" ht="11.25" customHeight="1" x14ac:dyDescent="0.3">
      <c r="A16" s="228" t="s">
        <v>68</v>
      </c>
      <c r="B16" s="214"/>
      <c r="C16" s="215"/>
      <c r="D16" s="199"/>
      <c r="E16" s="216">
        <f>SUM(E2:E6)</f>
        <v>85796.54810996665</v>
      </c>
      <c r="F16" s="216">
        <f>SUM(F2:F6)</f>
        <v>85713.540000000008</v>
      </c>
      <c r="G16" s="216">
        <f>SUM(G2:G6)</f>
        <v>-83.008109966653137</v>
      </c>
      <c r="H16" s="219">
        <f>((SUM(F16))-SUM(E16))/SUM(E16)</f>
        <v>-9.674994133825705E-4</v>
      </c>
      <c r="I16" s="209"/>
      <c r="J16" s="220">
        <f>SUM(J2:J6)</f>
        <v>65000</v>
      </c>
      <c r="K16" s="220">
        <f>SUM(K2:K6)</f>
        <v>55600.479999999996</v>
      </c>
      <c r="L16" s="220">
        <f>SUM(L2:L6)</f>
        <v>9399.52</v>
      </c>
      <c r="M16" s="223">
        <f>((K16-SUM(J16))/SUM(J16))</f>
        <v>-0.14460800000000007</v>
      </c>
      <c r="N16" s="209"/>
      <c r="O16" s="224">
        <f>SUM(O2:O6)</f>
        <v>20796.54810996665</v>
      </c>
      <c r="P16" s="224">
        <f>SUM(P2:P6)</f>
        <v>17135.949999999997</v>
      </c>
      <c r="Q16" s="224">
        <f>SUM(Q2:Q6)</f>
        <v>-3660.598109966651</v>
      </c>
      <c r="R16" s="229">
        <f>((P16-SUM(O16))/SUM(O16))</f>
        <v>-0.17601950528570309</v>
      </c>
      <c r="S16" s="209"/>
      <c r="T16" s="209">
        <f>F16-K16-P16</f>
        <v>12977.110000000015</v>
      </c>
    </row>
    <row r="19" spans="1:17" ht="11.25" customHeight="1" x14ac:dyDescent="0.3">
      <c r="A19" s="196" t="s">
        <v>224</v>
      </c>
      <c r="B19" s="199"/>
      <c r="C19" s="199"/>
      <c r="D19" s="199"/>
      <c r="E19" s="230" t="s">
        <v>248</v>
      </c>
      <c r="F19" s="231" t="s">
        <v>249</v>
      </c>
      <c r="G19" s="232" t="s">
        <v>229</v>
      </c>
      <c r="H19" s="233" t="s">
        <v>233</v>
      </c>
      <c r="I19" s="209"/>
      <c r="J19" s="234" t="s">
        <v>250</v>
      </c>
      <c r="K19" s="235" t="s">
        <v>251</v>
      </c>
      <c r="L19" s="236" t="s">
        <v>229</v>
      </c>
      <c r="M19" s="237" t="s">
        <v>233</v>
      </c>
      <c r="N19" s="209"/>
      <c r="O19" s="238" t="s">
        <v>252</v>
      </c>
      <c r="P19" s="239" t="s">
        <v>253</v>
      </c>
      <c r="Q19" s="240" t="s">
        <v>229</v>
      </c>
    </row>
    <row r="20" spans="1:17" ht="11.25" customHeight="1" x14ac:dyDescent="0.3">
      <c r="A20" s="213" t="s">
        <v>236</v>
      </c>
      <c r="B20" s="199"/>
      <c r="C20" s="199"/>
      <c r="D20" s="199"/>
      <c r="E20" s="241">
        <f>SUM('Proposed Budget'!$D$14:$D$31)</f>
        <v>5200</v>
      </c>
      <c r="F20" s="242">
        <f>SUM('Monthly Breakdown'!I14:I31)</f>
        <v>4819.04</v>
      </c>
      <c r="G20" s="243">
        <f t="shared" ref="G20:G31" si="19">E20-F20</f>
        <v>380.96000000000004</v>
      </c>
      <c r="H20" s="244">
        <f t="shared" ref="H20:H31" si="20">((F20-E20)/E20)</f>
        <v>-7.3261538461538475E-2</v>
      </c>
      <c r="I20" s="209"/>
      <c r="J20" s="245">
        <f>SUM('Proposed Budget'!$D$5:$D$12)</f>
        <v>5800</v>
      </c>
      <c r="K20" s="246">
        <f>SUM('Monthly Breakdown'!I5:I12)</f>
        <v>5575.68</v>
      </c>
      <c r="L20" s="247">
        <f t="shared" ref="L20:L31" si="21">J20-K20</f>
        <v>224.31999999999971</v>
      </c>
      <c r="M20" s="248">
        <f t="shared" ref="M20:M31" si="22">((K20-J20)/J20)</f>
        <v>-3.8675862068965464E-2</v>
      </c>
      <c r="N20" s="209"/>
      <c r="O20" s="249">
        <f>SUM('Proposed Budget'!$D$33:$D$43)</f>
        <v>2000</v>
      </c>
      <c r="P20" s="250">
        <f>SUM('Monthly Breakdown'!I33:I43)</f>
        <v>2000</v>
      </c>
      <c r="Q20" s="251">
        <f t="shared" ref="Q20:Q31" si="23">O20-P20</f>
        <v>0</v>
      </c>
    </row>
    <row r="21" spans="1:17" ht="11.25" customHeight="1" x14ac:dyDescent="0.3">
      <c r="A21" s="213" t="s">
        <v>237</v>
      </c>
      <c r="B21" s="199"/>
      <c r="C21" s="199"/>
      <c r="D21" s="199"/>
      <c r="E21" s="241">
        <f>SUM('Proposed Budget'!$D$14:$D$31)</f>
        <v>5200</v>
      </c>
      <c r="F21" s="242">
        <f>SUM('Monthly Breakdown'!K14:K31)</f>
        <v>4930.4799999999996</v>
      </c>
      <c r="G21" s="243">
        <f t="shared" si="19"/>
        <v>269.52000000000044</v>
      </c>
      <c r="H21" s="244">
        <f t="shared" si="20"/>
        <v>-5.1830769230769312E-2</v>
      </c>
      <c r="I21" s="209"/>
      <c r="J21" s="245">
        <f>SUM('Proposed Budget'!$D$5:$D$12)</f>
        <v>5800</v>
      </c>
      <c r="K21" s="246">
        <f>SUM('Monthly Breakdown'!K5:K12)</f>
        <v>5870.2300000000005</v>
      </c>
      <c r="L21" s="247">
        <f t="shared" si="21"/>
        <v>-70.230000000000473</v>
      </c>
      <c r="M21" s="248">
        <f t="shared" si="22"/>
        <v>1.2108620689655254E-2</v>
      </c>
      <c r="N21" s="209"/>
      <c r="O21" s="249">
        <f>SUM('Proposed Budget'!$D$33:$D$43)</f>
        <v>2000</v>
      </c>
      <c r="P21" s="250">
        <f>SUM('Monthly Breakdown'!K33:K43)</f>
        <v>2000</v>
      </c>
      <c r="Q21" s="251">
        <f t="shared" si="23"/>
        <v>0</v>
      </c>
    </row>
    <row r="22" spans="1:17" ht="11.25" customHeight="1" x14ac:dyDescent="0.3">
      <c r="A22" s="213" t="s">
        <v>238</v>
      </c>
      <c r="B22" s="199"/>
      <c r="C22" s="199"/>
      <c r="D22" s="199"/>
      <c r="E22" s="241">
        <f>SUM('Proposed Budget'!$D$14:$D$31)</f>
        <v>5200</v>
      </c>
      <c r="F22" s="242">
        <f>SUM('Monthly Breakdown'!M14:M31)</f>
        <v>5444.89</v>
      </c>
      <c r="G22" s="243">
        <f t="shared" si="19"/>
        <v>-244.89000000000033</v>
      </c>
      <c r="H22" s="244">
        <f t="shared" si="20"/>
        <v>4.7094230769230833E-2</v>
      </c>
      <c r="I22" s="209"/>
      <c r="J22" s="245">
        <f>SUM('Proposed Budget'!$D$5:$D$12)</f>
        <v>5800</v>
      </c>
      <c r="K22" s="246">
        <f>SUM('Monthly Breakdown'!M5:M12)</f>
        <v>5166.82</v>
      </c>
      <c r="L22" s="247">
        <f t="shared" si="21"/>
        <v>633.18000000000029</v>
      </c>
      <c r="M22" s="248">
        <f t="shared" si="22"/>
        <v>-0.10916896551724142</v>
      </c>
      <c r="N22" s="209"/>
      <c r="O22" s="249">
        <f>SUM('Proposed Budget'!$D$33:$D$43)</f>
        <v>2000</v>
      </c>
      <c r="P22" s="250">
        <f>SUM('Monthly Breakdown'!M33:M43)</f>
        <v>2000</v>
      </c>
      <c r="Q22" s="251">
        <f t="shared" si="23"/>
        <v>0</v>
      </c>
    </row>
    <row r="23" spans="1:17" ht="11.25" customHeight="1" x14ac:dyDescent="0.3">
      <c r="A23" s="213" t="s">
        <v>239</v>
      </c>
      <c r="B23" s="199"/>
      <c r="C23" s="199"/>
      <c r="D23" s="199"/>
      <c r="E23" s="241">
        <f>SUM('Proposed Budget'!$D$14:$D$31)</f>
        <v>5200</v>
      </c>
      <c r="F23" s="242">
        <f>SUM('Monthly Breakdown'!O14:O31)</f>
        <v>4511.1900000000005</v>
      </c>
      <c r="G23" s="243">
        <f t="shared" si="19"/>
        <v>688.80999999999949</v>
      </c>
      <c r="H23" s="244">
        <f t="shared" si="20"/>
        <v>-0.13246346153846145</v>
      </c>
      <c r="I23" s="209"/>
      <c r="J23" s="245">
        <f>SUM('Proposed Budget'!$D$5:$D$12)</f>
        <v>5800</v>
      </c>
      <c r="K23" s="246">
        <f>SUM('Monthly Breakdown'!O5:O12)</f>
        <v>6697.66</v>
      </c>
      <c r="L23" s="247">
        <f t="shared" si="21"/>
        <v>-897.65999999999985</v>
      </c>
      <c r="M23" s="248">
        <f t="shared" si="22"/>
        <v>0.15476896551724134</v>
      </c>
      <c r="N23" s="209"/>
      <c r="O23" s="249">
        <f>SUM('Proposed Budget'!$D$33:$D$43)</f>
        <v>2000</v>
      </c>
      <c r="P23" s="250">
        <f>SUM('Monthly Breakdown'!O33:O43)</f>
        <v>2000</v>
      </c>
      <c r="Q23" s="251">
        <f t="shared" si="23"/>
        <v>0</v>
      </c>
    </row>
    <row r="24" spans="1:17" ht="11.25" customHeight="1" x14ac:dyDescent="0.3">
      <c r="A24" s="213" t="s">
        <v>240</v>
      </c>
      <c r="B24" s="199"/>
      <c r="C24" s="199"/>
      <c r="D24" s="199"/>
      <c r="E24" s="241">
        <f>SUM('Proposed Budget'!$D$14:$D$31)</f>
        <v>5200</v>
      </c>
      <c r="F24" s="242">
        <f>SUM('Monthly Breakdown'!Q14:Q31)</f>
        <v>2244.0400000000004</v>
      </c>
      <c r="G24" s="243">
        <f t="shared" si="19"/>
        <v>2955.9599999999996</v>
      </c>
      <c r="H24" s="244">
        <f t="shared" si="20"/>
        <v>-0.56845384615384609</v>
      </c>
      <c r="I24" s="209"/>
      <c r="J24" s="245">
        <f>SUM('Proposed Budget'!$D$5:$D$12)</f>
        <v>5800</v>
      </c>
      <c r="K24" s="246">
        <f>SUM('Monthly Breakdown'!Q5:Q12)</f>
        <v>2340.4499999999998</v>
      </c>
      <c r="L24" s="247">
        <f t="shared" si="21"/>
        <v>3459.55</v>
      </c>
      <c r="M24" s="248">
        <f t="shared" si="22"/>
        <v>-0.59647413793103454</v>
      </c>
      <c r="N24" s="209"/>
      <c r="O24" s="249">
        <f>SUM('Proposed Budget'!$D$33:$D$43)</f>
        <v>2000</v>
      </c>
      <c r="P24" s="250">
        <f>SUM('Monthly Breakdown'!Q33:Q43)</f>
        <v>0</v>
      </c>
      <c r="Q24" s="251">
        <f t="shared" si="23"/>
        <v>2000</v>
      </c>
    </row>
    <row r="25" spans="1:17" ht="11.25" customHeight="1" x14ac:dyDescent="0.3">
      <c r="A25" s="213" t="s">
        <v>241</v>
      </c>
      <c r="B25" s="199"/>
      <c r="C25" s="199"/>
      <c r="D25" s="199"/>
      <c r="E25" s="241">
        <f>SUM('Proposed Budget'!$D$14:$D$31)</f>
        <v>5200</v>
      </c>
      <c r="F25" s="242">
        <f>SUM('Monthly Breakdown'!S14:S31)</f>
        <v>0</v>
      </c>
      <c r="G25" s="243">
        <f t="shared" si="19"/>
        <v>5200</v>
      </c>
      <c r="H25" s="244">
        <f t="shared" si="20"/>
        <v>-1</v>
      </c>
      <c r="I25" s="209"/>
      <c r="J25" s="245">
        <f>SUM('Proposed Budget'!$D$5:$D$12)</f>
        <v>5800</v>
      </c>
      <c r="K25" s="246">
        <f>SUM('Monthly Breakdown'!S5:S12)</f>
        <v>0</v>
      </c>
      <c r="L25" s="247">
        <f t="shared" si="21"/>
        <v>5800</v>
      </c>
      <c r="M25" s="248">
        <f t="shared" si="22"/>
        <v>-1</v>
      </c>
      <c r="N25" s="209"/>
      <c r="O25" s="249">
        <f>SUM('Proposed Budget'!$D$33:$D$43)</f>
        <v>2000</v>
      </c>
      <c r="P25" s="250">
        <f>SUM('Monthly Breakdown'!S33:S43)</f>
        <v>0</v>
      </c>
      <c r="Q25" s="251">
        <f t="shared" si="23"/>
        <v>2000</v>
      </c>
    </row>
    <row r="26" spans="1:17" ht="11.25" customHeight="1" x14ac:dyDescent="0.3">
      <c r="A26" s="213" t="s">
        <v>242</v>
      </c>
      <c r="B26" s="199"/>
      <c r="C26" s="199"/>
      <c r="D26" s="199"/>
      <c r="E26" s="241">
        <f>SUM('Proposed Budget'!$D$14:$D$31)</f>
        <v>5200</v>
      </c>
      <c r="F26" s="242">
        <f>SUM('Monthly Breakdown'!U14:U31)</f>
        <v>0</v>
      </c>
      <c r="G26" s="243">
        <f t="shared" si="19"/>
        <v>5200</v>
      </c>
      <c r="H26" s="244">
        <f t="shared" si="20"/>
        <v>-1</v>
      </c>
      <c r="I26" s="209"/>
      <c r="J26" s="245">
        <f>SUM('Proposed Budget'!$D$5:$D$12)</f>
        <v>5800</v>
      </c>
      <c r="K26" s="246">
        <f>SUM('Monthly Breakdown'!U5:U12)</f>
        <v>0</v>
      </c>
      <c r="L26" s="247">
        <f t="shared" si="21"/>
        <v>5800</v>
      </c>
      <c r="M26" s="248">
        <f t="shared" si="22"/>
        <v>-1</v>
      </c>
      <c r="N26" s="209"/>
      <c r="O26" s="249">
        <f>SUM('Proposed Budget'!$D$33:$D$43)</f>
        <v>2000</v>
      </c>
      <c r="P26" s="250">
        <f>SUM('Monthly Breakdown'!U33:U43)</f>
        <v>0</v>
      </c>
      <c r="Q26" s="251">
        <f t="shared" si="23"/>
        <v>2000</v>
      </c>
    </row>
    <row r="27" spans="1:17" ht="11.25" customHeight="1" x14ac:dyDescent="0.3">
      <c r="A27" s="213" t="s">
        <v>243</v>
      </c>
      <c r="B27" s="199"/>
      <c r="C27" s="199"/>
      <c r="D27" s="199"/>
      <c r="E27" s="241">
        <f>SUM('Proposed Budget'!$D$14:$D$31)</f>
        <v>5200</v>
      </c>
      <c r="F27" s="242">
        <f>SUM('Monthly Breakdown'!W14:W31)</f>
        <v>0</v>
      </c>
      <c r="G27" s="243">
        <f t="shared" si="19"/>
        <v>5200</v>
      </c>
      <c r="H27" s="244">
        <f t="shared" si="20"/>
        <v>-1</v>
      </c>
      <c r="I27" s="209"/>
      <c r="J27" s="245">
        <f>SUM('Proposed Budget'!$D$5:$D$12)</f>
        <v>5800</v>
      </c>
      <c r="K27" s="246">
        <f>SUM('Monthly Breakdown'!W5:W12)</f>
        <v>0</v>
      </c>
      <c r="L27" s="247">
        <f t="shared" si="21"/>
        <v>5800</v>
      </c>
      <c r="M27" s="248">
        <f t="shared" si="22"/>
        <v>-1</v>
      </c>
      <c r="N27" s="209"/>
      <c r="O27" s="249">
        <f>SUM('Proposed Budget'!$D$33:$D$43)</f>
        <v>2000</v>
      </c>
      <c r="P27" s="250">
        <f>SUM('Monthly Breakdown'!W33:W43)</f>
        <v>0</v>
      </c>
      <c r="Q27" s="251">
        <f t="shared" si="23"/>
        <v>2000</v>
      </c>
    </row>
    <row r="28" spans="1:17" ht="11.25" customHeight="1" x14ac:dyDescent="0.3">
      <c r="A28" s="227" t="s">
        <v>244</v>
      </c>
      <c r="B28" s="199"/>
      <c r="C28" s="199"/>
      <c r="D28" s="199"/>
      <c r="E28" s="241">
        <f>SUM('Proposed Budget'!$D$14:$D$31)</f>
        <v>5200</v>
      </c>
      <c r="F28" s="242">
        <f>SUM('Monthly Breakdown'!Y14:Y31)</f>
        <v>0</v>
      </c>
      <c r="G28" s="243">
        <f t="shared" si="19"/>
        <v>5200</v>
      </c>
      <c r="H28" s="244">
        <f t="shared" si="20"/>
        <v>-1</v>
      </c>
      <c r="I28" s="209"/>
      <c r="J28" s="245">
        <f>SUM('Proposed Budget'!$D$5:$D$12)</f>
        <v>5800</v>
      </c>
      <c r="K28" s="246">
        <f>SUM('Monthly Breakdown'!Y5:Y12)</f>
        <v>0</v>
      </c>
      <c r="L28" s="247">
        <f t="shared" si="21"/>
        <v>5800</v>
      </c>
      <c r="M28" s="248">
        <f t="shared" si="22"/>
        <v>-1</v>
      </c>
      <c r="N28" s="209"/>
      <c r="O28" s="249">
        <f>SUM('Proposed Budget'!$D$33:$D$43)</f>
        <v>2000</v>
      </c>
      <c r="P28" s="250">
        <f>SUM('Monthly Breakdown'!Y33:Y43)</f>
        <v>0</v>
      </c>
      <c r="Q28" s="251">
        <f t="shared" si="23"/>
        <v>2000</v>
      </c>
    </row>
    <row r="29" spans="1:17" ht="11.25" customHeight="1" x14ac:dyDescent="0.3">
      <c r="A29" s="227" t="s">
        <v>245</v>
      </c>
      <c r="B29" s="199"/>
      <c r="C29" s="199"/>
      <c r="D29" s="199"/>
      <c r="E29" s="241">
        <f>SUM('Proposed Budget'!$D$14:$D$31)</f>
        <v>5200</v>
      </c>
      <c r="F29" s="242">
        <f>SUM('Monthly Breakdown'!AA14:AA31)</f>
        <v>0</v>
      </c>
      <c r="G29" s="243">
        <f t="shared" si="19"/>
        <v>5200</v>
      </c>
      <c r="H29" s="244">
        <f t="shared" si="20"/>
        <v>-1</v>
      </c>
      <c r="I29" s="209"/>
      <c r="J29" s="245">
        <f>SUM('Proposed Budget'!$D$5:$D$12)</f>
        <v>5800</v>
      </c>
      <c r="K29" s="246">
        <f>SUM('Monthly Breakdown'!AA5:AA12)</f>
        <v>0</v>
      </c>
      <c r="L29" s="247">
        <f t="shared" si="21"/>
        <v>5800</v>
      </c>
      <c r="M29" s="248">
        <f t="shared" si="22"/>
        <v>-1</v>
      </c>
      <c r="N29" s="209"/>
      <c r="O29" s="249">
        <f>SUM('Proposed Budget'!$D$33:$D$43)</f>
        <v>2000</v>
      </c>
      <c r="P29" s="250">
        <f>SUM('Monthly Breakdown'!AA33:AA43)</f>
        <v>0</v>
      </c>
      <c r="Q29" s="251">
        <f t="shared" si="23"/>
        <v>2000</v>
      </c>
    </row>
    <row r="30" spans="1:17" ht="11.25" customHeight="1" x14ac:dyDescent="0.3">
      <c r="A30" s="227" t="s">
        <v>246</v>
      </c>
      <c r="B30" s="199"/>
      <c r="C30" s="199"/>
      <c r="D30" s="199"/>
      <c r="E30" s="241">
        <f>SUM('Proposed Budget'!$D$14:$D$31)</f>
        <v>5200</v>
      </c>
      <c r="F30" s="242">
        <f>SUM('Monthly Breakdown'!AC14:AC31)</f>
        <v>0</v>
      </c>
      <c r="G30" s="243">
        <f t="shared" si="19"/>
        <v>5200</v>
      </c>
      <c r="H30" s="244">
        <f t="shared" si="20"/>
        <v>-1</v>
      </c>
      <c r="I30" s="209"/>
      <c r="J30" s="245">
        <f>SUM('Proposed Budget'!$D$5:$D$12)</f>
        <v>5800</v>
      </c>
      <c r="K30" s="246">
        <f>SUM('Monthly Breakdown'!AC5:AC12)</f>
        <v>0</v>
      </c>
      <c r="L30" s="247">
        <f t="shared" si="21"/>
        <v>5800</v>
      </c>
      <c r="M30" s="248">
        <f t="shared" si="22"/>
        <v>-1</v>
      </c>
      <c r="N30" s="209"/>
      <c r="O30" s="249">
        <f>SUM('Proposed Budget'!$D$33:$D$43)</f>
        <v>2000</v>
      </c>
      <c r="P30" s="250">
        <f>SUM('Monthly Breakdown'!AC33:AC43)</f>
        <v>0</v>
      </c>
      <c r="Q30" s="251">
        <f t="shared" si="23"/>
        <v>2000</v>
      </c>
    </row>
    <row r="31" spans="1:17" ht="11.25" customHeight="1" x14ac:dyDescent="0.3">
      <c r="A31" s="227" t="s">
        <v>247</v>
      </c>
      <c r="B31" s="199"/>
      <c r="C31" s="199"/>
      <c r="D31" s="199"/>
      <c r="E31" s="241">
        <f>SUM('Proposed Budget'!$D$14:$D$31)</f>
        <v>5200</v>
      </c>
      <c r="F31" s="242">
        <f>SUM('Monthly Breakdown'!AE14:AE31)</f>
        <v>0</v>
      </c>
      <c r="G31" s="243">
        <f t="shared" si="19"/>
        <v>5200</v>
      </c>
      <c r="H31" s="244">
        <f t="shared" si="20"/>
        <v>-1</v>
      </c>
      <c r="I31" s="209"/>
      <c r="J31" s="245">
        <f>SUM('Proposed Budget'!$D$5:$D$12)</f>
        <v>5800</v>
      </c>
      <c r="K31" s="246">
        <f>SUM('Monthly Breakdown'!AE5:AE12)</f>
        <v>0</v>
      </c>
      <c r="L31" s="247">
        <f t="shared" si="21"/>
        <v>5800</v>
      </c>
      <c r="M31" s="248">
        <f t="shared" si="22"/>
        <v>-1</v>
      </c>
      <c r="N31" s="209"/>
      <c r="O31" s="249">
        <f>SUM('Proposed Budget'!$D$33:$D$43)</f>
        <v>2000</v>
      </c>
      <c r="P31" s="250">
        <f>SUM('Monthly Breakdown'!AE33:AE43)</f>
        <v>0</v>
      </c>
      <c r="Q31" s="251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28" t="s">
        <v>68</v>
      </c>
      <c r="B34" s="199"/>
      <c r="C34" s="199"/>
      <c r="D34" s="199"/>
      <c r="E34" s="241">
        <f>SUM(E20:E24)</f>
        <v>26000</v>
      </c>
      <c r="F34" s="241">
        <f>SUM(F20:F24)</f>
        <v>21949.64</v>
      </c>
      <c r="G34" s="241">
        <f>SUM(G20:G24)</f>
        <v>4050.3599999999992</v>
      </c>
      <c r="H34" s="244">
        <f>((F34-SUM(E34)))/SUM(E34)</f>
        <v>-0.15578307692307694</v>
      </c>
      <c r="I34" s="209"/>
      <c r="J34" s="245">
        <f>SUM(J20:J24)</f>
        <v>29000</v>
      </c>
      <c r="K34" s="245">
        <f>SUM(K20:K24)</f>
        <v>25650.84</v>
      </c>
      <c r="L34" s="245">
        <f>SUM(L20:L24)</f>
        <v>3349.16</v>
      </c>
      <c r="M34" s="248">
        <f>((K34-SUM(J34))/SUM(J34))</f>
        <v>-0.11548827586206896</v>
      </c>
      <c r="N34" s="209"/>
      <c r="O34" s="249">
        <f t="shared" ref="O34:Q34" si="24">SUM(O20:O31)</f>
        <v>24000</v>
      </c>
      <c r="P34" s="249">
        <f t="shared" si="24"/>
        <v>8000</v>
      </c>
      <c r="Q34" s="249">
        <f t="shared" si="24"/>
        <v>16000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topLeftCell="A5" workbookViewId="0">
      <pane xSplit="8" topLeftCell="I1" activePane="topRight" state="frozen"/>
      <selection pane="topRight" activeCell="R2" sqref="R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52"/>
      <c r="B1" s="253"/>
      <c r="C1" s="254"/>
      <c r="D1" s="255" t="s">
        <v>254</v>
      </c>
      <c r="E1" s="256" t="s">
        <v>68</v>
      </c>
      <c r="F1" s="256" t="s">
        <v>68</v>
      </c>
      <c r="G1" s="257" t="s">
        <v>255</v>
      </c>
      <c r="H1" s="256" t="s">
        <v>254</v>
      </c>
      <c r="I1" s="258">
        <v>46023</v>
      </c>
      <c r="J1" s="258">
        <v>46053</v>
      </c>
      <c r="K1" s="259">
        <v>46054</v>
      </c>
      <c r="L1" s="259">
        <v>46081</v>
      </c>
      <c r="M1" s="260">
        <v>46082</v>
      </c>
      <c r="N1" s="260">
        <v>46112</v>
      </c>
      <c r="O1" s="261">
        <v>46113</v>
      </c>
      <c r="P1" s="261">
        <v>46142</v>
      </c>
      <c r="Q1" s="258">
        <v>46143</v>
      </c>
      <c r="R1" s="258">
        <v>46173</v>
      </c>
      <c r="S1" s="259">
        <v>45809</v>
      </c>
      <c r="T1" s="259">
        <v>45838</v>
      </c>
      <c r="U1" s="260">
        <v>45839</v>
      </c>
      <c r="V1" s="260">
        <v>45869</v>
      </c>
      <c r="W1" s="261">
        <v>45870</v>
      </c>
      <c r="X1" s="261">
        <v>45900</v>
      </c>
      <c r="Y1" s="262">
        <v>45901</v>
      </c>
      <c r="Z1" s="262">
        <v>45930</v>
      </c>
      <c r="AA1" s="263">
        <v>45931</v>
      </c>
      <c r="AB1" s="263">
        <v>45961</v>
      </c>
      <c r="AC1" s="264">
        <v>45962</v>
      </c>
      <c r="AD1" s="264">
        <v>45991</v>
      </c>
      <c r="AE1" s="265">
        <v>45627</v>
      </c>
      <c r="AF1" s="265">
        <v>45657</v>
      </c>
    </row>
    <row r="2" spans="1:32" ht="11.25" customHeight="1" x14ac:dyDescent="0.3">
      <c r="A2" s="266"/>
      <c r="B2" s="266"/>
      <c r="C2" s="267"/>
      <c r="D2" s="268" t="s">
        <v>256</v>
      </c>
      <c r="E2" s="256" t="s">
        <v>257</v>
      </c>
      <c r="F2" s="256" t="s">
        <v>258</v>
      </c>
      <c r="G2" s="257" t="s">
        <v>259</v>
      </c>
      <c r="H2" s="256" t="s">
        <v>260</v>
      </c>
      <c r="I2" s="269" t="s">
        <v>257</v>
      </c>
      <c r="J2" s="269" t="s">
        <v>258</v>
      </c>
      <c r="K2" s="270" t="s">
        <v>257</v>
      </c>
      <c r="L2" s="270" t="s">
        <v>258</v>
      </c>
      <c r="M2" s="271" t="s">
        <v>257</v>
      </c>
      <c r="N2" s="271" t="s">
        <v>258</v>
      </c>
      <c r="O2" s="272" t="s">
        <v>257</v>
      </c>
      <c r="P2" s="272"/>
      <c r="Q2" s="269" t="s">
        <v>257</v>
      </c>
      <c r="R2" s="269" t="s">
        <v>258</v>
      </c>
      <c r="S2" s="270" t="s">
        <v>257</v>
      </c>
      <c r="T2" s="270" t="s">
        <v>258</v>
      </c>
      <c r="U2" s="271" t="s">
        <v>257</v>
      </c>
      <c r="V2" s="271" t="s">
        <v>258</v>
      </c>
      <c r="W2" s="272" t="s">
        <v>257</v>
      </c>
      <c r="X2" s="272" t="s">
        <v>258</v>
      </c>
      <c r="Y2" s="273" t="s">
        <v>257</v>
      </c>
      <c r="Z2" s="273" t="s">
        <v>258</v>
      </c>
      <c r="AA2" s="274" t="s">
        <v>257</v>
      </c>
      <c r="AB2" s="274" t="s">
        <v>258</v>
      </c>
      <c r="AC2" s="275" t="s">
        <v>257</v>
      </c>
      <c r="AD2" s="275" t="s">
        <v>258</v>
      </c>
      <c r="AE2" s="276" t="s">
        <v>257</v>
      </c>
      <c r="AF2" s="276" t="s">
        <v>258</v>
      </c>
    </row>
    <row r="3" spans="1:32" ht="11.25" customHeight="1" x14ac:dyDescent="0.3">
      <c r="A3" s="563" t="s">
        <v>261</v>
      </c>
      <c r="B3" s="564"/>
      <c r="C3" s="277" t="s">
        <v>156</v>
      </c>
      <c r="D3" s="278"/>
      <c r="E3" s="279">
        <f t="shared" ref="E3:F3" si="0">SUM(E5:E46)</f>
        <v>72736.429999999978</v>
      </c>
      <c r="F3" s="279">
        <f t="shared" si="0"/>
        <v>166.79402063998816</v>
      </c>
      <c r="G3" s="280">
        <f>1-((E3/SUM(E3:F3)))</f>
        <v>2.2878826400430929E-3</v>
      </c>
      <c r="H3" s="279">
        <f>SUM(H5:H67)</f>
        <v>17067.183505159996</v>
      </c>
      <c r="I3" s="281">
        <f>SUM(I5:I46)</f>
        <v>15639.36</v>
      </c>
      <c r="J3" s="282"/>
      <c r="K3" s="243">
        <f>SUM(K5:K46)</f>
        <v>16615.620000000003</v>
      </c>
      <c r="L3" s="283"/>
      <c r="M3" s="284">
        <f>SUM(M5:M46)</f>
        <v>16971.29</v>
      </c>
      <c r="N3" s="285"/>
      <c r="O3" s="247">
        <f>SUM(O5:O46)</f>
        <v>18875.669999999998</v>
      </c>
      <c r="P3" s="286"/>
      <c r="Q3" s="281">
        <f>SUM(Q5:Q46)</f>
        <v>4634.49</v>
      </c>
      <c r="R3" s="282"/>
      <c r="S3" s="243">
        <f>SUM(S5:S46)</f>
        <v>0</v>
      </c>
      <c r="T3" s="283"/>
      <c r="U3" s="284">
        <f>SUM(U5:U46)</f>
        <v>0</v>
      </c>
      <c r="V3" s="285"/>
      <c r="W3" s="247">
        <f>SUM(W5:W46)</f>
        <v>0</v>
      </c>
      <c r="X3" s="286"/>
      <c r="Y3" s="287">
        <f>SUM(Y5:Y46)</f>
        <v>0</v>
      </c>
      <c r="Z3" s="288"/>
      <c r="AA3" s="289">
        <f>SUM(AA5:AA46)</f>
        <v>0</v>
      </c>
      <c r="AB3" s="290"/>
      <c r="AC3" s="291">
        <f>SUM(AC5:AC46)</f>
        <v>0</v>
      </c>
      <c r="AD3" s="292"/>
      <c r="AE3" s="293">
        <f>SUM(AE5:AE46)</f>
        <v>0</v>
      </c>
      <c r="AF3" s="294"/>
    </row>
    <row r="4" spans="1:32" ht="11.25" customHeight="1" x14ac:dyDescent="0.3">
      <c r="A4" s="563" t="s">
        <v>262</v>
      </c>
      <c r="B4" s="565"/>
      <c r="C4" s="564"/>
      <c r="D4" s="278"/>
      <c r="E4" s="295"/>
      <c r="F4" s="295"/>
      <c r="G4" s="296"/>
      <c r="H4" s="297"/>
      <c r="I4" s="282"/>
      <c r="J4" s="282"/>
      <c r="K4" s="283"/>
      <c r="L4" s="283"/>
      <c r="M4" s="285"/>
      <c r="N4" s="285"/>
      <c r="O4" s="286"/>
      <c r="P4" s="286"/>
      <c r="Q4" s="282"/>
      <c r="R4" s="282"/>
      <c r="S4" s="283"/>
      <c r="T4" s="283"/>
      <c r="U4" s="285"/>
      <c r="V4" s="285"/>
      <c r="W4" s="286"/>
      <c r="X4" s="286"/>
      <c r="Y4" s="288"/>
      <c r="Z4" s="288"/>
      <c r="AA4" s="290"/>
      <c r="AB4" s="290"/>
      <c r="AC4" s="292"/>
      <c r="AD4" s="292"/>
      <c r="AE4" s="294"/>
      <c r="AF4" s="294"/>
    </row>
    <row r="5" spans="1:32" ht="11.25" customHeight="1" x14ac:dyDescent="0.3">
      <c r="A5" s="295" t="str">
        <f>'Proposed Budget'!A5</f>
        <v>D</v>
      </c>
      <c r="B5" s="266">
        <f>'Proposed Budget'!B5</f>
        <v>1</v>
      </c>
      <c r="C5" s="298" t="str">
        <f>'Proposed Budget'!C5</f>
        <v>Groceries/Household</v>
      </c>
      <c r="D5" s="299">
        <f t="shared" ref="D5:D12" ca="1" si="1">(E5/(TODAY()-$I$1))*30.42</f>
        <v>1185.1336880597016</v>
      </c>
      <c r="E5" s="300">
        <f>I5+K5+M5+O5+Q5+S5+U5+W5+Y5+AA5+AC5+AE5</f>
        <v>5220.51</v>
      </c>
      <c r="F5" s="300">
        <f t="shared" ref="F5:F12" si="2">J5+L5+N5+P5</f>
        <v>95.529999999999973</v>
      </c>
      <c r="G5" s="280">
        <f t="shared" ref="G5:G12" si="3">1-((E5/SUM(E5:F5)))</f>
        <v>1.7970143189291243E-2</v>
      </c>
      <c r="H5" s="300">
        <f>'Proposed Budget'!D5</f>
        <v>1200</v>
      </c>
      <c r="I5" s="281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81">
        <f t="shared" ref="J5:J12" si="4">H5-I5</f>
        <v>132.44000000000005</v>
      </c>
      <c r="K5" s="243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43">
        <f t="shared" ref="L5:L12" si="5">H5-K5</f>
        <v>166.09999999999991</v>
      </c>
      <c r="M5" s="284">
        <f>SUMIFS('Checking Transaction Log'!$E:$E,'Checking Transaction Log'!$C:$C,"&gt;="&amp;M1,'Checking Transaction Log'!$C:$C,"&lt;="&amp;N1,'Checking Transaction Log'!$A:$A,"D",'Checking Transaction Log'!$B:$B,1)</f>
        <v>1318.18</v>
      </c>
      <c r="N5" s="284">
        <f t="shared" ref="N5:N12" si="6">H5-M5</f>
        <v>-118.18000000000006</v>
      </c>
      <c r="O5" s="247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47">
        <f t="shared" ref="P5:P12" si="7">H5-O5</f>
        <v>-84.829999999999927</v>
      </c>
      <c r="Q5" s="281">
        <f>SUMIFS('Checking Transaction Log'!$E:$E,'Checking Transaction Log'!$C:$C,"&gt;="&amp;Q1,'Checking Transaction Log'!$C:$C,"&lt;="&amp;R1,'Checking Transaction Log'!$A:$A,"D",'Checking Transaction Log'!$B:$B,1)</f>
        <v>516.04000000000008</v>
      </c>
      <c r="R5" s="281">
        <f t="shared" ref="R5:R12" si="8">H5-Q5</f>
        <v>683.95999999999992</v>
      </c>
      <c r="S5" s="243">
        <f>SUMIFS('Checking Transaction Log'!$E:$E,'Checking Transaction Log'!$C:$C,"&gt;="&amp;S1,'Checking Transaction Log'!$C:$C,"&lt;="&amp;T1,'Checking Transaction Log'!$A:$A,"D",'Checking Transaction Log'!$B:$B,1)</f>
        <v>0</v>
      </c>
      <c r="T5" s="243">
        <f t="shared" ref="T5:T12" si="9">H5-S5</f>
        <v>1200</v>
      </c>
      <c r="U5" s="284">
        <f>SUMIFS('Checking Transaction Log'!$E:$E,'Checking Transaction Log'!$C:$C,"&gt;="&amp;U1,'Checking Transaction Log'!$C:$C,"&lt;="&amp;V1,'Checking Transaction Log'!$A:$A,"D",'Checking Transaction Log'!$B:$B,1)</f>
        <v>0</v>
      </c>
      <c r="V5" s="284">
        <f t="shared" ref="V5:V12" si="10">H5-U5</f>
        <v>1200</v>
      </c>
      <c r="W5" s="247">
        <f>SUMIFS('Checking Transaction Log'!$E:$E,'Checking Transaction Log'!$C:$C,"&gt;="&amp;W1,'Checking Transaction Log'!$C:$C,"&lt;="&amp;X1,'Checking Transaction Log'!$A:$A,"D",'Checking Transaction Log'!$B:$B,1)</f>
        <v>0</v>
      </c>
      <c r="X5" s="247">
        <f t="shared" ref="X5:X12" si="11">H5-W5</f>
        <v>1200</v>
      </c>
      <c r="Y5" s="287">
        <f>SUMIFS('Checking Transaction Log'!$E:$E,'Checking Transaction Log'!$C:$C,"&gt;="&amp;Y1,'Checking Transaction Log'!$C:$C,"&lt;="&amp;Z1,'Checking Transaction Log'!$A:$A,"D",'Checking Transaction Log'!$B:$B,1)</f>
        <v>0</v>
      </c>
      <c r="Z5" s="287">
        <f t="shared" ref="Z5:Z12" si="12">H5-Y5</f>
        <v>1200</v>
      </c>
      <c r="AA5" s="289">
        <f>SUMIFS('Checking Transaction Log'!$E:$E,'Checking Transaction Log'!$C:$C,"&gt;="&amp;AA1,'Checking Transaction Log'!$C:$C,"&lt;="&amp;AB1,'Checking Transaction Log'!$A:$A,"D",'Checking Transaction Log'!$B:$B,1)</f>
        <v>0</v>
      </c>
      <c r="AB5" s="289">
        <f t="shared" ref="AB5:AB12" si="13">H5-AA5</f>
        <v>1200</v>
      </c>
      <c r="AC5" s="291">
        <f>SUMIFS('Checking Transaction Log'!$E:$E,'Checking Transaction Log'!$C:$C,"&gt;="&amp;AC1,'Checking Transaction Log'!$C:$C,"&lt;="&amp;AD1,'Checking Transaction Log'!$A:$A,"D",'Checking Transaction Log'!$B:$B,1)</f>
        <v>0</v>
      </c>
      <c r="AD5" s="291">
        <f t="shared" ref="AD5:AD12" si="14">H5-AC5</f>
        <v>1200</v>
      </c>
      <c r="AE5" s="293">
        <f>SUMIFS('Checking Transaction Log'!$E:$E,'Checking Transaction Log'!$C:$C,"&gt;="&amp;AE1,'Checking Transaction Log'!$C:$C,"&lt;="&amp;AF1,'Checking Transaction Log'!$A:$A,"D",'Checking Transaction Log'!$B:$B,1)</f>
        <v>0</v>
      </c>
      <c r="AF5" s="293">
        <f t="shared" ref="AF5:AF12" si="15">H5-AE5</f>
        <v>1200</v>
      </c>
    </row>
    <row r="6" spans="1:32" ht="11.25" customHeight="1" x14ac:dyDescent="0.3">
      <c r="A6" s="295" t="str">
        <f>'Proposed Budget'!A6</f>
        <v>D</v>
      </c>
      <c r="B6" s="266">
        <f>'Proposed Budget'!B6</f>
        <v>2</v>
      </c>
      <c r="C6" s="298" t="str">
        <f>'Proposed Budget'!C6</f>
        <v>Dining Out</v>
      </c>
      <c r="D6" s="299">
        <f t="shared" ca="1" si="1"/>
        <v>1086.2913895522388</v>
      </c>
      <c r="E6" s="300">
        <f t="shared" ref="E6:E12" si="16">Q6+S6+U6+W6+Y6+AA6+AC6+AE6+I6+K6+M6+O6</f>
        <v>4785.1099999999997</v>
      </c>
      <c r="F6" s="300">
        <f t="shared" si="2"/>
        <v>609.23000000000059</v>
      </c>
      <c r="G6" s="280">
        <f t="shared" si="3"/>
        <v>0.11293874690879713</v>
      </c>
      <c r="H6" s="300">
        <f>'Proposed Budget'!D6</f>
        <v>1200</v>
      </c>
      <c r="I6" s="281">
        <f>SUMIFS('Checking Transaction Log'!E:E,'Checking Transaction Log'!C:C,"&gt;="&amp;I1,'Checking Transaction Log'!C:C,"&lt;="&amp;J1,'Checking Transaction Log'!A:A,"D",'Checking Transaction Log'!B:B,2)</f>
        <v>1061.45</v>
      </c>
      <c r="J6" s="281">
        <f t="shared" si="4"/>
        <v>138.54999999999995</v>
      </c>
      <c r="K6" s="243">
        <f>SUMIFS('Checking Transaction Log'!E:E,'Checking Transaction Log'!C:C,"&gt;="&amp;K1,'Checking Transaction Log'!C:C,"&lt;="&amp;L1,'Checking Transaction Log'!A:A,"D",'Checking Transaction Log'!B:B,2)</f>
        <v>911.68</v>
      </c>
      <c r="L6" s="243">
        <f t="shared" si="5"/>
        <v>288.32000000000005</v>
      </c>
      <c r="M6" s="284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84">
        <f t="shared" si="6"/>
        <v>-33.459999999999582</v>
      </c>
      <c r="O6" s="247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47">
        <f t="shared" si="7"/>
        <v>215.82000000000016</v>
      </c>
      <c r="Q6" s="281">
        <f>SUMIFS('Checking Transaction Log'!$E:$E,'Checking Transaction Log'!$C:$C,"&gt;="&amp;Q1,'Checking Transaction Log'!$C:$C,"&lt;="&amp;R1,'Checking Transaction Log'!$A:$A,"D",'Checking Transaction Log'!$B:$B,2)</f>
        <v>594.34000000000015</v>
      </c>
      <c r="R6" s="281">
        <f t="shared" si="8"/>
        <v>605.65999999999985</v>
      </c>
      <c r="S6" s="243">
        <f>SUMIFS('Checking Transaction Log'!$E:$E,'Checking Transaction Log'!$C:$C,"&gt;="&amp;S1,'Checking Transaction Log'!$C:$C,"&lt;="&amp;T1,'Checking Transaction Log'!$A:$A,"D",'Checking Transaction Log'!$B:$B,2)</f>
        <v>0</v>
      </c>
      <c r="T6" s="243">
        <f t="shared" si="9"/>
        <v>1200</v>
      </c>
      <c r="U6" s="284">
        <f>SUMIFS('Checking Transaction Log'!$E:$E,'Checking Transaction Log'!$C:$C,"&gt;="&amp;U1,'Checking Transaction Log'!$C:$C,"&lt;="&amp;V1,'Checking Transaction Log'!$A:$A,"D",'Checking Transaction Log'!$B:$B,2)</f>
        <v>0</v>
      </c>
      <c r="V6" s="284">
        <f t="shared" si="10"/>
        <v>1200</v>
      </c>
      <c r="W6" s="247">
        <f>SUMIFS('Checking Transaction Log'!$E:$E,'Checking Transaction Log'!$C:$C,"&gt;="&amp;W1,'Checking Transaction Log'!$C:$C,"&lt;="&amp;X1,'Checking Transaction Log'!$A:$A,"D",'Checking Transaction Log'!$B:$B,2)</f>
        <v>0</v>
      </c>
      <c r="X6" s="247">
        <f t="shared" si="11"/>
        <v>1200</v>
      </c>
      <c r="Y6" s="287">
        <f>SUMIFS('Checking Transaction Log'!$E:$E,'Checking Transaction Log'!$C:$C,"&gt;="&amp;Y1,'Checking Transaction Log'!$C:$C,"&lt;="&amp;Z1,'Checking Transaction Log'!$A:$A,"D",'Checking Transaction Log'!$B:$B,2)</f>
        <v>0</v>
      </c>
      <c r="Z6" s="287">
        <f t="shared" si="12"/>
        <v>1200</v>
      </c>
      <c r="AA6" s="289">
        <f>SUMIFS('Checking Transaction Log'!$E:$E,'Checking Transaction Log'!$C:$C,"&gt;="&amp;AA1,'Checking Transaction Log'!$C:$C,"&lt;="&amp;AB1,'Checking Transaction Log'!$A:$A,"D",'Checking Transaction Log'!$B:$B,2)</f>
        <v>0</v>
      </c>
      <c r="AB6" s="289">
        <f t="shared" si="13"/>
        <v>1200</v>
      </c>
      <c r="AC6" s="291">
        <f>SUMIFS('Checking Transaction Log'!$E:$E,'Checking Transaction Log'!$C:$C,"&gt;="&amp;AC1,'Checking Transaction Log'!$C:$C,"&lt;="&amp;AD1,'Checking Transaction Log'!$A:$A,"D",'Checking Transaction Log'!$B:$B,2)</f>
        <v>0</v>
      </c>
      <c r="AD6" s="291">
        <f t="shared" si="14"/>
        <v>1200</v>
      </c>
      <c r="AE6" s="293">
        <f>SUMIFS('Checking Transaction Log'!$E:$E,'Checking Transaction Log'!$C:$C,"&gt;="&amp;AE1,'Checking Transaction Log'!$C:$C,"&lt;="&amp;AF1,'Checking Transaction Log'!$A:$A,"D",'Checking Transaction Log'!$B:$B,2)</f>
        <v>0</v>
      </c>
      <c r="AF6" s="293">
        <f t="shared" si="15"/>
        <v>1200</v>
      </c>
    </row>
    <row r="7" spans="1:32" ht="11.25" customHeight="1" x14ac:dyDescent="0.3">
      <c r="A7" s="295" t="str">
        <f>'Proposed Budget'!A7</f>
        <v>D</v>
      </c>
      <c r="B7" s="266">
        <f>'Proposed Budget'!B7</f>
        <v>3</v>
      </c>
      <c r="C7" s="298" t="str">
        <f>'Proposed Budget'!C7</f>
        <v>Misc Food</v>
      </c>
      <c r="D7" s="299">
        <f t="shared" ca="1" si="1"/>
        <v>135.17830746268658</v>
      </c>
      <c r="E7" s="300">
        <f t="shared" si="16"/>
        <v>595.45999999999992</v>
      </c>
      <c r="F7" s="300">
        <f t="shared" si="2"/>
        <v>99.54000000000002</v>
      </c>
      <c r="G7" s="280">
        <f t="shared" si="3"/>
        <v>0.14322302158273392</v>
      </c>
      <c r="H7" s="300">
        <f>'Proposed Budget'!D7</f>
        <v>150</v>
      </c>
      <c r="I7" s="281">
        <f>SUMIFS('Checking Transaction Log'!E:E,'Checking Transaction Log'!C:C,"&gt;="&amp;I1,'Checking Transaction Log'!C:C,"&lt;="&amp;J1,'Checking Transaction Log'!A:A,"D",'Checking Transaction Log'!B:B,3)</f>
        <v>144.51</v>
      </c>
      <c r="J7" s="281">
        <f t="shared" si="4"/>
        <v>5.4900000000000091</v>
      </c>
      <c r="K7" s="243">
        <f>SUMIFS('Checking Transaction Log'!E:E,'Checking Transaction Log'!C:C,"&gt;="&amp;K1,'Checking Transaction Log'!C:C,"&lt;="&amp;L1,'Checking Transaction Log'!A:A,"D",'Checking Transaction Log'!B:B,3)</f>
        <v>90.76</v>
      </c>
      <c r="L7" s="243">
        <f t="shared" si="5"/>
        <v>59.239999999999995</v>
      </c>
      <c r="M7" s="284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84">
        <f t="shared" si="6"/>
        <v>-23.53</v>
      </c>
      <c r="O7" s="247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47">
        <f t="shared" si="7"/>
        <v>58.340000000000018</v>
      </c>
      <c r="Q7" s="281">
        <f>SUMIFS('Checking Transaction Log'!$E:$E,'Checking Transaction Log'!$C:$C,"&gt;="&amp;Q1,'Checking Transaction Log'!$C:$C,"&lt;="&amp;R1,'Checking Transaction Log'!$A:$A,"D",'Checking Transaction Log'!$B:$B,3)</f>
        <v>95.000000000000014</v>
      </c>
      <c r="R7" s="281">
        <f t="shared" si="8"/>
        <v>54.999999999999986</v>
      </c>
      <c r="S7" s="243">
        <f>SUMIFS('Checking Transaction Log'!$E:$E,'Checking Transaction Log'!$C:$C,"&gt;="&amp;S1,'Checking Transaction Log'!$C:$C,"&lt;="&amp;T1,'Checking Transaction Log'!$A:$A,"D",'Checking Transaction Log'!$B:$B,3)</f>
        <v>0</v>
      </c>
      <c r="T7" s="243">
        <f t="shared" si="9"/>
        <v>150</v>
      </c>
      <c r="U7" s="284">
        <f>SUMIFS('Checking Transaction Log'!$E:$E,'Checking Transaction Log'!$C:$C,"&gt;="&amp;U1,'Checking Transaction Log'!$C:$C,"&lt;="&amp;V1,'Checking Transaction Log'!$A:$A,"D",'Checking Transaction Log'!$B:$B,3)</f>
        <v>0</v>
      </c>
      <c r="V7" s="284">
        <f t="shared" si="10"/>
        <v>150</v>
      </c>
      <c r="W7" s="247">
        <f>SUMIFS('Checking Transaction Log'!$E:$E,'Checking Transaction Log'!$C:$C,"&gt;="&amp;W1,'Checking Transaction Log'!$C:$C,"&lt;="&amp;X1,'Checking Transaction Log'!$A:$A,"D",'Checking Transaction Log'!$B:$B,3)</f>
        <v>0</v>
      </c>
      <c r="X7" s="247">
        <f t="shared" si="11"/>
        <v>150</v>
      </c>
      <c r="Y7" s="287">
        <f>SUMIFS('Checking Transaction Log'!$E:$E,'Checking Transaction Log'!$C:$C,"&gt;="&amp;Y1,'Checking Transaction Log'!$C:$C,"&lt;="&amp;Z1,'Checking Transaction Log'!$A:$A,"D",'Checking Transaction Log'!$B:$B,3)</f>
        <v>0</v>
      </c>
      <c r="Z7" s="287">
        <f t="shared" si="12"/>
        <v>150</v>
      </c>
      <c r="AA7" s="289">
        <f>SUMIFS('Checking Transaction Log'!$E:$E,'Checking Transaction Log'!$C:$C,"&gt;="&amp;AA1,'Checking Transaction Log'!$C:$C,"&lt;="&amp;AB1,'Checking Transaction Log'!$A:$A,"D",'Checking Transaction Log'!$B:$B,3)</f>
        <v>0</v>
      </c>
      <c r="AB7" s="289">
        <f t="shared" si="13"/>
        <v>150</v>
      </c>
      <c r="AC7" s="291">
        <f>SUMIFS('Checking Transaction Log'!$E:$E,'Checking Transaction Log'!$C:$C,"&gt;="&amp;AC1,'Checking Transaction Log'!$C:$C,"&lt;="&amp;AD1,'Checking Transaction Log'!$A:$A,"D",'Checking Transaction Log'!$B:$B,3)</f>
        <v>0</v>
      </c>
      <c r="AD7" s="291">
        <f t="shared" si="14"/>
        <v>150</v>
      </c>
      <c r="AE7" s="293">
        <f>SUMIFS('Checking Transaction Log'!$E:$E,'Checking Transaction Log'!$C:$C,"&gt;="&amp;AE1,'Checking Transaction Log'!$C:$C,"&lt;="&amp;AF1,'Checking Transaction Log'!$A:$A,"D",'Checking Transaction Log'!$B:$B,3)</f>
        <v>0</v>
      </c>
      <c r="AF7" s="293">
        <f t="shared" si="15"/>
        <v>150</v>
      </c>
    </row>
    <row r="8" spans="1:32" ht="11.25" customHeight="1" x14ac:dyDescent="0.3">
      <c r="A8" s="295" t="str">
        <f>'Proposed Budget'!A8</f>
        <v>D</v>
      </c>
      <c r="B8" s="266">
        <f>'Proposed Budget'!B8</f>
        <v>4</v>
      </c>
      <c r="C8" s="298" t="str">
        <f>'Proposed Budget'!C8</f>
        <v>Gasoline</v>
      </c>
      <c r="D8" s="299">
        <f t="shared" ca="1" si="1"/>
        <v>628.03679104477624</v>
      </c>
      <c r="E8" s="300">
        <f t="shared" si="16"/>
        <v>2766.5</v>
      </c>
      <c r="F8" s="300">
        <f t="shared" si="2"/>
        <v>-1.9300000000000637</v>
      </c>
      <c r="G8" s="280">
        <f t="shared" si="3"/>
        <v>-6.9811941820985268E-4</v>
      </c>
      <c r="H8" s="300">
        <f>'Proposed Budget'!D8</f>
        <v>600</v>
      </c>
      <c r="I8" s="281">
        <f>SUMIFS('Checking Transaction Log'!E:E,'Checking Transaction Log'!C:C,"&gt;="&amp;I1,'Checking Transaction Log'!C:C,"&lt;="&amp;J1,'Checking Transaction Log'!A:A,"D",'Checking Transaction Log'!B:B,4)</f>
        <v>561.41</v>
      </c>
      <c r="J8" s="281">
        <f t="shared" si="4"/>
        <v>38.590000000000032</v>
      </c>
      <c r="K8" s="243">
        <f>SUMIFS('Checking Transaction Log'!E:E,'Checking Transaction Log'!C:C,"&gt;="&amp;K1,'Checking Transaction Log'!C:C,"&lt;="&amp;L1,'Checking Transaction Log'!A:A,"D",'Checking Transaction Log'!B:B,4)</f>
        <v>710.78</v>
      </c>
      <c r="L8" s="243">
        <f t="shared" si="5"/>
        <v>-110.77999999999997</v>
      </c>
      <c r="M8" s="284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84">
        <f t="shared" si="6"/>
        <v>62.589999999999918</v>
      </c>
      <c r="O8" s="247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47">
        <f t="shared" si="7"/>
        <v>7.6699999999999591</v>
      </c>
      <c r="Q8" s="281">
        <f>SUMIFS('Checking Transaction Log'!$E:$E,'Checking Transaction Log'!$C:$C,"&gt;="&amp;Q1,'Checking Transaction Log'!$C:$C,"&lt;="&amp;R1,'Checking Transaction Log'!$A:$A,"D",'Checking Transaction Log'!$B:$B,4)</f>
        <v>364.57</v>
      </c>
      <c r="R8" s="281">
        <f t="shared" si="8"/>
        <v>235.43</v>
      </c>
      <c r="S8" s="243">
        <f>SUMIFS('Checking Transaction Log'!$E:$E,'Checking Transaction Log'!$C:$C,"&gt;="&amp;S1,'Checking Transaction Log'!$C:$C,"&lt;="&amp;T1,'Checking Transaction Log'!$A:$A,"D",'Checking Transaction Log'!$B:$B,4)</f>
        <v>0</v>
      </c>
      <c r="T8" s="243">
        <f t="shared" si="9"/>
        <v>600</v>
      </c>
      <c r="U8" s="284">
        <f>SUMIFS('Checking Transaction Log'!$E:$E,'Checking Transaction Log'!$C:$C,"&gt;="&amp;U1,'Checking Transaction Log'!$C:$C,"&lt;="&amp;V1,'Checking Transaction Log'!$A:$A,"D",'Checking Transaction Log'!$B:$B,4)</f>
        <v>0</v>
      </c>
      <c r="V8" s="284">
        <f t="shared" si="10"/>
        <v>600</v>
      </c>
      <c r="W8" s="247">
        <f>SUMIFS('Checking Transaction Log'!$E:$E,'Checking Transaction Log'!$C:$C,"&gt;="&amp;W1,'Checking Transaction Log'!$C:$C,"&lt;="&amp;X1,'Checking Transaction Log'!$A:$A,"D",'Checking Transaction Log'!$B:$B,4)</f>
        <v>0</v>
      </c>
      <c r="X8" s="247">
        <f t="shared" si="11"/>
        <v>600</v>
      </c>
      <c r="Y8" s="287">
        <f>SUMIFS('Checking Transaction Log'!$E:$E,'Checking Transaction Log'!$C:$C,"&gt;="&amp;Y1,'Checking Transaction Log'!$C:$C,"&lt;="&amp;Z1,'Checking Transaction Log'!$A:$A,"D",'Checking Transaction Log'!$B:$B,4)</f>
        <v>0</v>
      </c>
      <c r="Z8" s="287">
        <f t="shared" si="12"/>
        <v>600</v>
      </c>
      <c r="AA8" s="289">
        <f>SUMIFS('Checking Transaction Log'!$E:$E,'Checking Transaction Log'!$C:$C,"&gt;="&amp;AA1,'Checking Transaction Log'!$C:$C,"&lt;="&amp;AB1,'Checking Transaction Log'!$A:$A,"D",'Checking Transaction Log'!$B:$B,4)</f>
        <v>0</v>
      </c>
      <c r="AB8" s="289">
        <f t="shared" si="13"/>
        <v>600</v>
      </c>
      <c r="AC8" s="291">
        <f>SUMIFS('Checking Transaction Log'!$E:$E,'Checking Transaction Log'!$C:$C,"&gt;="&amp;AC1,'Checking Transaction Log'!$C:$C,"&lt;="&amp;AD1,'Checking Transaction Log'!$A:$A,"D",'Checking Transaction Log'!$B:$B,4)</f>
        <v>0</v>
      </c>
      <c r="AD8" s="291">
        <f t="shared" si="14"/>
        <v>600</v>
      </c>
      <c r="AE8" s="293">
        <f>SUMIFS('Checking Transaction Log'!$E:$E,'Checking Transaction Log'!$C:$C,"&gt;="&amp;AE1,'Checking Transaction Log'!$C:$C,"&lt;="&amp;AF1,'Checking Transaction Log'!$A:$A,"D",'Checking Transaction Log'!$B:$B,4)</f>
        <v>0</v>
      </c>
      <c r="AF8" s="293">
        <f t="shared" si="15"/>
        <v>600</v>
      </c>
    </row>
    <row r="9" spans="1:32" ht="11.25" customHeight="1" x14ac:dyDescent="0.3">
      <c r="A9" s="295" t="str">
        <f>'Proposed Budget'!A9</f>
        <v>D</v>
      </c>
      <c r="B9" s="266">
        <f>'Proposed Budget'!B9</f>
        <v>5</v>
      </c>
      <c r="C9" s="298" t="str">
        <f>'Proposed Budget'!C9</f>
        <v>Family Entertainment</v>
      </c>
      <c r="D9" s="299">
        <f t="shared" ca="1" si="1"/>
        <v>858.75660000000005</v>
      </c>
      <c r="E9" s="300">
        <f t="shared" si="16"/>
        <v>3782.82</v>
      </c>
      <c r="F9" s="300">
        <f t="shared" si="2"/>
        <v>-888.01</v>
      </c>
      <c r="G9" s="280">
        <f t="shared" si="3"/>
        <v>-0.30675933826399637</v>
      </c>
      <c r="H9" s="300">
        <f>'Proposed Budget'!D9</f>
        <v>700</v>
      </c>
      <c r="I9" s="281">
        <f>SUMIFS('Checking Transaction Log'!E:E,'Checking Transaction Log'!C:C,"&gt;="&amp;I1,'Checking Transaction Log'!C:C,"&lt;="&amp;J1,'Checking Transaction Log'!A:A,"D",'Checking Transaction Log'!B:B,5)</f>
        <v>717.1</v>
      </c>
      <c r="J9" s="281">
        <f t="shared" si="4"/>
        <v>-17.100000000000023</v>
      </c>
      <c r="K9" s="243">
        <f>SUMIFS('Checking Transaction Log'!E:E,'Checking Transaction Log'!C:C,"&gt;="&amp;K1,'Checking Transaction Log'!C:C,"&lt;="&amp;L1,'Checking Transaction Log'!A:A,"D",'Checking Transaction Log'!B:B,5)</f>
        <v>780.14</v>
      </c>
      <c r="L9" s="243">
        <f t="shared" si="5"/>
        <v>-80.139999999999986</v>
      </c>
      <c r="M9" s="284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84">
        <f t="shared" si="6"/>
        <v>183.21000000000004</v>
      </c>
      <c r="O9" s="247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47">
        <f t="shared" si="7"/>
        <v>-973.98</v>
      </c>
      <c r="Q9" s="281">
        <f>SUMIFS('Checking Transaction Log'!$E:$E,'Checking Transaction Log'!$C:$C,"&gt;="&amp;Q1,'Checking Transaction Log'!$C:$C,"&lt;="&amp;R1,'Checking Transaction Log'!$A:$A,"D",'Checking Transaction Log'!$B:$B,5)</f>
        <v>94.81</v>
      </c>
      <c r="R9" s="281">
        <f t="shared" si="8"/>
        <v>605.19000000000005</v>
      </c>
      <c r="S9" s="243">
        <f>SUMIFS('Checking Transaction Log'!$E:$E,'Checking Transaction Log'!$C:$C,"&gt;="&amp;S1,'Checking Transaction Log'!$C:$C,"&lt;="&amp;T1,'Checking Transaction Log'!$A:$A,"D",'Checking Transaction Log'!$B:$B,5)</f>
        <v>0</v>
      </c>
      <c r="T9" s="243">
        <f t="shared" si="9"/>
        <v>700</v>
      </c>
      <c r="U9" s="284">
        <f>SUMIFS('Checking Transaction Log'!$E:$E,'Checking Transaction Log'!$C:$C,"&gt;="&amp;U1,'Checking Transaction Log'!$C:$C,"&lt;="&amp;V1,'Checking Transaction Log'!$A:$A,"D",'Checking Transaction Log'!$B:$B,5)</f>
        <v>0</v>
      </c>
      <c r="V9" s="284">
        <f t="shared" si="10"/>
        <v>700</v>
      </c>
      <c r="W9" s="247">
        <f>SUMIFS('Checking Transaction Log'!$E:$E,'Checking Transaction Log'!$C:$C,"&gt;="&amp;W1,'Checking Transaction Log'!$C:$C,"&lt;="&amp;X1,'Checking Transaction Log'!$A:$A,"D",'Checking Transaction Log'!$B:$B,5)</f>
        <v>0</v>
      </c>
      <c r="X9" s="247">
        <f t="shared" si="11"/>
        <v>700</v>
      </c>
      <c r="Y9" s="287">
        <f>SUMIFS('Checking Transaction Log'!$E:$E,'Checking Transaction Log'!$C:$C,"&gt;="&amp;Y1,'Checking Transaction Log'!$C:$C,"&lt;="&amp;Z1,'Checking Transaction Log'!$A:$A,"D",'Checking Transaction Log'!$B:$B,5)</f>
        <v>0</v>
      </c>
      <c r="Z9" s="287">
        <f t="shared" si="12"/>
        <v>700</v>
      </c>
      <c r="AA9" s="289">
        <f>SUMIFS('Checking Transaction Log'!$E:$E,'Checking Transaction Log'!$C:$C,"&gt;="&amp;AA1,'Checking Transaction Log'!$C:$C,"&lt;="&amp;AB1,'Checking Transaction Log'!$A:$A,"D",'Checking Transaction Log'!$B:$B,5)</f>
        <v>0</v>
      </c>
      <c r="AB9" s="289">
        <f t="shared" si="13"/>
        <v>700</v>
      </c>
      <c r="AC9" s="291">
        <f>SUMIFS('Checking Transaction Log'!$E:$E,'Checking Transaction Log'!$C:$C,"&gt;="&amp;AC1,'Checking Transaction Log'!$C:$C,"&lt;="&amp;AD1,'Checking Transaction Log'!$A:$A,"D",'Checking Transaction Log'!$B:$B,5)</f>
        <v>0</v>
      </c>
      <c r="AD9" s="291">
        <f t="shared" si="14"/>
        <v>700</v>
      </c>
      <c r="AE9" s="293">
        <f>SUMIFS('Checking Transaction Log'!$E:$E,'Checking Transaction Log'!$C:$C,"&gt;="&amp;AE1,'Checking Transaction Log'!$C:$C,"&lt;="&amp;AF1,'Checking Transaction Log'!$A:$A,"D",'Checking Transaction Log'!$B:$B,5)</f>
        <v>0</v>
      </c>
      <c r="AF9" s="293">
        <f t="shared" si="15"/>
        <v>700</v>
      </c>
    </row>
    <row r="10" spans="1:32" ht="11.25" customHeight="1" x14ac:dyDescent="0.3">
      <c r="A10" s="295" t="str">
        <f>'Proposed Budget'!A10</f>
        <v>D</v>
      </c>
      <c r="B10" s="266">
        <f>'Proposed Budget'!B10</f>
        <v>6</v>
      </c>
      <c r="C10" s="298" t="str">
        <f>'Proposed Budget'!C10</f>
        <v>Miscellaneous Spending</v>
      </c>
      <c r="D10" s="299">
        <f t="shared" ca="1" si="1"/>
        <v>757.52837462686568</v>
      </c>
      <c r="E10" s="300">
        <f t="shared" si="16"/>
        <v>3336.91</v>
      </c>
      <c r="F10" s="300">
        <f t="shared" si="2"/>
        <v>520.62999999999977</v>
      </c>
      <c r="G10" s="280">
        <f t="shared" si="3"/>
        <v>0.13496425182888572</v>
      </c>
      <c r="H10" s="300">
        <f>'Proposed Budget'!D10</f>
        <v>900</v>
      </c>
      <c r="I10" s="281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81">
        <f t="shared" si="4"/>
        <v>185.87999999999988</v>
      </c>
      <c r="K10" s="243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43">
        <f t="shared" si="5"/>
        <v>206.92000000000007</v>
      </c>
      <c r="M10" s="284">
        <f>SUMIFS('Checking Transaction Log'!$E:$E,'Checking Transaction Log'!$C:$C,"&gt;="&amp;M1,'Checking Transaction Log'!$C:$C,"&lt;="&amp;N1,'Checking Transaction Log'!$A:$A,"D",'Checking Transaction Log'!$B:$B,6)</f>
        <v>525.38</v>
      </c>
      <c r="N10" s="284">
        <f t="shared" si="6"/>
        <v>374.62</v>
      </c>
      <c r="O10" s="247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47">
        <f t="shared" si="7"/>
        <v>-246.79000000000019</v>
      </c>
      <c r="Q10" s="281">
        <f>SUMIFS('Checking Transaction Log'!$E:$E,'Checking Transaction Log'!$C:$C,"&gt;="&amp;Q1,'Checking Transaction Log'!$C:$C,"&lt;="&amp;R1,'Checking Transaction Log'!$A:$A,"D",'Checking Transaction Log'!$B:$B,6)</f>
        <v>257.54000000000002</v>
      </c>
      <c r="R10" s="281">
        <f t="shared" si="8"/>
        <v>642.46</v>
      </c>
      <c r="S10" s="243">
        <f>SUMIFS('Checking Transaction Log'!$E:$E,'Checking Transaction Log'!$C:$C,"&gt;="&amp;S1,'Checking Transaction Log'!$C:$C,"&lt;="&amp;T1,'Checking Transaction Log'!$A:$A,"D",'Checking Transaction Log'!$B:$B,6)</f>
        <v>0</v>
      </c>
      <c r="T10" s="243">
        <f t="shared" si="9"/>
        <v>900</v>
      </c>
      <c r="U10" s="284">
        <f>SUMIFS('Checking Transaction Log'!$E:$E,'Checking Transaction Log'!$C:$C,"&gt;="&amp;U1,'Checking Transaction Log'!$C:$C,"&lt;="&amp;V1,'Checking Transaction Log'!$A:$A,"D",'Checking Transaction Log'!$B:$B,6)</f>
        <v>0</v>
      </c>
      <c r="V10" s="284">
        <f t="shared" si="10"/>
        <v>900</v>
      </c>
      <c r="W10" s="247">
        <f>SUMIFS('Checking Transaction Log'!$E:$E,'Checking Transaction Log'!$C:$C,"&gt;="&amp;W1,'Checking Transaction Log'!$C:$C,"&lt;="&amp;X1,'Checking Transaction Log'!$A:$A,"D",'Checking Transaction Log'!$B:$B,6)</f>
        <v>0</v>
      </c>
      <c r="X10" s="247">
        <f t="shared" si="11"/>
        <v>900</v>
      </c>
      <c r="Y10" s="287">
        <f>SUMIFS('Checking Transaction Log'!$E:$E,'Checking Transaction Log'!$C:$C,"&gt;="&amp;Y1,'Checking Transaction Log'!$C:$C,"&lt;="&amp;Z1,'Checking Transaction Log'!$A:$A,"D",'Checking Transaction Log'!$B:$B,6)</f>
        <v>0</v>
      </c>
      <c r="Z10" s="287">
        <f t="shared" si="12"/>
        <v>900</v>
      </c>
      <c r="AA10" s="289">
        <f>SUMIFS('Checking Transaction Log'!$E:$E,'Checking Transaction Log'!$C:$C,"&gt;="&amp;AA1,'Checking Transaction Log'!$C:$C,"&lt;="&amp;AB1,'Checking Transaction Log'!$A:$A,"D",'Checking Transaction Log'!$B:$B,6)</f>
        <v>0</v>
      </c>
      <c r="AB10" s="289">
        <f t="shared" si="13"/>
        <v>900</v>
      </c>
      <c r="AC10" s="291">
        <f>SUMIFS('Checking Transaction Log'!$E:$E,'Checking Transaction Log'!$C:$C,"&gt;="&amp;AC1,'Checking Transaction Log'!$C:$C,"&lt;="&amp;AD1,'Checking Transaction Log'!$A:$A,"D",'Checking Transaction Log'!$B:$B,6)</f>
        <v>0</v>
      </c>
      <c r="AD10" s="291">
        <f t="shared" si="14"/>
        <v>900</v>
      </c>
      <c r="AE10" s="293">
        <f>SUMIFS('Checking Transaction Log'!$E:$E,'Checking Transaction Log'!$C:$C,"&gt;="&amp;AE1,'Checking Transaction Log'!$C:$C,"&lt;="&amp;AF1,'Checking Transaction Log'!$A:$A,"D",'Checking Transaction Log'!$B:$B,6)</f>
        <v>0</v>
      </c>
      <c r="AF10" s="293">
        <f t="shared" si="15"/>
        <v>900</v>
      </c>
    </row>
    <row r="11" spans="1:32" ht="11.25" customHeight="1" x14ac:dyDescent="0.3">
      <c r="A11" s="295" t="str">
        <f>'Proposed Budget'!A11</f>
        <v>D</v>
      </c>
      <c r="B11" s="266">
        <f>'Proposed Budget'!B11</f>
        <v>7</v>
      </c>
      <c r="C11" s="298" t="str">
        <f>'Proposed Budget'!C11</f>
        <v>Department Stores/Clothes</v>
      </c>
      <c r="D11" s="299">
        <f t="shared" ca="1" si="1"/>
        <v>459.54177313432842</v>
      </c>
      <c r="E11" s="300">
        <f t="shared" si="16"/>
        <v>2024.2800000000002</v>
      </c>
      <c r="F11" s="300">
        <f t="shared" si="2"/>
        <v>-387.74999999999989</v>
      </c>
      <c r="G11" s="280">
        <f t="shared" si="3"/>
        <v>-0.23693424501842308</v>
      </c>
      <c r="H11" s="300">
        <f>'Proposed Budget'!D11</f>
        <v>350</v>
      </c>
      <c r="I11" s="281">
        <f>SUMIFS('Checking Transaction Log'!E:E,'Checking Transaction Log'!C:C,"&gt;="&amp;I1,'Checking Transaction Log'!C:C,"&lt;="&amp;J1,'Checking Transaction Log'!A:A,"D",'Checking Transaction Log'!B:B,7)</f>
        <v>626.04</v>
      </c>
      <c r="J11" s="281">
        <f t="shared" si="4"/>
        <v>-276.03999999999996</v>
      </c>
      <c r="K11" s="243">
        <f>SUMIFS('Checking Transaction Log'!E:E,'Checking Transaction Log'!C:C,"&gt;="&amp;K1,'Checking Transaction Log'!C:C,"&lt;="&amp;L1,'Checking Transaction Log'!A:A,"D",'Checking Transaction Log'!B:B,7)</f>
        <v>670.18</v>
      </c>
      <c r="L11" s="243">
        <f t="shared" si="5"/>
        <v>-320.17999999999995</v>
      </c>
      <c r="M11" s="284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84">
        <f t="shared" si="6"/>
        <v>128.35000000000002</v>
      </c>
      <c r="O11" s="247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47">
        <f t="shared" si="7"/>
        <v>80.12</v>
      </c>
      <c r="Q11" s="281">
        <f>SUMIFS('Checking Transaction Log'!$E:$E,'Checking Transaction Log'!$C:$C,"&gt;="&amp;Q1,'Checking Transaction Log'!$C:$C,"&lt;="&amp;R1,'Checking Transaction Log'!$A:$A,"D",'Checking Transaction Log'!$B:$B,7)</f>
        <v>236.53</v>
      </c>
      <c r="R11" s="281">
        <f t="shared" si="8"/>
        <v>113.47</v>
      </c>
      <c r="S11" s="243">
        <f>SUMIFS('Checking Transaction Log'!$E:$E,'Checking Transaction Log'!$C:$C,"&gt;="&amp;S1,'Checking Transaction Log'!$C:$C,"&lt;="&amp;T1,'Checking Transaction Log'!$A:$A,"D",'Checking Transaction Log'!$B:$B,7)</f>
        <v>0</v>
      </c>
      <c r="T11" s="243">
        <f t="shared" si="9"/>
        <v>350</v>
      </c>
      <c r="U11" s="284">
        <f>SUMIFS('Checking Transaction Log'!$E:$E,'Checking Transaction Log'!$C:$C,"&gt;="&amp;U1,'Checking Transaction Log'!$C:$C,"&lt;="&amp;V1,'Checking Transaction Log'!$A:$A,"D",'Checking Transaction Log'!$B:$B,7)</f>
        <v>0</v>
      </c>
      <c r="V11" s="284">
        <f t="shared" si="10"/>
        <v>350</v>
      </c>
      <c r="W11" s="247">
        <f>SUMIFS('Checking Transaction Log'!$E:$E,'Checking Transaction Log'!$C:$C,"&gt;="&amp;W1,'Checking Transaction Log'!$C:$C,"&lt;="&amp;X1,'Checking Transaction Log'!$A:$A,"D",'Checking Transaction Log'!$B:$B,7)</f>
        <v>0</v>
      </c>
      <c r="X11" s="247">
        <f t="shared" si="11"/>
        <v>350</v>
      </c>
      <c r="Y11" s="287">
        <f>SUMIFS('Checking Transaction Log'!$E:$E,'Checking Transaction Log'!$C:$C,"&gt;="&amp;Y1,'Checking Transaction Log'!$C:$C,"&lt;="&amp;Z1,'Checking Transaction Log'!$A:$A,"D",'Checking Transaction Log'!$B:$B,7)</f>
        <v>0</v>
      </c>
      <c r="Z11" s="287">
        <f t="shared" si="12"/>
        <v>350</v>
      </c>
      <c r="AA11" s="289">
        <f>SUMIFS('Checking Transaction Log'!$E:$E,'Checking Transaction Log'!$C:$C,"&gt;="&amp;AA1,'Checking Transaction Log'!$C:$C,"&lt;="&amp;AB1,'Checking Transaction Log'!$A:$A,"D",'Checking Transaction Log'!$B:$B,7)</f>
        <v>0</v>
      </c>
      <c r="AB11" s="289">
        <f t="shared" si="13"/>
        <v>350</v>
      </c>
      <c r="AC11" s="291">
        <f>SUMIFS('Checking Transaction Log'!$E:$E,'Checking Transaction Log'!$C:$C,"&gt;="&amp;AC1,'Checking Transaction Log'!$C:$C,"&lt;="&amp;AD1,'Checking Transaction Log'!$A:$A,"D",'Checking Transaction Log'!$B:$B,7)</f>
        <v>0</v>
      </c>
      <c r="AD11" s="291">
        <f t="shared" si="14"/>
        <v>350</v>
      </c>
      <c r="AE11" s="293">
        <f>SUMIFS('Checking Transaction Log'!$E:$E,'Checking Transaction Log'!$C:$C,"&gt;="&amp;AE1,'Checking Transaction Log'!$C:$C,"&lt;="&amp;AF1,'Checking Transaction Log'!$A:$A,"D",'Checking Transaction Log'!$B:$B,7)</f>
        <v>0</v>
      </c>
      <c r="AF11" s="293">
        <f t="shared" si="15"/>
        <v>350</v>
      </c>
    </row>
    <row r="12" spans="1:32" ht="11.25" customHeight="1" x14ac:dyDescent="0.3">
      <c r="A12" s="295" t="str">
        <f>'Proposed Budget'!A12</f>
        <v>D</v>
      </c>
      <c r="B12" s="266">
        <f>'Proposed Budget'!B12</f>
        <v>8</v>
      </c>
      <c r="C12" s="298" t="str">
        <f>'Proposed Budget'!C12</f>
        <v>Alcohol/Bars</v>
      </c>
      <c r="D12" s="299">
        <f t="shared" ca="1" si="1"/>
        <v>712.65660447761195</v>
      </c>
      <c r="E12" s="300">
        <f t="shared" si="16"/>
        <v>3139.25</v>
      </c>
      <c r="F12" s="300">
        <f t="shared" si="2"/>
        <v>-157.63000000000011</v>
      </c>
      <c r="G12" s="280">
        <f t="shared" si="3"/>
        <v>-5.2867233249039192E-2</v>
      </c>
      <c r="H12" s="300">
        <f>'Proposed Budget'!D12</f>
        <v>700</v>
      </c>
      <c r="I12" s="281">
        <f>SUMIFS('Checking Transaction Log'!E:E,'Checking Transaction Log'!C:C,"&gt;="&amp;I1,'Checking Transaction Log'!C:C,"&lt;="&amp;J1,'Checking Transaction Log'!A:A,"D",'Checking Transaction Log'!B:B,8)</f>
        <v>683.49</v>
      </c>
      <c r="J12" s="281">
        <f t="shared" si="4"/>
        <v>16.509999999999991</v>
      </c>
      <c r="K12" s="243">
        <f>SUMIFS('Checking Transaction Log'!E:E,'Checking Transaction Log'!C:C,"&gt;="&amp;K1,'Checking Transaction Log'!C:C,"&lt;="&amp;L1,'Checking Transaction Log'!A:A,"D",'Checking Transaction Log'!B:B,8)</f>
        <v>979.71</v>
      </c>
      <c r="L12" s="243">
        <f t="shared" si="5"/>
        <v>-279.71000000000004</v>
      </c>
      <c r="M12" s="284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84">
        <f t="shared" si="6"/>
        <v>59.579999999999814</v>
      </c>
      <c r="O12" s="247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47">
        <f t="shared" si="7"/>
        <v>45.990000000000123</v>
      </c>
      <c r="Q12" s="281">
        <f>SUMIFS('Checking Transaction Log'!$E:$E,'Checking Transaction Log'!$C:$C,"&gt;="&amp;Q1,'Checking Transaction Log'!$C:$C,"&lt;="&amp;R1,'Checking Transaction Log'!$A:$A,"D",'Checking Transaction Log'!$B:$B,8)</f>
        <v>181.62</v>
      </c>
      <c r="R12" s="281">
        <f t="shared" si="8"/>
        <v>518.38</v>
      </c>
      <c r="S12" s="243">
        <f>SUMIFS('Checking Transaction Log'!$E:$E,'Checking Transaction Log'!$C:$C,"&gt;="&amp;S1,'Checking Transaction Log'!$C:$C,"&lt;="&amp;T1,'Checking Transaction Log'!$A:$A,"D",'Checking Transaction Log'!$B:$B,8)</f>
        <v>0</v>
      </c>
      <c r="T12" s="243">
        <f t="shared" si="9"/>
        <v>700</v>
      </c>
      <c r="U12" s="284">
        <f>SUMIFS('Checking Transaction Log'!$E:$E,'Checking Transaction Log'!$C:$C,"&gt;="&amp;U1,'Checking Transaction Log'!$C:$C,"&lt;="&amp;V1,'Checking Transaction Log'!$A:$A,"D",'Checking Transaction Log'!$B:$B,8)</f>
        <v>0</v>
      </c>
      <c r="V12" s="284">
        <f t="shared" si="10"/>
        <v>700</v>
      </c>
      <c r="W12" s="247">
        <f>SUMIFS('Checking Transaction Log'!$E:$E,'Checking Transaction Log'!$C:$C,"&gt;="&amp;W1,'Checking Transaction Log'!$C:$C,"&lt;="&amp;X1,'Checking Transaction Log'!$A:$A,"D",'Checking Transaction Log'!$B:$B,8)</f>
        <v>0</v>
      </c>
      <c r="X12" s="247">
        <f t="shared" si="11"/>
        <v>700</v>
      </c>
      <c r="Y12" s="287">
        <f>SUMIFS('Checking Transaction Log'!$E:$E,'Checking Transaction Log'!$C:$C,"&gt;="&amp;Y1,'Checking Transaction Log'!$C:$C,"&lt;="&amp;Z1,'Checking Transaction Log'!$A:$A,"D",'Checking Transaction Log'!$B:$B,8)</f>
        <v>0</v>
      </c>
      <c r="Z12" s="287">
        <f t="shared" si="12"/>
        <v>700</v>
      </c>
      <c r="AA12" s="289">
        <f>SUMIFS('Checking Transaction Log'!$E:$E,'Checking Transaction Log'!$C:$C,"&gt;="&amp;AA1,'Checking Transaction Log'!$C:$C,"&lt;="&amp;AB1,'Checking Transaction Log'!$A:$A,"D",'Checking Transaction Log'!$B:$B,8)</f>
        <v>0</v>
      </c>
      <c r="AB12" s="289">
        <f t="shared" si="13"/>
        <v>700</v>
      </c>
      <c r="AC12" s="291">
        <f>SUMIFS('Checking Transaction Log'!$E:$E,'Checking Transaction Log'!$C:$C,"&gt;="&amp;AC1,'Checking Transaction Log'!$C:$C,"&lt;="&amp;AD1,'Checking Transaction Log'!$A:$A,"D",'Checking Transaction Log'!$B:$B,8)</f>
        <v>0</v>
      </c>
      <c r="AD12" s="291">
        <f t="shared" si="14"/>
        <v>700</v>
      </c>
      <c r="AE12" s="293">
        <f>SUMIFS('Checking Transaction Log'!$E:$E,'Checking Transaction Log'!$C:$C,"&gt;="&amp;AE1,'Checking Transaction Log'!$C:$C,"&lt;="&amp;AF1,'Checking Transaction Log'!$A:$A,"D",'Checking Transaction Log'!$B:$B,8)</f>
        <v>0</v>
      </c>
      <c r="AF12" s="293">
        <f t="shared" si="15"/>
        <v>700</v>
      </c>
    </row>
    <row r="13" spans="1:32" ht="11.25" customHeight="1" x14ac:dyDescent="0.3">
      <c r="A13" s="295"/>
      <c r="B13" s="266"/>
      <c r="C13" s="298"/>
      <c r="D13" s="299"/>
      <c r="E13" s="301"/>
      <c r="F13" s="301"/>
      <c r="G13" s="280"/>
      <c r="H13" s="300"/>
      <c r="I13" s="281"/>
      <c r="J13" s="281"/>
      <c r="K13" s="243"/>
      <c r="L13" s="243"/>
      <c r="M13" s="284"/>
      <c r="N13" s="284"/>
      <c r="O13" s="247"/>
      <c r="P13" s="247"/>
      <c r="Q13" s="281"/>
      <c r="R13" s="281"/>
      <c r="S13" s="243"/>
      <c r="T13" s="243"/>
      <c r="U13" s="284"/>
      <c r="V13" s="284"/>
      <c r="W13" s="247"/>
      <c r="X13" s="247"/>
      <c r="Y13" s="287"/>
      <c r="Z13" s="287"/>
      <c r="AA13" s="289"/>
      <c r="AB13" s="289"/>
      <c r="AC13" s="291"/>
      <c r="AD13" s="291"/>
      <c r="AE13" s="293"/>
      <c r="AF13" s="293"/>
    </row>
    <row r="14" spans="1:32" ht="11.25" customHeight="1" x14ac:dyDescent="0.3">
      <c r="A14" s="295" t="str">
        <f>'Proposed Budget'!A14</f>
        <v>F</v>
      </c>
      <c r="B14" s="266">
        <f>'Proposed Budget'!B14</f>
        <v>9</v>
      </c>
      <c r="C14" s="298" t="str">
        <f>'Proposed Budget'!C14</f>
        <v>Rocket Mortgage</v>
      </c>
      <c r="D14" s="299">
        <f t="shared" ref="D14:D31" ca="1" si="17">(E14/(TODAY()-$I$1))*30.42</f>
        <v>1443.3154925373133</v>
      </c>
      <c r="E14" s="300">
        <f t="shared" ref="E14:E31" si="18">Q14+S14+U14+W14+Y14+AA14+AC14+AE14+I14+K14+M14+O14</f>
        <v>6357.7999999999993</v>
      </c>
      <c r="F14" s="300">
        <f t="shared" ref="F14:F31" si="19">J14+L14+N14+P14</f>
        <v>13.880000000000109</v>
      </c>
      <c r="G14" s="280">
        <f t="shared" ref="G14:G31" si="20">1-((E14/SUM(E14:F14)))</f>
        <v>2.1783893729754311E-3</v>
      </c>
      <c r="H14" s="300">
        <f>'Proposed Budget'!D14</f>
        <v>1285</v>
      </c>
      <c r="I14" s="281">
        <f>SUMIFS('Checking Transaction Log'!E:E,'Checking Transaction Log'!C:C,"&gt;="&amp;I1,'Checking Transaction Log'!C:C,"&lt;="&amp;J1,'Checking Transaction Log'!A:A,"F",'Checking Transaction Log'!B:B,9)</f>
        <v>1281.53</v>
      </c>
      <c r="J14" s="281">
        <f t="shared" ref="J14:J31" si="21">H14-I14</f>
        <v>3.4700000000000273</v>
      </c>
      <c r="K14" s="243">
        <f>SUMIFS('Checking Transaction Log'!E:E,'Checking Transaction Log'!C:C,"&gt;="&amp;K1,'Checking Transaction Log'!C:C,"&lt;="&amp;L1,'Checking Transaction Log'!A:A,"F",'Checking Transaction Log'!B:B,9)</f>
        <v>1281.53</v>
      </c>
      <c r="L14" s="243">
        <f t="shared" ref="L14:L31" si="22">H14-K14</f>
        <v>3.4700000000000273</v>
      </c>
      <c r="M14" s="284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84">
        <f t="shared" ref="N14:N31" si="23">H14-M14</f>
        <v>3.4700000000000273</v>
      </c>
      <c r="O14" s="247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47">
        <f t="shared" ref="P14:P31" si="24">H14-O14</f>
        <v>3.4700000000000273</v>
      </c>
      <c r="Q14" s="281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81">
        <f t="shared" ref="R14:R31" si="25">H14-Q14</f>
        <v>53.319999999999936</v>
      </c>
      <c r="S14" s="243">
        <f>SUMIFS('Checking Transaction Log'!$E:$E,'Checking Transaction Log'!$C:$C,"&gt;="&amp;S1,'Checking Transaction Log'!$C:$C,"&lt;="&amp;T1,'Checking Transaction Log'!$A:$A,"F",'Checking Transaction Log'!$B:$B,9)</f>
        <v>0</v>
      </c>
      <c r="T14" s="243">
        <f t="shared" ref="T14:T31" si="26">H14-S14</f>
        <v>1285</v>
      </c>
      <c r="U14" s="284">
        <f>SUMIFS('Checking Transaction Log'!$E:$E,'Checking Transaction Log'!$C:$C,"&gt;="&amp;U1,'Checking Transaction Log'!$C:$C,"&lt;="&amp;V1,'Checking Transaction Log'!$A:$A,"F",'Checking Transaction Log'!$B:$B,9)</f>
        <v>0</v>
      </c>
      <c r="V14" s="284">
        <f t="shared" ref="V14:V31" si="27">H14-U14</f>
        <v>1285</v>
      </c>
      <c r="W14" s="247">
        <f>SUMIFS('Checking Transaction Log'!$E:$E,'Checking Transaction Log'!$C:$C,"&gt;="&amp;W1,'Checking Transaction Log'!$C:$C,"&lt;="&amp;X1,'Checking Transaction Log'!$A:$A,"F",'Checking Transaction Log'!$B:$B,9)</f>
        <v>0</v>
      </c>
      <c r="X14" s="247">
        <f t="shared" ref="X14:X31" si="28">H14-W14</f>
        <v>1285</v>
      </c>
      <c r="Y14" s="287">
        <f>SUMIFS('Checking Transaction Log'!$E:$E,'Checking Transaction Log'!$C:$C,"&gt;="&amp;Y1,'Checking Transaction Log'!$C:$C,"&lt;="&amp;Z1,'Checking Transaction Log'!$A:$A,"F",'Checking Transaction Log'!$B:$B,9)</f>
        <v>0</v>
      </c>
      <c r="Z14" s="287">
        <f t="shared" ref="Z14:Z31" si="29">H14-Y14</f>
        <v>1285</v>
      </c>
      <c r="AA14" s="289">
        <f>SUMIFS('Checking Transaction Log'!$E:$E,'Checking Transaction Log'!$C:$C,"&gt;="&amp;AA1,'Checking Transaction Log'!$C:$C,"&lt;="&amp;AB1,'Checking Transaction Log'!$A:$A,"F",'Checking Transaction Log'!$B:$B,9)</f>
        <v>0</v>
      </c>
      <c r="AB14" s="289">
        <f t="shared" ref="AB14:AB31" si="30">H14-AA14</f>
        <v>1285</v>
      </c>
      <c r="AC14" s="291">
        <f>SUMIFS('Checking Transaction Log'!$E:$E,'Checking Transaction Log'!$C:$C,"&gt;="&amp;AC1,'Checking Transaction Log'!$C:$C,"&lt;="&amp;AD1,'Checking Transaction Log'!$A:$A,"F",'Checking Transaction Log'!$B:$B,9)</f>
        <v>0</v>
      </c>
      <c r="AD14" s="291">
        <f t="shared" ref="AD14:AD31" si="31">H14-AC14</f>
        <v>1285</v>
      </c>
      <c r="AE14" s="293">
        <f>SUMIFS('Checking Transaction Log'!$E:$E,'Checking Transaction Log'!$C:$C,"&gt;="&amp;AE1,'Checking Transaction Log'!$C:$C,"&lt;="&amp;AF1,'Checking Transaction Log'!$A:$A,"F",'Checking Transaction Log'!$B:$B,9)</f>
        <v>0</v>
      </c>
      <c r="AF14" s="293">
        <f t="shared" ref="AF14:AF31" si="32">H14-AE14</f>
        <v>1285</v>
      </c>
    </row>
    <row r="15" spans="1:32" ht="11.25" customHeight="1" x14ac:dyDescent="0.3">
      <c r="A15" s="295" t="str">
        <f>'Proposed Budget'!A15</f>
        <v>F</v>
      </c>
      <c r="B15" s="266">
        <f>'Proposed Budget'!B15</f>
        <v>10</v>
      </c>
      <c r="C15" s="298" t="str">
        <f>'Proposed Budget'!C15</f>
        <v>EH Roberts</v>
      </c>
      <c r="D15" s="299">
        <f t="shared" ca="1" si="17"/>
        <v>16.254268656716416</v>
      </c>
      <c r="E15" s="300">
        <f t="shared" si="18"/>
        <v>71.599999999999994</v>
      </c>
      <c r="F15" s="300">
        <f t="shared" si="19"/>
        <v>8.4000000000000057</v>
      </c>
      <c r="G15" s="280">
        <f t="shared" si="20"/>
        <v>0.10500000000000009</v>
      </c>
      <c r="H15" s="300">
        <f>'Proposed Budget'!D15</f>
        <v>20</v>
      </c>
      <c r="I15" s="281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81">
        <f t="shared" si="21"/>
        <v>2.1000000000000014</v>
      </c>
      <c r="K15" s="243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43">
        <f t="shared" si="22"/>
        <v>2.1000000000000014</v>
      </c>
      <c r="M15" s="284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84">
        <f t="shared" si="23"/>
        <v>2.1000000000000014</v>
      </c>
      <c r="O15" s="247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47">
        <f t="shared" si="24"/>
        <v>2.1000000000000014</v>
      </c>
      <c r="Q15" s="281">
        <f>SUMIFS('Checking Transaction Log'!$E:$E,'Checking Transaction Log'!$C:$C,"&gt;="&amp;Q1,'Checking Transaction Log'!$C:$C,"&lt;="&amp;R1,'Checking Transaction Log'!$A:$A,"F",'Checking Transaction Log'!$B:$B,10)</f>
        <v>0</v>
      </c>
      <c r="R15" s="281">
        <f t="shared" si="25"/>
        <v>20</v>
      </c>
      <c r="S15" s="243">
        <f>SUMIFS('Checking Transaction Log'!$E:$E,'Checking Transaction Log'!$C:$C,"&gt;="&amp;S1,'Checking Transaction Log'!$C:$C,"&lt;="&amp;T1,'Checking Transaction Log'!$A:$A,"F",'Checking Transaction Log'!$B:$B,10)</f>
        <v>0</v>
      </c>
      <c r="T15" s="243">
        <f t="shared" si="26"/>
        <v>20</v>
      </c>
      <c r="U15" s="284">
        <f>SUMIFS('Checking Transaction Log'!$E:$E,'Checking Transaction Log'!$C:$C,"&gt;="&amp;U1,'Checking Transaction Log'!$C:$C,"&lt;="&amp;V1,'Checking Transaction Log'!$A:$A,"F",'Checking Transaction Log'!$B:$B,10)</f>
        <v>0</v>
      </c>
      <c r="V15" s="284">
        <f t="shared" si="27"/>
        <v>20</v>
      </c>
      <c r="W15" s="247">
        <f>SUMIFS('Checking Transaction Log'!$E:$E,'Checking Transaction Log'!$C:$C,"&gt;="&amp;W1,'Checking Transaction Log'!$C:$C,"&lt;="&amp;X1,'Checking Transaction Log'!$A:$A,"F",'Checking Transaction Log'!$B:$B,10)</f>
        <v>0</v>
      </c>
      <c r="X15" s="247">
        <f t="shared" si="28"/>
        <v>20</v>
      </c>
      <c r="Y15" s="287">
        <f>SUMIFS('Checking Transaction Log'!$E:$E,'Checking Transaction Log'!$C:$C,"&gt;="&amp;Y1,'Checking Transaction Log'!$C:$C,"&lt;="&amp;Z1,'Checking Transaction Log'!$A:$A,"F",'Checking Transaction Log'!$B:$B,10)</f>
        <v>0</v>
      </c>
      <c r="Z15" s="287">
        <f t="shared" si="29"/>
        <v>20</v>
      </c>
      <c r="AA15" s="289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89">
        <f t="shared" si="30"/>
        <v>20</v>
      </c>
      <c r="AC15" s="291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91">
        <f t="shared" si="31"/>
        <v>20</v>
      </c>
      <c r="AE15" s="293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93">
        <f t="shared" si="32"/>
        <v>20</v>
      </c>
    </row>
    <row r="16" spans="1:32" ht="11.25" customHeight="1" x14ac:dyDescent="0.3">
      <c r="A16" s="295" t="str">
        <f>'Proposed Budget'!A16</f>
        <v>F</v>
      </c>
      <c r="B16" s="266">
        <f>'Proposed Budget'!B16</f>
        <v>11</v>
      </c>
      <c r="C16" s="298" t="str">
        <f>'Proposed Budget'!C16</f>
        <v>Verizon Wireless</v>
      </c>
      <c r="D16" s="299">
        <f t="shared" ca="1" si="17"/>
        <v>291.64380447761198</v>
      </c>
      <c r="E16" s="300">
        <f t="shared" si="18"/>
        <v>1284.69</v>
      </c>
      <c r="F16" s="300">
        <f t="shared" si="19"/>
        <v>-204.69000000000005</v>
      </c>
      <c r="G16" s="280">
        <f t="shared" si="20"/>
        <v>-0.18952777777777774</v>
      </c>
      <c r="H16" s="300">
        <f>'Proposed Budget'!D16</f>
        <v>270</v>
      </c>
      <c r="I16" s="281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81">
        <f t="shared" si="21"/>
        <v>2.0400000000000205</v>
      </c>
      <c r="K16" s="243">
        <f>SUMIFS('Checking Transaction Log'!E:E,'Checking Transaction Log'!C:C,"&gt;="&amp;K1,'Checking Transaction Log'!C:C,"&lt;="&amp;L1,'Checking Transaction Log'!A:A,"F",'Checking Transaction Log'!B:B,11)</f>
        <v>480.91</v>
      </c>
      <c r="L16" s="243">
        <f t="shared" si="22"/>
        <v>-210.91000000000003</v>
      </c>
      <c r="M16" s="284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84">
        <f t="shared" si="23"/>
        <v>2.089999999999975</v>
      </c>
      <c r="O16" s="247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47">
        <f t="shared" si="24"/>
        <v>2.089999999999975</v>
      </c>
      <c r="Q16" s="281">
        <f>SUMIFS('Checking Transaction Log'!$E:$E,'Checking Transaction Log'!$C:$C,"&gt;="&amp;Q1,'Checking Transaction Log'!$C:$C,"&lt;="&amp;R1,'Checking Transaction Log'!$A:$A,"F",'Checking Transaction Log'!$B:$B,11)</f>
        <v>0</v>
      </c>
      <c r="R16" s="281">
        <f t="shared" si="25"/>
        <v>270</v>
      </c>
      <c r="S16" s="243">
        <f>SUMIFS('Checking Transaction Log'!$E:$E,'Checking Transaction Log'!$C:$C,"&gt;="&amp;S1,'Checking Transaction Log'!$C:$C,"&lt;="&amp;T1,'Checking Transaction Log'!$A:$A,"F",'Checking Transaction Log'!$B:$B,11)</f>
        <v>0</v>
      </c>
      <c r="T16" s="243">
        <f t="shared" si="26"/>
        <v>270</v>
      </c>
      <c r="U16" s="284">
        <f>SUMIFS('Checking Transaction Log'!$E:$E,'Checking Transaction Log'!$C:$C,"&gt;="&amp;U1,'Checking Transaction Log'!$C:$C,"&lt;="&amp;V1,'Checking Transaction Log'!$A:$A,"F",'Checking Transaction Log'!$B:$B,11)</f>
        <v>0</v>
      </c>
      <c r="V16" s="284">
        <f t="shared" si="27"/>
        <v>270</v>
      </c>
      <c r="W16" s="247">
        <f>SUMIFS('Checking Transaction Log'!$E:$E,'Checking Transaction Log'!$C:$C,"&gt;="&amp;W1,'Checking Transaction Log'!$C:$C,"&lt;="&amp;X1,'Checking Transaction Log'!$A:$A,"F",'Checking Transaction Log'!$B:$B,11)</f>
        <v>0</v>
      </c>
      <c r="X16" s="247">
        <f t="shared" si="28"/>
        <v>270</v>
      </c>
      <c r="Y16" s="287">
        <f>SUMIFS('Checking Transaction Log'!$E:$E,'Checking Transaction Log'!$C:$C,"&gt;="&amp;Y1,'Checking Transaction Log'!$C:$C,"&lt;="&amp;Z1,'Checking Transaction Log'!$A:$A,"F",'Checking Transaction Log'!$B:$B,11)</f>
        <v>0</v>
      </c>
      <c r="Z16" s="287">
        <f t="shared" si="29"/>
        <v>270</v>
      </c>
      <c r="AA16" s="289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89">
        <f t="shared" si="30"/>
        <v>270</v>
      </c>
      <c r="AC16" s="291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91">
        <f t="shared" si="31"/>
        <v>270</v>
      </c>
      <c r="AE16" s="293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93">
        <f t="shared" si="32"/>
        <v>270</v>
      </c>
    </row>
    <row r="17" spans="1:32" ht="11.25" customHeight="1" x14ac:dyDescent="0.3">
      <c r="A17" s="295" t="str">
        <f>'Proposed Budget'!A17</f>
        <v>F</v>
      </c>
      <c r="B17" s="266">
        <f>'Proposed Budget'!B17</f>
        <v>12</v>
      </c>
      <c r="C17" s="298" t="str">
        <f>'Proposed Budget'!C17</f>
        <v>Spectrum TV/Internet</v>
      </c>
      <c r="D17" s="299">
        <f t="shared" ca="1" si="17"/>
        <v>188.08413582089554</v>
      </c>
      <c r="E17" s="300">
        <f t="shared" si="18"/>
        <v>828.51</v>
      </c>
      <c r="F17" s="300">
        <f t="shared" si="19"/>
        <v>-8.5100000000000193</v>
      </c>
      <c r="G17" s="280">
        <f t="shared" si="20"/>
        <v>-1.037804878048787E-2</v>
      </c>
      <c r="H17" s="300">
        <f>'Proposed Budget'!D17</f>
        <v>205</v>
      </c>
      <c r="I17" s="281">
        <f>SUMIFS('Checking Transaction Log'!E:E,'Checking Transaction Log'!C:C,"&gt;="&amp;I1,'Checking Transaction Log'!C:C,"&lt;="&amp;J1,'Checking Transaction Log'!A:A,"F",'Checking Transaction Log'!B:B,12)</f>
        <v>204.83</v>
      </c>
      <c r="J17" s="281">
        <f t="shared" si="21"/>
        <v>0.16999999999998749</v>
      </c>
      <c r="K17" s="243">
        <f>SUMIFS('Checking Transaction Log'!E:E,'Checking Transaction Log'!C:C,"&gt;="&amp;K1,'Checking Transaction Log'!C:C,"&lt;="&amp;L1,'Checking Transaction Log'!A:A,"F",'Checking Transaction Log'!B:B,12)</f>
        <v>204.47</v>
      </c>
      <c r="L17" s="243">
        <f t="shared" si="22"/>
        <v>0.53000000000000114</v>
      </c>
      <c r="M17" s="284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84">
        <f t="shared" si="23"/>
        <v>0.53000000000000114</v>
      </c>
      <c r="O17" s="247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47">
        <f t="shared" si="24"/>
        <v>-9.7400000000000091</v>
      </c>
      <c r="Q17" s="281">
        <f>SUMIFS('Checking Transaction Log'!$E:$E,'Checking Transaction Log'!$C:$C,"&gt;="&amp;Q1,'Checking Transaction Log'!$C:$C,"&lt;="&amp;R1,'Checking Transaction Log'!$A:$A,"F",'Checking Transaction Log'!$B:$B,12)</f>
        <v>0</v>
      </c>
      <c r="R17" s="281">
        <f t="shared" si="25"/>
        <v>205</v>
      </c>
      <c r="S17" s="243">
        <f>SUMIFS('Checking Transaction Log'!$E:$E,'Checking Transaction Log'!$C:$C,"&gt;="&amp;S1,'Checking Transaction Log'!$C:$C,"&lt;="&amp;T1,'Checking Transaction Log'!$A:$A,"F",'Checking Transaction Log'!$B:$B,12)</f>
        <v>0</v>
      </c>
      <c r="T17" s="243">
        <f t="shared" si="26"/>
        <v>205</v>
      </c>
      <c r="U17" s="284">
        <f>SUMIFS('Checking Transaction Log'!$E:$E,'Checking Transaction Log'!$C:$C,"&gt;="&amp;U1,'Checking Transaction Log'!$C:$C,"&lt;="&amp;V1,'Checking Transaction Log'!$A:$A,"F",'Checking Transaction Log'!$B:$B,12)</f>
        <v>0</v>
      </c>
      <c r="V17" s="284">
        <f t="shared" si="27"/>
        <v>205</v>
      </c>
      <c r="W17" s="247">
        <f>SUMIFS('Checking Transaction Log'!$E:$E,'Checking Transaction Log'!$C:$C,"&gt;="&amp;W1,'Checking Transaction Log'!$C:$C,"&lt;="&amp;X1,'Checking Transaction Log'!$A:$A,"F",'Checking Transaction Log'!$B:$B,12)</f>
        <v>0</v>
      </c>
      <c r="X17" s="247">
        <f t="shared" si="28"/>
        <v>205</v>
      </c>
      <c r="Y17" s="287">
        <f>SUMIFS('Checking Transaction Log'!$E:$E,'Checking Transaction Log'!$C:$C,"&gt;="&amp;Y1,'Checking Transaction Log'!$C:$C,"&lt;="&amp;Z1,'Checking Transaction Log'!$A:$A,"F",'Checking Transaction Log'!$B:$B,12)</f>
        <v>0</v>
      </c>
      <c r="Z17" s="287">
        <f t="shared" si="29"/>
        <v>205</v>
      </c>
      <c r="AA17" s="289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89">
        <f t="shared" si="30"/>
        <v>205</v>
      </c>
      <c r="AC17" s="291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91">
        <f t="shared" si="31"/>
        <v>205</v>
      </c>
      <c r="AE17" s="293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93">
        <f t="shared" si="32"/>
        <v>205</v>
      </c>
    </row>
    <row r="18" spans="1:32" ht="11.25" customHeight="1" x14ac:dyDescent="0.3">
      <c r="A18" s="295" t="str">
        <f>'Proposed Budget'!A18</f>
        <v>F</v>
      </c>
      <c r="B18" s="266">
        <f>'Proposed Budget'!B18</f>
        <v>13</v>
      </c>
      <c r="C18" s="298" t="str">
        <f>'Proposed Budget'!C18</f>
        <v>First Energy</v>
      </c>
      <c r="D18" s="299">
        <f t="shared" ca="1" si="17"/>
        <v>156.38150149253735</v>
      </c>
      <c r="E18" s="300">
        <f t="shared" si="18"/>
        <v>688.86000000000013</v>
      </c>
      <c r="F18" s="300">
        <f t="shared" si="19"/>
        <v>153.32</v>
      </c>
      <c r="G18" s="280">
        <f t="shared" si="20"/>
        <v>0.18205134294331371</v>
      </c>
      <c r="H18" s="300">
        <f>'Proposed Budget'!D18</f>
        <v>180</v>
      </c>
      <c r="I18" s="281">
        <f>SUMIFS('Checking Transaction Log'!E:E,'Checking Transaction Log'!C:C,"&gt;="&amp;I1,'Checking Transaction Log'!C:C,"&lt;="&amp;J1,'Checking Transaction Log'!A:A,"F",'Checking Transaction Log'!B:B,13)</f>
        <v>167.42</v>
      </c>
      <c r="J18" s="281">
        <f t="shared" si="21"/>
        <v>12.580000000000013</v>
      </c>
      <c r="K18" s="243">
        <f>SUMIFS('Checking Transaction Log'!E:E,'Checking Transaction Log'!C:C,"&gt;="&amp;K1,'Checking Transaction Log'!C:C,"&lt;="&amp;L1,'Checking Transaction Log'!A:A,"F",'Checking Transaction Log'!B:B,13)</f>
        <v>159.35</v>
      </c>
      <c r="L18" s="243">
        <f t="shared" si="22"/>
        <v>20.650000000000006</v>
      </c>
      <c r="M18" s="284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84">
        <f t="shared" si="23"/>
        <v>45.069999999999993</v>
      </c>
      <c r="O18" s="247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47">
        <f t="shared" si="24"/>
        <v>75.02</v>
      </c>
      <c r="Q18" s="281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81">
        <f t="shared" si="25"/>
        <v>57.819999999999993</v>
      </c>
      <c r="S18" s="243">
        <f>SUMIFS('Checking Transaction Log'!$E:$E,'Checking Transaction Log'!$C:$C,"&gt;="&amp;S1,'Checking Transaction Log'!$C:$C,"&lt;="&amp;T1,'Checking Transaction Log'!$A:$A,"F",'Checking Transaction Log'!$B:$B,13)</f>
        <v>0</v>
      </c>
      <c r="T18" s="243">
        <f t="shared" si="26"/>
        <v>180</v>
      </c>
      <c r="U18" s="284">
        <f>SUMIFS('Checking Transaction Log'!$E:$E,'Checking Transaction Log'!$C:$C,"&gt;="&amp;U1,'Checking Transaction Log'!$C:$C,"&lt;="&amp;V1,'Checking Transaction Log'!$A:$A,"F",'Checking Transaction Log'!$B:$B,13)</f>
        <v>0</v>
      </c>
      <c r="V18" s="284">
        <f t="shared" si="27"/>
        <v>180</v>
      </c>
      <c r="W18" s="247">
        <f>SUMIFS('Checking Transaction Log'!$E:$E,'Checking Transaction Log'!$C:$C,"&gt;="&amp;W1,'Checking Transaction Log'!$C:$C,"&lt;="&amp;X1,'Checking Transaction Log'!$A:$A,"F",'Checking Transaction Log'!$B:$B,13)</f>
        <v>0</v>
      </c>
      <c r="X18" s="247">
        <f t="shared" si="28"/>
        <v>180</v>
      </c>
      <c r="Y18" s="287">
        <f>SUMIFS('Checking Transaction Log'!$E:$E,'Checking Transaction Log'!$C:$C,"&gt;="&amp;Y1,'Checking Transaction Log'!$C:$C,"&lt;="&amp;Z1,'Checking Transaction Log'!$A:$A,"F",'Checking Transaction Log'!$B:$B,13)</f>
        <v>0</v>
      </c>
      <c r="Z18" s="287">
        <f t="shared" si="29"/>
        <v>180</v>
      </c>
      <c r="AA18" s="289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89">
        <f t="shared" si="30"/>
        <v>180</v>
      </c>
      <c r="AC18" s="291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91">
        <f t="shared" si="31"/>
        <v>180</v>
      </c>
      <c r="AE18" s="293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93">
        <f t="shared" si="32"/>
        <v>180</v>
      </c>
    </row>
    <row r="19" spans="1:32" ht="11.25" customHeight="1" x14ac:dyDescent="0.3">
      <c r="A19" s="295" t="str">
        <f>'Proposed Budget'!A19</f>
        <v>F</v>
      </c>
      <c r="B19" s="266">
        <f>'Proposed Budget'!B19</f>
        <v>14</v>
      </c>
      <c r="C19" s="298" t="str">
        <f>'Proposed Budget'!C19</f>
        <v>Vivint Home Security</v>
      </c>
      <c r="D19" s="299">
        <f t="shared" ca="1" si="17"/>
        <v>154.38604029850748</v>
      </c>
      <c r="E19" s="300">
        <f t="shared" si="18"/>
        <v>680.06999999999994</v>
      </c>
      <c r="F19" s="300">
        <f t="shared" si="19"/>
        <v>16.849999999999994</v>
      </c>
      <c r="G19" s="280">
        <f t="shared" si="20"/>
        <v>2.4177810939562727E-2</v>
      </c>
      <c r="H19" s="300">
        <f>'Proposed Budget'!D19</f>
        <v>140</v>
      </c>
      <c r="I19" s="281">
        <f>SUMIFS('Checking Transaction Log'!E:E,'Checking Transaction Log'!C:C,"&gt;="&amp;I1,'Checking Transaction Log'!C:C,"&lt;="&amp;J1,'Checking Transaction Log'!A:A,"F",'Checking Transaction Log'!B:B,14)</f>
        <v>135.41</v>
      </c>
      <c r="J19" s="281">
        <f t="shared" si="21"/>
        <v>4.5900000000000034</v>
      </c>
      <c r="K19" s="243">
        <f>SUMIFS('Checking Transaction Log'!E:E,'Checking Transaction Log'!C:C,"&gt;="&amp;K1,'Checking Transaction Log'!C:C,"&lt;="&amp;L1,'Checking Transaction Log'!A:A,"F",'Checking Transaction Log'!B:B,14)</f>
        <v>135.41</v>
      </c>
      <c r="L19" s="243">
        <f t="shared" si="22"/>
        <v>4.5900000000000034</v>
      </c>
      <c r="M19" s="284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84">
        <f t="shared" si="23"/>
        <v>4.5900000000000034</v>
      </c>
      <c r="O19" s="247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47">
        <f t="shared" si="24"/>
        <v>3.0799999999999841</v>
      </c>
      <c r="Q19" s="281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81">
        <f t="shared" si="25"/>
        <v>3.0799999999999841</v>
      </c>
      <c r="S19" s="243">
        <f>SUMIFS('Checking Transaction Log'!$E:$E,'Checking Transaction Log'!$C:$C,"&gt;="&amp;S1,'Checking Transaction Log'!$C:$C,"&lt;="&amp;T1,'Checking Transaction Log'!$A:$A,"F",'Checking Transaction Log'!$B:$B,14)</f>
        <v>0</v>
      </c>
      <c r="T19" s="243">
        <f t="shared" si="26"/>
        <v>140</v>
      </c>
      <c r="U19" s="284">
        <f>SUMIFS('Checking Transaction Log'!$E:$E,'Checking Transaction Log'!$C:$C,"&gt;="&amp;U1,'Checking Transaction Log'!$C:$C,"&lt;="&amp;V1,'Checking Transaction Log'!$A:$A,"F",'Checking Transaction Log'!$B:$B,14)</f>
        <v>0</v>
      </c>
      <c r="V19" s="284">
        <f t="shared" si="27"/>
        <v>140</v>
      </c>
      <c r="W19" s="247">
        <f>SUMIFS('Checking Transaction Log'!$E:$E,'Checking Transaction Log'!$C:$C,"&gt;="&amp;W1,'Checking Transaction Log'!$C:$C,"&lt;="&amp;X1,'Checking Transaction Log'!$A:$A,"F",'Checking Transaction Log'!$B:$B,14)</f>
        <v>0</v>
      </c>
      <c r="X19" s="247">
        <f t="shared" si="28"/>
        <v>140</v>
      </c>
      <c r="Y19" s="287">
        <f>SUMIFS('Checking Transaction Log'!$E:$E,'Checking Transaction Log'!$C:$C,"&gt;="&amp;Y1,'Checking Transaction Log'!$C:$C,"&lt;="&amp;Z1,'Checking Transaction Log'!$A:$A,"F",'Checking Transaction Log'!$B:$B,14)</f>
        <v>0</v>
      </c>
      <c r="Z19" s="287">
        <f t="shared" si="29"/>
        <v>140</v>
      </c>
      <c r="AA19" s="289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89">
        <f t="shared" si="30"/>
        <v>140</v>
      </c>
      <c r="AC19" s="291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91">
        <f t="shared" si="31"/>
        <v>140</v>
      </c>
      <c r="AE19" s="293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93">
        <f t="shared" si="32"/>
        <v>140</v>
      </c>
    </row>
    <row r="20" spans="1:32" ht="11.25" customHeight="1" x14ac:dyDescent="0.3">
      <c r="A20" s="295" t="str">
        <f>'Proposed Budget'!A20</f>
        <v>F</v>
      </c>
      <c r="B20" s="266">
        <f>'Proposed Budget'!B20</f>
        <v>15</v>
      </c>
      <c r="C20" s="298" t="str">
        <f>'Proposed Budget'!C20</f>
        <v>Columbia Gas</v>
      </c>
      <c r="D20" s="299">
        <f t="shared" ca="1" si="17"/>
        <v>142.31111641791045</v>
      </c>
      <c r="E20" s="300">
        <f t="shared" si="18"/>
        <v>626.88</v>
      </c>
      <c r="F20" s="300">
        <f t="shared" si="19"/>
        <v>-226.88</v>
      </c>
      <c r="G20" s="280">
        <f t="shared" si="20"/>
        <v>-0.56719999999999993</v>
      </c>
      <c r="H20" s="300">
        <f>'Proposed Budget'!D20</f>
        <v>100</v>
      </c>
      <c r="I20" s="281">
        <f>SUMIFS('Checking Transaction Log'!E:E,'Checking Transaction Log'!C:C,"&gt;="&amp;I1,'Checking Transaction Log'!C:C,"&lt;="&amp;J1,'Checking Transaction Log'!A:A,"F",'Checking Transaction Log'!B:B,15)</f>
        <v>132.4</v>
      </c>
      <c r="J20" s="281">
        <f t="shared" si="21"/>
        <v>-32.400000000000006</v>
      </c>
      <c r="K20" s="243">
        <f>SUMIFS('Checking Transaction Log'!E:E,'Checking Transaction Log'!C:C,"&gt;="&amp;K1,'Checking Transaction Log'!C:C,"&lt;="&amp;L1,'Checking Transaction Log'!A:A,"F",'Checking Transaction Log'!B:B,15)</f>
        <v>188.16</v>
      </c>
      <c r="L20" s="243">
        <f t="shared" si="22"/>
        <v>-88.16</v>
      </c>
      <c r="M20" s="284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84">
        <f t="shared" si="23"/>
        <v>-75.09</v>
      </c>
      <c r="O20" s="247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47">
        <f t="shared" si="24"/>
        <v>-31.22999999999999</v>
      </c>
      <c r="Q20" s="281">
        <f>SUMIFS('Checking Transaction Log'!$E:$E,'Checking Transaction Log'!$C:$C,"&gt;="&amp;Q1,'Checking Transaction Log'!$C:$C,"&lt;="&amp;R1,'Checking Transaction Log'!$A:$A,"F",'Checking Transaction Log'!$B:$B,15)</f>
        <v>0</v>
      </c>
      <c r="R20" s="281">
        <f t="shared" si="25"/>
        <v>100</v>
      </c>
      <c r="S20" s="243">
        <f>SUMIFS('Checking Transaction Log'!$E:$E,'Checking Transaction Log'!$C:$C,"&gt;="&amp;S1,'Checking Transaction Log'!$C:$C,"&lt;="&amp;T1,'Checking Transaction Log'!$A:$A,"F",'Checking Transaction Log'!$B:$B,15)</f>
        <v>0</v>
      </c>
      <c r="T20" s="243">
        <f t="shared" si="26"/>
        <v>100</v>
      </c>
      <c r="U20" s="284">
        <f>SUMIFS('Checking Transaction Log'!$E:$E,'Checking Transaction Log'!$C:$C,"&gt;="&amp;U1,'Checking Transaction Log'!$C:$C,"&lt;="&amp;V1,'Checking Transaction Log'!$A:$A,"F",'Checking Transaction Log'!$B:$B,15)</f>
        <v>0</v>
      </c>
      <c r="V20" s="284">
        <f t="shared" si="27"/>
        <v>100</v>
      </c>
      <c r="W20" s="247">
        <f>SUMIFS('Checking Transaction Log'!$E:$E,'Checking Transaction Log'!$C:$C,"&gt;="&amp;W1,'Checking Transaction Log'!$C:$C,"&lt;="&amp;X1,'Checking Transaction Log'!$A:$A,"F",'Checking Transaction Log'!$B:$B,15)</f>
        <v>0</v>
      </c>
      <c r="X20" s="247">
        <f t="shared" si="28"/>
        <v>100</v>
      </c>
      <c r="Y20" s="287">
        <f>SUMIFS('Checking Transaction Log'!$E:$E,'Checking Transaction Log'!$C:$C,"&gt;="&amp;Y1,'Checking Transaction Log'!$C:$C,"&lt;="&amp;Z1,'Checking Transaction Log'!$A:$A,"F",'Checking Transaction Log'!$B:$B,15)</f>
        <v>0</v>
      </c>
      <c r="Z20" s="287">
        <f t="shared" si="29"/>
        <v>100</v>
      </c>
      <c r="AA20" s="289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89">
        <f t="shared" si="30"/>
        <v>100</v>
      </c>
      <c r="AC20" s="291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91">
        <f t="shared" si="31"/>
        <v>100</v>
      </c>
      <c r="AE20" s="293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93">
        <f t="shared" si="32"/>
        <v>100</v>
      </c>
    </row>
    <row r="21" spans="1:32" ht="11.25" customHeight="1" x14ac:dyDescent="0.3">
      <c r="A21" s="295" t="str">
        <f>'Proposed Budget'!A21</f>
        <v>F</v>
      </c>
      <c r="B21" s="266">
        <f>'Proposed Budget'!B21</f>
        <v>16</v>
      </c>
      <c r="C21" s="298" t="str">
        <f>'Proposed Budget'!C21</f>
        <v>Medical Bills</v>
      </c>
      <c r="D21" s="299">
        <f t="shared" ca="1" si="17"/>
        <v>189.57108358208956</v>
      </c>
      <c r="E21" s="300">
        <f t="shared" si="18"/>
        <v>835.06</v>
      </c>
      <c r="F21" s="300">
        <f t="shared" si="19"/>
        <v>-835.06</v>
      </c>
      <c r="G21" s="280" t="e">
        <f t="shared" si="20"/>
        <v>#DIV/0!</v>
      </c>
      <c r="H21" s="300">
        <f>'Proposed Budget'!D21</f>
        <v>0</v>
      </c>
      <c r="I21" s="281">
        <f>SUMIFS('Checking Transaction Log'!E:E,'Checking Transaction Log'!C:C,"&gt;="&amp;I1,'Checking Transaction Log'!C:C,"&lt;="&amp;J1,'Checking Transaction Log'!A:A,"F",'Checking Transaction Log'!B:B,16)</f>
        <v>0</v>
      </c>
      <c r="J21" s="281">
        <f t="shared" si="21"/>
        <v>0</v>
      </c>
      <c r="K21" s="243">
        <f>SUMIFS('Checking Transaction Log'!E:E,'Checking Transaction Log'!C:C,"&gt;="&amp;K1,'Checking Transaction Log'!C:C,"&lt;="&amp;L1,'Checking Transaction Log'!A:A,"F",'Checking Transaction Log'!B:B,16)</f>
        <v>0</v>
      </c>
      <c r="L21" s="243">
        <f t="shared" si="22"/>
        <v>0</v>
      </c>
      <c r="M21" s="284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84">
        <f t="shared" si="23"/>
        <v>-820.06</v>
      </c>
      <c r="O21" s="247">
        <f>SUMIFS('Checking Transaction Log'!$E:$E,'Checking Transaction Log'!$C:$C,"&gt;="&amp;O1,'Checking Transaction Log'!$C:$C,"&lt;="&amp;P1,'Checking Transaction Log'!$A:$A,"F",'Checking Transaction Log'!$B:$B,16)</f>
        <v>15</v>
      </c>
      <c r="P21" s="247">
        <f t="shared" si="24"/>
        <v>-15</v>
      </c>
      <c r="Q21" s="281">
        <f>SUMIFS('Checking Transaction Log'!$E:$E,'Checking Transaction Log'!$C:$C,"&gt;="&amp;Q1,'Checking Transaction Log'!$C:$C,"&lt;="&amp;R1,'Checking Transaction Log'!$A:$A,"F",'Checking Transaction Log'!$B:$B,16)</f>
        <v>0</v>
      </c>
      <c r="R21" s="281">
        <f t="shared" si="25"/>
        <v>0</v>
      </c>
      <c r="S21" s="243">
        <f>SUMIFS('Checking Transaction Log'!$E:$E,'Checking Transaction Log'!$C:$C,"&gt;="&amp;S1,'Checking Transaction Log'!$C:$C,"&lt;="&amp;T1,'Checking Transaction Log'!$A:$A,"F",'Checking Transaction Log'!$B:$B,16)</f>
        <v>0</v>
      </c>
      <c r="T21" s="243">
        <f t="shared" si="26"/>
        <v>0</v>
      </c>
      <c r="U21" s="284">
        <f>SUMIFS('Checking Transaction Log'!$E:$E,'Checking Transaction Log'!$C:$C,"&gt;="&amp;U1,'Checking Transaction Log'!$C:$C,"&lt;="&amp;V1,'Checking Transaction Log'!$A:$A,"F",'Checking Transaction Log'!$B:$B,16)</f>
        <v>0</v>
      </c>
      <c r="V21" s="284">
        <f t="shared" si="27"/>
        <v>0</v>
      </c>
      <c r="W21" s="247">
        <f>SUMIFS('Checking Transaction Log'!$E:$E,'Checking Transaction Log'!$C:$C,"&gt;="&amp;W1,'Checking Transaction Log'!$C:$C,"&lt;="&amp;X1,'Checking Transaction Log'!$A:$A,"F",'Checking Transaction Log'!$B:$B,16)</f>
        <v>0</v>
      </c>
      <c r="X21" s="247">
        <f t="shared" si="28"/>
        <v>0</v>
      </c>
      <c r="Y21" s="287">
        <f>SUMIFS('Checking Transaction Log'!$E:$E,'Checking Transaction Log'!$C:$C,"&gt;="&amp;Y1,'Checking Transaction Log'!$C:$C,"&lt;="&amp;Z1,'Checking Transaction Log'!$A:$A,"F",'Checking Transaction Log'!$B:$B,16)</f>
        <v>0</v>
      </c>
      <c r="Z21" s="287">
        <f t="shared" si="29"/>
        <v>0</v>
      </c>
      <c r="AA21" s="289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89">
        <f t="shared" si="30"/>
        <v>0</v>
      </c>
      <c r="AC21" s="291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91">
        <f t="shared" si="31"/>
        <v>0</v>
      </c>
      <c r="AE21" s="293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93">
        <f t="shared" si="32"/>
        <v>0</v>
      </c>
    </row>
    <row r="22" spans="1:32" ht="11.25" customHeight="1" x14ac:dyDescent="0.3">
      <c r="A22" s="295" t="str">
        <f>'Proposed Budget'!A22</f>
        <v>F</v>
      </c>
      <c r="B22" s="266">
        <f>'Proposed Budget'!B22</f>
        <v>17</v>
      </c>
      <c r="C22" s="298" t="str">
        <f>'Proposed Budget'!C22</f>
        <v>Planet Fitness</v>
      </c>
      <c r="D22" s="299">
        <f t="shared" ca="1" si="17"/>
        <v>201.63011641791047</v>
      </c>
      <c r="E22" s="300">
        <f t="shared" si="18"/>
        <v>888.18000000000006</v>
      </c>
      <c r="F22" s="300">
        <f t="shared" si="19"/>
        <v>-209.18</v>
      </c>
      <c r="G22" s="280">
        <f t="shared" si="20"/>
        <v>-0.30807069219440364</v>
      </c>
      <c r="H22" s="300">
        <f>'Proposed Budget'!D22</f>
        <v>145</v>
      </c>
      <c r="I22" s="281">
        <f>SUMIFS('Checking Transaction Log'!E:E,'Checking Transaction Log'!C:C,"&gt;="&amp;I1,'Checking Transaction Log'!C:C,"&lt;="&amp;J1,'Checking Transaction Log'!A:A,"F",'Checking Transaction Log'!B:B,17)</f>
        <v>281.25</v>
      </c>
      <c r="J22" s="281">
        <f t="shared" si="21"/>
        <v>-136.25</v>
      </c>
      <c r="K22" s="243">
        <f>SUMIFS('Checking Transaction Log'!E:E,'Checking Transaction Log'!C:C,"&gt;="&amp;K1,'Checking Transaction Log'!C:C,"&lt;="&amp;L1,'Checking Transaction Log'!A:A,"F",'Checking Transaction Log'!B:B,17)</f>
        <v>183.19</v>
      </c>
      <c r="L22" s="243">
        <f t="shared" si="22"/>
        <v>-38.19</v>
      </c>
      <c r="M22" s="284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84">
        <f t="shared" si="23"/>
        <v>-38.090000000000003</v>
      </c>
      <c r="O22" s="247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47">
        <f t="shared" si="24"/>
        <v>3.3499999999999943</v>
      </c>
      <c r="Q22" s="281">
        <f>SUMIFS('Checking Transaction Log'!$E:$E,'Checking Transaction Log'!$C:$C,"&gt;="&amp;Q1,'Checking Transaction Log'!$C:$C,"&lt;="&amp;R1,'Checking Transaction Log'!$A:$A,"F",'Checking Transaction Log'!$B:$B,17)</f>
        <v>99</v>
      </c>
      <c r="R22" s="281">
        <f t="shared" si="25"/>
        <v>46</v>
      </c>
      <c r="S22" s="243">
        <f>SUMIFS('Checking Transaction Log'!$E:$E,'Checking Transaction Log'!$C:$C,"&gt;="&amp;S1,'Checking Transaction Log'!$C:$C,"&lt;="&amp;T1,'Checking Transaction Log'!$A:$A,"F",'Checking Transaction Log'!$B:$B,17)</f>
        <v>0</v>
      </c>
      <c r="T22" s="243">
        <f t="shared" si="26"/>
        <v>145</v>
      </c>
      <c r="U22" s="284">
        <f>SUMIFS('Checking Transaction Log'!$E:$E,'Checking Transaction Log'!$C:$C,"&gt;="&amp;U1,'Checking Transaction Log'!$C:$C,"&lt;="&amp;V1,'Checking Transaction Log'!$A:$A,"F",'Checking Transaction Log'!$B:$B,17)</f>
        <v>0</v>
      </c>
      <c r="V22" s="284">
        <f t="shared" si="27"/>
        <v>145</v>
      </c>
      <c r="W22" s="247">
        <f>SUMIFS('Checking Transaction Log'!$E:$E,'Checking Transaction Log'!$C:$C,"&gt;="&amp;W1,'Checking Transaction Log'!$C:$C,"&lt;="&amp;X1,'Checking Transaction Log'!$A:$A,"F",'Checking Transaction Log'!$B:$B,17)</f>
        <v>0</v>
      </c>
      <c r="X22" s="247">
        <f t="shared" si="28"/>
        <v>145</v>
      </c>
      <c r="Y22" s="287">
        <f>SUMIFS('Checking Transaction Log'!$E:$E,'Checking Transaction Log'!$C:$C,"&gt;="&amp;Y1,'Checking Transaction Log'!$C:$C,"&lt;="&amp;Z1,'Checking Transaction Log'!$A:$A,"F",'Checking Transaction Log'!$B:$B,17)</f>
        <v>0</v>
      </c>
      <c r="Z22" s="287">
        <f t="shared" si="29"/>
        <v>145</v>
      </c>
      <c r="AA22" s="289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89">
        <f t="shared" si="30"/>
        <v>145</v>
      </c>
      <c r="AC22" s="291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91">
        <f t="shared" si="31"/>
        <v>145</v>
      </c>
      <c r="AE22" s="293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93">
        <f t="shared" si="32"/>
        <v>145</v>
      </c>
    </row>
    <row r="23" spans="1:32" ht="11.25" customHeight="1" x14ac:dyDescent="0.3">
      <c r="A23" s="295" t="str">
        <f>'Proposed Budget'!A23</f>
        <v>F</v>
      </c>
      <c r="B23" s="266">
        <f>'Proposed Budget'!B23</f>
        <v>18</v>
      </c>
      <c r="C23" s="298" t="str">
        <f>'Proposed Budget'!C23</f>
        <v>Lowes Rewards</v>
      </c>
      <c r="D23" s="299">
        <f t="shared" ca="1" si="17"/>
        <v>454.02985074626872</v>
      </c>
      <c r="E23" s="300">
        <f t="shared" si="18"/>
        <v>2000</v>
      </c>
      <c r="F23" s="300">
        <f t="shared" si="19"/>
        <v>0</v>
      </c>
      <c r="G23" s="280">
        <f t="shared" si="20"/>
        <v>0</v>
      </c>
      <c r="H23" s="300">
        <f>'Proposed Budget'!D23</f>
        <v>400</v>
      </c>
      <c r="I23" s="281">
        <f>SUMIFS('Checking Transaction Log'!E:E,'Checking Transaction Log'!C:C,"&gt;="&amp;I1,'Checking Transaction Log'!C:C,"&lt;="&amp;J1,'Checking Transaction Log'!A:A,"F",'Checking Transaction Log'!B:B,18)</f>
        <v>400</v>
      </c>
      <c r="J23" s="281">
        <f t="shared" si="21"/>
        <v>0</v>
      </c>
      <c r="K23" s="243">
        <f>SUMIFS('Checking Transaction Log'!E:E,'Checking Transaction Log'!C:C,"&gt;="&amp;K1,'Checking Transaction Log'!C:C,"&lt;="&amp;L1,'Checking Transaction Log'!A:A,"F",'Checking Transaction Log'!B:B,18)</f>
        <v>400</v>
      </c>
      <c r="L23" s="243">
        <f t="shared" si="22"/>
        <v>0</v>
      </c>
      <c r="M23" s="284">
        <f>SUMIFS('Checking Transaction Log'!$E:$E,'Checking Transaction Log'!$C:$C,"&gt;="&amp;M1,'Checking Transaction Log'!$C:$C,"&lt;="&amp;N1,'Checking Transaction Log'!$A:$A,"F",'Checking Transaction Log'!$B:$B,18)</f>
        <v>400</v>
      </c>
      <c r="N23" s="284">
        <f t="shared" si="23"/>
        <v>0</v>
      </c>
      <c r="O23" s="247">
        <f>SUMIFS('Checking Transaction Log'!$E:$E,'Checking Transaction Log'!$C:$C,"&gt;="&amp;O1,'Checking Transaction Log'!$C:$C,"&lt;="&amp;P1,'Checking Transaction Log'!$A:$A,"F",'Checking Transaction Log'!$B:$B,18)</f>
        <v>400</v>
      </c>
      <c r="P23" s="247">
        <f t="shared" si="24"/>
        <v>0</v>
      </c>
      <c r="Q23" s="281">
        <f>SUMIFS('Checking Transaction Log'!$E:$E,'Checking Transaction Log'!$C:$C,"&gt;="&amp;Q1,'Checking Transaction Log'!$C:$C,"&lt;="&amp;R1,'Checking Transaction Log'!$A:$A,"F",'Checking Transaction Log'!$B:$B,18)</f>
        <v>400</v>
      </c>
      <c r="R23" s="281">
        <f t="shared" si="25"/>
        <v>0</v>
      </c>
      <c r="S23" s="243">
        <f>SUMIFS('Checking Transaction Log'!$E:$E,'Checking Transaction Log'!$C:$C,"&gt;="&amp;S1,'Checking Transaction Log'!$C:$C,"&lt;="&amp;T1,'Checking Transaction Log'!$A:$A,"F",'Checking Transaction Log'!$B:$B,18)</f>
        <v>0</v>
      </c>
      <c r="T23" s="243">
        <f t="shared" si="26"/>
        <v>400</v>
      </c>
      <c r="U23" s="284">
        <f>SUMIFS('Checking Transaction Log'!$E:$E,'Checking Transaction Log'!$C:$C,"&gt;="&amp;U1,'Checking Transaction Log'!$C:$C,"&lt;="&amp;V1,'Checking Transaction Log'!$A:$A,"F",'Checking Transaction Log'!$B:$B,18)</f>
        <v>0</v>
      </c>
      <c r="V23" s="284">
        <f t="shared" si="27"/>
        <v>400</v>
      </c>
      <c r="W23" s="247">
        <f>SUMIFS('Checking Transaction Log'!$E:$E,'Checking Transaction Log'!$C:$C,"&gt;="&amp;W1,'Checking Transaction Log'!$C:$C,"&lt;="&amp;X1,'Checking Transaction Log'!$A:$A,"F",'Checking Transaction Log'!$B:$B,18)</f>
        <v>0</v>
      </c>
      <c r="X23" s="247">
        <f t="shared" si="28"/>
        <v>400</v>
      </c>
      <c r="Y23" s="287">
        <f>SUMIFS('Checking Transaction Log'!$E:$E,'Checking Transaction Log'!$C:$C,"&gt;="&amp;Y1,'Checking Transaction Log'!$C:$C,"&lt;="&amp;Z1,'Checking Transaction Log'!$A:$A,"F",'Checking Transaction Log'!$B:$B,18)</f>
        <v>0</v>
      </c>
      <c r="Z23" s="287">
        <f t="shared" si="29"/>
        <v>400</v>
      </c>
      <c r="AA23" s="289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89">
        <f t="shared" si="30"/>
        <v>400</v>
      </c>
      <c r="AC23" s="291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91">
        <f t="shared" si="31"/>
        <v>400</v>
      </c>
      <c r="AE23" s="293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93">
        <f t="shared" si="32"/>
        <v>400</v>
      </c>
    </row>
    <row r="24" spans="1:32" ht="11.25" customHeight="1" x14ac:dyDescent="0.3">
      <c r="A24" s="295" t="str">
        <f>'Proposed Budget'!A24</f>
        <v>F</v>
      </c>
      <c r="B24" s="266">
        <f>'Proposed Budget'!B24</f>
        <v>19</v>
      </c>
      <c r="C24" s="298" t="str">
        <f>'Proposed Budget'!C24</f>
        <v>Wells Fargo - Pool</v>
      </c>
      <c r="D24" s="299">
        <f t="shared" ca="1" si="17"/>
        <v>227.01492537313436</v>
      </c>
      <c r="E24" s="300">
        <f t="shared" si="18"/>
        <v>1000</v>
      </c>
      <c r="F24" s="300">
        <f t="shared" si="19"/>
        <v>0</v>
      </c>
      <c r="G24" s="280">
        <f t="shared" si="20"/>
        <v>0</v>
      </c>
      <c r="H24" s="300">
        <f>'Proposed Budget'!D24</f>
        <v>200</v>
      </c>
      <c r="I24" s="281">
        <f>SUMIFS('Checking Transaction Log'!E:E,'Checking Transaction Log'!C:C,"&gt;="&amp;I1,'Checking Transaction Log'!C:C,"&lt;="&amp;J1,'Checking Transaction Log'!A:A,"F",'Checking Transaction Log'!B:B,19)</f>
        <v>200</v>
      </c>
      <c r="J24" s="281">
        <f t="shared" si="21"/>
        <v>0</v>
      </c>
      <c r="K24" s="243">
        <f>SUMIFS('Checking Transaction Log'!E:E,'Checking Transaction Log'!C:C,"&gt;="&amp;K1,'Checking Transaction Log'!C:C,"&lt;="&amp;L1,'Checking Transaction Log'!A:A,"F",'Checking Transaction Log'!B:B,19)</f>
        <v>200</v>
      </c>
      <c r="L24" s="243">
        <f t="shared" si="22"/>
        <v>0</v>
      </c>
      <c r="M24" s="284">
        <f>SUMIFS('Checking Transaction Log'!$E:$E,'Checking Transaction Log'!$C:$C,"&gt;="&amp;M1,'Checking Transaction Log'!$C:$C,"&lt;="&amp;N1,'Checking Transaction Log'!$A:$A,"F",'Checking Transaction Log'!$B:$B,19)</f>
        <v>200</v>
      </c>
      <c r="N24" s="284">
        <f t="shared" si="23"/>
        <v>0</v>
      </c>
      <c r="O24" s="247">
        <f>SUMIFS('Checking Transaction Log'!$E:$E,'Checking Transaction Log'!$C:$C,"&gt;="&amp;O1,'Checking Transaction Log'!$C:$C,"&lt;="&amp;P1,'Checking Transaction Log'!$A:$A,"F",'Checking Transaction Log'!$B:$B,19)</f>
        <v>200</v>
      </c>
      <c r="P24" s="247">
        <f t="shared" si="24"/>
        <v>0</v>
      </c>
      <c r="Q24" s="281">
        <f>SUMIFS('Checking Transaction Log'!$E:$E,'Checking Transaction Log'!$C:$C,"&gt;="&amp;Q1,'Checking Transaction Log'!$C:$C,"&lt;="&amp;R1,'Checking Transaction Log'!$A:$A,"F",'Checking Transaction Log'!$B:$B,19)</f>
        <v>200</v>
      </c>
      <c r="R24" s="281">
        <f t="shared" si="25"/>
        <v>0</v>
      </c>
      <c r="S24" s="243">
        <f>SUMIFS('Checking Transaction Log'!$E:$E,'Checking Transaction Log'!$C:$C,"&gt;="&amp;S1,'Checking Transaction Log'!$C:$C,"&lt;="&amp;T1,'Checking Transaction Log'!$A:$A,"F",'Checking Transaction Log'!$B:$B,19)</f>
        <v>0</v>
      </c>
      <c r="T24" s="243">
        <f t="shared" si="26"/>
        <v>200</v>
      </c>
      <c r="U24" s="284">
        <f>SUMIFS('Checking Transaction Log'!$E:$E,'Checking Transaction Log'!$C:$C,"&gt;="&amp;U1,'Checking Transaction Log'!$C:$C,"&lt;="&amp;V1,'Checking Transaction Log'!$A:$A,"F",'Checking Transaction Log'!$B:$B,19)</f>
        <v>0</v>
      </c>
      <c r="V24" s="284">
        <f t="shared" si="27"/>
        <v>200</v>
      </c>
      <c r="W24" s="247">
        <f>SUMIFS('Checking Transaction Log'!$E:$E,'Checking Transaction Log'!$C:$C,"&gt;="&amp;W1,'Checking Transaction Log'!$C:$C,"&lt;="&amp;X1,'Checking Transaction Log'!$A:$A,"F",'Checking Transaction Log'!$B:$B,19)</f>
        <v>0</v>
      </c>
      <c r="X24" s="247">
        <f t="shared" si="28"/>
        <v>200</v>
      </c>
      <c r="Y24" s="287">
        <f>SUMIFS('Checking Transaction Log'!$E:$E,'Checking Transaction Log'!$C:$C,"&gt;="&amp;Y1,'Checking Transaction Log'!$C:$C,"&lt;="&amp;Z1,'Checking Transaction Log'!$A:$A,"F",'Checking Transaction Log'!$B:$B,19)</f>
        <v>0</v>
      </c>
      <c r="Z24" s="287">
        <f t="shared" si="29"/>
        <v>200</v>
      </c>
      <c r="AA24" s="289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89">
        <f t="shared" si="30"/>
        <v>200</v>
      </c>
      <c r="AC24" s="291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91">
        <f t="shared" si="31"/>
        <v>200</v>
      </c>
      <c r="AE24" s="293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93">
        <f t="shared" si="32"/>
        <v>200</v>
      </c>
    </row>
    <row r="25" spans="1:32" ht="11.25" customHeight="1" x14ac:dyDescent="0.3">
      <c r="A25" s="295" t="str">
        <f>'Proposed Budget'!A25</f>
        <v>F</v>
      </c>
      <c r="B25" s="266">
        <f>'Proposed Budget'!B25</f>
        <v>20</v>
      </c>
      <c r="C25" s="298" t="str">
        <f>'Proposed Budget'!C25</f>
        <v>Wells Fargo - Deck</v>
      </c>
      <c r="D25" s="299">
        <f t="shared" ca="1" si="17"/>
        <v>0</v>
      </c>
      <c r="E25" s="300">
        <f t="shared" si="18"/>
        <v>0</v>
      </c>
      <c r="F25" s="300">
        <f t="shared" si="19"/>
        <v>2400</v>
      </c>
      <c r="G25" s="280">
        <f t="shared" si="20"/>
        <v>1</v>
      </c>
      <c r="H25" s="300">
        <f>'Proposed Budget'!D25</f>
        <v>600</v>
      </c>
      <c r="I25" s="281">
        <f>SUMIFS('Checking Transaction Log'!E:E,'Checking Transaction Log'!C:C,"&gt;="&amp;I1,'Checking Transaction Log'!C:C,"&lt;="&amp;J1,'Checking Transaction Log'!A:A,"F",'Checking Transaction Log'!B:B,20)</f>
        <v>0</v>
      </c>
      <c r="J25" s="281">
        <f t="shared" si="21"/>
        <v>600</v>
      </c>
      <c r="K25" s="243">
        <f>SUMIFS('Checking Transaction Log'!E:E,'Checking Transaction Log'!C:C,"&gt;="&amp;K1,'Checking Transaction Log'!C:C,"&lt;="&amp;L1,'Checking Transaction Log'!A:A,"F",'Checking Transaction Log'!B:B,20)</f>
        <v>0</v>
      </c>
      <c r="L25" s="243">
        <f t="shared" si="22"/>
        <v>600</v>
      </c>
      <c r="M25" s="284">
        <f>SUMIFS('Checking Transaction Log'!$E:$E,'Checking Transaction Log'!$C:$C,"&gt;="&amp;M1,'Checking Transaction Log'!$C:$C,"&lt;="&amp;N1,'Checking Transaction Log'!$A:$A,"F",'Checking Transaction Log'!$B:$B,20)</f>
        <v>0</v>
      </c>
      <c r="N25" s="284">
        <f t="shared" si="23"/>
        <v>600</v>
      </c>
      <c r="O25" s="247">
        <f>SUMIFS('Checking Transaction Log'!$E:$E,'Checking Transaction Log'!$C:$C,"&gt;="&amp;O1,'Checking Transaction Log'!$C:$C,"&lt;="&amp;P1,'Checking Transaction Log'!$A:$A,"F",'Checking Transaction Log'!$B:$B,20)</f>
        <v>0</v>
      </c>
      <c r="P25" s="247">
        <f t="shared" si="24"/>
        <v>600</v>
      </c>
      <c r="Q25" s="281">
        <f>SUMIFS('Checking Transaction Log'!$E:$E,'Checking Transaction Log'!$C:$C,"&gt;="&amp;Q1,'Checking Transaction Log'!$C:$C,"&lt;="&amp;R1,'Checking Transaction Log'!$A:$A,"F",'Checking Transaction Log'!$B:$B,20)</f>
        <v>0</v>
      </c>
      <c r="R25" s="281">
        <f t="shared" si="25"/>
        <v>600</v>
      </c>
      <c r="S25" s="243">
        <f>SUMIFS('Checking Transaction Log'!$E:$E,'Checking Transaction Log'!$C:$C,"&gt;="&amp;S1,'Checking Transaction Log'!$C:$C,"&lt;="&amp;T1,'Checking Transaction Log'!$A:$A,"F",'Checking Transaction Log'!$B:$B,20)</f>
        <v>0</v>
      </c>
      <c r="T25" s="243">
        <f t="shared" si="26"/>
        <v>600</v>
      </c>
      <c r="U25" s="284">
        <f>SUMIFS('Checking Transaction Log'!$E:$E,'Checking Transaction Log'!$C:$C,"&gt;="&amp;U1,'Checking Transaction Log'!$C:$C,"&lt;="&amp;V1,'Checking Transaction Log'!$A:$A,"F",'Checking Transaction Log'!$B:$B,20)</f>
        <v>0</v>
      </c>
      <c r="V25" s="284">
        <f t="shared" si="27"/>
        <v>600</v>
      </c>
      <c r="W25" s="247">
        <f>SUMIFS('Checking Transaction Log'!$E:$E,'Checking Transaction Log'!$C:$C,"&gt;="&amp;W1,'Checking Transaction Log'!$C:$C,"&lt;="&amp;X1,'Checking Transaction Log'!$A:$A,"F",'Checking Transaction Log'!$B:$B,20)</f>
        <v>0</v>
      </c>
      <c r="X25" s="247">
        <f t="shared" si="28"/>
        <v>600</v>
      </c>
      <c r="Y25" s="287">
        <f>SUMIFS('Checking Transaction Log'!$E:$E,'Checking Transaction Log'!$C:$C,"&gt;="&amp;Y1,'Checking Transaction Log'!$C:$C,"&lt;="&amp;Z1,'Checking Transaction Log'!$A:$A,"F",'Checking Transaction Log'!$B:$B,20)</f>
        <v>0</v>
      </c>
      <c r="Z25" s="287">
        <f t="shared" si="29"/>
        <v>600</v>
      </c>
      <c r="AA25" s="289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89">
        <f t="shared" si="30"/>
        <v>600</v>
      </c>
      <c r="AC25" s="291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91">
        <f t="shared" si="31"/>
        <v>600</v>
      </c>
      <c r="AE25" s="293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93">
        <f t="shared" si="32"/>
        <v>600</v>
      </c>
    </row>
    <row r="26" spans="1:32" ht="11.25" customHeight="1" x14ac:dyDescent="0.3">
      <c r="A26" s="295" t="str">
        <f>'Proposed Budget'!A26</f>
        <v>F</v>
      </c>
      <c r="B26" s="266">
        <f>'Proposed Budget'!B26</f>
        <v>21</v>
      </c>
      <c r="C26" s="298" t="str">
        <f>'Proposed Budget'!C26</f>
        <v>Massage Envy</v>
      </c>
      <c r="D26" s="299">
        <f t="shared" ca="1" si="17"/>
        <v>91.046605970149244</v>
      </c>
      <c r="E26" s="300">
        <f t="shared" si="18"/>
        <v>401.05999999999995</v>
      </c>
      <c r="F26" s="300">
        <f t="shared" si="19"/>
        <v>-61.059999999999988</v>
      </c>
      <c r="G26" s="280">
        <f t="shared" si="20"/>
        <v>-0.1795882352941176</v>
      </c>
      <c r="H26" s="300">
        <f>'Proposed Budget'!D26</f>
        <v>85</v>
      </c>
      <c r="I26" s="281">
        <f>SUMIFS('Checking Transaction Log'!E:E,'Checking Transaction Log'!C:C,"&gt;="&amp;I1,'Checking Transaction Log'!C:C,"&lt;="&amp;J1,'Checking Transaction Log'!A:A,"F",'Checking Transaction Log'!B:B,21)</f>
        <v>100.79</v>
      </c>
      <c r="J26" s="281">
        <f t="shared" si="21"/>
        <v>-15.790000000000006</v>
      </c>
      <c r="K26" s="243">
        <f>SUMIFS('Checking Transaction Log'!E:E,'Checking Transaction Log'!C:C,"&gt;="&amp;K1,'Checking Transaction Log'!C:C,"&lt;="&amp;L1,'Checking Transaction Log'!A:A,"F",'Checking Transaction Log'!B:B,21)</f>
        <v>108.35</v>
      </c>
      <c r="L26" s="243">
        <f t="shared" si="22"/>
        <v>-23.349999999999994</v>
      </c>
      <c r="M26" s="284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84">
        <f t="shared" si="23"/>
        <v>-31.319999999999993</v>
      </c>
      <c r="O26" s="247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47">
        <f t="shared" si="24"/>
        <v>9.4000000000000057</v>
      </c>
      <c r="Q26" s="281">
        <f>SUMIFS('Checking Transaction Log'!$E:$E,'Checking Transaction Log'!$C:$C,"&gt;="&amp;Q1,'Checking Transaction Log'!$C:$C,"&lt;="&amp;R1,'Checking Transaction Log'!$A:$A,"F",'Checking Transaction Log'!$B:$B,21)</f>
        <v>0</v>
      </c>
      <c r="R26" s="281">
        <f t="shared" si="25"/>
        <v>85</v>
      </c>
      <c r="S26" s="243">
        <f>SUMIFS('Checking Transaction Log'!$E:$E,'Checking Transaction Log'!$C:$C,"&gt;="&amp;S1,'Checking Transaction Log'!$C:$C,"&lt;="&amp;T1,'Checking Transaction Log'!$A:$A,"F",'Checking Transaction Log'!$B:$B,21)</f>
        <v>0</v>
      </c>
      <c r="T26" s="243">
        <f t="shared" si="26"/>
        <v>85</v>
      </c>
      <c r="U26" s="284">
        <f>SUMIFS('Checking Transaction Log'!$E:$E,'Checking Transaction Log'!$C:$C,"&gt;="&amp;U1,'Checking Transaction Log'!$C:$C,"&lt;="&amp;V1,'Checking Transaction Log'!$A:$A,"F",'Checking Transaction Log'!$B:$B,21)</f>
        <v>0</v>
      </c>
      <c r="V26" s="284">
        <f t="shared" si="27"/>
        <v>85</v>
      </c>
      <c r="W26" s="247">
        <f>SUMIFS('Checking Transaction Log'!$E:$E,'Checking Transaction Log'!$C:$C,"&gt;="&amp;W1,'Checking Transaction Log'!$C:$C,"&lt;="&amp;X1,'Checking Transaction Log'!$A:$A,"F",'Checking Transaction Log'!$B:$B,21)</f>
        <v>0</v>
      </c>
      <c r="X26" s="247">
        <f t="shared" si="28"/>
        <v>85</v>
      </c>
      <c r="Y26" s="287">
        <f>SUMIFS('Checking Transaction Log'!$E:$E,'Checking Transaction Log'!$C:$C,"&gt;="&amp;Y1,'Checking Transaction Log'!$C:$C,"&lt;="&amp;Z1,'Checking Transaction Log'!$A:$A,"F",'Checking Transaction Log'!$B:$B,21)</f>
        <v>0</v>
      </c>
      <c r="Z26" s="287">
        <f t="shared" si="29"/>
        <v>85</v>
      </c>
      <c r="AA26" s="289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89">
        <f t="shared" si="30"/>
        <v>85</v>
      </c>
      <c r="AC26" s="291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91">
        <f t="shared" si="31"/>
        <v>85</v>
      </c>
      <c r="AE26" s="293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93">
        <f t="shared" si="32"/>
        <v>85</v>
      </c>
    </row>
    <row r="27" spans="1:32" ht="11.25" customHeight="1" x14ac:dyDescent="0.3">
      <c r="A27" s="295" t="str">
        <f>'Proposed Budget'!A27</f>
        <v>F</v>
      </c>
      <c r="B27" s="266">
        <f>'Proposed Budget'!B27</f>
        <v>22</v>
      </c>
      <c r="C27" s="298" t="str">
        <f>'Proposed Budget'!C27</f>
        <v>Streaming/Music</v>
      </c>
      <c r="D27" s="299">
        <f t="shared" ca="1" si="17"/>
        <v>112.60394328358208</v>
      </c>
      <c r="E27" s="300">
        <f t="shared" si="18"/>
        <v>496.02</v>
      </c>
      <c r="F27" s="300">
        <f t="shared" si="19"/>
        <v>-41.759999999999977</v>
      </c>
      <c r="G27" s="280">
        <f t="shared" si="20"/>
        <v>-9.1929731871615461E-2</v>
      </c>
      <c r="H27" s="300">
        <f>'Proposed Budget'!D27</f>
        <v>100</v>
      </c>
      <c r="I27" s="281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81">
        <f t="shared" si="21"/>
        <v>-118.26999999999998</v>
      </c>
      <c r="K27" s="243">
        <f>SUMIFS('Checking Transaction Log'!E:E,'Checking Transaction Log'!C:C,"&gt;="&amp;K1,'Checking Transaction Log'!C:C,"&lt;="&amp;L1,'Checking Transaction Log'!A:A,"F",'Checking Transaction Log'!B:B,22)</f>
        <v>67.05</v>
      </c>
      <c r="L27" s="243">
        <f t="shared" si="22"/>
        <v>32.950000000000003</v>
      </c>
      <c r="M27" s="284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84">
        <f t="shared" si="23"/>
        <v>20.180000000000007</v>
      </c>
      <c r="O27" s="247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47">
        <f t="shared" si="24"/>
        <v>23.379999999999995</v>
      </c>
      <c r="Q27" s="281">
        <f>SUMIFS('Checking Transaction Log'!$E:$E,'Checking Transaction Log'!$C:$C,"&gt;="&amp;Q1,'Checking Transaction Log'!$C:$C,"&lt;="&amp;R1,'Checking Transaction Log'!$A:$A,"F",'Checking Transaction Log'!$B:$B,22)</f>
        <v>54.26</v>
      </c>
      <c r="R27" s="281">
        <f t="shared" si="25"/>
        <v>45.74</v>
      </c>
      <c r="S27" s="243">
        <f>SUMIFS('Checking Transaction Log'!$E:$E,'Checking Transaction Log'!$C:$C,"&gt;="&amp;S1,'Checking Transaction Log'!$C:$C,"&lt;="&amp;T1,'Checking Transaction Log'!$A:$A,"F",'Checking Transaction Log'!$B:$B,22)</f>
        <v>0</v>
      </c>
      <c r="T27" s="243">
        <f t="shared" si="26"/>
        <v>100</v>
      </c>
      <c r="U27" s="284">
        <f>SUMIFS('Checking Transaction Log'!$E:$E,'Checking Transaction Log'!$C:$C,"&gt;="&amp;U1,'Checking Transaction Log'!$C:$C,"&lt;="&amp;V1,'Checking Transaction Log'!$A:$A,"F",'Checking Transaction Log'!$B:$B,22)</f>
        <v>0</v>
      </c>
      <c r="V27" s="284">
        <f t="shared" si="27"/>
        <v>100</v>
      </c>
      <c r="W27" s="247">
        <f>SUMIFS('Checking Transaction Log'!$E:$E,'Checking Transaction Log'!$C:$C,"&gt;="&amp;W1,'Checking Transaction Log'!$C:$C,"&lt;="&amp;X1,'Checking Transaction Log'!$A:$A,"F",'Checking Transaction Log'!$B:$B,22)</f>
        <v>0</v>
      </c>
      <c r="X27" s="247">
        <f t="shared" si="28"/>
        <v>100</v>
      </c>
      <c r="Y27" s="287">
        <f>SUMIFS('Checking Transaction Log'!$E:$E,'Checking Transaction Log'!$C:$C,"&gt;="&amp;Y1,'Checking Transaction Log'!$C:$C,"&lt;="&amp;Z1,'Checking Transaction Log'!$A:$A,"F",'Checking Transaction Log'!$B:$B,22)</f>
        <v>0</v>
      </c>
      <c r="Z27" s="287">
        <f t="shared" si="29"/>
        <v>100</v>
      </c>
      <c r="AA27" s="289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89">
        <f t="shared" si="30"/>
        <v>100</v>
      </c>
      <c r="AC27" s="291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91">
        <f t="shared" si="31"/>
        <v>100</v>
      </c>
      <c r="AE27" s="293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93">
        <f t="shared" si="32"/>
        <v>100</v>
      </c>
    </row>
    <row r="28" spans="1:32" ht="11.25" customHeight="1" x14ac:dyDescent="0.3">
      <c r="A28" s="295" t="str">
        <f>'Proposed Budget'!A28</f>
        <v>F</v>
      </c>
      <c r="B28" s="266">
        <f>'Proposed Budget'!B28</f>
        <v>23</v>
      </c>
      <c r="C28" s="298" t="str">
        <f>'Proposed Budget'!C28</f>
        <v>GM Financial/Toyota</v>
      </c>
      <c r="D28" s="299">
        <f t="shared" ca="1" si="17"/>
        <v>1071.8191880597017</v>
      </c>
      <c r="E28" s="300">
        <f t="shared" si="18"/>
        <v>4721.3600000000006</v>
      </c>
      <c r="F28" s="300">
        <f t="shared" si="19"/>
        <v>78.639999999999418</v>
      </c>
      <c r="G28" s="280">
        <f t="shared" si="20"/>
        <v>1.6383333333333194E-2</v>
      </c>
      <c r="H28" s="300">
        <f>'Proposed Budget'!D28</f>
        <v>1200</v>
      </c>
      <c r="I28" s="281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81">
        <f t="shared" si="21"/>
        <v>19.659999999999854</v>
      </c>
      <c r="K28" s="243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43">
        <f t="shared" si="22"/>
        <v>19.659999999999854</v>
      </c>
      <c r="M28" s="284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84">
        <f t="shared" si="23"/>
        <v>19.659999999999854</v>
      </c>
      <c r="O28" s="247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47">
        <f t="shared" si="24"/>
        <v>19.659999999999854</v>
      </c>
      <c r="Q28" s="281">
        <f>SUMIFS('Checking Transaction Log'!$E:$E,'Checking Transaction Log'!$C:$C,"&gt;="&amp;Q1,'Checking Transaction Log'!$C:$C,"&lt;="&amp;R1,'Checking Transaction Log'!$A:$A,"F",'Checking Transaction Log'!$B:$B,23)</f>
        <v>0</v>
      </c>
      <c r="R28" s="281">
        <f t="shared" si="25"/>
        <v>1200</v>
      </c>
      <c r="S28" s="243">
        <f>SUMIFS('Checking Transaction Log'!$E:$E,'Checking Transaction Log'!$C:$C,"&gt;="&amp;S1,'Checking Transaction Log'!$C:$C,"&lt;="&amp;T1,'Checking Transaction Log'!$A:$A,"F",'Checking Transaction Log'!$B:$B,23)</f>
        <v>0</v>
      </c>
      <c r="T28" s="243">
        <f t="shared" si="26"/>
        <v>1200</v>
      </c>
      <c r="U28" s="284">
        <f>SUMIFS('Checking Transaction Log'!$E:$E,'Checking Transaction Log'!$C:$C,"&gt;="&amp;U1,'Checking Transaction Log'!$C:$C,"&lt;="&amp;V1,'Checking Transaction Log'!$A:$A,"F",'Checking Transaction Log'!$B:$B,23)</f>
        <v>0</v>
      </c>
      <c r="V28" s="284">
        <f t="shared" si="27"/>
        <v>1200</v>
      </c>
      <c r="W28" s="247">
        <f>SUMIFS('Checking Transaction Log'!$E:$E,'Checking Transaction Log'!$C:$C,"&gt;="&amp;W1,'Checking Transaction Log'!$C:$C,"&lt;="&amp;X1,'Checking Transaction Log'!$A:$A,"F",'Checking Transaction Log'!$B:$B,23)</f>
        <v>0</v>
      </c>
      <c r="X28" s="247">
        <f t="shared" si="28"/>
        <v>1200</v>
      </c>
      <c r="Y28" s="287">
        <f>SUMIFS('Checking Transaction Log'!$E:$E,'Checking Transaction Log'!$C:$C,"&gt;="&amp;Y1,'Checking Transaction Log'!$C:$C,"&lt;="&amp;Z1,'Checking Transaction Log'!$A:$A,"F",'Checking Transaction Log'!$B:$B,23)</f>
        <v>0</v>
      </c>
      <c r="Z28" s="287">
        <f t="shared" si="29"/>
        <v>1200</v>
      </c>
      <c r="AA28" s="289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89">
        <f t="shared" si="30"/>
        <v>1200</v>
      </c>
      <c r="AC28" s="291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91">
        <f t="shared" si="31"/>
        <v>1200</v>
      </c>
      <c r="AE28" s="293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93">
        <f t="shared" si="32"/>
        <v>1200</v>
      </c>
    </row>
    <row r="29" spans="1:32" ht="11.25" customHeight="1" x14ac:dyDescent="0.3">
      <c r="A29" s="295" t="str">
        <f>'Proposed Budget'!A29</f>
        <v>F</v>
      </c>
      <c r="B29" s="266">
        <f>'Proposed Budget'!B29</f>
        <v>24</v>
      </c>
      <c r="C29" s="298" t="str">
        <f>'Proposed Budget'!C29</f>
        <v>Ohio Turnpike</v>
      </c>
      <c r="D29" s="299">
        <f t="shared" ca="1" si="17"/>
        <v>100.73560298507462</v>
      </c>
      <c r="E29" s="300">
        <f t="shared" si="18"/>
        <v>443.73999999999995</v>
      </c>
      <c r="F29" s="300">
        <f t="shared" si="19"/>
        <v>36.260000000000005</v>
      </c>
      <c r="G29" s="280">
        <f t="shared" si="20"/>
        <v>7.5541666666666618E-2</v>
      </c>
      <c r="H29" s="300">
        <f>'Proposed Budget'!D29</f>
        <v>120</v>
      </c>
      <c r="I29" s="281">
        <f>SUMIFS('Checking Transaction Log'!E:E,'Checking Transaction Log'!C:C,"&gt;="&amp;I1,'Checking Transaction Log'!C:C,"&lt;="&amp;J1,'Checking Transaction Log'!A:A,"F",'Checking Transaction Log'!B:B,24)</f>
        <v>83.42</v>
      </c>
      <c r="J29" s="281">
        <f t="shared" si="21"/>
        <v>36.58</v>
      </c>
      <c r="K29" s="243">
        <f>SUMIFS('Checking Transaction Log'!E:E,'Checking Transaction Log'!C:C,"&gt;="&amp;K1,'Checking Transaction Log'!C:C,"&lt;="&amp;L1,'Checking Transaction Log'!A:A,"F",'Checking Transaction Log'!B:B,24)</f>
        <v>168.41</v>
      </c>
      <c r="L29" s="243">
        <f t="shared" si="22"/>
        <v>-48.41</v>
      </c>
      <c r="M29" s="284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84">
        <f t="shared" si="23"/>
        <v>33.42</v>
      </c>
      <c r="O29" s="247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47">
        <f t="shared" si="24"/>
        <v>14.670000000000002</v>
      </c>
      <c r="Q29" s="281">
        <f>SUMIFS('Checking Transaction Log'!$E:$E,'Checking Transaction Log'!$C:$C,"&gt;="&amp;Q1,'Checking Transaction Log'!$C:$C,"&lt;="&amp;R1,'Checking Transaction Log'!$A:$A,"F",'Checking Transaction Log'!$B:$B,24)</f>
        <v>0</v>
      </c>
      <c r="R29" s="281">
        <f t="shared" si="25"/>
        <v>120</v>
      </c>
      <c r="S29" s="243">
        <f>SUMIFS('Checking Transaction Log'!$E:$E,'Checking Transaction Log'!$C:$C,"&gt;="&amp;S1,'Checking Transaction Log'!$C:$C,"&lt;="&amp;T1,'Checking Transaction Log'!$A:$A,"F",'Checking Transaction Log'!$B:$B,24)</f>
        <v>0</v>
      </c>
      <c r="T29" s="243">
        <f t="shared" si="26"/>
        <v>120</v>
      </c>
      <c r="U29" s="284">
        <f>SUMIFS('Checking Transaction Log'!$E:$E,'Checking Transaction Log'!$C:$C,"&gt;="&amp;U1,'Checking Transaction Log'!$C:$C,"&lt;="&amp;V1,'Checking Transaction Log'!$A:$A,"F",'Checking Transaction Log'!$B:$B,24)</f>
        <v>0</v>
      </c>
      <c r="V29" s="284">
        <f t="shared" si="27"/>
        <v>120</v>
      </c>
      <c r="W29" s="247">
        <f>SUMIFS('Checking Transaction Log'!$E:$E,'Checking Transaction Log'!$C:$C,"&gt;="&amp;W1,'Checking Transaction Log'!$C:$C,"&lt;="&amp;X1,'Checking Transaction Log'!$A:$A,"F",'Checking Transaction Log'!$B:$B,24)</f>
        <v>0</v>
      </c>
      <c r="X29" s="247">
        <f t="shared" si="28"/>
        <v>120</v>
      </c>
      <c r="Y29" s="287">
        <f>SUMIFS('Checking Transaction Log'!$E:$E,'Checking Transaction Log'!$C:$C,"&gt;="&amp;Y1,'Checking Transaction Log'!$C:$C,"&lt;="&amp;Z1,'Checking Transaction Log'!$A:$A,"F",'Checking Transaction Log'!$B:$B,24)</f>
        <v>0</v>
      </c>
      <c r="Z29" s="287">
        <f t="shared" si="29"/>
        <v>120</v>
      </c>
      <c r="AA29" s="289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89">
        <f t="shared" si="30"/>
        <v>120</v>
      </c>
      <c r="AC29" s="291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91">
        <f t="shared" si="31"/>
        <v>120</v>
      </c>
      <c r="AE29" s="293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93">
        <f t="shared" si="32"/>
        <v>120</v>
      </c>
    </row>
    <row r="30" spans="1:32" ht="11.25" customHeight="1" x14ac:dyDescent="0.3">
      <c r="A30" s="295" t="str">
        <f>'Proposed Budget'!A30</f>
        <v>F</v>
      </c>
      <c r="B30" s="266">
        <f>'Proposed Budget'!B30</f>
        <v>42</v>
      </c>
      <c r="C30" s="298" t="str">
        <f>'Proposed Budget'!C30</f>
        <v>Water Bill - Main</v>
      </c>
      <c r="D30" s="299">
        <f t="shared" ca="1" si="17"/>
        <v>80.329231343283595</v>
      </c>
      <c r="E30" s="300">
        <f t="shared" si="18"/>
        <v>353.85</v>
      </c>
      <c r="F30" s="300">
        <f t="shared" si="19"/>
        <v>-53.849999999999994</v>
      </c>
      <c r="G30" s="280">
        <f t="shared" si="20"/>
        <v>-0.17949999999999999</v>
      </c>
      <c r="H30" s="300">
        <f>'Proposed Budget'!D30</f>
        <v>75</v>
      </c>
      <c r="I30" s="281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81">
        <f t="shared" si="21"/>
        <v>-5.9899999999999949</v>
      </c>
      <c r="K30" s="243">
        <f>SUMIFS('Checking Transaction Log'!E:E,'Checking Transaction Log'!C:C,"&gt;="&amp;K1,'Checking Transaction Log'!C:C,"&lt;="&amp;L1,'Checking Transaction Log'!A:A,"F",'Checking Transaction Log'!B:B,42)</f>
        <v>88.44</v>
      </c>
      <c r="L30" s="243">
        <f t="shared" si="22"/>
        <v>-13.439999999999998</v>
      </c>
      <c r="M30" s="284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84">
        <f t="shared" si="23"/>
        <v>-21.25</v>
      </c>
      <c r="O30" s="247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47">
        <f t="shared" si="24"/>
        <v>-13.170000000000002</v>
      </c>
      <c r="Q30" s="281">
        <f>SUMIFS('Checking Transaction Log'!$E:$E,'Checking Transaction Log'!$C:$C,"&gt;="&amp;Q1,'Checking Transaction Log'!$C:$C,"&lt;="&amp;R1,'Checking Transaction Log'!$A:$A,"F",'Checking Transaction Log'!$B:$B,42)</f>
        <v>0</v>
      </c>
      <c r="R30" s="281">
        <f t="shared" si="25"/>
        <v>75</v>
      </c>
      <c r="S30" s="243">
        <f>SUMIFS('Checking Transaction Log'!$E:$E,'Checking Transaction Log'!$C:$C,"&gt;="&amp;S1,'Checking Transaction Log'!$C:$C,"&lt;="&amp;T1,'Checking Transaction Log'!$A:$A,"F",'Checking Transaction Log'!$B:$B,42)</f>
        <v>0</v>
      </c>
      <c r="T30" s="243">
        <f t="shared" si="26"/>
        <v>75</v>
      </c>
      <c r="U30" s="284">
        <f>SUMIFS('Checking Transaction Log'!$E:$E,'Checking Transaction Log'!$C:$C,"&gt;="&amp;U1,'Checking Transaction Log'!$C:$C,"&lt;="&amp;V1,'Checking Transaction Log'!$A:$A,"F",'Checking Transaction Log'!$B:$B,42)</f>
        <v>0</v>
      </c>
      <c r="V30" s="284">
        <f t="shared" si="27"/>
        <v>75</v>
      </c>
      <c r="W30" s="247">
        <f>SUMIFS('Checking Transaction Log'!$E:$E,'Checking Transaction Log'!$C:$C,"&gt;="&amp;W1,'Checking Transaction Log'!$C:$C,"&lt;="&amp;X1,'Checking Transaction Log'!$A:$A,"F",'Checking Transaction Log'!$B:$B,42)</f>
        <v>0</v>
      </c>
      <c r="X30" s="247">
        <f t="shared" si="28"/>
        <v>75</v>
      </c>
      <c r="Y30" s="287">
        <f>SUMIFS('Checking Transaction Log'!$E:$E,'Checking Transaction Log'!$C:$C,"&gt;="&amp;Y1,'Checking Transaction Log'!$C:$C,"&lt;="&amp;Z1,'Checking Transaction Log'!$A:$A,"F",'Checking Transaction Log'!$B:$B,42)</f>
        <v>0</v>
      </c>
      <c r="Z30" s="287">
        <f t="shared" si="29"/>
        <v>75</v>
      </c>
      <c r="AA30" s="289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89">
        <f t="shared" si="30"/>
        <v>75</v>
      </c>
      <c r="AC30" s="291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91">
        <f t="shared" si="31"/>
        <v>75</v>
      </c>
      <c r="AE30" s="293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93">
        <f t="shared" si="32"/>
        <v>75</v>
      </c>
    </row>
    <row r="31" spans="1:32" ht="11.25" customHeight="1" x14ac:dyDescent="0.3">
      <c r="A31" s="295" t="str">
        <f>'Proposed Budget'!A31</f>
        <v>F</v>
      </c>
      <c r="B31" s="266">
        <f>'Proposed Budget'!B31</f>
        <v>43</v>
      </c>
      <c r="C31" s="298" t="str">
        <f>'Proposed Budget'!C31</f>
        <v>Water Bill - Rental</v>
      </c>
      <c r="D31" s="299">
        <f t="shared" ca="1" si="17"/>
        <v>61.738979104477622</v>
      </c>
      <c r="E31" s="300">
        <f t="shared" si="18"/>
        <v>271.96000000000004</v>
      </c>
      <c r="F31" s="300">
        <f t="shared" si="19"/>
        <v>28.039999999999992</v>
      </c>
      <c r="G31" s="280">
        <f t="shared" si="20"/>
        <v>9.3466666666666587E-2</v>
      </c>
      <c r="H31" s="300">
        <f>'Proposed Budget'!D31</f>
        <v>75</v>
      </c>
      <c r="I31" s="281">
        <f>SUMIFS('Checking Transaction Log'!E:E,'Checking Transaction Log'!C:C,"&gt;="&amp;I1,'Checking Transaction Log'!C:C,"&lt;="&amp;J1,'Checking Transaction Log'!A:A,"F",'Checking Transaction Log'!B:B,43)</f>
        <v>66.53</v>
      </c>
      <c r="J31" s="281">
        <f t="shared" si="21"/>
        <v>8.4699999999999989</v>
      </c>
      <c r="K31" s="243">
        <f>SUMIFS('Checking Transaction Log'!E:E,'Checking Transaction Log'!C:C,"&gt;="&amp;K1,'Checking Transaction Log'!C:C,"&lt;="&amp;L1,'Checking Transaction Log'!A:A,"F",'Checking Transaction Log'!B:B,43)</f>
        <v>66.97</v>
      </c>
      <c r="L31" s="243">
        <f t="shared" si="22"/>
        <v>8.0300000000000011</v>
      </c>
      <c r="M31" s="284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84">
        <f t="shared" si="23"/>
        <v>9.8100000000000023</v>
      </c>
      <c r="O31" s="247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47">
        <f t="shared" si="24"/>
        <v>1.7299999999999898</v>
      </c>
      <c r="Q31" s="281">
        <f>SUMIFS('Checking Transaction Log'!$E:$E,'Checking Transaction Log'!$C:$C,"&gt;="&amp;Q1,'Checking Transaction Log'!$C:$C,"&lt;="&amp;R1,'Checking Transaction Log'!$A:$A,"F",'Checking Transaction Log'!$B:$B,43)</f>
        <v>0</v>
      </c>
      <c r="R31" s="281">
        <f t="shared" si="25"/>
        <v>75</v>
      </c>
      <c r="S31" s="243">
        <f>SUMIFS('Checking Transaction Log'!$E:$E,'Checking Transaction Log'!$C:$C,"&gt;="&amp;S1,'Checking Transaction Log'!$C:$C,"&lt;="&amp;T1,'Checking Transaction Log'!$A:$A,"F",'Checking Transaction Log'!$B:$B,43)</f>
        <v>0</v>
      </c>
      <c r="T31" s="243">
        <f t="shared" si="26"/>
        <v>75</v>
      </c>
      <c r="U31" s="284">
        <f>SUMIFS('Checking Transaction Log'!$E:$E,'Checking Transaction Log'!$C:$C,"&gt;="&amp;U1,'Checking Transaction Log'!$C:$C,"&lt;="&amp;V1,'Checking Transaction Log'!$A:$A,"F",'Checking Transaction Log'!$B:$B,43)</f>
        <v>0</v>
      </c>
      <c r="V31" s="284">
        <f t="shared" si="27"/>
        <v>75</v>
      </c>
      <c r="W31" s="247">
        <f>SUMIFS('Checking Transaction Log'!$E:$E,'Checking Transaction Log'!$C:$C,"&gt;="&amp;W1,'Checking Transaction Log'!$C:$C,"&lt;="&amp;X1,'Checking Transaction Log'!$A:$A,"F",'Checking Transaction Log'!$B:$B,43)</f>
        <v>0</v>
      </c>
      <c r="X31" s="247">
        <f t="shared" si="28"/>
        <v>75</v>
      </c>
      <c r="Y31" s="287">
        <f>SUMIFS('Checking Transaction Log'!$E:$E,'Checking Transaction Log'!$C:$C,"&gt;="&amp;Y1,'Checking Transaction Log'!$C:$C,"&lt;="&amp;Z1,'Checking Transaction Log'!$A:$A,"F",'Checking Transaction Log'!$B:$B,43)</f>
        <v>0</v>
      </c>
      <c r="Z31" s="287">
        <f t="shared" si="29"/>
        <v>75</v>
      </c>
      <c r="AA31" s="289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89">
        <f t="shared" si="30"/>
        <v>75</v>
      </c>
      <c r="AC31" s="291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91">
        <f t="shared" si="31"/>
        <v>75</v>
      </c>
      <c r="AE31" s="293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93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95" t="str">
        <f>'Proposed Budget'!A33</f>
        <v>R</v>
      </c>
      <c r="B33" s="266">
        <f>'Proposed Budget'!B33</f>
        <v>25</v>
      </c>
      <c r="C33" s="298" t="str">
        <f>'Proposed Budget'!C33</f>
        <v>Vehicle Maintenance</v>
      </c>
      <c r="D33" s="299">
        <f t="shared" ref="D33:D43" ca="1" si="33">(E33/(TODAY()-$I$1))*30.42</f>
        <v>317.82089552238813</v>
      </c>
      <c r="E33" s="300">
        <f t="shared" ref="E33:E43" si="34">Q33+S33+U33+W33+Y33+AA33+AC33+AE33+I33+K33+M33+O33</f>
        <v>1400</v>
      </c>
      <c r="F33" s="300">
        <f t="shared" ref="F33:F43" si="35">J33+L33+N33+P33</f>
        <v>0</v>
      </c>
      <c r="G33" s="280">
        <f t="shared" ref="G33:G43" si="36">1-((E33/SUM(E33:F33)))</f>
        <v>0</v>
      </c>
      <c r="H33" s="300">
        <f>'Proposed Budget'!D33</f>
        <v>350</v>
      </c>
      <c r="I33" s="281">
        <f>SUMIFS('Checking Transaction Log'!$E:$E,'Checking Transaction Log'!$C:$C,"&gt;="&amp;I1,'Checking Transaction Log'!$C:$C,"&lt;="&amp;J1,'Checking Transaction Log'!$A:$A,"R",'Checking Transaction Log'!$B:$B,25)</f>
        <v>350</v>
      </c>
      <c r="J33" s="281">
        <f t="shared" ref="J33:J43" si="37">H33-I33</f>
        <v>0</v>
      </c>
      <c r="K33" s="243">
        <f>SUMIFS('Checking Transaction Log'!$E:$E,'Checking Transaction Log'!$C:$C,"&gt;="&amp;K1,'Checking Transaction Log'!$C:$C,"&lt;="&amp;L1,'Checking Transaction Log'!$A:$A,"R",'Checking Transaction Log'!$B:$B,25)</f>
        <v>350</v>
      </c>
      <c r="L33" s="243">
        <f t="shared" ref="L33:L43" si="38">H33-K33</f>
        <v>0</v>
      </c>
      <c r="M33" s="284">
        <f>SUMIFS('Checking Transaction Log'!$E:$E,'Checking Transaction Log'!$C:$C,"&gt;="&amp;M1,'Checking Transaction Log'!$C:$C,"&lt;="&amp;N1,'Checking Transaction Log'!$A:$A,"R",'Checking Transaction Log'!$B:$B,25)</f>
        <v>350</v>
      </c>
      <c r="N33" s="284">
        <f t="shared" ref="N33:N43" si="39">H33-M33</f>
        <v>0</v>
      </c>
      <c r="O33" s="247">
        <f>SUMIFS('Checking Transaction Log'!$E:$E,'Checking Transaction Log'!$C:$C,"&gt;="&amp;O1,'Checking Transaction Log'!$C:$C,"&lt;="&amp;P1,'Checking Transaction Log'!$A:$A,"R",'Checking Transaction Log'!$B:$B,25)</f>
        <v>350</v>
      </c>
      <c r="P33" s="247">
        <f t="shared" ref="P33:P43" si="40">H33-O33</f>
        <v>0</v>
      </c>
      <c r="Q33" s="281">
        <f>SUMIFS('Checking Transaction Log'!$E:$E,'Checking Transaction Log'!$C:$C,"&gt;="&amp;Q1,'Checking Transaction Log'!$C:$C,"&lt;="&amp;R1,'Checking Transaction Log'!$A:$A,"R",'Checking Transaction Log'!$B:$B,25)</f>
        <v>0</v>
      </c>
      <c r="R33" s="281">
        <f t="shared" ref="R33:R43" si="41">H33-Q33</f>
        <v>350</v>
      </c>
      <c r="S33" s="243">
        <f>SUMIFS('Checking Transaction Log'!$E:$E,'Checking Transaction Log'!$C:$C,"&gt;="&amp;S1,'Checking Transaction Log'!$C:$C,"&lt;="&amp;T1,'Checking Transaction Log'!$A:$A,"R",'Checking Transaction Log'!$B:$B,25)</f>
        <v>0</v>
      </c>
      <c r="T33" s="243">
        <f t="shared" ref="T33:T43" si="42">H33-S33</f>
        <v>350</v>
      </c>
      <c r="U33" s="284">
        <f>SUMIFS('Checking Transaction Log'!$E:$E,'Checking Transaction Log'!$C:$C,"&gt;="&amp;U1,'Checking Transaction Log'!$C:$C,"&lt;="&amp;V1,'Checking Transaction Log'!$A:$A,"R",'Checking Transaction Log'!$B:$B,25)</f>
        <v>0</v>
      </c>
      <c r="V33" s="284">
        <f t="shared" ref="V33:V43" si="43">H33-U33</f>
        <v>350</v>
      </c>
      <c r="W33" s="247">
        <f>SUMIFS('Checking Transaction Log'!$E:$E,'Checking Transaction Log'!$C:$C,"&gt;="&amp;W1,'Checking Transaction Log'!$C:$C,"&lt;="&amp;X1,'Checking Transaction Log'!$A:$A,"R",'Checking Transaction Log'!$B:$B,25)</f>
        <v>0</v>
      </c>
      <c r="X33" s="247">
        <f t="shared" ref="X33:X43" si="44">H33-W33</f>
        <v>350</v>
      </c>
      <c r="Y33" s="287">
        <f>SUMIFS('Checking Transaction Log'!$E:$E,'Checking Transaction Log'!$C:$C,"&gt;="&amp;Y1,'Checking Transaction Log'!$C:$C,"&lt;="&amp;Z1,'Checking Transaction Log'!$A:$A,"R",'Checking Transaction Log'!$B:$B,25)</f>
        <v>0</v>
      </c>
      <c r="Z33" s="287">
        <f t="shared" ref="Z33:Z43" si="45">H33-Y33</f>
        <v>350</v>
      </c>
      <c r="AA33" s="289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89">
        <f t="shared" ref="AB33:AB43" si="46">H33-AA33</f>
        <v>350</v>
      </c>
      <c r="AC33" s="291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91">
        <f t="shared" ref="AD33:AD43" si="47">H33-AC33</f>
        <v>350</v>
      </c>
      <c r="AE33" s="293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93">
        <f t="shared" ref="AF33:AF43" si="48">H33-AE33</f>
        <v>350</v>
      </c>
    </row>
    <row r="34" spans="1:32" ht="11.25" customHeight="1" x14ac:dyDescent="0.3">
      <c r="A34" s="295" t="str">
        <f>'Proposed Budget'!A34</f>
        <v>R</v>
      </c>
      <c r="B34" s="266">
        <f>'Proposed Budget'!B34</f>
        <v>26</v>
      </c>
      <c r="C34" s="298" t="str">
        <f>'Proposed Budget'!C34</f>
        <v>Car Insurance</v>
      </c>
      <c r="D34" s="299">
        <f t="shared" ca="1" si="33"/>
        <v>290.57910447761191</v>
      </c>
      <c r="E34" s="300">
        <f t="shared" si="34"/>
        <v>1280</v>
      </c>
      <c r="F34" s="300">
        <f t="shared" si="35"/>
        <v>0</v>
      </c>
      <c r="G34" s="280">
        <f t="shared" si="36"/>
        <v>0</v>
      </c>
      <c r="H34" s="300">
        <f>'Proposed Budget'!D34</f>
        <v>320</v>
      </c>
      <c r="I34" s="281">
        <f>SUMIFS('Checking Transaction Log'!E:E,'Checking Transaction Log'!C:C,"&gt;="&amp;I1,'Checking Transaction Log'!C:C,"&lt;="&amp;J1,'Checking Transaction Log'!A:A,"R",'Checking Transaction Log'!B:B,26)</f>
        <v>320</v>
      </c>
      <c r="J34" s="281">
        <f t="shared" si="37"/>
        <v>0</v>
      </c>
      <c r="K34" s="243">
        <f>SUMIFS('Checking Transaction Log'!$E:$E,'Checking Transaction Log'!$C:$C,"&gt;="&amp;K1,'Checking Transaction Log'!$C:$C,"&lt;="&amp;L1,'Checking Transaction Log'!$A:$A,"R",'Checking Transaction Log'!$B:$B,26)</f>
        <v>320</v>
      </c>
      <c r="L34" s="243">
        <f t="shared" si="38"/>
        <v>0</v>
      </c>
      <c r="M34" s="284">
        <f>SUMIFS('Checking Transaction Log'!$E:$E,'Checking Transaction Log'!$C:$C,"&gt;="&amp;M1,'Checking Transaction Log'!$C:$C,"&lt;="&amp;N1,'Checking Transaction Log'!$A:$A,"R",'Checking Transaction Log'!$B:$B,26)</f>
        <v>320</v>
      </c>
      <c r="N34" s="284">
        <f t="shared" si="39"/>
        <v>0</v>
      </c>
      <c r="O34" s="247">
        <f>SUMIFS('Checking Transaction Log'!$E:$E,'Checking Transaction Log'!$C:$C,"&gt;="&amp;O1,'Checking Transaction Log'!$C:$C,"&lt;="&amp;P1,'Checking Transaction Log'!$A:$A,"R",'Checking Transaction Log'!$B:$B,26)</f>
        <v>320</v>
      </c>
      <c r="P34" s="247">
        <f t="shared" si="40"/>
        <v>0</v>
      </c>
      <c r="Q34" s="281">
        <f>SUMIFS('Checking Transaction Log'!$E:$E,'Checking Transaction Log'!$C:$C,"&gt;="&amp;Q1,'Checking Transaction Log'!$C:$C,"&lt;="&amp;R1,'Checking Transaction Log'!$A:$A,"R",'Checking Transaction Log'!$B:$B,26)</f>
        <v>0</v>
      </c>
      <c r="R34" s="281">
        <f t="shared" si="41"/>
        <v>320</v>
      </c>
      <c r="S34" s="243">
        <f>SUMIFS('Checking Transaction Log'!$E:$E,'Checking Transaction Log'!$C:$C,"&gt;="&amp;S1,'Checking Transaction Log'!$C:$C,"&lt;="&amp;T1,'Checking Transaction Log'!$A:$A,"R",'Checking Transaction Log'!$B:$B,26)</f>
        <v>0</v>
      </c>
      <c r="T34" s="243">
        <f t="shared" si="42"/>
        <v>320</v>
      </c>
      <c r="U34" s="284">
        <f>SUMIFS('Checking Transaction Log'!$E:$E,'Checking Transaction Log'!$C:$C,"&gt;="&amp;U1,'Checking Transaction Log'!$C:$C,"&lt;="&amp;V1,'Checking Transaction Log'!$A:$A,"R",'Checking Transaction Log'!$B:$B,26)</f>
        <v>0</v>
      </c>
      <c r="V34" s="284">
        <f t="shared" si="43"/>
        <v>320</v>
      </c>
      <c r="W34" s="247">
        <f>SUMIFS('Checking Transaction Log'!$E:$E,'Checking Transaction Log'!$C:$C,"&gt;="&amp;W1,'Checking Transaction Log'!$C:$C,"&lt;="&amp;X1,'Checking Transaction Log'!$A:$A,"R",'Checking Transaction Log'!$B:$B,26)</f>
        <v>0</v>
      </c>
      <c r="X34" s="247">
        <f t="shared" si="44"/>
        <v>320</v>
      </c>
      <c r="Y34" s="287">
        <f>SUMIFS('Checking Transaction Log'!$E:$E,'Checking Transaction Log'!$C:$C,"&gt;="&amp;Y1,'Checking Transaction Log'!$C:$C,"&lt;="&amp;Z1,'Checking Transaction Log'!$A:$A,"R",'Checking Transaction Log'!$B:$B,26)</f>
        <v>0</v>
      </c>
      <c r="Z34" s="287">
        <f t="shared" si="45"/>
        <v>320</v>
      </c>
      <c r="AA34" s="289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89">
        <f t="shared" si="46"/>
        <v>320</v>
      </c>
      <c r="AC34" s="291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91">
        <f t="shared" si="47"/>
        <v>320</v>
      </c>
      <c r="AE34" s="293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93">
        <f t="shared" si="48"/>
        <v>320</v>
      </c>
    </row>
    <row r="35" spans="1:32" ht="11.25" customHeight="1" x14ac:dyDescent="0.3">
      <c r="A35" s="295" t="str">
        <f>'Proposed Budget'!A35</f>
        <v>R</v>
      </c>
      <c r="B35" s="266">
        <f>'Proposed Budget'!B35</f>
        <v>27</v>
      </c>
      <c r="C35" s="298" t="str">
        <f>'Proposed Budget'!C35</f>
        <v>Rental Garbage</v>
      </c>
      <c r="D35" s="299">
        <f t="shared" ca="1" si="33"/>
        <v>22.701492537313435</v>
      </c>
      <c r="E35" s="300">
        <f t="shared" si="34"/>
        <v>100</v>
      </c>
      <c r="F35" s="300">
        <f t="shared" si="35"/>
        <v>0</v>
      </c>
      <c r="G35" s="280">
        <f t="shared" si="36"/>
        <v>0</v>
      </c>
      <c r="H35" s="300">
        <f>'Proposed Budget'!D35</f>
        <v>25</v>
      </c>
      <c r="I35" s="281">
        <f>SUMIFS('Checking Transaction Log'!E:E,'Checking Transaction Log'!C:C,"&gt;="&amp;I1,'Checking Transaction Log'!C:C,"&lt;="&amp;J1,'Checking Transaction Log'!A:A,"R",'Checking Transaction Log'!B:B,27)</f>
        <v>25</v>
      </c>
      <c r="J35" s="281">
        <f t="shared" si="37"/>
        <v>0</v>
      </c>
      <c r="K35" s="243">
        <f>SUMIFS('Checking Transaction Log'!$E:$E,'Checking Transaction Log'!$C:$C,"&gt;="&amp;K1,'Checking Transaction Log'!$C:$C,"&lt;="&amp;L1,'Checking Transaction Log'!$A:$A,"R",'Checking Transaction Log'!$B:$B,27)</f>
        <v>25</v>
      </c>
      <c r="L35" s="243">
        <f t="shared" si="38"/>
        <v>0</v>
      </c>
      <c r="M35" s="284">
        <f>SUMIFS('Checking Transaction Log'!$E:$E,'Checking Transaction Log'!$C:$C,"&gt;="&amp;M1,'Checking Transaction Log'!$C:$C,"&lt;="&amp;N1,'Checking Transaction Log'!$A:$A,"R",'Checking Transaction Log'!$B:$B,27)</f>
        <v>25</v>
      </c>
      <c r="N35" s="284">
        <f t="shared" si="39"/>
        <v>0</v>
      </c>
      <c r="O35" s="247">
        <f>SUMIFS('Checking Transaction Log'!$E:$E,'Checking Transaction Log'!$C:$C,"&gt;="&amp;O1,'Checking Transaction Log'!$C:$C,"&lt;="&amp;P1,'Checking Transaction Log'!$A:$A,"R",'Checking Transaction Log'!$B:$B,27)</f>
        <v>25</v>
      </c>
      <c r="P35" s="247">
        <f t="shared" si="40"/>
        <v>0</v>
      </c>
      <c r="Q35" s="281">
        <f>SUMIFS('Checking Transaction Log'!$E:$E,'Checking Transaction Log'!$C:$C,"&gt;="&amp;Q1,'Checking Transaction Log'!$C:$C,"&lt;="&amp;R1,'Checking Transaction Log'!$A:$A,"R",'Checking Transaction Log'!$B:$B,27)</f>
        <v>0</v>
      </c>
      <c r="R35" s="281">
        <f t="shared" si="41"/>
        <v>25</v>
      </c>
      <c r="S35" s="243">
        <f>SUMIFS('Checking Transaction Log'!$E:$E,'Checking Transaction Log'!$C:$C,"&gt;="&amp;S1,'Checking Transaction Log'!$C:$C,"&lt;="&amp;T1,'Checking Transaction Log'!$A:$A,"R",'Checking Transaction Log'!$B:$B,27)</f>
        <v>0</v>
      </c>
      <c r="T35" s="243">
        <f t="shared" si="42"/>
        <v>25</v>
      </c>
      <c r="U35" s="284">
        <f>SUMIFS('Checking Transaction Log'!$E:$E,'Checking Transaction Log'!$C:$C,"&gt;="&amp;U1,'Checking Transaction Log'!$C:$C,"&lt;="&amp;V1,'Checking Transaction Log'!$A:$A,"R",'Checking Transaction Log'!$B:$B,27)</f>
        <v>0</v>
      </c>
      <c r="V35" s="284">
        <f t="shared" si="43"/>
        <v>25</v>
      </c>
      <c r="W35" s="247">
        <f>SUMIFS('Checking Transaction Log'!$E:$E,'Checking Transaction Log'!$C:$C,"&gt;="&amp;W1,'Checking Transaction Log'!$C:$C,"&lt;="&amp;X1,'Checking Transaction Log'!$A:$A,"R",'Checking Transaction Log'!$B:$B,27)</f>
        <v>0</v>
      </c>
      <c r="X35" s="247">
        <f t="shared" si="44"/>
        <v>25</v>
      </c>
      <c r="Y35" s="287">
        <f>SUMIFS('Checking Transaction Log'!$E:$E,'Checking Transaction Log'!$C:$C,"&gt;="&amp;Y1,'Checking Transaction Log'!$C:$C,"&lt;="&amp;Z1,'Checking Transaction Log'!$A:$A,"R",'Checking Transaction Log'!$B:$B,27)</f>
        <v>0</v>
      </c>
      <c r="Z35" s="287">
        <f t="shared" si="45"/>
        <v>25</v>
      </c>
      <c r="AA35" s="289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89">
        <f t="shared" si="46"/>
        <v>25</v>
      </c>
      <c r="AC35" s="291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91">
        <f t="shared" si="47"/>
        <v>25</v>
      </c>
      <c r="AE35" s="293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93">
        <f t="shared" si="48"/>
        <v>25</v>
      </c>
    </row>
    <row r="36" spans="1:32" ht="11.25" customHeight="1" x14ac:dyDescent="0.3">
      <c r="A36" s="295" t="str">
        <f>'Proposed Budget'!A36</f>
        <v>R</v>
      </c>
      <c r="B36" s="266">
        <f>'Proposed Budget'!B36</f>
        <v>28</v>
      </c>
      <c r="C36" s="298" t="str">
        <f>'Proposed Budget'!C36</f>
        <v>Garbage</v>
      </c>
      <c r="D36" s="299">
        <f t="shared" ca="1" si="33"/>
        <v>22.701492537313435</v>
      </c>
      <c r="E36" s="300">
        <f t="shared" si="34"/>
        <v>100</v>
      </c>
      <c r="F36" s="300">
        <f t="shared" si="35"/>
        <v>0</v>
      </c>
      <c r="G36" s="280">
        <f t="shared" si="36"/>
        <v>0</v>
      </c>
      <c r="H36" s="300">
        <f>'Proposed Budget'!D36</f>
        <v>25</v>
      </c>
      <c r="I36" s="281">
        <f>SUMIFS('Checking Transaction Log'!E:E,'Checking Transaction Log'!C:C,"&gt;="&amp;I1,'Checking Transaction Log'!C:C,"&lt;="&amp;J1,'Checking Transaction Log'!A:A,"R",'Checking Transaction Log'!B:B,28)</f>
        <v>25</v>
      </c>
      <c r="J36" s="281">
        <f t="shared" si="37"/>
        <v>0</v>
      </c>
      <c r="K36" s="243">
        <f>SUMIFS('Checking Transaction Log'!$E:$E,'Checking Transaction Log'!$C:$C,"&gt;="&amp;K1,'Checking Transaction Log'!$C:$C,"&lt;="&amp;L1,'Checking Transaction Log'!$A:$A,"R",'Checking Transaction Log'!$B:$B,28)</f>
        <v>25</v>
      </c>
      <c r="L36" s="243">
        <f t="shared" si="38"/>
        <v>0</v>
      </c>
      <c r="M36" s="284">
        <f>SUMIFS('Checking Transaction Log'!$E:$E,'Checking Transaction Log'!$C:$C,"&gt;="&amp;M1,'Checking Transaction Log'!$C:$C,"&lt;="&amp;N1,'Checking Transaction Log'!$A:$A,"R",'Checking Transaction Log'!$B:$B,28)</f>
        <v>25</v>
      </c>
      <c r="N36" s="284">
        <f t="shared" si="39"/>
        <v>0</v>
      </c>
      <c r="O36" s="247">
        <f>SUMIFS('Checking Transaction Log'!$E:$E,'Checking Transaction Log'!$C:$C,"&gt;="&amp;O1,'Checking Transaction Log'!$C:$C,"&lt;="&amp;P1,'Checking Transaction Log'!$A:$A,"R",'Checking Transaction Log'!$B:$B,28)</f>
        <v>25</v>
      </c>
      <c r="P36" s="247">
        <f t="shared" si="40"/>
        <v>0</v>
      </c>
      <c r="Q36" s="281">
        <f>SUMIFS('Checking Transaction Log'!$E:$E,'Checking Transaction Log'!$C:$C,"&gt;="&amp;Q1,'Checking Transaction Log'!$C:$C,"&lt;="&amp;R1,'Checking Transaction Log'!$A:$A,"R",'Checking Transaction Log'!$B:$B,28)</f>
        <v>0</v>
      </c>
      <c r="R36" s="281">
        <f t="shared" si="41"/>
        <v>25</v>
      </c>
      <c r="S36" s="243">
        <f>SUMIFS('Checking Transaction Log'!$E:$E,'Checking Transaction Log'!$C:$C,"&gt;="&amp;S1,'Checking Transaction Log'!$C:$C,"&lt;="&amp;T1,'Checking Transaction Log'!$A:$A,"R",'Checking Transaction Log'!$B:$B,28)</f>
        <v>0</v>
      </c>
      <c r="T36" s="243">
        <f t="shared" si="42"/>
        <v>25</v>
      </c>
      <c r="U36" s="284">
        <f>SUMIFS('Checking Transaction Log'!$E:$E,'Checking Transaction Log'!$C:$C,"&gt;="&amp;U1,'Checking Transaction Log'!$C:$C,"&lt;="&amp;V1,'Checking Transaction Log'!$A:$A,"R",'Checking Transaction Log'!$B:$B,28)</f>
        <v>0</v>
      </c>
      <c r="V36" s="284">
        <f t="shared" si="43"/>
        <v>25</v>
      </c>
      <c r="W36" s="247">
        <f>SUMIFS('Checking Transaction Log'!$E:$E,'Checking Transaction Log'!$C:$C,"&gt;="&amp;W1,'Checking Transaction Log'!$C:$C,"&lt;="&amp;X1,'Checking Transaction Log'!$A:$A,"R",'Checking Transaction Log'!$B:$B,28)</f>
        <v>0</v>
      </c>
      <c r="X36" s="247">
        <f t="shared" si="44"/>
        <v>25</v>
      </c>
      <c r="Y36" s="287">
        <f>SUMIFS('Checking Transaction Log'!$E:$E,'Checking Transaction Log'!$C:$C,"&gt;="&amp;Y1,'Checking Transaction Log'!$C:$C,"&lt;="&amp;Z1,'Checking Transaction Log'!$A:$A,"R",'Checking Transaction Log'!$B:$B,28)</f>
        <v>0</v>
      </c>
      <c r="Z36" s="287">
        <f t="shared" si="45"/>
        <v>25</v>
      </c>
      <c r="AA36" s="289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89">
        <f t="shared" si="46"/>
        <v>25</v>
      </c>
      <c r="AC36" s="291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91">
        <f t="shared" si="47"/>
        <v>25</v>
      </c>
      <c r="AE36" s="293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93">
        <f t="shared" si="48"/>
        <v>25</v>
      </c>
    </row>
    <row r="37" spans="1:32" ht="11.25" customHeight="1" x14ac:dyDescent="0.3">
      <c r="A37" s="295" t="str">
        <f>'Proposed Budget'!A37</f>
        <v>R</v>
      </c>
      <c r="B37" s="266">
        <f>'Proposed Budget'!B37</f>
        <v>29</v>
      </c>
      <c r="C37" s="298" t="str">
        <f>'Proposed Budget'!C37</f>
        <v>Sanitation - Main</v>
      </c>
      <c r="D37" s="299">
        <f t="shared" ca="1" si="33"/>
        <v>40.862686567164182</v>
      </c>
      <c r="E37" s="300">
        <f t="shared" si="34"/>
        <v>180</v>
      </c>
      <c r="F37" s="300">
        <f t="shared" si="35"/>
        <v>0</v>
      </c>
      <c r="G37" s="280">
        <f t="shared" si="36"/>
        <v>0</v>
      </c>
      <c r="H37" s="300">
        <f>'Proposed Budget'!D37</f>
        <v>45</v>
      </c>
      <c r="I37" s="281">
        <f>SUMIFS('Checking Transaction Log'!E:E,'Checking Transaction Log'!C:C,"&gt;="&amp;I1,'Checking Transaction Log'!C:C,"&lt;="&amp;J1,'Checking Transaction Log'!A:A,"R",'Checking Transaction Log'!B:B,29)</f>
        <v>45</v>
      </c>
      <c r="J37" s="281">
        <f t="shared" si="37"/>
        <v>0</v>
      </c>
      <c r="K37" s="243">
        <f>SUMIFS('Checking Transaction Log'!$E:$E,'Checking Transaction Log'!$C:$C,"&gt;="&amp;K1,'Checking Transaction Log'!$C:$C,"&lt;="&amp;L1,'Checking Transaction Log'!$A:$A,"R",'Checking Transaction Log'!$B:$B,29)</f>
        <v>45</v>
      </c>
      <c r="L37" s="243">
        <f t="shared" si="38"/>
        <v>0</v>
      </c>
      <c r="M37" s="284">
        <f>SUMIFS('Checking Transaction Log'!$E:$E,'Checking Transaction Log'!$C:$C,"&gt;="&amp;M1,'Checking Transaction Log'!$C:$C,"&lt;="&amp;N1,'Checking Transaction Log'!$A:$A,"R",'Checking Transaction Log'!$B:$B,29)</f>
        <v>45</v>
      </c>
      <c r="N37" s="284">
        <f t="shared" si="39"/>
        <v>0</v>
      </c>
      <c r="O37" s="247">
        <f>SUMIFS('Checking Transaction Log'!$E:$E,'Checking Transaction Log'!$C:$C,"&gt;="&amp;O1,'Checking Transaction Log'!$C:$C,"&lt;="&amp;P1,'Checking Transaction Log'!$A:$A,"R",'Checking Transaction Log'!$B:$B,29)</f>
        <v>45</v>
      </c>
      <c r="P37" s="247">
        <f t="shared" si="40"/>
        <v>0</v>
      </c>
      <c r="Q37" s="281">
        <f>SUMIFS('Checking Transaction Log'!$E:$E,'Checking Transaction Log'!$C:$C,"&gt;="&amp;Q1,'Checking Transaction Log'!$C:$C,"&lt;="&amp;R1,'Checking Transaction Log'!$A:$A,"R",'Checking Transaction Log'!$B:$B,29)</f>
        <v>0</v>
      </c>
      <c r="R37" s="281">
        <f t="shared" si="41"/>
        <v>45</v>
      </c>
      <c r="S37" s="243">
        <f>SUMIFS('Checking Transaction Log'!$E:$E,'Checking Transaction Log'!$C:$C,"&gt;="&amp;S1,'Checking Transaction Log'!$C:$C,"&lt;="&amp;T1,'Checking Transaction Log'!$A:$A,"R",'Checking Transaction Log'!$B:$B,29)</f>
        <v>0</v>
      </c>
      <c r="T37" s="243">
        <f t="shared" si="42"/>
        <v>45</v>
      </c>
      <c r="U37" s="284">
        <f>SUMIFS('Checking Transaction Log'!$E:$E,'Checking Transaction Log'!$C:$C,"&gt;="&amp;U1,'Checking Transaction Log'!$C:$C,"&lt;="&amp;V1,'Checking Transaction Log'!$A:$A,"R",'Checking Transaction Log'!$B:$B,29)</f>
        <v>0</v>
      </c>
      <c r="V37" s="284">
        <f t="shared" si="43"/>
        <v>45</v>
      </c>
      <c r="W37" s="247">
        <f>SUMIFS('Checking Transaction Log'!$E:$E,'Checking Transaction Log'!$C:$C,"&gt;="&amp;W1,'Checking Transaction Log'!$C:$C,"&lt;="&amp;X1,'Checking Transaction Log'!$A:$A,"R",'Checking Transaction Log'!$B:$B,29)</f>
        <v>0</v>
      </c>
      <c r="X37" s="247">
        <f t="shared" si="44"/>
        <v>45</v>
      </c>
      <c r="Y37" s="287">
        <f>SUMIFS('Checking Transaction Log'!$E:$E,'Checking Transaction Log'!$C:$C,"&gt;="&amp;Y1,'Checking Transaction Log'!$C:$C,"&lt;="&amp;Z1,'Checking Transaction Log'!$A:$A,"R",'Checking Transaction Log'!$B:$B,29)</f>
        <v>0</v>
      </c>
      <c r="Z37" s="287">
        <f t="shared" si="45"/>
        <v>45</v>
      </c>
      <c r="AA37" s="289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89">
        <f t="shared" si="46"/>
        <v>45</v>
      </c>
      <c r="AC37" s="291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91">
        <f t="shared" si="47"/>
        <v>45</v>
      </c>
      <c r="AE37" s="293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93">
        <f t="shared" si="48"/>
        <v>45</v>
      </c>
    </row>
    <row r="38" spans="1:32" ht="11.25" customHeight="1" x14ac:dyDescent="0.3">
      <c r="A38" s="295" t="str">
        <f>'Proposed Budget'!A38</f>
        <v>R</v>
      </c>
      <c r="B38" s="266">
        <f>'Proposed Budget'!B38</f>
        <v>30</v>
      </c>
      <c r="C38" s="298" t="str">
        <f>'Proposed Budget'!C38</f>
        <v>Camping/Vacation</v>
      </c>
      <c r="D38" s="299">
        <f t="shared" ca="1" si="33"/>
        <v>363.22388059701495</v>
      </c>
      <c r="E38" s="300">
        <f t="shared" si="34"/>
        <v>1600</v>
      </c>
      <c r="F38" s="300">
        <f t="shared" si="35"/>
        <v>0</v>
      </c>
      <c r="G38" s="280">
        <f t="shared" si="36"/>
        <v>0</v>
      </c>
      <c r="H38" s="300">
        <f>'Proposed Budget'!D38</f>
        <v>400</v>
      </c>
      <c r="I38" s="281">
        <f>SUMIFS('Checking Transaction Log'!E:E,'Checking Transaction Log'!C:C,"&gt;="&amp;I1,'Checking Transaction Log'!C:C,"&lt;="&amp;J1,'Checking Transaction Log'!A:A,"R",'Checking Transaction Log'!B:B,30)</f>
        <v>400</v>
      </c>
      <c r="J38" s="281">
        <f t="shared" si="37"/>
        <v>0</v>
      </c>
      <c r="K38" s="243">
        <f>SUMIFS('Checking Transaction Log'!$E:$E,'Checking Transaction Log'!$C:$C,"&gt;="&amp;K1,'Checking Transaction Log'!$C:$C,"&lt;="&amp;L1,'Checking Transaction Log'!$A:$A,"R",'Checking Transaction Log'!$B:$B,30)</f>
        <v>400</v>
      </c>
      <c r="L38" s="243">
        <f t="shared" si="38"/>
        <v>0</v>
      </c>
      <c r="M38" s="284">
        <f>SUMIFS('Checking Transaction Log'!$E:$E,'Checking Transaction Log'!$C:$C,"&gt;="&amp;M1,'Checking Transaction Log'!$C:$C,"&lt;="&amp;N1,'Checking Transaction Log'!$A:$A,"R",'Checking Transaction Log'!$B:$B,30)</f>
        <v>400</v>
      </c>
      <c r="N38" s="284">
        <f t="shared" si="39"/>
        <v>0</v>
      </c>
      <c r="O38" s="247">
        <f>SUMIFS('Checking Transaction Log'!$E:$E,'Checking Transaction Log'!$C:$C,"&gt;="&amp;O1,'Checking Transaction Log'!$C:$C,"&lt;="&amp;P1,'Checking Transaction Log'!$A:$A,"R",'Checking Transaction Log'!$B:$B,30)</f>
        <v>400</v>
      </c>
      <c r="P38" s="247">
        <f t="shared" si="40"/>
        <v>0</v>
      </c>
      <c r="Q38" s="281">
        <f>SUMIFS('Checking Transaction Log'!$E:$E,'Checking Transaction Log'!$C:$C,"&gt;="&amp;Q1,'Checking Transaction Log'!$C:$C,"&lt;="&amp;R1,'Checking Transaction Log'!$A:$A,"R",'Checking Transaction Log'!$B:$B,30)</f>
        <v>0</v>
      </c>
      <c r="R38" s="281">
        <f t="shared" si="41"/>
        <v>400</v>
      </c>
      <c r="S38" s="243">
        <f>SUMIFS('Checking Transaction Log'!$E:$E,'Checking Transaction Log'!$C:$C,"&gt;="&amp;S1,'Checking Transaction Log'!$C:$C,"&lt;="&amp;T1,'Checking Transaction Log'!$A:$A,"R",'Checking Transaction Log'!$B:$B,30)</f>
        <v>0</v>
      </c>
      <c r="T38" s="243">
        <f t="shared" si="42"/>
        <v>400</v>
      </c>
      <c r="U38" s="284">
        <f>SUMIFS('Checking Transaction Log'!$E:$E,'Checking Transaction Log'!$C:$C,"&gt;="&amp;U1,'Checking Transaction Log'!$C:$C,"&lt;="&amp;V1,'Checking Transaction Log'!$A:$A,"R",'Checking Transaction Log'!$B:$B,30)</f>
        <v>0</v>
      </c>
      <c r="V38" s="284">
        <f t="shared" si="43"/>
        <v>400</v>
      </c>
      <c r="W38" s="247">
        <f>SUMIFS('Checking Transaction Log'!$E:$E,'Checking Transaction Log'!$C:$C,"&gt;="&amp;W1,'Checking Transaction Log'!$C:$C,"&lt;="&amp;X1,'Checking Transaction Log'!$A:$A,"R",'Checking Transaction Log'!$B:$B,30)</f>
        <v>0</v>
      </c>
      <c r="X38" s="247">
        <f t="shared" si="44"/>
        <v>400</v>
      </c>
      <c r="Y38" s="287">
        <f>SUMIFS('Checking Transaction Log'!$E:$E,'Checking Transaction Log'!$C:$C,"&gt;="&amp;Y1,'Checking Transaction Log'!$C:$C,"&lt;="&amp;Z1,'Checking Transaction Log'!$A:$A,"R",'Checking Transaction Log'!$B:$B,30)</f>
        <v>0</v>
      </c>
      <c r="Z38" s="287">
        <f t="shared" si="45"/>
        <v>400</v>
      </c>
      <c r="AA38" s="289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89">
        <f t="shared" si="46"/>
        <v>400</v>
      </c>
      <c r="AC38" s="291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91">
        <f t="shared" si="47"/>
        <v>400</v>
      </c>
      <c r="AE38" s="293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93">
        <f t="shared" si="48"/>
        <v>400</v>
      </c>
    </row>
    <row r="39" spans="1:32" ht="11.25" customHeight="1" x14ac:dyDescent="0.3">
      <c r="A39" s="295" t="str">
        <f>'Proposed Budget'!A39</f>
        <v>R</v>
      </c>
      <c r="B39" s="266">
        <f>'Proposed Budget'!B39</f>
        <v>31</v>
      </c>
      <c r="C39" s="298" t="str">
        <f>'Proposed Budget'!C39</f>
        <v>Home Maintenance</v>
      </c>
      <c r="D39" s="299">
        <f t="shared" ca="1" si="33"/>
        <v>340.52238805970148</v>
      </c>
      <c r="E39" s="300">
        <f t="shared" si="34"/>
        <v>1500</v>
      </c>
      <c r="F39" s="300">
        <f t="shared" si="35"/>
        <v>0</v>
      </c>
      <c r="G39" s="280">
        <f t="shared" si="36"/>
        <v>0</v>
      </c>
      <c r="H39" s="300">
        <f>'Proposed Budget'!D39</f>
        <v>375</v>
      </c>
      <c r="I39" s="281">
        <f>SUMIFS('Checking Transaction Log'!E:E,'Checking Transaction Log'!C:C,"&gt;="&amp;I1,'Checking Transaction Log'!C:C,"&lt;="&amp;J1,'Checking Transaction Log'!A:A,"R",'Checking Transaction Log'!B:B,31)</f>
        <v>375</v>
      </c>
      <c r="J39" s="281">
        <f t="shared" si="37"/>
        <v>0</v>
      </c>
      <c r="K39" s="243">
        <f>SUMIFS('Checking Transaction Log'!$E:$E,'Checking Transaction Log'!$C:$C,"&gt;="&amp;K1,'Checking Transaction Log'!$C:$C,"&lt;="&amp;L1,'Checking Transaction Log'!$A:$A,"R",'Checking Transaction Log'!$B:$B,31)</f>
        <v>375</v>
      </c>
      <c r="L39" s="243">
        <f t="shared" si="38"/>
        <v>0</v>
      </c>
      <c r="M39" s="284">
        <f>SUMIFS('Checking Transaction Log'!$E:$E,'Checking Transaction Log'!$C:$C,"&gt;="&amp;M1,'Checking Transaction Log'!$C:$C,"&lt;="&amp;N1,'Checking Transaction Log'!$A:$A,"R",'Checking Transaction Log'!$B:$B,31)</f>
        <v>375</v>
      </c>
      <c r="N39" s="284">
        <f t="shared" si="39"/>
        <v>0</v>
      </c>
      <c r="O39" s="247">
        <f>SUMIFS('Checking Transaction Log'!$E:$E,'Checking Transaction Log'!$C:$C,"&gt;="&amp;O1,'Checking Transaction Log'!$C:$C,"&lt;="&amp;P1,'Checking Transaction Log'!$A:$A,"R",'Checking Transaction Log'!$B:$B,31)</f>
        <v>375</v>
      </c>
      <c r="P39" s="247">
        <f t="shared" si="40"/>
        <v>0</v>
      </c>
      <c r="Q39" s="281">
        <f>SUMIFS('Checking Transaction Log'!$E:$E,'Checking Transaction Log'!$C:$C,"&gt;="&amp;Q1,'Checking Transaction Log'!$C:$C,"&lt;="&amp;R1,'Checking Transaction Log'!$A:$A,"R",'Checking Transaction Log'!$B:$B,31)</f>
        <v>0</v>
      </c>
      <c r="R39" s="281">
        <f t="shared" si="41"/>
        <v>375</v>
      </c>
      <c r="S39" s="243">
        <f>SUMIFS('Checking Transaction Log'!$E:$E,'Checking Transaction Log'!$C:$C,"&gt;="&amp;S1,'Checking Transaction Log'!$C:$C,"&lt;="&amp;T1,'Checking Transaction Log'!$A:$A,"R",'Checking Transaction Log'!$B:$B,31)</f>
        <v>0</v>
      </c>
      <c r="T39" s="243">
        <f t="shared" si="42"/>
        <v>375</v>
      </c>
      <c r="U39" s="284">
        <f>SUMIFS('Checking Transaction Log'!$E:$E,'Checking Transaction Log'!$C:$C,"&gt;="&amp;U1,'Checking Transaction Log'!$C:$C,"&lt;="&amp;V1,'Checking Transaction Log'!$A:$A,"R",'Checking Transaction Log'!$B:$B,31)</f>
        <v>0</v>
      </c>
      <c r="V39" s="284">
        <f t="shared" si="43"/>
        <v>375</v>
      </c>
      <c r="W39" s="247">
        <f>SUMIFS('Checking Transaction Log'!$E:$E,'Checking Transaction Log'!$C:$C,"&gt;="&amp;W1,'Checking Transaction Log'!$C:$C,"&lt;="&amp;X1,'Checking Transaction Log'!$A:$A,"R",'Checking Transaction Log'!$B:$B,31)</f>
        <v>0</v>
      </c>
      <c r="X39" s="247">
        <f t="shared" si="44"/>
        <v>375</v>
      </c>
      <c r="Y39" s="287">
        <f>SUMIFS('Checking Transaction Log'!$E:$E,'Checking Transaction Log'!$C:$C,"&gt;="&amp;Y1,'Checking Transaction Log'!$C:$C,"&lt;="&amp;Z1,'Checking Transaction Log'!$A:$A,"R",'Checking Transaction Log'!$B:$B,31)</f>
        <v>0</v>
      </c>
      <c r="Z39" s="287">
        <f t="shared" si="45"/>
        <v>375</v>
      </c>
      <c r="AA39" s="289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89">
        <f t="shared" si="46"/>
        <v>375</v>
      </c>
      <c r="AC39" s="291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91">
        <f t="shared" si="47"/>
        <v>375</v>
      </c>
      <c r="AE39" s="293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93">
        <f t="shared" si="48"/>
        <v>375</v>
      </c>
    </row>
    <row r="40" spans="1:32" ht="11.25" customHeight="1" x14ac:dyDescent="0.3">
      <c r="A40" s="295" t="str">
        <f>'Proposed Budget'!A40</f>
        <v>R</v>
      </c>
      <c r="B40" s="266">
        <f>'Proposed Budget'!B40</f>
        <v>32</v>
      </c>
      <c r="C40" s="298" t="str">
        <f>'Proposed Budget'!C40</f>
        <v>Rental Repairs</v>
      </c>
      <c r="D40" s="299">
        <f t="shared" ca="1" si="33"/>
        <v>90.805970149253739</v>
      </c>
      <c r="E40" s="300">
        <f t="shared" si="34"/>
        <v>400</v>
      </c>
      <c r="F40" s="300">
        <f t="shared" si="35"/>
        <v>0</v>
      </c>
      <c r="G40" s="280">
        <f t="shared" si="36"/>
        <v>0</v>
      </c>
      <c r="H40" s="300">
        <f>'Proposed Budget'!D40</f>
        <v>100</v>
      </c>
      <c r="I40" s="281">
        <f>SUMIFS('Checking Transaction Log'!E:E,'Checking Transaction Log'!C:C,"&gt;="&amp;I1,'Checking Transaction Log'!C:C,"&lt;="&amp;J1,'Checking Transaction Log'!A:A,"R",'Checking Transaction Log'!B:B,32)</f>
        <v>100</v>
      </c>
      <c r="J40" s="281">
        <f t="shared" si="37"/>
        <v>0</v>
      </c>
      <c r="K40" s="243">
        <f>SUMIFS('Checking Transaction Log'!$E:$E,'Checking Transaction Log'!$C:$C,"&gt;="&amp;K1,'Checking Transaction Log'!$C:$C,"&lt;="&amp;L1,'Checking Transaction Log'!$A:$A,"R",'Checking Transaction Log'!$B:$B,32)</f>
        <v>100</v>
      </c>
      <c r="L40" s="243">
        <f t="shared" si="38"/>
        <v>0</v>
      </c>
      <c r="M40" s="284">
        <f>SUMIFS('Checking Transaction Log'!$E:$E,'Checking Transaction Log'!$C:$C,"&gt;="&amp;M1,'Checking Transaction Log'!$C:$C,"&lt;="&amp;N1,'Checking Transaction Log'!$A:$A,"R",'Checking Transaction Log'!$B:$B,32)</f>
        <v>100</v>
      </c>
      <c r="N40" s="284">
        <f t="shared" si="39"/>
        <v>0</v>
      </c>
      <c r="O40" s="247">
        <f>SUMIFS('Checking Transaction Log'!$E:$E,'Checking Transaction Log'!$C:$C,"&gt;="&amp;O1,'Checking Transaction Log'!$C:$C,"&lt;="&amp;P1,'Checking Transaction Log'!$A:$A,"R",'Checking Transaction Log'!$B:$B,32)</f>
        <v>100</v>
      </c>
      <c r="P40" s="247">
        <f t="shared" si="40"/>
        <v>0</v>
      </c>
      <c r="Q40" s="281">
        <f>SUMIFS('Checking Transaction Log'!$E:$E,'Checking Transaction Log'!$C:$C,"&gt;="&amp;Q1,'Checking Transaction Log'!$C:$C,"&lt;="&amp;R1,'Checking Transaction Log'!$A:$A,"R",'Checking Transaction Log'!$B:$B,32)</f>
        <v>0</v>
      </c>
      <c r="R40" s="281">
        <f t="shared" si="41"/>
        <v>100</v>
      </c>
      <c r="S40" s="243">
        <f>SUMIFS('Checking Transaction Log'!$E:$E,'Checking Transaction Log'!$C:$C,"&gt;="&amp;S1,'Checking Transaction Log'!$C:$C,"&lt;="&amp;T1,'Checking Transaction Log'!$A:$A,"R",'Checking Transaction Log'!$B:$B,32)</f>
        <v>0</v>
      </c>
      <c r="T40" s="243">
        <f t="shared" si="42"/>
        <v>100</v>
      </c>
      <c r="U40" s="284">
        <f>SUMIFS('Checking Transaction Log'!$E:$E,'Checking Transaction Log'!$C:$C,"&gt;="&amp;U1,'Checking Transaction Log'!$C:$C,"&lt;="&amp;V1,'Checking Transaction Log'!$A:$A,"R",'Checking Transaction Log'!$B:$B,32)</f>
        <v>0</v>
      </c>
      <c r="V40" s="284">
        <f t="shared" si="43"/>
        <v>100</v>
      </c>
      <c r="W40" s="247">
        <f>SUMIFS('Checking Transaction Log'!$E:$E,'Checking Transaction Log'!$C:$C,"&gt;="&amp;W1,'Checking Transaction Log'!$C:$C,"&lt;="&amp;X1,'Checking Transaction Log'!$A:$A,"R",'Checking Transaction Log'!$B:$B,32)</f>
        <v>0</v>
      </c>
      <c r="X40" s="247">
        <f t="shared" si="44"/>
        <v>100</v>
      </c>
      <c r="Y40" s="287">
        <f>SUMIFS('Checking Transaction Log'!$E:$E,'Checking Transaction Log'!$C:$C,"&gt;="&amp;Y1,'Checking Transaction Log'!$C:$C,"&lt;="&amp;Z1,'Checking Transaction Log'!$A:$A,"R",'Checking Transaction Log'!$B:$B,32)</f>
        <v>0</v>
      </c>
      <c r="Z40" s="287">
        <f t="shared" si="45"/>
        <v>100</v>
      </c>
      <c r="AA40" s="289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89">
        <f t="shared" si="46"/>
        <v>100</v>
      </c>
      <c r="AC40" s="291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91">
        <f t="shared" si="47"/>
        <v>100</v>
      </c>
      <c r="AE40" s="293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93">
        <f t="shared" si="48"/>
        <v>100</v>
      </c>
    </row>
    <row r="41" spans="1:32" ht="11.25" customHeight="1" x14ac:dyDescent="0.3">
      <c r="A41" s="295" t="str">
        <f>'Proposed Budget'!A41</f>
        <v>R</v>
      </c>
      <c r="B41" s="266">
        <f>'Proposed Budget'!B41</f>
        <v>33</v>
      </c>
      <c r="C41" s="298" t="str">
        <f>'Proposed Budget'!C41</f>
        <v>Rental Insurance</v>
      </c>
      <c r="D41" s="299">
        <f t="shared" ca="1" si="33"/>
        <v>77.185074626865685</v>
      </c>
      <c r="E41" s="300">
        <f t="shared" si="34"/>
        <v>340</v>
      </c>
      <c r="F41" s="300">
        <f t="shared" si="35"/>
        <v>0</v>
      </c>
      <c r="G41" s="280">
        <f t="shared" si="36"/>
        <v>0</v>
      </c>
      <c r="H41" s="300">
        <f>'Proposed Budget'!D41</f>
        <v>85</v>
      </c>
      <c r="I41" s="281">
        <f>SUMIFS('Checking Transaction Log'!E:E,'Checking Transaction Log'!C:C,"&gt;="&amp;I1,'Checking Transaction Log'!C:C,"&lt;="&amp;J1,'Checking Transaction Log'!A:A,"R",'Checking Transaction Log'!B:B,33)</f>
        <v>85</v>
      </c>
      <c r="J41" s="281">
        <f t="shared" si="37"/>
        <v>0</v>
      </c>
      <c r="K41" s="243">
        <f>SUMIFS('Checking Transaction Log'!$E:$E,'Checking Transaction Log'!$C:$C,"&gt;="&amp;K1,'Checking Transaction Log'!$C:$C,"&lt;="&amp;L1,'Checking Transaction Log'!$A:$A,"R",'Checking Transaction Log'!$B:$B,33)</f>
        <v>85</v>
      </c>
      <c r="L41" s="243">
        <f t="shared" si="38"/>
        <v>0</v>
      </c>
      <c r="M41" s="284">
        <f>SUMIFS('Checking Transaction Log'!$E:$E,'Checking Transaction Log'!$C:$C,"&gt;="&amp;M1,'Checking Transaction Log'!$C:$C,"&lt;="&amp;N1,'Checking Transaction Log'!$A:$A,"R",'Checking Transaction Log'!$B:$B,33)</f>
        <v>85</v>
      </c>
      <c r="N41" s="284">
        <f t="shared" si="39"/>
        <v>0</v>
      </c>
      <c r="O41" s="247">
        <f>SUMIFS('Checking Transaction Log'!$E:$E,'Checking Transaction Log'!$C:$C,"&gt;="&amp;O1,'Checking Transaction Log'!$C:$C,"&lt;="&amp;P1,'Checking Transaction Log'!$A:$A,"R",'Checking Transaction Log'!$B:$B,33)</f>
        <v>85</v>
      </c>
      <c r="P41" s="247">
        <f t="shared" si="40"/>
        <v>0</v>
      </c>
      <c r="Q41" s="281">
        <f>SUMIFS('Checking Transaction Log'!$E:$E,'Checking Transaction Log'!$C:$C,"&gt;="&amp;Q1,'Checking Transaction Log'!$C:$C,"&lt;="&amp;R1,'Checking Transaction Log'!$A:$A,"R",'Checking Transaction Log'!$B:$B,33)</f>
        <v>0</v>
      </c>
      <c r="R41" s="281">
        <f t="shared" si="41"/>
        <v>85</v>
      </c>
      <c r="S41" s="243">
        <f>SUMIFS('Checking Transaction Log'!$E:$E,'Checking Transaction Log'!$C:$C,"&gt;="&amp;S1,'Checking Transaction Log'!$C:$C,"&lt;="&amp;T1,'Checking Transaction Log'!$A:$A,"R",'Checking Transaction Log'!$B:$B,33)</f>
        <v>0</v>
      </c>
      <c r="T41" s="243">
        <f t="shared" si="42"/>
        <v>85</v>
      </c>
      <c r="U41" s="284">
        <f>SUMIFS('Checking Transaction Log'!$E:$E,'Checking Transaction Log'!$C:$C,"&gt;="&amp;U1,'Checking Transaction Log'!$C:$C,"&lt;="&amp;V1,'Checking Transaction Log'!$A:$A,"R",'Checking Transaction Log'!$B:$B,33)</f>
        <v>0</v>
      </c>
      <c r="V41" s="284">
        <f t="shared" si="43"/>
        <v>85</v>
      </c>
      <c r="W41" s="247">
        <f>SUMIFS('Checking Transaction Log'!$E:$E,'Checking Transaction Log'!$C:$C,"&gt;="&amp;W1,'Checking Transaction Log'!$C:$C,"&lt;="&amp;X1,'Checking Transaction Log'!$A:$A,"R",'Checking Transaction Log'!$B:$B,33)</f>
        <v>0</v>
      </c>
      <c r="X41" s="247">
        <f t="shared" si="44"/>
        <v>85</v>
      </c>
      <c r="Y41" s="287">
        <f>SUMIFS('Checking Transaction Log'!$E:$E,'Checking Transaction Log'!$C:$C,"&gt;="&amp;Y1,'Checking Transaction Log'!$C:$C,"&lt;="&amp;Z1,'Checking Transaction Log'!$A:$A,"R",'Checking Transaction Log'!$B:$B,33)</f>
        <v>0</v>
      </c>
      <c r="Z41" s="287">
        <f t="shared" si="45"/>
        <v>85</v>
      </c>
      <c r="AA41" s="289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89">
        <f t="shared" si="46"/>
        <v>85</v>
      </c>
      <c r="AC41" s="291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91">
        <f t="shared" si="47"/>
        <v>85</v>
      </c>
      <c r="AE41" s="293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93">
        <f t="shared" si="48"/>
        <v>85</v>
      </c>
    </row>
    <row r="42" spans="1:32" ht="11.25" customHeight="1" x14ac:dyDescent="0.3">
      <c r="A42" s="295" t="str">
        <f>'Proposed Budget'!A42</f>
        <v>R</v>
      </c>
      <c r="B42" s="266">
        <f>'Proposed Budget'!B42</f>
        <v>34</v>
      </c>
      <c r="C42" s="298" t="str">
        <f>'Proposed Budget'!C42</f>
        <v>Rental Property Taxes</v>
      </c>
      <c r="D42" s="299">
        <f t="shared" ca="1" si="33"/>
        <v>208.85373134328361</v>
      </c>
      <c r="E42" s="300">
        <f t="shared" si="34"/>
        <v>920</v>
      </c>
      <c r="F42" s="300">
        <f t="shared" si="35"/>
        <v>0</v>
      </c>
      <c r="G42" s="280">
        <f t="shared" si="36"/>
        <v>0</v>
      </c>
      <c r="H42" s="300">
        <f>'Proposed Budget'!D42</f>
        <v>230</v>
      </c>
      <c r="I42" s="281">
        <f>SUMIFS('Checking Transaction Log'!E:E,'Checking Transaction Log'!C:C,"&gt;="&amp;I1,'Checking Transaction Log'!C:C,"&lt;="&amp;J1,'Checking Transaction Log'!A:A,"R",'Checking Transaction Log'!B:B,34)</f>
        <v>230</v>
      </c>
      <c r="J42" s="281">
        <f t="shared" si="37"/>
        <v>0</v>
      </c>
      <c r="K42" s="243">
        <f>SUMIFS('Checking Transaction Log'!$E:$E,'Checking Transaction Log'!$C:$C,"&gt;="&amp;K1,'Checking Transaction Log'!$C:$C,"&lt;="&amp;L1,'Checking Transaction Log'!$A:$A,"R",'Checking Transaction Log'!$B:$B,34)</f>
        <v>230</v>
      </c>
      <c r="L42" s="243">
        <f t="shared" si="38"/>
        <v>0</v>
      </c>
      <c r="M42" s="284">
        <f>SUMIFS('Checking Transaction Log'!$E:$E,'Checking Transaction Log'!$C:$C,"&gt;="&amp;M1,'Checking Transaction Log'!$C:$C,"&lt;="&amp;N1,'Checking Transaction Log'!$A:$A,"R",'Checking Transaction Log'!$B:$B,34)</f>
        <v>230</v>
      </c>
      <c r="N42" s="284">
        <f t="shared" si="39"/>
        <v>0</v>
      </c>
      <c r="O42" s="247">
        <f>SUMIFS('Checking Transaction Log'!$E:$E,'Checking Transaction Log'!$C:$C,"&gt;="&amp;O1,'Checking Transaction Log'!$C:$C,"&lt;="&amp;P1,'Checking Transaction Log'!$A:$A,"R",'Checking Transaction Log'!$B:$B,34)</f>
        <v>230</v>
      </c>
      <c r="P42" s="247">
        <f t="shared" si="40"/>
        <v>0</v>
      </c>
      <c r="Q42" s="281">
        <f>SUMIFS('Checking Transaction Log'!$E:$E,'Checking Transaction Log'!$C:$C,"&gt;="&amp;Q1,'Checking Transaction Log'!$C:$C,"&lt;="&amp;R1,'Checking Transaction Log'!$A:$A,"R",'Checking Transaction Log'!$B:$B,34)</f>
        <v>0</v>
      </c>
      <c r="R42" s="281">
        <f t="shared" si="41"/>
        <v>230</v>
      </c>
      <c r="S42" s="243">
        <f>SUMIFS('Checking Transaction Log'!$E:$E,'Checking Transaction Log'!$C:$C,"&gt;="&amp;S1,'Checking Transaction Log'!$C:$C,"&lt;="&amp;T1,'Checking Transaction Log'!$A:$A,"R",'Checking Transaction Log'!$B:$B,34)</f>
        <v>0</v>
      </c>
      <c r="T42" s="243">
        <f t="shared" si="42"/>
        <v>230</v>
      </c>
      <c r="U42" s="284">
        <f>SUMIFS('Checking Transaction Log'!$E:$E,'Checking Transaction Log'!$C:$C,"&gt;="&amp;U1,'Checking Transaction Log'!$C:$C,"&lt;="&amp;V1,'Checking Transaction Log'!$A:$A,"R",'Checking Transaction Log'!$B:$B,34)</f>
        <v>0</v>
      </c>
      <c r="V42" s="284">
        <f t="shared" si="43"/>
        <v>230</v>
      </c>
      <c r="W42" s="247">
        <f>SUMIFS('Checking Transaction Log'!$E:$E,'Checking Transaction Log'!$C:$C,"&gt;="&amp;W1,'Checking Transaction Log'!$C:$C,"&lt;="&amp;X1,'Checking Transaction Log'!$A:$A,"R",'Checking Transaction Log'!$B:$B,34)</f>
        <v>0</v>
      </c>
      <c r="X42" s="247">
        <f t="shared" si="44"/>
        <v>230</v>
      </c>
      <c r="Y42" s="287">
        <f>SUMIFS('Checking Transaction Log'!$E:$E,'Checking Transaction Log'!$C:$C,"&gt;="&amp;Y1,'Checking Transaction Log'!$C:$C,"&lt;="&amp;Z1,'Checking Transaction Log'!$A:$A,"R",'Checking Transaction Log'!$B:$B,34)</f>
        <v>0</v>
      </c>
      <c r="Z42" s="287">
        <f t="shared" si="45"/>
        <v>230</v>
      </c>
      <c r="AA42" s="289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89">
        <f t="shared" si="46"/>
        <v>230</v>
      </c>
      <c r="AC42" s="291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91">
        <f t="shared" si="47"/>
        <v>230</v>
      </c>
      <c r="AE42" s="293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93">
        <f t="shared" si="48"/>
        <v>230</v>
      </c>
    </row>
    <row r="43" spans="1:32" ht="11.25" customHeight="1" x14ac:dyDescent="0.3">
      <c r="A43" s="295" t="str">
        <f>'Proposed Budget'!A43</f>
        <v>R</v>
      </c>
      <c r="B43" s="266">
        <f>'Proposed Budget'!B43</f>
        <v>35</v>
      </c>
      <c r="C43" s="298" t="str">
        <f>'Proposed Budget'!C43</f>
        <v>Rental Sanitation</v>
      </c>
      <c r="D43" s="299">
        <f t="shared" ca="1" si="33"/>
        <v>40.862686567164182</v>
      </c>
      <c r="E43" s="300">
        <f t="shared" si="34"/>
        <v>180</v>
      </c>
      <c r="F43" s="300">
        <f t="shared" si="35"/>
        <v>0</v>
      </c>
      <c r="G43" s="280">
        <f t="shared" si="36"/>
        <v>0</v>
      </c>
      <c r="H43" s="300">
        <f>'Proposed Budget'!D43</f>
        <v>45</v>
      </c>
      <c r="I43" s="281">
        <f>SUMIFS('Checking Transaction Log'!E:E,'Checking Transaction Log'!C:C,"&gt;="&amp;I1,'Checking Transaction Log'!C:C,"&lt;="&amp;J1,'Checking Transaction Log'!A:A,"R",'Checking Transaction Log'!B:B,35)</f>
        <v>45</v>
      </c>
      <c r="J43" s="281">
        <f t="shared" si="37"/>
        <v>0</v>
      </c>
      <c r="K43" s="243">
        <f>SUMIFS('Checking Transaction Log'!$E:$E,'Checking Transaction Log'!$C:$C,"&gt;="&amp;K1,'Checking Transaction Log'!$C:$C,"&lt;="&amp;L1,'Checking Transaction Log'!$A:$A,"R",'Checking Transaction Log'!$B:$B,35)</f>
        <v>45</v>
      </c>
      <c r="L43" s="243">
        <f t="shared" si="38"/>
        <v>0</v>
      </c>
      <c r="M43" s="284">
        <f>SUMIFS('Checking Transaction Log'!$E:$E,'Checking Transaction Log'!$C:$C,"&gt;="&amp;M1,'Checking Transaction Log'!$C:$C,"&lt;="&amp;N1,'Checking Transaction Log'!$A:$A,"R",'Checking Transaction Log'!$B:$B,35)</f>
        <v>45</v>
      </c>
      <c r="N43" s="284">
        <f t="shared" si="39"/>
        <v>0</v>
      </c>
      <c r="O43" s="247">
        <f>SUMIFS('Checking Transaction Log'!$E:$E,'Checking Transaction Log'!$C:$C,"&gt;="&amp;O1,'Checking Transaction Log'!$C:$C,"&lt;="&amp;P1,'Checking Transaction Log'!$A:$A,"R",'Checking Transaction Log'!$B:$B,35)</f>
        <v>45</v>
      </c>
      <c r="P43" s="247">
        <f t="shared" si="40"/>
        <v>0</v>
      </c>
      <c r="Q43" s="281">
        <f>SUMIFS('Checking Transaction Log'!$E:$E,'Checking Transaction Log'!$C:$C,"&gt;="&amp;Q1,'Checking Transaction Log'!$C:$C,"&lt;="&amp;R1,'Checking Transaction Log'!$A:$A,"R",'Checking Transaction Log'!$B:$B,35)</f>
        <v>0</v>
      </c>
      <c r="R43" s="281">
        <f t="shared" si="41"/>
        <v>45</v>
      </c>
      <c r="S43" s="243">
        <f>SUMIFS('Checking Transaction Log'!$E:$E,'Checking Transaction Log'!$C:$C,"&gt;="&amp;S1,'Checking Transaction Log'!$C:$C,"&lt;="&amp;T1,'Checking Transaction Log'!$A:$A,"R",'Checking Transaction Log'!$B:$B,35)</f>
        <v>0</v>
      </c>
      <c r="T43" s="243">
        <f t="shared" si="42"/>
        <v>45</v>
      </c>
      <c r="U43" s="284">
        <f>SUMIFS('Checking Transaction Log'!$E:$E,'Checking Transaction Log'!$C:$C,"&gt;="&amp;U1,'Checking Transaction Log'!$C:$C,"&lt;="&amp;V1,'Checking Transaction Log'!$A:$A,"R",'Checking Transaction Log'!$B:$B,35)</f>
        <v>0</v>
      </c>
      <c r="V43" s="284">
        <f t="shared" si="43"/>
        <v>45</v>
      </c>
      <c r="W43" s="247">
        <f>SUMIFS('Checking Transaction Log'!$E:$E,'Checking Transaction Log'!$C:$C,"&gt;="&amp;W1,'Checking Transaction Log'!$C:$C,"&lt;="&amp;X1,'Checking Transaction Log'!$A:$A,"R",'Checking Transaction Log'!$B:$B,35)</f>
        <v>0</v>
      </c>
      <c r="X43" s="247">
        <f t="shared" si="44"/>
        <v>45</v>
      </c>
      <c r="Y43" s="287">
        <f>SUMIFS('Checking Transaction Log'!$E:$E,'Checking Transaction Log'!$C:$C,"&gt;="&amp;Y1,'Checking Transaction Log'!$C:$C,"&lt;="&amp;Z1,'Checking Transaction Log'!$A:$A,"R",'Checking Transaction Log'!$B:$B,35)</f>
        <v>0</v>
      </c>
      <c r="Z43" s="287">
        <f t="shared" si="45"/>
        <v>45</v>
      </c>
      <c r="AA43" s="289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89">
        <f t="shared" si="46"/>
        <v>45</v>
      </c>
      <c r="AC43" s="291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91">
        <f t="shared" si="47"/>
        <v>45</v>
      </c>
      <c r="AE43" s="293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93">
        <f t="shared" si="48"/>
        <v>45</v>
      </c>
    </row>
    <row r="44" spans="1:32" ht="11.25" customHeight="1" x14ac:dyDescent="0.3">
      <c r="A44" s="295"/>
      <c r="B44" s="266"/>
      <c r="C44" s="298"/>
      <c r="D44" s="299"/>
      <c r="E44" s="300"/>
      <c r="F44" s="300"/>
      <c r="G44" s="280"/>
      <c r="H44" s="300"/>
      <c r="I44" s="281"/>
      <c r="J44" s="281"/>
      <c r="K44" s="243"/>
      <c r="L44" s="243"/>
      <c r="M44" s="284"/>
      <c r="N44" s="284"/>
      <c r="O44" s="247"/>
      <c r="P44" s="247"/>
      <c r="Q44" s="281"/>
      <c r="R44" s="281"/>
      <c r="S44" s="243"/>
      <c r="T44" s="243"/>
      <c r="U44" s="284"/>
      <c r="V44" s="284"/>
      <c r="W44" s="247"/>
      <c r="X44" s="247"/>
      <c r="Y44" s="287"/>
      <c r="Z44" s="287"/>
      <c r="AA44" s="289"/>
      <c r="AB44" s="289"/>
      <c r="AC44" s="291"/>
      <c r="AD44" s="291"/>
      <c r="AE44" s="293"/>
      <c r="AF44" s="293"/>
    </row>
    <row r="45" spans="1:32" ht="11.25" customHeight="1" x14ac:dyDescent="0.3">
      <c r="A45" s="295" t="str">
        <f>'Proposed Budget'!A45</f>
        <v>S</v>
      </c>
      <c r="B45" s="266">
        <f>'Proposed Budget'!B45</f>
        <v>36</v>
      </c>
      <c r="C45" s="298" t="str">
        <f>'Proposed Budget'!C45</f>
        <v>Kids Savings</v>
      </c>
      <c r="D45" s="299">
        <f t="shared" ref="D45:D46" ca="1" si="49">(E45/(TODAY()-$I$1))*30.42</f>
        <v>56.75373134328359</v>
      </c>
      <c r="E45" s="300">
        <f t="shared" ref="E45:E46" si="50">Q45+S45+U45+W45+Y45+AA45+AC45+AE45+I45+K45+M45+O45</f>
        <v>250</v>
      </c>
      <c r="F45" s="300">
        <f t="shared" ref="F45:F46" si="51">J45+L45+N45+P45</f>
        <v>0</v>
      </c>
      <c r="G45" s="280">
        <f t="shared" ref="G45:G46" si="52">1-((E45/SUM(E45:F45)))</f>
        <v>0</v>
      </c>
      <c r="H45" s="300">
        <f>'Proposed Budget'!D45</f>
        <v>50</v>
      </c>
      <c r="I45" s="281">
        <f>SUMIFS('Checking Transaction Log'!E:E,'Checking Transaction Log'!C:C,"&gt;="&amp;I1,'Checking Transaction Log'!C:C,"&lt;="&amp;J1,'Checking Transaction Log'!A:A,"S",'Checking Transaction Log'!B:B,36)</f>
        <v>50</v>
      </c>
      <c r="J45" s="281">
        <f t="shared" ref="J45:J46" si="53">H45-I45</f>
        <v>0</v>
      </c>
      <c r="K45" s="243">
        <f>SUMIFS('Checking Transaction Log'!E:E,'Checking Transaction Log'!C:C,"&gt;="&amp;K1,'Checking Transaction Log'!C:C,"&lt;="&amp;L1,'Checking Transaction Log'!A:A,"S",'Checking Transaction Log'!B:B,36)</f>
        <v>50</v>
      </c>
      <c r="L45" s="243">
        <f t="shared" ref="L45:L46" si="54">H45-K45</f>
        <v>0</v>
      </c>
      <c r="M45" s="284">
        <f>SUMIFS('Checking Transaction Log'!$E:$E,'Checking Transaction Log'!$C:$C,"&gt;="&amp;M1,'Checking Transaction Log'!$C:$C,"&lt;="&amp;N1,'Checking Transaction Log'!$A:$A,"s",'Checking Transaction Log'!$B:$B,36)</f>
        <v>50</v>
      </c>
      <c r="N45" s="284">
        <f t="shared" ref="N45:N46" si="55">H45-M45</f>
        <v>0</v>
      </c>
      <c r="O45" s="247">
        <f>SUMIFS('Checking Transaction Log'!$E:$E,'Checking Transaction Log'!$C:$C,"&gt;="&amp;O1,'Checking Transaction Log'!$C:$C,"&lt;="&amp;P1,'Checking Transaction Log'!$A:$A,"s",'Checking Transaction Log'!$B:$B,36)</f>
        <v>50</v>
      </c>
      <c r="P45" s="247">
        <f t="shared" ref="P45:P46" si="56">H45-O45</f>
        <v>0</v>
      </c>
      <c r="Q45" s="281">
        <f>SUMIFS('Checking Transaction Log'!$E:$E,'Checking Transaction Log'!$C:$C,"&gt;="&amp;Q1,'Checking Transaction Log'!$C:$C,"&lt;="&amp;R1,'Checking Transaction Log'!$A:$A,"s",'Checking Transaction Log'!$B:$B,36)</f>
        <v>50</v>
      </c>
      <c r="R45" s="281">
        <f t="shared" ref="R45:R46" si="57">H45-Q45</f>
        <v>0</v>
      </c>
      <c r="S45" s="243">
        <f>SUMIFS('Checking Transaction Log'!$E:$E,'Checking Transaction Log'!$C:$C,"&gt;="&amp;S1,'Checking Transaction Log'!$C:$C,"&lt;="&amp;T1,'Checking Transaction Log'!$A:$A,"s",'Checking Transaction Log'!$B:$B,36)</f>
        <v>0</v>
      </c>
      <c r="T45" s="243">
        <f t="shared" ref="T45:T46" si="58">H45-S45</f>
        <v>50</v>
      </c>
      <c r="U45" s="284">
        <f>SUMIFS('Checking Transaction Log'!$E:$E,'Checking Transaction Log'!$C:$C,"&gt;="&amp;U1,'Checking Transaction Log'!$C:$C,"&lt;="&amp;V1,'Checking Transaction Log'!$A:$A,"s",'Checking Transaction Log'!$B:$B,36)</f>
        <v>0</v>
      </c>
      <c r="V45" s="284">
        <f t="shared" ref="V45:V46" si="59">H45-U45</f>
        <v>50</v>
      </c>
      <c r="W45" s="247">
        <f>SUMIFS('Checking Transaction Log'!$E:$E,'Checking Transaction Log'!$C:$C,"&gt;="&amp;W1,'Checking Transaction Log'!$C:$C,"&lt;="&amp;X1,'Checking Transaction Log'!$A:$A,"s",'Checking Transaction Log'!$B:$B,36)</f>
        <v>0</v>
      </c>
      <c r="X45" s="247">
        <f t="shared" ref="X45:X46" si="60">H45-W45</f>
        <v>50</v>
      </c>
      <c r="Y45" s="287">
        <f>SUMIFS('Checking Transaction Log'!$E:$E,'Checking Transaction Log'!$C:$C,"&gt;="&amp;Y1,'Checking Transaction Log'!$C:$C,"&lt;="&amp;Z1,'Checking Transaction Log'!$A:$A,"s",'Checking Transaction Log'!$B:$B,36)</f>
        <v>0</v>
      </c>
      <c r="Z45" s="287">
        <f t="shared" ref="Z45:Z46" si="61">H45-Y45</f>
        <v>50</v>
      </c>
      <c r="AA45" s="289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89">
        <f t="shared" ref="AB45:AB46" si="62">H45-AA45</f>
        <v>50</v>
      </c>
      <c r="AC45" s="291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91">
        <f t="shared" ref="AD45:AD46" si="63">H45-AC45</f>
        <v>50</v>
      </c>
      <c r="AE45" s="293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93">
        <f t="shared" ref="AF45:AF46" si="64">H45-AE45</f>
        <v>50</v>
      </c>
    </row>
    <row r="46" spans="1:32" ht="11.25" customHeight="1" x14ac:dyDescent="0.3">
      <c r="A46" s="295" t="str">
        <f>'Proposed Budget'!A46</f>
        <v>S</v>
      </c>
      <c r="B46" s="266">
        <f>'Proposed Budget'!B46</f>
        <v>37</v>
      </c>
      <c r="C46" s="298" t="str">
        <f>'Proposed Budget'!C46</f>
        <v>Our Savings</v>
      </c>
      <c r="D46" s="299">
        <f t="shared" ca="1" si="49"/>
        <v>3833.3626791044771</v>
      </c>
      <c r="E46" s="300">
        <f t="shared" si="50"/>
        <v>16885.949999999997</v>
      </c>
      <c r="F46" s="300">
        <f t="shared" si="51"/>
        <v>-817.21597936001172</v>
      </c>
      <c r="G46" s="280">
        <f t="shared" si="52"/>
        <v>-5.0857521090977853E-2</v>
      </c>
      <c r="H46" s="300">
        <f>'Proposed Budget'!D46</f>
        <v>4017.1835051599969</v>
      </c>
      <c r="I46" s="281">
        <f>SUMIFS('Checking Transaction Log'!E:E,'Checking Transaction Log'!C:C,"&gt;="&amp;I1,'Checking Transaction Log'!C:C,"&lt;="&amp;J1,'Checking Transaction Log'!A:A,"S",'Checking Transaction Log'!B:B,37)</f>
        <v>3194.64</v>
      </c>
      <c r="J46" s="281">
        <f t="shared" si="53"/>
        <v>822.54350515999704</v>
      </c>
      <c r="K46" s="243">
        <f>SUMIFS('Checking Transaction Log'!E:E,'Checking Transaction Log'!C:C,"&gt;="&amp;K1,'Checking Transaction Log'!C:C,"&lt;="&amp;L1,'Checking Transaction Log'!A:A,"S",'Checking Transaction Log'!B:B,37)</f>
        <v>3764.91</v>
      </c>
      <c r="L46" s="243">
        <f t="shared" si="54"/>
        <v>252.27350515999706</v>
      </c>
      <c r="M46" s="284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84">
        <f t="shared" si="55"/>
        <v>-292.39649484000302</v>
      </c>
      <c r="O46" s="247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47">
        <f t="shared" si="56"/>
        <v>-1599.6364948400028</v>
      </c>
      <c r="Q46" s="281">
        <f>SUMIFS('Checking Transaction Log'!$E:$E,'Checking Transaction Log'!$C:$C,"&gt;="&amp;Q1,'Checking Transaction Log'!$C:$C,"&lt;="&amp;R1,'Checking Transaction Log'!$A:$A,"s",'Checking Transaction Log'!$B:$B,37)</f>
        <v>0</v>
      </c>
      <c r="R46" s="281">
        <f t="shared" si="57"/>
        <v>4017.1835051599969</v>
      </c>
      <c r="S46" s="243">
        <f>SUMIFS('Checking Transaction Log'!$E:$E,'Checking Transaction Log'!$C:$C,"&gt;="&amp;S1,'Checking Transaction Log'!$C:$C,"&lt;="&amp;T1,'Checking Transaction Log'!$A:$A,"s",'Checking Transaction Log'!$B:$B,37)</f>
        <v>0</v>
      </c>
      <c r="T46" s="243">
        <f t="shared" si="58"/>
        <v>4017.1835051599969</v>
      </c>
      <c r="U46" s="284">
        <f>SUMIFS('Checking Transaction Log'!$E:$E,'Checking Transaction Log'!$C:$C,"&gt;="&amp;U1,'Checking Transaction Log'!$C:$C,"&lt;="&amp;V1,'Checking Transaction Log'!$A:$A,"s",'Checking Transaction Log'!$B:$B,37)</f>
        <v>0</v>
      </c>
      <c r="V46" s="284">
        <f t="shared" si="59"/>
        <v>4017.1835051599969</v>
      </c>
      <c r="W46" s="247">
        <f>SUMIFS('Checking Transaction Log'!$E:$E,'Checking Transaction Log'!$C:$C,"&gt;="&amp;W1,'Checking Transaction Log'!$C:$C,"&lt;="&amp;X1,'Checking Transaction Log'!$A:$A,"s",'Checking Transaction Log'!$B:$B,37)</f>
        <v>0</v>
      </c>
      <c r="X46" s="247">
        <f t="shared" si="60"/>
        <v>4017.1835051599969</v>
      </c>
      <c r="Y46" s="287">
        <f>SUMIFS('Checking Transaction Log'!$E:$E,'Checking Transaction Log'!$C:$C,"&gt;="&amp;Y1,'Checking Transaction Log'!$C:$C,"&lt;="&amp;Z1,'Checking Transaction Log'!$A:$A,"s",'Checking Transaction Log'!$B:$B,37)</f>
        <v>0</v>
      </c>
      <c r="Z46" s="287">
        <f t="shared" si="61"/>
        <v>4017.1835051599969</v>
      </c>
      <c r="AA46" s="289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89">
        <f t="shared" si="62"/>
        <v>4017.1835051599969</v>
      </c>
      <c r="AC46" s="291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91">
        <f t="shared" si="63"/>
        <v>4017.1835051599969</v>
      </c>
      <c r="AE46" s="293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93">
        <f t="shared" si="64"/>
        <v>4017.1835051599969</v>
      </c>
    </row>
    <row r="47" spans="1:32" ht="11.25" customHeight="1" x14ac:dyDescent="0.3">
      <c r="A47" s="295"/>
      <c r="B47" s="266"/>
      <c r="C47" s="298"/>
      <c r="D47" s="302"/>
      <c r="E47" s="256" t="s">
        <v>68</v>
      </c>
      <c r="F47" s="256" t="s">
        <v>68</v>
      </c>
      <c r="G47" s="257" t="s">
        <v>153</v>
      </c>
      <c r="H47" s="297"/>
      <c r="I47" s="281"/>
      <c r="J47" s="281"/>
      <c r="K47" s="243"/>
      <c r="L47" s="243"/>
      <c r="M47" s="284"/>
      <c r="N47" s="284"/>
      <c r="O47" s="247"/>
      <c r="P47" s="247"/>
      <c r="Q47" s="281"/>
      <c r="R47" s="281"/>
      <c r="S47" s="243"/>
      <c r="T47" s="243"/>
      <c r="U47" s="284"/>
      <c r="V47" s="284"/>
      <c r="W47" s="247"/>
      <c r="X47" s="247"/>
      <c r="Y47" s="287"/>
      <c r="Z47" s="287"/>
      <c r="AA47" s="289"/>
      <c r="AB47" s="289"/>
      <c r="AC47" s="291"/>
      <c r="AD47" s="291"/>
      <c r="AE47" s="293"/>
    </row>
    <row r="48" spans="1:32" ht="11.25" customHeight="1" x14ac:dyDescent="0.3">
      <c r="A48" s="295"/>
      <c r="B48" s="266"/>
      <c r="C48" s="298"/>
      <c r="D48" s="302"/>
      <c r="E48" s="256" t="s">
        <v>263</v>
      </c>
      <c r="F48" s="256" t="s">
        <v>258</v>
      </c>
      <c r="G48" s="257" t="s">
        <v>264</v>
      </c>
      <c r="H48" s="295"/>
      <c r="I48" s="282"/>
      <c r="J48" s="282"/>
      <c r="K48" s="283"/>
      <c r="L48" s="283"/>
      <c r="M48" s="285"/>
      <c r="N48" s="285"/>
      <c r="O48" s="286"/>
      <c r="P48" s="286"/>
      <c r="Q48" s="282"/>
      <c r="R48" s="282"/>
      <c r="S48" s="283"/>
      <c r="T48" s="283"/>
      <c r="U48" s="285"/>
      <c r="V48" s="285"/>
      <c r="W48" s="286"/>
      <c r="X48" s="286"/>
      <c r="Y48" s="288"/>
      <c r="Z48" s="288"/>
      <c r="AA48" s="290"/>
      <c r="AB48" s="290"/>
      <c r="AC48" s="292"/>
      <c r="AD48" s="292"/>
      <c r="AE48" s="294"/>
    </row>
    <row r="49" spans="1:31" ht="11.25" customHeight="1" x14ac:dyDescent="0.3">
      <c r="A49" s="297" t="s">
        <v>226</v>
      </c>
      <c r="B49" s="266">
        <v>38</v>
      </c>
      <c r="C49" s="303" t="s">
        <v>265</v>
      </c>
      <c r="D49" s="299">
        <f t="shared" ref="D49:D52" ca="1" si="65">(E49/(TODAY()-$I$1))*30.42</f>
        <v>9100.1543507462684</v>
      </c>
      <c r="E49" s="279">
        <f t="shared" ref="E49:E52" si="66">Q49+S49+U49+W49+Y49+AA49+AC49+AE49+I49+K49+M49+O49</f>
        <v>40086.149999999994</v>
      </c>
      <c r="F49" s="279">
        <f>E49-('Proposed Budget'!J68*14)</f>
        <v>-24283.418043619997</v>
      </c>
      <c r="G49" s="257">
        <f t="shared" ref="G49:G50" si="67">(E49/(E49-F49))-1</f>
        <v>-0.37724997668408089</v>
      </c>
      <c r="H49" s="297"/>
      <c r="I49" s="281">
        <f>SUMIFS('Checking Transaction Log'!F:F,'Checking Transaction Log'!C:C,"&gt;="&amp;I1,'Checking Transaction Log'!C:C,"&lt;="&amp;J1,'Checking Transaction Log'!A:A,"i",'Checking Transaction Log'!B:B,38)</f>
        <v>8731.32</v>
      </c>
      <c r="J49" s="281"/>
      <c r="K49" s="243">
        <f>SUMIFS('Checking Transaction Log'!F:F,'Checking Transaction Log'!C:C,"&gt;="&amp;K1,'Checking Transaction Log'!C:C,"&lt;="&amp;L1,'Checking Transaction Log'!A:A,"i",'Checking Transaction Log'!B:B,38)</f>
        <v>8556.31</v>
      </c>
      <c r="L49" s="243"/>
      <c r="M49" s="284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84"/>
      <c r="O49" s="247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47"/>
      <c r="Q49" s="281">
        <f>SUMIFS('Checking Transaction Log'!$F:$F,'Checking Transaction Log'!$C:$C,"&gt;="&amp;Q1,'Checking Transaction Log'!$C:$C,"&lt;="&amp;R1,'Checking Transaction Log'!$A:$A,"i",'Checking Transaction Log'!$B:$B,38)</f>
        <v>4597.82</v>
      </c>
      <c r="R49" s="281"/>
      <c r="S49" s="243">
        <f>SUMIFS('Checking Transaction Log'!$F:$F,'Checking Transaction Log'!$C:$C,"&gt;="&amp;S1,'Checking Transaction Log'!$C:$C,"&lt;="&amp;T1,'Checking Transaction Log'!$A:$A,"i",'Checking Transaction Log'!$B:$B,38)</f>
        <v>0</v>
      </c>
      <c r="T49" s="243"/>
      <c r="U49" s="284">
        <f>SUMIFS('Checking Transaction Log'!$F:$F,'Checking Transaction Log'!$C:$C,"&gt;="&amp;U1,'Checking Transaction Log'!$C:$C,"&lt;="&amp;V1,'Checking Transaction Log'!$A:$A,"i",'Checking Transaction Log'!$B:$B,38)</f>
        <v>0</v>
      </c>
      <c r="V49" s="284"/>
      <c r="W49" s="247">
        <f>SUMIFS('Checking Transaction Log'!$F:$F,'Checking Transaction Log'!$C:$C,"&gt;="&amp;W1,'Checking Transaction Log'!$C:$C,"&lt;="&amp;X1,'Checking Transaction Log'!$A:$A,"i",'Checking Transaction Log'!$B:$B,38)</f>
        <v>0</v>
      </c>
      <c r="X49" s="247"/>
      <c r="Y49" s="287">
        <f>SUMIFS('Checking Transaction Log'!$F:$F,'Checking Transaction Log'!$C:$C,"&gt;="&amp;Y1,'Checking Transaction Log'!$C:$C,"&lt;="&amp;Z1,'Checking Transaction Log'!$A:$A,"i",'Checking Transaction Log'!$B:$B,38)</f>
        <v>0</v>
      </c>
      <c r="Z49" s="287"/>
      <c r="AA49" s="289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89"/>
      <c r="AC49" s="291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91"/>
      <c r="AE49" s="293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97" t="s">
        <v>226</v>
      </c>
      <c r="B50" s="266">
        <v>39</v>
      </c>
      <c r="C50" s="303" t="s">
        <v>266</v>
      </c>
      <c r="D50" s="299">
        <f t="shared" ca="1" si="65"/>
        <v>6405.9707283582093</v>
      </c>
      <c r="E50" s="279">
        <f t="shared" si="66"/>
        <v>28218.28</v>
      </c>
      <c r="F50" s="279">
        <f>E50-('Proposed Budget'!J44*14)</f>
        <v>-10474.689069999993</v>
      </c>
      <c r="G50" s="257">
        <f t="shared" si="67"/>
        <v>-0.270712982791527</v>
      </c>
      <c r="H50" s="297"/>
      <c r="I50" s="281">
        <f>SUMIFS('Checking Transaction Log'!F:F,'Checking Transaction Log'!C:C,"&gt;="&amp;I1,'Checking Transaction Log'!C:C,"&lt;="&amp;J1,'Checking Transaction Log'!A:A,"i",'Checking Transaction Log'!B:B,39)</f>
        <v>6108.04</v>
      </c>
      <c r="J50" s="281"/>
      <c r="K50" s="243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43"/>
      <c r="M50" s="284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84"/>
      <c r="O50" s="247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47"/>
      <c r="Q50" s="281">
        <f>SUMIFS('Checking Transaction Log'!$F:$F,'Checking Transaction Log'!$C:$C,"&gt;="&amp;Q1,'Checking Transaction Log'!$C:$C,"&lt;="&amp;R1,'Checking Transaction Log'!$A:$A,"i",'Checking Transaction Log'!$B:$B,39)</f>
        <v>2763.78</v>
      </c>
      <c r="R50" s="281"/>
      <c r="S50" s="243">
        <f>SUMIFS('Checking Transaction Log'!$F:$F,'Checking Transaction Log'!$C:$C,"&gt;="&amp;S1,'Checking Transaction Log'!$C:$C,"&lt;="&amp;T1,'Checking Transaction Log'!$A:$A,"i",'Checking Transaction Log'!$B:$B,39)</f>
        <v>0</v>
      </c>
      <c r="T50" s="243"/>
      <c r="U50" s="284">
        <f>SUMIFS('Checking Transaction Log'!$F:$F,'Checking Transaction Log'!$C:$C,"&gt;="&amp;U1,'Checking Transaction Log'!$C:$C,"&lt;="&amp;V1,'Checking Transaction Log'!$A:$A,"i",'Checking Transaction Log'!$B:$B,39)</f>
        <v>0</v>
      </c>
      <c r="V50" s="284"/>
      <c r="W50" s="247">
        <f>SUMIFS('Checking Transaction Log'!$F:$F,'Checking Transaction Log'!$C:$C,"&gt;="&amp;W1,'Checking Transaction Log'!$C:$C,"&lt;="&amp;X1,'Checking Transaction Log'!$A:$A,"i",'Checking Transaction Log'!$B:$B,39)</f>
        <v>0</v>
      </c>
      <c r="X50" s="247"/>
      <c r="Y50" s="287">
        <f>SUMIFS('Checking Transaction Log'!$F:$F,'Checking Transaction Log'!$C:$C,"&gt;="&amp;Y1,'Checking Transaction Log'!$C:$C,"&lt;="&amp;Z1,'Checking Transaction Log'!$A:$A,"i",'Checking Transaction Log'!$B:$B,39)</f>
        <v>0</v>
      </c>
      <c r="Z50" s="287"/>
      <c r="AA50" s="289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89"/>
      <c r="AC50" s="291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91"/>
      <c r="AE50" s="293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97" t="s">
        <v>226</v>
      </c>
      <c r="B51" s="266">
        <v>40</v>
      </c>
      <c r="C51" s="303" t="s">
        <v>267</v>
      </c>
      <c r="D51" s="299">
        <f t="shared" ca="1" si="65"/>
        <v>3225.680046268657</v>
      </c>
      <c r="E51" s="279">
        <f t="shared" si="66"/>
        <v>14209.11</v>
      </c>
      <c r="F51" s="279"/>
      <c r="G51" s="257"/>
      <c r="H51" s="297"/>
      <c r="I51" s="281">
        <f>SUMIFS('Checking Transaction Log'!F:F,'Checking Transaction Log'!C:C,"&gt;="&amp;I1,'Checking Transaction Log'!C:C,"&lt;="&amp;J1,'Checking Transaction Log'!A:A,"i",'Checking Transaction Log'!B:B,40)</f>
        <v>0</v>
      </c>
      <c r="J51" s="281"/>
      <c r="K51" s="243">
        <f>SUMIFS('Checking Transaction Log'!F:F,'Checking Transaction Log'!C:C,"&gt;="&amp;K1,'Checking Transaction Log'!C:C,"&lt;="&amp;L1,'Checking Transaction Log'!A:A,"i",'Checking Transaction Log'!B:B,40)</f>
        <v>2531.75</v>
      </c>
      <c r="L51" s="243"/>
      <c r="M51" s="284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84"/>
      <c r="O51" s="247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47"/>
      <c r="Q51" s="281">
        <f>SUMIFS('Checking Transaction Log'!$F:$F,'Checking Transaction Log'!$C:$C,"&gt;="&amp;Q1,'Checking Transaction Log'!$C:$C,"&lt;="&amp;R1,'Checking Transaction Log'!$A:$A,"i",'Checking Transaction Log'!$B:$B,40)</f>
        <v>10000</v>
      </c>
      <c r="R51" s="281"/>
      <c r="S51" s="243">
        <f>SUMIFS('Checking Transaction Log'!$F:$F,'Checking Transaction Log'!$C:$C,"&gt;="&amp;S1,'Checking Transaction Log'!$C:$C,"&lt;="&amp;T1,'Checking Transaction Log'!$A:$A,"i",'Checking Transaction Log'!$B:$B,40)</f>
        <v>0</v>
      </c>
      <c r="T51" s="243"/>
      <c r="U51" s="284">
        <f>SUMIFS('Checking Transaction Log'!$F:$F,'Checking Transaction Log'!$C:$C,"&gt;="&amp;U1,'Checking Transaction Log'!$C:$C,"&lt;="&amp;V1,'Checking Transaction Log'!$A:$A,"i",'Checking Transaction Log'!$B:$B,40)</f>
        <v>0</v>
      </c>
      <c r="V51" s="284"/>
      <c r="W51" s="247">
        <f>SUMIFS('Checking Transaction Log'!$F:$F,'Checking Transaction Log'!$C:$C,"&gt;="&amp;W1,'Checking Transaction Log'!$C:$C,"&lt;="&amp;X1,'Checking Transaction Log'!$A:$A,"i",'Checking Transaction Log'!$B:$B,40)</f>
        <v>0</v>
      </c>
      <c r="X51" s="247"/>
      <c r="Y51" s="287">
        <f>SUMIFS('Checking Transaction Log'!$F:$F,'Checking Transaction Log'!$C:$C,"&gt;="&amp;Y1,'Checking Transaction Log'!$C:$C,"&lt;="&amp;Z1,'Checking Transaction Log'!$A:$A,"i",'Checking Transaction Log'!$B:$B,40)</f>
        <v>0</v>
      </c>
      <c r="Z51" s="287"/>
      <c r="AA51" s="289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89"/>
      <c r="AC51" s="291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91"/>
      <c r="AE51" s="293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97" t="s">
        <v>226</v>
      </c>
      <c r="B52" s="266">
        <v>41</v>
      </c>
      <c r="C52" s="303" t="s">
        <v>189</v>
      </c>
      <c r="D52" s="299">
        <f t="shared" ca="1" si="65"/>
        <v>726.44776119402991</v>
      </c>
      <c r="E52" s="279">
        <f t="shared" si="66"/>
        <v>3200</v>
      </c>
      <c r="F52" s="279"/>
      <c r="G52" s="257"/>
      <c r="H52" s="297"/>
      <c r="I52" s="281">
        <f>SUMIFS('Checking Transaction Log'!F:F,'Checking Transaction Log'!C:C,"&gt;="&amp;I1,'Checking Transaction Log'!C:C,"&lt;="&amp;J1,'Checking Transaction Log'!A:A,"i",'Checking Transaction Log'!B:B,41)</f>
        <v>800</v>
      </c>
      <c r="J52" s="281"/>
      <c r="K52" s="243">
        <f>SUMIFS('Checking Transaction Log'!F:F,'Checking Transaction Log'!C:C,"&gt;="&amp;K1,'Checking Transaction Log'!C:C,"&lt;="&amp;L1,'Checking Transaction Log'!A:A,"i",'Checking Transaction Log'!B:B,41)</f>
        <v>0</v>
      </c>
      <c r="L52" s="243"/>
      <c r="M52" s="284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84"/>
      <c r="O52" s="247">
        <f>SUMIFS('Checking Transaction Log'!$F:$F,'Checking Transaction Log'!$C:$C,"&gt;="&amp;O1,'Checking Transaction Log'!$C:$C,"&lt;="&amp;P1,'Checking Transaction Log'!$A:$A,"i",'Checking Transaction Log'!$B:$B,41)</f>
        <v>550</v>
      </c>
      <c r="P52" s="247"/>
      <c r="Q52" s="281">
        <f>SUMIFS('Checking Transaction Log'!$F:$F,'Checking Transaction Log'!$C:$C,"&gt;="&amp;Q1,'Checking Transaction Log'!$C:$C,"&lt;="&amp;R1,'Checking Transaction Log'!$A:$A,"i",'Checking Transaction Log'!$B:$B,41)</f>
        <v>250</v>
      </c>
      <c r="R52" s="281"/>
      <c r="S52" s="243">
        <f>SUMIFS('Checking Transaction Log'!$F:$F,'Checking Transaction Log'!$C:$C,"&gt;="&amp;S1,'Checking Transaction Log'!$C:$C,"&lt;="&amp;T1,'Checking Transaction Log'!$A:$A,"i",'Checking Transaction Log'!$B:$B,41)</f>
        <v>0</v>
      </c>
      <c r="T52" s="243"/>
      <c r="U52" s="284">
        <f>SUMIFS('Checking Transaction Log'!$F:$F,'Checking Transaction Log'!$C:$C,"&gt;="&amp;U1,'Checking Transaction Log'!$C:$C,"&lt;="&amp;V1,'Checking Transaction Log'!$A:$A,"i",'Checking Transaction Log'!$B:$B,41)</f>
        <v>0</v>
      </c>
      <c r="V52" s="284"/>
      <c r="W52" s="247">
        <f>SUMIFS('Checking Transaction Log'!$F:$F,'Checking Transaction Log'!$C:$C,"&gt;="&amp;W1,'Checking Transaction Log'!$C:$C,"&lt;="&amp;X1,'Checking Transaction Log'!$A:$A,"i",'Checking Transaction Log'!$B:$B,41)</f>
        <v>0</v>
      </c>
      <c r="X52" s="247"/>
      <c r="Y52" s="287">
        <f>SUMIFS('Checking Transaction Log'!$F:$F,'Checking Transaction Log'!$C:$C,"&gt;="&amp;Y1,'Checking Transaction Log'!$C:$C,"&lt;="&amp;Z1,'Checking Transaction Log'!$A:$A,"i",'Checking Transaction Log'!$B:$B,41)</f>
        <v>0</v>
      </c>
      <c r="Z52" s="287"/>
      <c r="AA52" s="289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89"/>
      <c r="AC52" s="291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91"/>
      <c r="AE52" s="293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99"/>
      <c r="B53" s="304"/>
      <c r="C53" s="305"/>
      <c r="D53" s="133"/>
      <c r="E53" s="306"/>
      <c r="F53" s="306"/>
      <c r="G53" s="307"/>
      <c r="H53" s="306"/>
      <c r="I53" s="306"/>
      <c r="J53" s="306"/>
      <c r="K53" s="306"/>
      <c r="L53" s="306"/>
      <c r="M53" s="306"/>
      <c r="N53" s="306"/>
      <c r="O53" s="306"/>
      <c r="P53" s="306"/>
      <c r="Q53" s="306"/>
      <c r="R53" s="306"/>
      <c r="S53" s="306"/>
      <c r="T53" s="306"/>
      <c r="U53" s="306"/>
      <c r="V53" s="306"/>
      <c r="W53" s="306"/>
      <c r="X53" s="306"/>
      <c r="Y53" s="306"/>
      <c r="Z53" s="306"/>
      <c r="AA53" s="306"/>
      <c r="AB53" s="306"/>
      <c r="AC53" s="306"/>
      <c r="AD53" s="306"/>
      <c r="AE53" s="306"/>
    </row>
    <row r="54" spans="1:31" ht="11.25" customHeight="1" x14ac:dyDescent="0.3">
      <c r="A54" s="199"/>
      <c r="B54" s="304"/>
      <c r="C54" s="305"/>
      <c r="D54" s="133"/>
      <c r="E54" s="308">
        <f>SUM(E49:E52)</f>
        <v>85713.54</v>
      </c>
      <c r="F54" s="308">
        <f>F49+F50+E52</f>
        <v>-31558.10711361999</v>
      </c>
      <c r="G54" s="257">
        <f>(E54/(E54-F54))-1</f>
        <v>-0.26910261679060887</v>
      </c>
      <c r="H54" s="306"/>
      <c r="I54" s="209">
        <f>SUM(I49:I52)</f>
        <v>15639.36</v>
      </c>
      <c r="J54" s="306"/>
      <c r="K54" s="209">
        <f>SUM(K49:K52)</f>
        <v>16615.62</v>
      </c>
      <c r="L54" s="306"/>
      <c r="M54" s="209">
        <f>SUM(M49:M52)</f>
        <v>16971.29</v>
      </c>
      <c r="N54" s="306"/>
      <c r="O54" s="209">
        <f>SUM(O49:O52)</f>
        <v>18875.669999999998</v>
      </c>
      <c r="P54" s="306"/>
      <c r="Q54" s="209">
        <f>SUM(Q49:Q52)</f>
        <v>17611.599999999999</v>
      </c>
      <c r="R54" s="306"/>
      <c r="S54" s="209">
        <f>SUM(S49:S52)</f>
        <v>0</v>
      </c>
      <c r="T54" s="306"/>
      <c r="U54" s="209">
        <f>SUM(U49:U52)</f>
        <v>0</v>
      </c>
      <c r="V54" s="306"/>
      <c r="W54" s="209">
        <f>SUM(W49:W52)</f>
        <v>0</v>
      </c>
      <c r="X54" s="306"/>
      <c r="Y54" s="209">
        <f>SUM(Y49:Y52)</f>
        <v>0</v>
      </c>
      <c r="Z54" s="306"/>
      <c r="AA54" s="209">
        <f>SUM(AA49:AA52)</f>
        <v>0</v>
      </c>
      <c r="AB54" s="306"/>
      <c r="AC54" s="209">
        <f>SUM(AC49:AC52)</f>
        <v>0</v>
      </c>
      <c r="AD54" s="306"/>
      <c r="AE54" s="209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647"/>
  <sheetViews>
    <sheetView tabSelected="1" workbookViewId="0">
      <pane ySplit="4" topLeftCell="A5" activePane="bottomLeft" state="frozen"/>
      <selection pane="bottomLeft" activeCell="G5" sqref="G5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6" t="s">
        <v>261</v>
      </c>
      <c r="B1" s="564"/>
      <c r="C1" s="309" t="s">
        <v>268</v>
      </c>
      <c r="D1" s="310" t="s">
        <v>269</v>
      </c>
      <c r="E1" s="567" t="s">
        <v>270</v>
      </c>
      <c r="F1" s="564"/>
      <c r="G1" s="311">
        <f t="array" aca="1" ref="G1" ca="1">(SUM(INDIRECT("g5:g5")))+J2+L2+N2+P2-R2+T2-G850</f>
        <v>15480.469999999985</v>
      </c>
      <c r="H1" s="312"/>
      <c r="I1" s="313" t="s">
        <v>271</v>
      </c>
      <c r="J1" s="314">
        <v>25000</v>
      </c>
      <c r="K1" s="315" t="s">
        <v>272</v>
      </c>
      <c r="L1" s="316">
        <v>25000</v>
      </c>
      <c r="M1" s="317" t="s">
        <v>273</v>
      </c>
      <c r="N1" s="318">
        <f>10500-N2</f>
        <v>10500</v>
      </c>
      <c r="O1" s="319" t="s">
        <v>274</v>
      </c>
      <c r="P1" s="320">
        <f>5000-P2</f>
        <v>5000</v>
      </c>
      <c r="Q1" s="568" t="s">
        <v>39</v>
      </c>
      <c r="R1" s="564"/>
      <c r="S1" s="321" t="s">
        <v>273</v>
      </c>
      <c r="T1" s="322">
        <f>1200-T2</f>
        <v>1200</v>
      </c>
    </row>
    <row r="2" spans="1:20" ht="12" customHeight="1" x14ac:dyDescent="0.3">
      <c r="A2" s="310"/>
      <c r="B2" s="323"/>
      <c r="C2" s="309"/>
      <c r="D2" s="324"/>
      <c r="E2" s="567" t="s">
        <v>39</v>
      </c>
      <c r="F2" s="564"/>
      <c r="G2" s="311">
        <f>R2</f>
        <v>100</v>
      </c>
      <c r="H2" s="312"/>
      <c r="I2" s="325" t="s">
        <v>275</v>
      </c>
      <c r="J2" s="314">
        <f>SUMIFS(E:E,I:I,"1")</f>
        <v>0</v>
      </c>
      <c r="K2" s="315" t="s">
        <v>276</v>
      </c>
      <c r="L2" s="316">
        <f>(SUMIFS(E:E,I:I,"2"))</f>
        <v>0</v>
      </c>
      <c r="M2" s="317" t="s">
        <v>277</v>
      </c>
      <c r="N2" s="318">
        <f>SUMIFS(E:E,I:I,"3")</f>
        <v>0</v>
      </c>
      <c r="O2" s="319" t="s">
        <v>278</v>
      </c>
      <c r="P2" s="320">
        <f>SUMIFS(E:E,I:I,"4")</f>
        <v>0</v>
      </c>
      <c r="Q2" s="326"/>
      <c r="R2" s="327">
        <f>SUMIFS(F:F,H:H,"cash")-SUMIFS(E:E,H:H,"cash")</f>
        <v>100</v>
      </c>
      <c r="S2" s="321" t="s">
        <v>279</v>
      </c>
      <c r="T2" s="322">
        <f>SUMIFS(E:E,I:I,"6")</f>
        <v>0</v>
      </c>
    </row>
    <row r="3" spans="1:20" ht="12" customHeight="1" x14ac:dyDescent="0.3">
      <c r="A3" s="310"/>
      <c r="B3" s="323"/>
      <c r="C3" s="309"/>
      <c r="D3" s="324"/>
      <c r="E3" s="567" t="s">
        <v>280</v>
      </c>
      <c r="F3" s="564"/>
      <c r="G3" s="311">
        <f>SUM(J1,L1,N1,P1,T1)</f>
        <v>66700</v>
      </c>
      <c r="H3" s="312"/>
      <c r="I3" s="328"/>
      <c r="J3" s="329"/>
      <c r="K3" s="330"/>
      <c r="L3" s="331"/>
      <c r="M3" s="332"/>
      <c r="N3" s="333"/>
      <c r="O3" s="334"/>
      <c r="P3" s="335"/>
      <c r="Q3" s="336"/>
      <c r="R3" s="337"/>
      <c r="S3" s="338"/>
      <c r="T3" s="339"/>
    </row>
    <row r="4" spans="1:20" ht="12" customHeight="1" x14ac:dyDescent="0.3">
      <c r="A4" s="340"/>
      <c r="B4" s="341"/>
      <c r="C4" s="309"/>
      <c r="D4" s="310"/>
      <c r="E4" s="342" t="s">
        <v>281</v>
      </c>
      <c r="F4" s="343" t="s">
        <v>282</v>
      </c>
      <c r="G4" s="344" t="s">
        <v>283</v>
      </c>
      <c r="H4" s="345"/>
      <c r="I4" s="346"/>
      <c r="J4" s="347"/>
      <c r="K4" s="312"/>
      <c r="L4" s="347"/>
      <c r="M4" s="312"/>
      <c r="N4" s="347"/>
      <c r="O4" s="312"/>
      <c r="P4" s="347"/>
      <c r="Q4" s="312"/>
      <c r="R4" s="347"/>
      <c r="S4" s="312"/>
      <c r="T4" s="347"/>
    </row>
    <row r="5" spans="1:20" ht="12" customHeight="1" x14ac:dyDescent="0.3">
      <c r="A5" s="340" t="s">
        <v>291</v>
      </c>
      <c r="B5" s="341">
        <v>40</v>
      </c>
      <c r="C5" s="309">
        <v>46157</v>
      </c>
      <c r="D5" s="310" t="s">
        <v>876</v>
      </c>
      <c r="E5" s="533"/>
      <c r="F5" s="533">
        <v>10000</v>
      </c>
      <c r="G5" s="344">
        <f t="shared" ref="G5:G53" si="0">G6-E5+F5</f>
        <v>15580.469999999985</v>
      </c>
      <c r="H5" s="345"/>
      <c r="I5" s="346"/>
      <c r="J5" s="347"/>
      <c r="K5" s="312"/>
      <c r="L5" s="347"/>
      <c r="M5" s="312"/>
      <c r="N5" s="347"/>
      <c r="O5" s="312"/>
      <c r="P5" s="347"/>
      <c r="Q5" s="312"/>
      <c r="R5" s="347"/>
      <c r="S5" s="312"/>
      <c r="T5" s="347"/>
    </row>
    <row r="6" spans="1:20" ht="12" customHeight="1" x14ac:dyDescent="0.3">
      <c r="A6" s="340" t="s">
        <v>291</v>
      </c>
      <c r="B6" s="341">
        <v>38</v>
      </c>
      <c r="C6" s="309">
        <v>46157</v>
      </c>
      <c r="D6" s="310" t="s">
        <v>293</v>
      </c>
      <c r="E6" s="533"/>
      <c r="F6" s="533">
        <v>4597.82</v>
      </c>
      <c r="G6" s="344">
        <f t="shared" si="0"/>
        <v>5580.4699999999848</v>
      </c>
      <c r="H6" s="345"/>
      <c r="I6" s="346"/>
      <c r="J6" s="347"/>
      <c r="K6" s="312"/>
      <c r="L6" s="347"/>
      <c r="M6" s="312"/>
      <c r="N6" s="347"/>
      <c r="O6" s="312"/>
      <c r="P6" s="347"/>
      <c r="Q6" s="312"/>
      <c r="R6" s="347"/>
      <c r="S6" s="312"/>
      <c r="T6" s="347"/>
    </row>
    <row r="7" spans="1:20" ht="12" customHeight="1" x14ac:dyDescent="0.3">
      <c r="A7" s="340" t="s">
        <v>291</v>
      </c>
      <c r="B7" s="341">
        <v>39</v>
      </c>
      <c r="C7" s="309">
        <v>46156</v>
      </c>
      <c r="D7" s="310" t="s">
        <v>292</v>
      </c>
      <c r="E7" s="533"/>
      <c r="F7" s="533">
        <v>2763.78</v>
      </c>
      <c r="G7" s="344">
        <f t="shared" si="0"/>
        <v>982.64999999998463</v>
      </c>
      <c r="H7" s="345"/>
      <c r="I7" s="346"/>
      <c r="J7" s="347"/>
      <c r="K7" s="312"/>
      <c r="L7" s="347"/>
      <c r="M7" s="312"/>
      <c r="N7" s="347"/>
      <c r="O7" s="312"/>
      <c r="P7" s="347"/>
      <c r="Q7" s="312"/>
      <c r="R7" s="347"/>
      <c r="S7" s="312"/>
      <c r="T7" s="347"/>
    </row>
    <row r="8" spans="1:20" ht="12" customHeight="1" x14ac:dyDescent="0.3">
      <c r="A8" s="340" t="s">
        <v>291</v>
      </c>
      <c r="B8" s="341">
        <v>41</v>
      </c>
      <c r="C8" s="309">
        <v>46156</v>
      </c>
      <c r="D8" s="310" t="s">
        <v>299</v>
      </c>
      <c r="E8" s="533"/>
      <c r="F8" s="533">
        <v>250</v>
      </c>
      <c r="G8" s="344">
        <f t="shared" si="0"/>
        <v>-1781.1300000000156</v>
      </c>
      <c r="H8" s="345"/>
      <c r="I8" s="346"/>
      <c r="J8" s="347"/>
      <c r="K8" s="312"/>
      <c r="L8" s="347"/>
      <c r="M8" s="312"/>
      <c r="N8" s="347"/>
      <c r="O8" s="312"/>
      <c r="P8" s="347"/>
      <c r="Q8" s="312"/>
      <c r="R8" s="347"/>
      <c r="S8" s="312"/>
      <c r="T8" s="347"/>
    </row>
    <row r="9" spans="1:20" ht="12" customHeight="1" x14ac:dyDescent="0.3">
      <c r="A9" s="340" t="s">
        <v>339</v>
      </c>
      <c r="B9" s="341" t="s">
        <v>339</v>
      </c>
      <c r="C9" s="309">
        <v>46156</v>
      </c>
      <c r="D9" s="310" t="s">
        <v>469</v>
      </c>
      <c r="E9" s="533"/>
      <c r="F9" s="533">
        <v>100</v>
      </c>
      <c r="G9" s="344">
        <f t="shared" si="0"/>
        <v>-2031.1300000000156</v>
      </c>
      <c r="H9" s="345"/>
      <c r="I9" s="346"/>
      <c r="J9" s="347"/>
      <c r="K9" s="312"/>
      <c r="L9" s="347"/>
      <c r="M9" s="312"/>
      <c r="N9" s="347"/>
      <c r="O9" s="312"/>
      <c r="P9" s="347"/>
      <c r="Q9" s="312"/>
      <c r="R9" s="347"/>
      <c r="S9" s="312"/>
      <c r="T9" s="347"/>
    </row>
    <row r="10" spans="1:20" ht="12" customHeight="1" x14ac:dyDescent="0.3">
      <c r="A10" s="340" t="s">
        <v>289</v>
      </c>
      <c r="B10" s="341">
        <v>6</v>
      </c>
      <c r="C10" s="309">
        <v>46156</v>
      </c>
      <c r="D10" s="310" t="s">
        <v>300</v>
      </c>
      <c r="E10" s="533">
        <v>13.3</v>
      </c>
      <c r="F10" s="533"/>
      <c r="G10" s="344">
        <f t="shared" si="0"/>
        <v>-2131.1300000000156</v>
      </c>
      <c r="H10" s="345"/>
      <c r="I10" s="346"/>
      <c r="J10" s="347"/>
      <c r="K10" s="312"/>
      <c r="L10" s="347"/>
      <c r="M10" s="312"/>
      <c r="N10" s="347"/>
      <c r="O10" s="312"/>
      <c r="P10" s="347"/>
      <c r="Q10" s="312"/>
      <c r="R10" s="347"/>
      <c r="S10" s="312"/>
      <c r="T10" s="347"/>
    </row>
    <row r="11" spans="1:20" ht="12" customHeight="1" x14ac:dyDescent="0.3">
      <c r="A11" s="340" t="s">
        <v>289</v>
      </c>
      <c r="B11" s="341">
        <v>2</v>
      </c>
      <c r="C11" s="309">
        <v>46155</v>
      </c>
      <c r="D11" s="310" t="s">
        <v>296</v>
      </c>
      <c r="E11" s="533">
        <v>14.67</v>
      </c>
      <c r="F11" s="533"/>
      <c r="G11" s="344">
        <f t="shared" si="0"/>
        <v>-2117.8300000000154</v>
      </c>
      <c r="H11" s="345"/>
      <c r="I11" s="346"/>
      <c r="J11" s="347"/>
      <c r="K11" s="312"/>
      <c r="L11" s="347"/>
      <c r="M11" s="312"/>
      <c r="N11" s="347"/>
      <c r="O11" s="312"/>
      <c r="P11" s="347"/>
      <c r="Q11" s="312"/>
      <c r="R11" s="347"/>
      <c r="S11" s="312"/>
      <c r="T11" s="347"/>
    </row>
    <row r="12" spans="1:20" ht="12" customHeight="1" x14ac:dyDescent="0.3">
      <c r="A12" s="340" t="s">
        <v>289</v>
      </c>
      <c r="B12" s="341">
        <v>8</v>
      </c>
      <c r="C12" s="309">
        <v>46155</v>
      </c>
      <c r="D12" s="310" t="s">
        <v>321</v>
      </c>
      <c r="E12" s="533">
        <v>22.96</v>
      </c>
      <c r="F12" s="533"/>
      <c r="G12" s="344">
        <f t="shared" si="0"/>
        <v>-2103.1600000000153</v>
      </c>
      <c r="H12" s="345"/>
      <c r="I12" s="346"/>
      <c r="J12" s="347"/>
      <c r="K12" s="312"/>
      <c r="L12" s="347"/>
      <c r="M12" s="312"/>
      <c r="N12" s="347"/>
      <c r="O12" s="312"/>
      <c r="P12" s="347"/>
      <c r="Q12" s="312"/>
      <c r="R12" s="347"/>
      <c r="S12" s="312"/>
      <c r="T12" s="347"/>
    </row>
    <row r="13" spans="1:20" ht="12" customHeight="1" x14ac:dyDescent="0.3">
      <c r="A13" s="340" t="s">
        <v>287</v>
      </c>
      <c r="B13" s="341" t="s">
        <v>287</v>
      </c>
      <c r="C13" s="309">
        <v>46155</v>
      </c>
      <c r="D13" s="310" t="s">
        <v>871</v>
      </c>
      <c r="E13" s="533">
        <v>100</v>
      </c>
      <c r="F13" s="533">
        <v>100</v>
      </c>
      <c r="G13" s="344">
        <f t="shared" si="0"/>
        <v>-2080.2000000000153</v>
      </c>
      <c r="H13" s="345"/>
      <c r="I13" s="346"/>
      <c r="J13" s="347"/>
      <c r="K13" s="312"/>
      <c r="L13" s="347"/>
      <c r="M13" s="312"/>
      <c r="N13" s="347"/>
      <c r="O13" s="312"/>
      <c r="P13" s="347"/>
      <c r="Q13" s="312"/>
      <c r="R13" s="347"/>
      <c r="S13" s="312"/>
      <c r="T13" s="347"/>
    </row>
    <row r="14" spans="1:20" ht="12" customHeight="1" x14ac:dyDescent="0.3">
      <c r="A14" s="340" t="s">
        <v>289</v>
      </c>
      <c r="B14" s="341">
        <v>4</v>
      </c>
      <c r="C14" s="309">
        <v>46154</v>
      </c>
      <c r="D14" s="310" t="s">
        <v>464</v>
      </c>
      <c r="E14" s="533">
        <v>43.14</v>
      </c>
      <c r="F14" s="533"/>
      <c r="G14" s="344">
        <f t="shared" si="0"/>
        <v>-2080.2000000000153</v>
      </c>
      <c r="H14" s="345"/>
      <c r="I14" s="346"/>
      <c r="J14" s="347"/>
      <c r="K14" s="312"/>
      <c r="L14" s="347"/>
      <c r="M14" s="312"/>
      <c r="N14" s="347"/>
      <c r="O14" s="312"/>
      <c r="P14" s="347"/>
      <c r="Q14" s="312"/>
      <c r="R14" s="347"/>
      <c r="S14" s="312"/>
      <c r="T14" s="347"/>
    </row>
    <row r="15" spans="1:20" ht="12" customHeight="1" x14ac:dyDescent="0.3">
      <c r="A15" s="340" t="s">
        <v>289</v>
      </c>
      <c r="B15" s="341">
        <v>3</v>
      </c>
      <c r="C15" s="309">
        <v>46154</v>
      </c>
      <c r="D15" s="310" t="s">
        <v>464</v>
      </c>
      <c r="E15" s="533">
        <v>7.29</v>
      </c>
      <c r="F15" s="533"/>
      <c r="G15" s="344">
        <f t="shared" si="0"/>
        <v>-2037.0600000000154</v>
      </c>
      <c r="H15" s="345"/>
      <c r="I15" s="346"/>
      <c r="J15" s="347"/>
      <c r="K15" s="312"/>
      <c r="L15" s="347"/>
      <c r="M15" s="312"/>
      <c r="N15" s="347"/>
      <c r="O15" s="312"/>
      <c r="P15" s="347"/>
      <c r="Q15" s="312"/>
      <c r="R15" s="347"/>
      <c r="S15" s="312"/>
      <c r="T15" s="347"/>
    </row>
    <row r="16" spans="1:20" ht="12" customHeight="1" x14ac:dyDescent="0.3">
      <c r="A16" s="340" t="s">
        <v>294</v>
      </c>
      <c r="B16" s="341">
        <v>19</v>
      </c>
      <c r="C16" s="309">
        <v>46154</v>
      </c>
      <c r="D16" s="310" t="s">
        <v>191</v>
      </c>
      <c r="E16" s="533">
        <v>200</v>
      </c>
      <c r="F16" s="533"/>
      <c r="G16" s="344">
        <f t="shared" si="0"/>
        <v>-2029.7700000000154</v>
      </c>
      <c r="H16" s="345"/>
      <c r="I16" s="346"/>
      <c r="J16" s="347"/>
      <c r="K16" s="312"/>
      <c r="L16" s="347"/>
      <c r="M16" s="312"/>
      <c r="N16" s="347"/>
      <c r="O16" s="312"/>
      <c r="P16" s="347"/>
      <c r="Q16" s="312"/>
      <c r="R16" s="347"/>
      <c r="S16" s="312"/>
      <c r="T16" s="347"/>
    </row>
    <row r="17" spans="1:20" ht="12" customHeight="1" x14ac:dyDescent="0.3">
      <c r="A17" s="340" t="s">
        <v>289</v>
      </c>
      <c r="B17" s="341">
        <v>6</v>
      </c>
      <c r="C17" s="309">
        <v>46154</v>
      </c>
      <c r="D17" s="310" t="s">
        <v>454</v>
      </c>
      <c r="E17" s="533">
        <v>-0.06</v>
      </c>
      <c r="F17" s="533"/>
      <c r="G17" s="344">
        <f t="shared" si="0"/>
        <v>-1829.7700000000154</v>
      </c>
      <c r="H17" s="345"/>
      <c r="I17" s="346"/>
      <c r="J17" s="347"/>
      <c r="K17" s="312"/>
      <c r="L17" s="347"/>
      <c r="M17" s="312"/>
      <c r="N17" s="347"/>
      <c r="O17" s="312"/>
      <c r="P17" s="347"/>
      <c r="Q17" s="312"/>
      <c r="R17" s="347"/>
      <c r="S17" s="312"/>
      <c r="T17" s="347"/>
    </row>
    <row r="18" spans="1:20" ht="12" customHeight="1" x14ac:dyDescent="0.3">
      <c r="A18" s="340" t="s">
        <v>289</v>
      </c>
      <c r="B18" s="341">
        <v>2</v>
      </c>
      <c r="C18" s="309">
        <v>46154</v>
      </c>
      <c r="D18" s="310" t="s">
        <v>301</v>
      </c>
      <c r="E18" s="533">
        <v>21.55</v>
      </c>
      <c r="F18" s="533"/>
      <c r="G18" s="344">
        <f t="shared" si="0"/>
        <v>-1829.8300000000154</v>
      </c>
      <c r="H18" s="345"/>
      <c r="I18" s="346"/>
      <c r="J18" s="347"/>
      <c r="K18" s="312"/>
      <c r="L18" s="347"/>
      <c r="M18" s="312"/>
      <c r="N18" s="347"/>
      <c r="O18" s="312"/>
      <c r="P18" s="347"/>
      <c r="Q18" s="312"/>
      <c r="R18" s="347"/>
      <c r="S18" s="312"/>
      <c r="T18" s="347"/>
    </row>
    <row r="19" spans="1:20" ht="12" customHeight="1" x14ac:dyDescent="0.3">
      <c r="A19" s="340" t="s">
        <v>289</v>
      </c>
      <c r="B19" s="341">
        <v>3</v>
      </c>
      <c r="C19" s="309">
        <v>46153</v>
      </c>
      <c r="D19" s="310" t="s">
        <v>296</v>
      </c>
      <c r="E19" s="533">
        <v>4.79</v>
      </c>
      <c r="F19" s="533"/>
      <c r="G19" s="344">
        <f t="shared" si="0"/>
        <v>-1808.2800000000154</v>
      </c>
      <c r="H19" s="345"/>
      <c r="I19" s="346"/>
      <c r="J19" s="347"/>
      <c r="K19" s="312"/>
      <c r="L19" s="347"/>
      <c r="M19" s="312"/>
      <c r="N19" s="347"/>
      <c r="O19" s="312"/>
      <c r="P19" s="347"/>
      <c r="Q19" s="312"/>
      <c r="R19" s="347"/>
      <c r="S19" s="312"/>
      <c r="T19" s="347"/>
    </row>
    <row r="20" spans="1:20" ht="12" customHeight="1" x14ac:dyDescent="0.3">
      <c r="A20" s="340" t="s">
        <v>289</v>
      </c>
      <c r="B20" s="341">
        <v>4</v>
      </c>
      <c r="C20" s="309">
        <v>46153</v>
      </c>
      <c r="D20" s="310" t="s">
        <v>296</v>
      </c>
      <c r="E20" s="533">
        <v>66.59</v>
      </c>
      <c r="F20" s="533"/>
      <c r="G20" s="344">
        <f t="shared" si="0"/>
        <v>-1803.4900000000155</v>
      </c>
      <c r="H20" s="345"/>
      <c r="I20" s="346"/>
      <c r="J20" s="347"/>
      <c r="K20" s="312"/>
      <c r="L20" s="347"/>
      <c r="M20" s="312"/>
      <c r="N20" s="347"/>
      <c r="O20" s="312"/>
      <c r="P20" s="347"/>
      <c r="Q20" s="312"/>
      <c r="R20" s="347"/>
      <c r="S20" s="312"/>
      <c r="T20" s="347"/>
    </row>
    <row r="21" spans="1:20" ht="12" customHeight="1" x14ac:dyDescent="0.3">
      <c r="A21" s="340" t="s">
        <v>287</v>
      </c>
      <c r="B21" s="341" t="s">
        <v>287</v>
      </c>
      <c r="C21" s="309">
        <v>46153</v>
      </c>
      <c r="D21" s="310" t="s">
        <v>859</v>
      </c>
      <c r="E21" s="533">
        <v>-51.06</v>
      </c>
      <c r="F21" s="533">
        <v>-51.06</v>
      </c>
      <c r="G21" s="344">
        <f t="shared" si="0"/>
        <v>-1736.9000000000156</v>
      </c>
      <c r="H21" s="345"/>
      <c r="I21" s="346"/>
      <c r="J21" s="347"/>
      <c r="K21" s="312"/>
      <c r="L21" s="347"/>
      <c r="M21" s="312"/>
      <c r="N21" s="347"/>
      <c r="O21" s="312"/>
      <c r="P21" s="347"/>
      <c r="Q21" s="312"/>
      <c r="R21" s="347"/>
      <c r="S21" s="312"/>
      <c r="T21" s="347"/>
    </row>
    <row r="22" spans="1:20" ht="12" customHeight="1" x14ac:dyDescent="0.3">
      <c r="A22" s="340" t="s">
        <v>294</v>
      </c>
      <c r="B22" s="341">
        <v>22</v>
      </c>
      <c r="C22" s="309">
        <v>46153</v>
      </c>
      <c r="D22" s="310" t="s">
        <v>356</v>
      </c>
      <c r="E22" s="533">
        <v>21.29</v>
      </c>
      <c r="F22" s="533"/>
      <c r="G22" s="344">
        <f t="shared" si="0"/>
        <v>-1736.9000000000156</v>
      </c>
      <c r="H22" s="345"/>
      <c r="I22" s="346"/>
      <c r="J22" s="347"/>
      <c r="K22" s="312"/>
      <c r="L22" s="347"/>
      <c r="M22" s="312"/>
      <c r="N22" s="347"/>
      <c r="O22" s="312"/>
      <c r="P22" s="347"/>
      <c r="Q22" s="312"/>
      <c r="R22" s="347"/>
      <c r="S22" s="312"/>
      <c r="T22" s="347"/>
    </row>
    <row r="23" spans="1:20" ht="12" customHeight="1" x14ac:dyDescent="0.3">
      <c r="A23" s="340" t="s">
        <v>289</v>
      </c>
      <c r="B23" s="341">
        <v>8</v>
      </c>
      <c r="C23" s="309">
        <v>46152</v>
      </c>
      <c r="D23" s="310" t="s">
        <v>321</v>
      </c>
      <c r="E23" s="533">
        <v>59.25</v>
      </c>
      <c r="F23" s="533"/>
      <c r="G23" s="344">
        <f t="shared" si="0"/>
        <v>-1715.6100000000156</v>
      </c>
      <c r="H23" s="345"/>
      <c r="I23" s="346"/>
      <c r="J23" s="347"/>
      <c r="K23" s="312"/>
      <c r="L23" s="347"/>
      <c r="M23" s="312"/>
      <c r="N23" s="347"/>
      <c r="O23" s="312"/>
      <c r="P23" s="347"/>
      <c r="Q23" s="312"/>
      <c r="R23" s="347"/>
      <c r="S23" s="312"/>
      <c r="T23" s="347"/>
    </row>
    <row r="24" spans="1:20" ht="12" customHeight="1" x14ac:dyDescent="0.3">
      <c r="A24" s="340" t="s">
        <v>289</v>
      </c>
      <c r="B24" s="341">
        <v>1</v>
      </c>
      <c r="C24" s="309">
        <v>46152</v>
      </c>
      <c r="D24" s="310" t="s">
        <v>304</v>
      </c>
      <c r="E24" s="533">
        <v>145.94999999999999</v>
      </c>
      <c r="F24" s="533"/>
      <c r="G24" s="344">
        <f t="shared" si="0"/>
        <v>-1656.3600000000156</v>
      </c>
      <c r="H24" s="345"/>
      <c r="I24" s="346"/>
      <c r="J24" s="347"/>
      <c r="K24" s="312"/>
      <c r="L24" s="347"/>
      <c r="M24" s="312"/>
      <c r="N24" s="347"/>
      <c r="O24" s="312"/>
      <c r="P24" s="347"/>
      <c r="Q24" s="312"/>
      <c r="R24" s="347"/>
      <c r="S24" s="312"/>
      <c r="T24" s="347"/>
    </row>
    <row r="25" spans="1:20" ht="12" customHeight="1" x14ac:dyDescent="0.3">
      <c r="A25" s="340" t="s">
        <v>289</v>
      </c>
      <c r="B25" s="341">
        <v>1</v>
      </c>
      <c r="C25" s="309">
        <v>46152</v>
      </c>
      <c r="D25" s="310" t="s">
        <v>312</v>
      </c>
      <c r="E25" s="533">
        <v>131.9</v>
      </c>
      <c r="F25" s="533"/>
      <c r="G25" s="344">
        <f t="shared" si="0"/>
        <v>-1510.4100000000155</v>
      </c>
      <c r="H25" s="345"/>
      <c r="I25" s="346"/>
      <c r="J25" s="347"/>
      <c r="K25" s="312"/>
      <c r="L25" s="347"/>
      <c r="M25" s="312"/>
      <c r="N25" s="347"/>
      <c r="O25" s="312"/>
      <c r="P25" s="347"/>
      <c r="Q25" s="312"/>
      <c r="R25" s="347"/>
      <c r="S25" s="312"/>
      <c r="T25" s="347"/>
    </row>
    <row r="26" spans="1:20" ht="12" customHeight="1" x14ac:dyDescent="0.3">
      <c r="A26" s="340" t="s">
        <v>289</v>
      </c>
      <c r="B26" s="341">
        <v>2</v>
      </c>
      <c r="C26" s="309">
        <v>46152</v>
      </c>
      <c r="D26" s="310" t="s">
        <v>866</v>
      </c>
      <c r="E26" s="533">
        <v>96.46</v>
      </c>
      <c r="F26" s="533"/>
      <c r="G26" s="344">
        <f t="shared" si="0"/>
        <v>-1378.5100000000155</v>
      </c>
      <c r="H26" s="345"/>
      <c r="I26" s="346"/>
      <c r="J26" s="347"/>
      <c r="K26" s="312"/>
      <c r="L26" s="347"/>
      <c r="M26" s="312"/>
      <c r="N26" s="347"/>
      <c r="O26" s="312"/>
      <c r="P26" s="347"/>
      <c r="Q26" s="312"/>
      <c r="R26" s="347"/>
      <c r="S26" s="312"/>
      <c r="T26" s="347"/>
    </row>
    <row r="27" spans="1:20" ht="12" customHeight="1" x14ac:dyDescent="0.3">
      <c r="A27" s="340" t="s">
        <v>289</v>
      </c>
      <c r="B27" s="341">
        <v>7</v>
      </c>
      <c r="C27" s="309">
        <v>46152</v>
      </c>
      <c r="D27" s="310" t="s">
        <v>867</v>
      </c>
      <c r="E27" s="533">
        <v>162</v>
      </c>
      <c r="F27" s="533"/>
      <c r="G27" s="344">
        <f t="shared" si="0"/>
        <v>-1282.0500000000154</v>
      </c>
      <c r="H27" s="345"/>
      <c r="I27" s="346"/>
      <c r="J27" s="347"/>
      <c r="K27" s="312"/>
      <c r="L27" s="347"/>
      <c r="M27" s="312"/>
      <c r="N27" s="347"/>
      <c r="O27" s="312"/>
      <c r="P27" s="347"/>
      <c r="Q27" s="312"/>
      <c r="R27" s="347"/>
      <c r="S27" s="312"/>
      <c r="T27" s="347"/>
    </row>
    <row r="28" spans="1:20" ht="12" customHeight="1" x14ac:dyDescent="0.3">
      <c r="A28" s="340" t="s">
        <v>289</v>
      </c>
      <c r="B28" s="341">
        <v>3</v>
      </c>
      <c r="C28" s="309">
        <v>46152</v>
      </c>
      <c r="D28" s="310" t="s">
        <v>352</v>
      </c>
      <c r="E28" s="533">
        <v>25</v>
      </c>
      <c r="F28" s="533"/>
      <c r="G28" s="344">
        <f t="shared" si="0"/>
        <v>-1120.0500000000154</v>
      </c>
      <c r="H28" s="345"/>
      <c r="I28" s="346"/>
      <c r="J28" s="347"/>
      <c r="K28" s="312"/>
      <c r="L28" s="347"/>
      <c r="M28" s="312"/>
      <c r="N28" s="347"/>
      <c r="O28" s="312"/>
      <c r="P28" s="347"/>
      <c r="Q28" s="312"/>
      <c r="R28" s="347"/>
      <c r="S28" s="312"/>
      <c r="T28" s="347"/>
    </row>
    <row r="29" spans="1:20" ht="12" customHeight="1" x14ac:dyDescent="0.3">
      <c r="A29" s="340" t="s">
        <v>289</v>
      </c>
      <c r="B29" s="341">
        <v>2</v>
      </c>
      <c r="C29" s="309">
        <v>46151</v>
      </c>
      <c r="D29" s="310" t="s">
        <v>868</v>
      </c>
      <c r="E29" s="533">
        <v>35.83</v>
      </c>
      <c r="F29" s="533"/>
      <c r="G29" s="344">
        <f t="shared" si="0"/>
        <v>-1095.0500000000154</v>
      </c>
      <c r="H29" s="345"/>
      <c r="I29" s="346"/>
      <c r="J29" s="347"/>
      <c r="K29" s="312"/>
      <c r="L29" s="347"/>
      <c r="M29" s="312"/>
      <c r="N29" s="347"/>
      <c r="O29" s="312"/>
      <c r="P29" s="347"/>
      <c r="Q29" s="312"/>
      <c r="R29" s="347"/>
      <c r="S29" s="312"/>
      <c r="T29" s="347"/>
    </row>
    <row r="30" spans="1:20" ht="12" customHeight="1" x14ac:dyDescent="0.3">
      <c r="A30" s="340" t="s">
        <v>289</v>
      </c>
      <c r="B30" s="341">
        <v>4</v>
      </c>
      <c r="C30" s="309">
        <v>46151</v>
      </c>
      <c r="D30" s="310" t="s">
        <v>311</v>
      </c>
      <c r="E30" s="533">
        <v>50.58</v>
      </c>
      <c r="F30" s="533"/>
      <c r="G30" s="344">
        <f t="shared" si="0"/>
        <v>-1059.2200000000155</v>
      </c>
      <c r="H30" s="345"/>
      <c r="I30" s="346"/>
      <c r="J30" s="347"/>
      <c r="K30" s="312"/>
      <c r="L30" s="347"/>
      <c r="M30" s="312"/>
      <c r="N30" s="347"/>
      <c r="O30" s="312"/>
      <c r="P30" s="347"/>
      <c r="Q30" s="312"/>
      <c r="R30" s="347"/>
      <c r="S30" s="312"/>
      <c r="T30" s="347"/>
    </row>
    <row r="31" spans="1:20" ht="12" customHeight="1" x14ac:dyDescent="0.3">
      <c r="A31" s="340" t="s">
        <v>289</v>
      </c>
      <c r="B31" s="341">
        <v>2</v>
      </c>
      <c r="C31" s="309">
        <v>46151</v>
      </c>
      <c r="D31" s="310" t="s">
        <v>869</v>
      </c>
      <c r="E31" s="533">
        <v>20.65</v>
      </c>
      <c r="F31" s="533"/>
      <c r="G31" s="344">
        <f t="shared" si="0"/>
        <v>-1008.6400000000156</v>
      </c>
      <c r="H31" s="345"/>
      <c r="I31" s="346"/>
      <c r="J31" s="347"/>
      <c r="K31" s="312"/>
      <c r="L31" s="347"/>
      <c r="M31" s="312"/>
      <c r="N31" s="347"/>
      <c r="O31" s="312"/>
      <c r="P31" s="347"/>
      <c r="Q31" s="312"/>
      <c r="R31" s="347"/>
      <c r="S31" s="312"/>
      <c r="T31" s="347"/>
    </row>
    <row r="32" spans="1:20" ht="12" customHeight="1" x14ac:dyDescent="0.3">
      <c r="A32" s="340" t="s">
        <v>289</v>
      </c>
      <c r="B32" s="341">
        <v>8</v>
      </c>
      <c r="C32" s="309">
        <v>46151</v>
      </c>
      <c r="D32" s="310" t="s">
        <v>321</v>
      </c>
      <c r="E32" s="533">
        <v>38.770000000000003</v>
      </c>
      <c r="F32" s="533"/>
      <c r="G32" s="344">
        <f t="shared" si="0"/>
        <v>-987.99000000001558</v>
      </c>
      <c r="H32" s="345"/>
      <c r="I32" s="346"/>
      <c r="J32" s="347"/>
      <c r="K32" s="312"/>
      <c r="L32" s="347"/>
      <c r="M32" s="312"/>
      <c r="N32" s="347"/>
      <c r="O32" s="312"/>
      <c r="P32" s="347"/>
      <c r="Q32" s="312"/>
      <c r="R32" s="347"/>
      <c r="S32" s="312"/>
      <c r="T32" s="347"/>
    </row>
    <row r="33" spans="1:20" ht="12" customHeight="1" x14ac:dyDescent="0.3">
      <c r="A33" s="340" t="s">
        <v>287</v>
      </c>
      <c r="B33" s="341" t="s">
        <v>287</v>
      </c>
      <c r="C33" s="309">
        <v>46151</v>
      </c>
      <c r="D33" s="310" t="s">
        <v>859</v>
      </c>
      <c r="E33" s="533">
        <v>383.63</v>
      </c>
      <c r="F33" s="533">
        <v>383.63</v>
      </c>
      <c r="G33" s="344">
        <f t="shared" si="0"/>
        <v>-949.2200000000156</v>
      </c>
      <c r="H33" s="345"/>
      <c r="I33" s="346"/>
      <c r="J33" s="347"/>
      <c r="K33" s="312"/>
      <c r="L33" s="347"/>
      <c r="M33" s="312"/>
      <c r="N33" s="347"/>
      <c r="O33" s="312"/>
      <c r="P33" s="347"/>
      <c r="Q33" s="312"/>
      <c r="R33" s="347"/>
      <c r="S33" s="312"/>
      <c r="T33" s="347"/>
    </row>
    <row r="34" spans="1:20" ht="12" customHeight="1" x14ac:dyDescent="0.3">
      <c r="A34" s="340" t="s">
        <v>289</v>
      </c>
      <c r="B34" s="341">
        <v>5</v>
      </c>
      <c r="C34" s="309">
        <v>46151</v>
      </c>
      <c r="D34" s="310" t="s">
        <v>870</v>
      </c>
      <c r="E34" s="533">
        <v>10.68</v>
      </c>
      <c r="F34" s="533"/>
      <c r="G34" s="344">
        <f t="shared" si="0"/>
        <v>-949.2200000000156</v>
      </c>
      <c r="H34" s="345"/>
      <c r="I34" s="346"/>
      <c r="J34" s="347"/>
      <c r="K34" s="312"/>
      <c r="L34" s="347"/>
      <c r="M34" s="312"/>
      <c r="N34" s="347"/>
      <c r="O34" s="312"/>
      <c r="P34" s="347"/>
      <c r="Q34" s="312"/>
      <c r="R34" s="347"/>
      <c r="S34" s="312"/>
      <c r="T34" s="347"/>
    </row>
    <row r="35" spans="1:20" ht="12" customHeight="1" x14ac:dyDescent="0.3">
      <c r="A35" s="340" t="s">
        <v>289</v>
      </c>
      <c r="B35" s="341">
        <v>3</v>
      </c>
      <c r="C35" s="309">
        <v>46151</v>
      </c>
      <c r="D35" s="310" t="s">
        <v>352</v>
      </c>
      <c r="E35" s="533">
        <v>9.35</v>
      </c>
      <c r="F35" s="533"/>
      <c r="G35" s="344">
        <f t="shared" si="0"/>
        <v>-938.54000000001565</v>
      </c>
      <c r="H35" s="345"/>
      <c r="I35" s="346"/>
      <c r="J35" s="347"/>
      <c r="K35" s="312"/>
      <c r="L35" s="347"/>
      <c r="M35" s="312"/>
      <c r="N35" s="347"/>
      <c r="O35" s="312"/>
      <c r="P35" s="347"/>
      <c r="Q35" s="312"/>
      <c r="R35" s="347"/>
      <c r="S35" s="312"/>
      <c r="T35" s="347"/>
    </row>
    <row r="36" spans="1:20" ht="12" customHeight="1" x14ac:dyDescent="0.3">
      <c r="A36" s="340" t="s">
        <v>287</v>
      </c>
      <c r="B36" s="341" t="s">
        <v>287</v>
      </c>
      <c r="C36" s="309">
        <v>46151</v>
      </c>
      <c r="D36" s="310" t="s">
        <v>335</v>
      </c>
      <c r="E36" s="533">
        <v>-150.9</v>
      </c>
      <c r="F36" s="533">
        <v>-150.9</v>
      </c>
      <c r="G36" s="344">
        <f t="shared" si="0"/>
        <v>-929.19000000001563</v>
      </c>
      <c r="H36" s="345"/>
      <c r="I36" s="346"/>
      <c r="J36" s="347"/>
      <c r="K36" s="312"/>
      <c r="L36" s="347"/>
      <c r="M36" s="312"/>
      <c r="N36" s="347"/>
      <c r="O36" s="312"/>
      <c r="P36" s="347"/>
      <c r="Q36" s="312"/>
      <c r="R36" s="347"/>
      <c r="S36" s="312"/>
      <c r="T36" s="347"/>
    </row>
    <row r="37" spans="1:20" ht="12" customHeight="1" x14ac:dyDescent="0.3">
      <c r="A37" s="340" t="s">
        <v>287</v>
      </c>
      <c r="B37" s="341" t="s">
        <v>287</v>
      </c>
      <c r="C37" s="309">
        <v>46151</v>
      </c>
      <c r="D37" s="310" t="s">
        <v>863</v>
      </c>
      <c r="E37" s="533">
        <v>557.9</v>
      </c>
      <c r="F37" s="533">
        <v>557.9</v>
      </c>
      <c r="G37" s="344">
        <f t="shared" si="0"/>
        <v>-929.19000000001563</v>
      </c>
      <c r="H37" s="345"/>
      <c r="I37" s="346"/>
      <c r="J37" s="347"/>
      <c r="K37" s="312"/>
      <c r="L37" s="347"/>
      <c r="M37" s="312"/>
      <c r="N37" s="347"/>
      <c r="O37" s="312"/>
      <c r="P37" s="347"/>
      <c r="Q37" s="312"/>
      <c r="R37" s="347"/>
      <c r="S37" s="312"/>
      <c r="T37" s="347"/>
    </row>
    <row r="38" spans="1:20" ht="12" customHeight="1" x14ac:dyDescent="0.3">
      <c r="A38" s="340" t="s">
        <v>294</v>
      </c>
      <c r="B38" s="341">
        <v>18</v>
      </c>
      <c r="C38" s="309">
        <v>46150</v>
      </c>
      <c r="D38" s="310" t="s">
        <v>365</v>
      </c>
      <c r="E38" s="533">
        <v>400</v>
      </c>
      <c r="F38" s="533"/>
      <c r="G38" s="344">
        <f t="shared" si="0"/>
        <v>-929.19000000001574</v>
      </c>
      <c r="H38" s="345"/>
      <c r="I38" s="346"/>
      <c r="J38" s="347"/>
      <c r="K38" s="312"/>
      <c r="L38" s="347"/>
      <c r="M38" s="312"/>
      <c r="N38" s="347"/>
      <c r="O38" s="312"/>
      <c r="P38" s="347"/>
      <c r="Q38" s="312"/>
      <c r="R38" s="347"/>
      <c r="S38" s="312"/>
      <c r="T38" s="347"/>
    </row>
    <row r="39" spans="1:20" ht="12" customHeight="1" x14ac:dyDescent="0.3">
      <c r="A39" s="340" t="s">
        <v>287</v>
      </c>
      <c r="B39" s="341" t="s">
        <v>287</v>
      </c>
      <c r="C39" s="309">
        <v>46150</v>
      </c>
      <c r="D39" s="310" t="s">
        <v>858</v>
      </c>
      <c r="E39" s="533">
        <v>200</v>
      </c>
      <c r="F39" s="533">
        <v>200</v>
      </c>
      <c r="G39" s="344">
        <f t="shared" si="0"/>
        <v>-529.19000000001574</v>
      </c>
      <c r="H39" s="345"/>
      <c r="I39" s="346"/>
      <c r="J39" s="347"/>
      <c r="K39" s="312"/>
      <c r="L39" s="347"/>
      <c r="M39" s="312"/>
      <c r="N39" s="347"/>
      <c r="O39" s="312"/>
      <c r="P39" s="347"/>
      <c r="Q39" s="312"/>
      <c r="R39" s="347"/>
      <c r="S39" s="312"/>
      <c r="T39" s="347"/>
    </row>
    <row r="40" spans="1:20" ht="12" customHeight="1" x14ac:dyDescent="0.3">
      <c r="A40" s="340" t="s">
        <v>289</v>
      </c>
      <c r="B40" s="341">
        <v>2</v>
      </c>
      <c r="C40" s="309">
        <v>46150</v>
      </c>
      <c r="D40" s="310" t="s">
        <v>486</v>
      </c>
      <c r="E40" s="533">
        <v>52.78</v>
      </c>
      <c r="F40" s="533"/>
      <c r="G40" s="344">
        <f t="shared" si="0"/>
        <v>-529.19000000001574</v>
      </c>
      <c r="H40" s="345"/>
      <c r="I40" s="346"/>
      <c r="J40" s="347"/>
      <c r="K40" s="312"/>
      <c r="L40" s="347"/>
      <c r="M40" s="312"/>
      <c r="N40" s="347"/>
      <c r="O40" s="312"/>
      <c r="P40" s="347"/>
      <c r="Q40" s="312"/>
      <c r="R40" s="347"/>
      <c r="S40" s="312"/>
      <c r="T40" s="347"/>
    </row>
    <row r="41" spans="1:20" ht="12" customHeight="1" x14ac:dyDescent="0.3">
      <c r="A41" s="340" t="s">
        <v>287</v>
      </c>
      <c r="B41" s="341" t="s">
        <v>287</v>
      </c>
      <c r="C41" s="309">
        <v>46150</v>
      </c>
      <c r="D41" s="310" t="s">
        <v>864</v>
      </c>
      <c r="E41" s="533">
        <v>137.07</v>
      </c>
      <c r="F41" s="533">
        <v>137.07</v>
      </c>
      <c r="G41" s="344">
        <f t="shared" si="0"/>
        <v>-476.41000000001571</v>
      </c>
      <c r="H41" s="345"/>
      <c r="I41" s="346"/>
      <c r="J41" s="347"/>
      <c r="K41" s="312"/>
      <c r="L41" s="347"/>
      <c r="M41" s="312"/>
      <c r="N41" s="347"/>
      <c r="O41" s="312"/>
      <c r="P41" s="347"/>
      <c r="Q41" s="312"/>
      <c r="R41" s="347"/>
      <c r="S41" s="312"/>
      <c r="T41" s="347"/>
    </row>
    <row r="42" spans="1:20" ht="12" customHeight="1" x14ac:dyDescent="0.3">
      <c r="A42" s="340" t="s">
        <v>289</v>
      </c>
      <c r="B42" s="341">
        <v>2</v>
      </c>
      <c r="C42" s="309">
        <v>46150</v>
      </c>
      <c r="D42" s="310" t="s">
        <v>362</v>
      </c>
      <c r="E42" s="533">
        <v>17.440000000000001</v>
      </c>
      <c r="F42" s="533"/>
      <c r="G42" s="344">
        <f t="shared" si="0"/>
        <v>-476.41000000001566</v>
      </c>
      <c r="H42" s="345"/>
      <c r="I42" s="346"/>
      <c r="J42" s="347"/>
      <c r="K42" s="312"/>
      <c r="L42" s="347"/>
      <c r="M42" s="312"/>
      <c r="N42" s="347"/>
      <c r="O42" s="312"/>
      <c r="P42" s="347"/>
      <c r="Q42" s="312"/>
      <c r="R42" s="347"/>
      <c r="S42" s="312"/>
      <c r="T42" s="347"/>
    </row>
    <row r="43" spans="1:20" ht="12" customHeight="1" x14ac:dyDescent="0.3">
      <c r="A43" s="340" t="s">
        <v>287</v>
      </c>
      <c r="B43" s="341" t="s">
        <v>287</v>
      </c>
      <c r="C43" s="309">
        <v>46150</v>
      </c>
      <c r="D43" s="310" t="s">
        <v>865</v>
      </c>
      <c r="E43" s="533">
        <v>359.81</v>
      </c>
      <c r="F43" s="533">
        <v>359.81</v>
      </c>
      <c r="G43" s="344">
        <f t="shared" si="0"/>
        <v>-458.97000000001566</v>
      </c>
      <c r="H43" s="345"/>
      <c r="I43" s="346"/>
      <c r="J43" s="347"/>
      <c r="K43" s="312"/>
      <c r="L43" s="347"/>
      <c r="M43" s="312"/>
      <c r="N43" s="347"/>
      <c r="O43" s="312"/>
      <c r="P43" s="347"/>
      <c r="Q43" s="312"/>
      <c r="R43" s="347"/>
      <c r="S43" s="312"/>
      <c r="T43" s="347"/>
    </row>
    <row r="44" spans="1:20" ht="12" customHeight="1" x14ac:dyDescent="0.3">
      <c r="A44" s="340" t="s">
        <v>289</v>
      </c>
      <c r="B44" s="341">
        <v>6</v>
      </c>
      <c r="C44" s="309">
        <v>46149</v>
      </c>
      <c r="D44" s="310" t="s">
        <v>862</v>
      </c>
      <c r="E44" s="533">
        <v>23.7</v>
      </c>
      <c r="F44" s="533"/>
      <c r="G44" s="344">
        <f t="shared" si="0"/>
        <v>-458.97000000001566</v>
      </c>
      <c r="H44" s="345"/>
      <c r="I44" s="346"/>
      <c r="J44" s="347"/>
      <c r="K44" s="312"/>
      <c r="L44" s="347"/>
      <c r="M44" s="312"/>
      <c r="N44" s="347"/>
      <c r="O44" s="312"/>
      <c r="P44" s="347"/>
      <c r="Q44" s="312"/>
      <c r="R44" s="347"/>
      <c r="S44" s="312"/>
      <c r="T44" s="347"/>
    </row>
    <row r="45" spans="1:20" ht="12" customHeight="1" x14ac:dyDescent="0.3">
      <c r="A45" s="340" t="s">
        <v>289</v>
      </c>
      <c r="B45" s="341">
        <v>2</v>
      </c>
      <c r="C45" s="309">
        <v>46149</v>
      </c>
      <c r="D45" s="310" t="s">
        <v>375</v>
      </c>
      <c r="E45" s="533">
        <v>13.43</v>
      </c>
      <c r="F45" s="533"/>
      <c r="G45" s="344">
        <f t="shared" si="0"/>
        <v>-435.27000000001567</v>
      </c>
      <c r="H45" s="345"/>
      <c r="I45" s="346"/>
      <c r="J45" s="347"/>
      <c r="K45" s="312"/>
      <c r="L45" s="347"/>
      <c r="M45" s="312"/>
      <c r="N45" s="347"/>
      <c r="O45" s="312"/>
      <c r="P45" s="347"/>
      <c r="Q45" s="312"/>
      <c r="R45" s="347"/>
      <c r="S45" s="312"/>
      <c r="T45" s="347"/>
    </row>
    <row r="46" spans="1:20" ht="12" customHeight="1" x14ac:dyDescent="0.3">
      <c r="A46" s="340" t="s">
        <v>294</v>
      </c>
      <c r="B46" s="341">
        <v>13</v>
      </c>
      <c r="C46" s="309">
        <v>46149</v>
      </c>
      <c r="D46" s="310" t="s">
        <v>182</v>
      </c>
      <c r="E46" s="533">
        <v>122.18</v>
      </c>
      <c r="F46" s="533"/>
      <c r="G46" s="344">
        <f t="shared" si="0"/>
        <v>-421.84000000001566</v>
      </c>
      <c r="H46" s="345"/>
      <c r="I46" s="346"/>
      <c r="J46" s="347"/>
      <c r="K46" s="312"/>
      <c r="L46" s="347"/>
      <c r="M46" s="312"/>
      <c r="N46" s="347"/>
      <c r="O46" s="312"/>
      <c r="P46" s="347"/>
      <c r="Q46" s="312"/>
      <c r="R46" s="347"/>
      <c r="S46" s="312"/>
      <c r="T46" s="347"/>
    </row>
    <row r="47" spans="1:20" ht="12" customHeight="1" x14ac:dyDescent="0.3">
      <c r="A47" s="340" t="s">
        <v>339</v>
      </c>
      <c r="B47" s="341" t="s">
        <v>339</v>
      </c>
      <c r="C47" s="309">
        <v>46149</v>
      </c>
      <c r="D47" s="310" t="s">
        <v>455</v>
      </c>
      <c r="E47" s="533">
        <v>43.62</v>
      </c>
      <c r="F47" s="533"/>
      <c r="G47" s="344">
        <f t="shared" si="0"/>
        <v>-299.66000000001566</v>
      </c>
      <c r="H47" s="345"/>
      <c r="I47" s="346"/>
      <c r="J47" s="347"/>
      <c r="K47" s="312"/>
      <c r="L47" s="347"/>
      <c r="M47" s="312"/>
      <c r="N47" s="347"/>
      <c r="O47" s="312"/>
      <c r="P47" s="347"/>
      <c r="Q47" s="312"/>
      <c r="R47" s="347"/>
      <c r="S47" s="312"/>
      <c r="T47" s="347"/>
    </row>
    <row r="48" spans="1:20" ht="12" customHeight="1" x14ac:dyDescent="0.3">
      <c r="A48" s="340" t="s">
        <v>294</v>
      </c>
      <c r="B48" s="341">
        <v>9</v>
      </c>
      <c r="C48" s="309">
        <v>46149</v>
      </c>
      <c r="D48" s="310" t="s">
        <v>58</v>
      </c>
      <c r="E48" s="533">
        <v>1231.68</v>
      </c>
      <c r="F48" s="533"/>
      <c r="G48" s="344">
        <f t="shared" si="0"/>
        <v>-256.04000000001565</v>
      </c>
      <c r="H48" s="345"/>
      <c r="I48" s="346"/>
      <c r="J48" s="347"/>
      <c r="K48" s="312"/>
      <c r="L48" s="347"/>
      <c r="M48" s="312"/>
      <c r="N48" s="347"/>
      <c r="O48" s="312"/>
      <c r="P48" s="347"/>
      <c r="Q48" s="312"/>
      <c r="R48" s="347"/>
      <c r="S48" s="312"/>
      <c r="T48" s="347"/>
    </row>
    <row r="49" spans="1:20" ht="12" customHeight="1" x14ac:dyDescent="0.3">
      <c r="A49" s="340" t="s">
        <v>289</v>
      </c>
      <c r="B49" s="341">
        <v>3</v>
      </c>
      <c r="C49" s="309">
        <v>46149</v>
      </c>
      <c r="D49" s="310" t="s">
        <v>310</v>
      </c>
      <c r="E49" s="533">
        <v>4.49</v>
      </c>
      <c r="F49" s="533"/>
      <c r="G49" s="344">
        <f t="shared" si="0"/>
        <v>975.63999999998441</v>
      </c>
      <c r="H49" s="345"/>
      <c r="I49" s="346"/>
      <c r="J49" s="347"/>
      <c r="K49" s="312"/>
      <c r="L49" s="347"/>
      <c r="M49" s="312"/>
      <c r="N49" s="347"/>
      <c r="O49" s="312"/>
      <c r="P49" s="347"/>
      <c r="Q49" s="312"/>
      <c r="R49" s="347"/>
      <c r="S49" s="312"/>
      <c r="T49" s="347"/>
    </row>
    <row r="50" spans="1:20" ht="12" customHeight="1" x14ac:dyDescent="0.3">
      <c r="A50" s="340" t="s">
        <v>289</v>
      </c>
      <c r="B50" s="341">
        <v>8</v>
      </c>
      <c r="C50" s="309">
        <v>46149</v>
      </c>
      <c r="D50" s="310" t="s">
        <v>862</v>
      </c>
      <c r="E50" s="533">
        <v>19.2</v>
      </c>
      <c r="F50" s="533"/>
      <c r="G50" s="344">
        <f t="shared" si="0"/>
        <v>980.12999999998442</v>
      </c>
      <c r="H50" s="345"/>
      <c r="I50" s="346"/>
      <c r="J50" s="347"/>
      <c r="K50" s="312"/>
      <c r="L50" s="347"/>
      <c r="M50" s="312"/>
      <c r="N50" s="347"/>
      <c r="O50" s="312"/>
      <c r="P50" s="347"/>
      <c r="Q50" s="312"/>
      <c r="R50" s="347"/>
      <c r="S50" s="312"/>
      <c r="T50" s="347"/>
    </row>
    <row r="51" spans="1:20" ht="12" customHeight="1" x14ac:dyDescent="0.3">
      <c r="A51" s="340" t="s">
        <v>289</v>
      </c>
      <c r="B51" s="341">
        <v>5</v>
      </c>
      <c r="C51" s="309">
        <v>46149</v>
      </c>
      <c r="D51" s="310" t="s">
        <v>862</v>
      </c>
      <c r="E51" s="533">
        <v>35</v>
      </c>
      <c r="F51" s="533"/>
      <c r="G51" s="344">
        <f t="shared" si="0"/>
        <v>999.32999999998447</v>
      </c>
      <c r="H51" s="345"/>
      <c r="I51" s="346"/>
      <c r="J51" s="347"/>
      <c r="K51" s="312"/>
      <c r="L51" s="347"/>
      <c r="M51" s="312"/>
      <c r="N51" s="347"/>
      <c r="O51" s="312"/>
      <c r="P51" s="347"/>
      <c r="Q51" s="312"/>
      <c r="R51" s="347"/>
      <c r="S51" s="312"/>
      <c r="T51" s="347"/>
    </row>
    <row r="52" spans="1:20" ht="12" customHeight="1" x14ac:dyDescent="0.3">
      <c r="A52" s="340" t="s">
        <v>289</v>
      </c>
      <c r="B52" s="341">
        <v>8</v>
      </c>
      <c r="C52" s="309">
        <v>46149</v>
      </c>
      <c r="D52" s="310" t="s">
        <v>321</v>
      </c>
      <c r="E52" s="533">
        <v>15.93</v>
      </c>
      <c r="F52" s="533"/>
      <c r="G52" s="344">
        <f t="shared" si="0"/>
        <v>1034.3299999999845</v>
      </c>
      <c r="H52" s="345"/>
      <c r="I52" s="346"/>
      <c r="J52" s="347"/>
      <c r="K52" s="312"/>
      <c r="L52" s="347"/>
      <c r="M52" s="312"/>
      <c r="N52" s="347"/>
      <c r="O52" s="312"/>
      <c r="P52" s="347"/>
      <c r="Q52" s="312"/>
      <c r="R52" s="347"/>
      <c r="S52" s="312"/>
      <c r="T52" s="347"/>
    </row>
    <row r="53" spans="1:20" ht="12" customHeight="1" x14ac:dyDescent="0.3">
      <c r="A53" s="340" t="s">
        <v>289</v>
      </c>
      <c r="B53" s="341">
        <v>2</v>
      </c>
      <c r="C53" s="309">
        <v>46149</v>
      </c>
      <c r="D53" s="310" t="s">
        <v>296</v>
      </c>
      <c r="E53" s="533">
        <v>11.18</v>
      </c>
      <c r="F53" s="533"/>
      <c r="G53" s="344">
        <f t="shared" si="0"/>
        <v>1050.2599999999845</v>
      </c>
      <c r="H53" s="345"/>
      <c r="I53" s="346"/>
      <c r="J53" s="347"/>
      <c r="K53" s="312"/>
      <c r="L53" s="347"/>
      <c r="M53" s="312"/>
      <c r="N53" s="347"/>
      <c r="O53" s="312"/>
      <c r="P53" s="347"/>
      <c r="Q53" s="312"/>
      <c r="R53" s="347"/>
      <c r="S53" s="312"/>
      <c r="T53" s="347"/>
    </row>
    <row r="54" spans="1:20" ht="12" customHeight="1" x14ac:dyDescent="0.3">
      <c r="A54" s="340" t="s">
        <v>289</v>
      </c>
      <c r="B54" s="341">
        <v>2</v>
      </c>
      <c r="C54" s="309">
        <v>46149</v>
      </c>
      <c r="D54" s="310" t="s">
        <v>301</v>
      </c>
      <c r="E54" s="533">
        <v>16.05</v>
      </c>
      <c r="F54" s="533"/>
      <c r="G54" s="344">
        <f t="shared" ref="G54:G93" si="1">G55-E54+F54</f>
        <v>1061.4399999999846</v>
      </c>
      <c r="H54" s="345"/>
      <c r="I54" s="346"/>
      <c r="J54" s="347"/>
      <c r="K54" s="312"/>
      <c r="L54" s="347"/>
      <c r="M54" s="312"/>
      <c r="N54" s="347"/>
      <c r="O54" s="312"/>
      <c r="P54" s="347"/>
      <c r="Q54" s="312"/>
      <c r="R54" s="347"/>
      <c r="S54" s="312"/>
      <c r="T54" s="347"/>
    </row>
    <row r="55" spans="1:20" ht="12" customHeight="1" x14ac:dyDescent="0.3">
      <c r="A55" s="340" t="s">
        <v>289</v>
      </c>
      <c r="B55" s="341">
        <v>6</v>
      </c>
      <c r="C55" s="309">
        <v>46148</v>
      </c>
      <c r="D55" s="310" t="s">
        <v>344</v>
      </c>
      <c r="E55" s="533">
        <v>47.93</v>
      </c>
      <c r="F55" s="533"/>
      <c r="G55" s="344">
        <f t="shared" si="1"/>
        <v>1077.4899999999845</v>
      </c>
      <c r="H55" s="345"/>
      <c r="I55" s="346"/>
      <c r="J55" s="347"/>
      <c r="K55" s="312"/>
      <c r="L55" s="347"/>
      <c r="M55" s="312"/>
      <c r="N55" s="347"/>
      <c r="O55" s="312"/>
      <c r="P55" s="347"/>
      <c r="Q55" s="312"/>
      <c r="R55" s="347"/>
      <c r="S55" s="312"/>
      <c r="T55" s="347"/>
    </row>
    <row r="56" spans="1:20" ht="12" customHeight="1" x14ac:dyDescent="0.3">
      <c r="A56" s="340" t="s">
        <v>294</v>
      </c>
      <c r="B56" s="341">
        <v>14</v>
      </c>
      <c r="C56" s="309">
        <v>46148</v>
      </c>
      <c r="D56" s="310" t="s">
        <v>370</v>
      </c>
      <c r="E56" s="533">
        <v>66.67</v>
      </c>
      <c r="F56" s="533"/>
      <c r="G56" s="344">
        <f t="shared" si="1"/>
        <v>1125.4199999999846</v>
      </c>
      <c r="H56" s="345"/>
      <c r="I56" s="346"/>
      <c r="J56" s="347"/>
      <c r="K56" s="312"/>
      <c r="L56" s="347"/>
      <c r="M56" s="312"/>
      <c r="N56" s="347"/>
      <c r="O56" s="312"/>
      <c r="P56" s="347"/>
      <c r="Q56" s="312"/>
      <c r="R56" s="347"/>
      <c r="S56" s="312"/>
      <c r="T56" s="347"/>
    </row>
    <row r="57" spans="1:20" ht="12" customHeight="1" x14ac:dyDescent="0.3">
      <c r="A57" s="340" t="s">
        <v>289</v>
      </c>
      <c r="B57" s="341">
        <v>8</v>
      </c>
      <c r="C57" s="309">
        <v>46148</v>
      </c>
      <c r="D57" s="310" t="s">
        <v>321</v>
      </c>
      <c r="E57" s="533">
        <v>19.14</v>
      </c>
      <c r="F57" s="533"/>
      <c r="G57" s="344">
        <f t="shared" si="1"/>
        <v>1192.0899999999847</v>
      </c>
      <c r="H57" s="345"/>
      <c r="I57" s="346"/>
      <c r="J57" s="347"/>
      <c r="K57" s="312"/>
      <c r="L57" s="347"/>
      <c r="M57" s="312"/>
      <c r="N57" s="347"/>
      <c r="O57" s="312"/>
      <c r="P57" s="347"/>
      <c r="Q57" s="312"/>
      <c r="R57" s="347"/>
      <c r="S57" s="312"/>
      <c r="T57" s="347"/>
    </row>
    <row r="58" spans="1:20" ht="12" customHeight="1" x14ac:dyDescent="0.3">
      <c r="A58" s="340" t="s">
        <v>289</v>
      </c>
      <c r="B58" s="341">
        <v>4</v>
      </c>
      <c r="C58" s="309">
        <v>46148</v>
      </c>
      <c r="D58" s="310" t="s">
        <v>311</v>
      </c>
      <c r="E58" s="533">
        <v>103.69</v>
      </c>
      <c r="F58" s="533"/>
      <c r="G58" s="344">
        <f t="shared" si="1"/>
        <v>1211.2299999999848</v>
      </c>
      <c r="H58" s="345"/>
      <c r="I58" s="346"/>
      <c r="J58" s="347"/>
      <c r="K58" s="312"/>
      <c r="L58" s="347"/>
      <c r="M58" s="312"/>
      <c r="N58" s="347"/>
      <c r="O58" s="312"/>
      <c r="P58" s="347"/>
      <c r="Q58" s="312"/>
      <c r="R58" s="347"/>
      <c r="S58" s="312"/>
      <c r="T58" s="347"/>
    </row>
    <row r="59" spans="1:20" ht="12" customHeight="1" x14ac:dyDescent="0.3">
      <c r="A59" s="340" t="s">
        <v>287</v>
      </c>
      <c r="B59" s="341" t="s">
        <v>287</v>
      </c>
      <c r="C59" s="309">
        <v>46148</v>
      </c>
      <c r="D59" s="310" t="s">
        <v>859</v>
      </c>
      <c r="E59" s="533">
        <v>513.29999999999995</v>
      </c>
      <c r="F59" s="533">
        <v>513.29999999999995</v>
      </c>
      <c r="G59" s="344">
        <f t="shared" si="1"/>
        <v>1314.9199999999848</v>
      </c>
      <c r="H59" s="345"/>
      <c r="I59" s="346"/>
      <c r="J59" s="347"/>
      <c r="K59" s="312"/>
      <c r="L59" s="347"/>
      <c r="M59" s="312"/>
      <c r="N59" s="347"/>
      <c r="O59" s="312"/>
      <c r="P59" s="347"/>
      <c r="Q59" s="312"/>
      <c r="R59" s="347"/>
      <c r="S59" s="312"/>
      <c r="T59" s="347"/>
    </row>
    <row r="60" spans="1:20" ht="12" customHeight="1" x14ac:dyDescent="0.3">
      <c r="A60" s="340" t="s">
        <v>289</v>
      </c>
      <c r="B60" s="341">
        <v>6</v>
      </c>
      <c r="C60" s="309">
        <v>46148</v>
      </c>
      <c r="D60" s="310" t="s">
        <v>300</v>
      </c>
      <c r="E60" s="533">
        <v>41.52</v>
      </c>
      <c r="F60" s="533"/>
      <c r="G60" s="344">
        <f t="shared" si="1"/>
        <v>1314.9199999999848</v>
      </c>
      <c r="H60" s="345"/>
      <c r="I60" s="346"/>
      <c r="J60" s="347"/>
      <c r="K60" s="312"/>
      <c r="L60" s="347"/>
      <c r="M60" s="312"/>
      <c r="N60" s="347"/>
      <c r="O60" s="312"/>
      <c r="P60" s="347"/>
      <c r="Q60" s="312"/>
      <c r="R60" s="347"/>
      <c r="S60" s="312"/>
      <c r="T60" s="347"/>
    </row>
    <row r="61" spans="1:20" ht="12" customHeight="1" x14ac:dyDescent="0.3">
      <c r="A61" s="340" t="s">
        <v>287</v>
      </c>
      <c r="B61" s="341" t="s">
        <v>287</v>
      </c>
      <c r="C61" s="309">
        <v>46148</v>
      </c>
      <c r="D61" s="310" t="s">
        <v>860</v>
      </c>
      <c r="E61" s="533">
        <v>500.5</v>
      </c>
      <c r="F61" s="533">
        <v>500.5</v>
      </c>
      <c r="G61" s="344">
        <f t="shared" si="1"/>
        <v>1356.4399999999848</v>
      </c>
      <c r="H61" s="345"/>
      <c r="I61" s="346"/>
      <c r="J61" s="347"/>
      <c r="K61" s="312"/>
      <c r="L61" s="347"/>
      <c r="M61" s="312"/>
      <c r="N61" s="347"/>
      <c r="O61" s="312"/>
      <c r="P61" s="347"/>
      <c r="Q61" s="312"/>
      <c r="R61" s="347"/>
      <c r="S61" s="312"/>
      <c r="T61" s="347"/>
    </row>
    <row r="62" spans="1:20" ht="12" customHeight="1" x14ac:dyDescent="0.3">
      <c r="A62" s="340" t="s">
        <v>287</v>
      </c>
      <c r="B62" s="341" t="s">
        <v>287</v>
      </c>
      <c r="C62" s="309">
        <v>46148</v>
      </c>
      <c r="D62" s="310" t="s">
        <v>861</v>
      </c>
      <c r="E62" s="533">
        <v>457.94</v>
      </c>
      <c r="F62" s="533">
        <v>457.94</v>
      </c>
      <c r="G62" s="344">
        <f t="shared" si="1"/>
        <v>1356.4399999999848</v>
      </c>
      <c r="H62" s="345"/>
      <c r="I62" s="346"/>
      <c r="J62" s="347"/>
      <c r="K62" s="312"/>
      <c r="L62" s="347"/>
      <c r="M62" s="312"/>
      <c r="N62" s="347"/>
      <c r="O62" s="312"/>
      <c r="P62" s="347"/>
      <c r="Q62" s="312"/>
      <c r="R62" s="347"/>
      <c r="S62" s="312"/>
      <c r="T62" s="347"/>
    </row>
    <row r="63" spans="1:20" ht="12" customHeight="1" x14ac:dyDescent="0.3">
      <c r="A63" s="340" t="s">
        <v>289</v>
      </c>
      <c r="B63" s="341">
        <v>1</v>
      </c>
      <c r="C63" s="309">
        <v>46148</v>
      </c>
      <c r="D63" s="310" t="s">
        <v>307</v>
      </c>
      <c r="E63" s="533">
        <v>23.48</v>
      </c>
      <c r="F63" s="533"/>
      <c r="G63" s="344">
        <f t="shared" si="1"/>
        <v>1356.4399999999848</v>
      </c>
      <c r="H63" s="345"/>
      <c r="I63" s="346"/>
      <c r="J63" s="347"/>
      <c r="K63" s="312"/>
      <c r="L63" s="347"/>
      <c r="M63" s="312"/>
      <c r="N63" s="347"/>
      <c r="O63" s="312"/>
      <c r="P63" s="347"/>
      <c r="Q63" s="312"/>
      <c r="R63" s="347"/>
      <c r="S63" s="312"/>
      <c r="T63" s="347"/>
    </row>
    <row r="64" spans="1:20" ht="12" customHeight="1" x14ac:dyDescent="0.3">
      <c r="A64" s="340" t="s">
        <v>289</v>
      </c>
      <c r="B64" s="341">
        <v>2</v>
      </c>
      <c r="C64" s="309">
        <v>46147</v>
      </c>
      <c r="D64" s="310" t="s">
        <v>388</v>
      </c>
      <c r="E64" s="533">
        <v>59.03</v>
      </c>
      <c r="F64" s="533"/>
      <c r="G64" s="344">
        <f t="shared" si="1"/>
        <v>1379.9199999999848</v>
      </c>
      <c r="H64" s="345"/>
      <c r="I64" s="346"/>
      <c r="J64" s="347"/>
      <c r="K64" s="312"/>
      <c r="L64" s="347"/>
      <c r="M64" s="312"/>
      <c r="N64" s="347"/>
      <c r="O64" s="312"/>
      <c r="P64" s="347"/>
      <c r="Q64" s="312"/>
      <c r="R64" s="347"/>
      <c r="S64" s="312"/>
      <c r="T64" s="347"/>
    </row>
    <row r="65" spans="1:20" ht="12" customHeight="1" x14ac:dyDescent="0.3">
      <c r="A65" s="340" t="s">
        <v>289</v>
      </c>
      <c r="B65" s="341">
        <v>2</v>
      </c>
      <c r="C65" s="309">
        <v>46147</v>
      </c>
      <c r="D65" s="310" t="s">
        <v>338</v>
      </c>
      <c r="E65" s="533">
        <v>11.06</v>
      </c>
      <c r="F65" s="533"/>
      <c r="G65" s="344">
        <f t="shared" si="1"/>
        <v>1438.9499999999848</v>
      </c>
      <c r="H65" s="345"/>
      <c r="I65" s="346"/>
      <c r="J65" s="347"/>
      <c r="K65" s="312"/>
      <c r="L65" s="347"/>
      <c r="M65" s="312"/>
      <c r="N65" s="347"/>
      <c r="O65" s="312"/>
      <c r="P65" s="347"/>
      <c r="Q65" s="312"/>
      <c r="R65" s="347"/>
      <c r="S65" s="312"/>
      <c r="T65" s="347"/>
    </row>
    <row r="66" spans="1:20" ht="12" customHeight="1" x14ac:dyDescent="0.3">
      <c r="A66" s="340" t="s">
        <v>289</v>
      </c>
      <c r="B66" s="341">
        <v>2</v>
      </c>
      <c r="C66" s="309">
        <v>46147</v>
      </c>
      <c r="D66" s="310" t="s">
        <v>296</v>
      </c>
      <c r="E66" s="533">
        <v>8.7200000000000006</v>
      </c>
      <c r="F66" s="533"/>
      <c r="G66" s="344">
        <f t="shared" si="1"/>
        <v>1450.0099999999848</v>
      </c>
      <c r="H66" s="345"/>
      <c r="I66" s="346"/>
      <c r="J66" s="347"/>
      <c r="K66" s="312"/>
      <c r="L66" s="347"/>
      <c r="M66" s="312"/>
      <c r="N66" s="347"/>
      <c r="O66" s="312"/>
      <c r="P66" s="347"/>
      <c r="Q66" s="312"/>
      <c r="R66" s="347"/>
      <c r="S66" s="312"/>
      <c r="T66" s="347"/>
    </row>
    <row r="67" spans="1:20" ht="12" customHeight="1" x14ac:dyDescent="0.3">
      <c r="A67" s="340" t="s">
        <v>289</v>
      </c>
      <c r="B67" s="341">
        <v>4</v>
      </c>
      <c r="C67" s="309">
        <v>46147</v>
      </c>
      <c r="D67" s="310" t="s">
        <v>296</v>
      </c>
      <c r="E67" s="533">
        <v>42.88</v>
      </c>
      <c r="F67" s="533"/>
      <c r="G67" s="344">
        <f t="shared" si="1"/>
        <v>1458.7299999999848</v>
      </c>
      <c r="H67" s="345"/>
      <c r="I67" s="346"/>
      <c r="J67" s="347"/>
      <c r="K67" s="312"/>
      <c r="L67" s="347"/>
      <c r="M67" s="312"/>
      <c r="N67" s="347"/>
      <c r="O67" s="312"/>
      <c r="P67" s="347"/>
      <c r="Q67" s="312"/>
      <c r="R67" s="347"/>
      <c r="S67" s="312"/>
      <c r="T67" s="347"/>
    </row>
    <row r="68" spans="1:20" ht="12" customHeight="1" x14ac:dyDescent="0.3">
      <c r="A68" s="340" t="s">
        <v>289</v>
      </c>
      <c r="B68" s="341">
        <v>6</v>
      </c>
      <c r="C68" s="309">
        <v>46147</v>
      </c>
      <c r="D68" s="310" t="s">
        <v>300</v>
      </c>
      <c r="E68" s="533">
        <v>17.03</v>
      </c>
      <c r="F68" s="533"/>
      <c r="G68" s="344">
        <f t="shared" si="1"/>
        <v>1501.6099999999849</v>
      </c>
      <c r="H68" s="345"/>
      <c r="I68" s="346"/>
      <c r="J68" s="347"/>
      <c r="K68" s="312"/>
      <c r="L68" s="347"/>
      <c r="M68" s="312"/>
      <c r="N68" s="347"/>
      <c r="O68" s="312"/>
      <c r="P68" s="347"/>
      <c r="Q68" s="312"/>
      <c r="R68" s="347"/>
      <c r="S68" s="312"/>
      <c r="T68" s="347"/>
    </row>
    <row r="69" spans="1:20" ht="12" customHeight="1" x14ac:dyDescent="0.3">
      <c r="A69" s="340" t="s">
        <v>294</v>
      </c>
      <c r="B69" s="341">
        <v>22</v>
      </c>
      <c r="C69" s="309">
        <v>46146</v>
      </c>
      <c r="D69" s="310" t="s">
        <v>850</v>
      </c>
      <c r="E69" s="533">
        <v>13.83</v>
      </c>
      <c r="F69" s="533"/>
      <c r="G69" s="344">
        <f t="shared" si="1"/>
        <v>1518.6399999999849</v>
      </c>
      <c r="H69" s="345"/>
      <c r="I69" s="346"/>
      <c r="J69" s="347"/>
      <c r="K69" s="312"/>
      <c r="L69" s="347"/>
      <c r="M69" s="312"/>
      <c r="N69" s="347"/>
      <c r="O69" s="312"/>
      <c r="P69" s="347"/>
      <c r="Q69" s="312"/>
      <c r="R69" s="347"/>
      <c r="S69" s="312"/>
      <c r="T69" s="347"/>
    </row>
    <row r="70" spans="1:20" ht="12" customHeight="1" x14ac:dyDescent="0.3">
      <c r="A70" s="340" t="s">
        <v>289</v>
      </c>
      <c r="B70" s="341">
        <v>6</v>
      </c>
      <c r="C70" s="309">
        <v>46146</v>
      </c>
      <c r="D70" s="310" t="s">
        <v>344</v>
      </c>
      <c r="E70" s="533">
        <v>47.93</v>
      </c>
      <c r="F70" s="533"/>
      <c r="G70" s="344">
        <f t="shared" si="1"/>
        <v>1532.4699999999848</v>
      </c>
      <c r="H70" s="345"/>
      <c r="I70" s="346"/>
      <c r="J70" s="347"/>
      <c r="K70" s="312"/>
      <c r="L70" s="347"/>
      <c r="M70" s="312"/>
      <c r="N70" s="347"/>
      <c r="O70" s="312"/>
      <c r="P70" s="347"/>
      <c r="Q70" s="312"/>
      <c r="R70" s="347"/>
      <c r="S70" s="312"/>
      <c r="T70" s="347"/>
    </row>
    <row r="71" spans="1:20" ht="12" customHeight="1" x14ac:dyDescent="0.3">
      <c r="A71" s="340" t="s">
        <v>289</v>
      </c>
      <c r="B71" s="341">
        <v>2</v>
      </c>
      <c r="C71" s="309">
        <v>46146</v>
      </c>
      <c r="D71" s="310" t="s">
        <v>338</v>
      </c>
      <c r="E71" s="533">
        <v>11.06</v>
      </c>
      <c r="F71" s="533"/>
      <c r="G71" s="344">
        <f t="shared" si="1"/>
        <v>1580.3999999999849</v>
      </c>
      <c r="H71" s="345"/>
      <c r="I71" s="346"/>
      <c r="J71" s="347"/>
      <c r="K71" s="312"/>
      <c r="L71" s="347"/>
      <c r="M71" s="312"/>
      <c r="N71" s="347"/>
      <c r="O71" s="312"/>
      <c r="P71" s="347"/>
      <c r="Q71" s="312"/>
      <c r="R71" s="347"/>
      <c r="S71" s="312"/>
      <c r="T71" s="347"/>
    </row>
    <row r="72" spans="1:20" ht="12" customHeight="1" x14ac:dyDescent="0.3">
      <c r="A72" s="340" t="s">
        <v>294</v>
      </c>
      <c r="B72" s="341">
        <v>14</v>
      </c>
      <c r="C72" s="309">
        <v>46146</v>
      </c>
      <c r="D72" s="310" t="s">
        <v>371</v>
      </c>
      <c r="E72" s="533">
        <v>70.25</v>
      </c>
      <c r="F72" s="533"/>
      <c r="G72" s="344">
        <f t="shared" si="1"/>
        <v>1591.4599999999848</v>
      </c>
      <c r="H72" s="345"/>
      <c r="I72" s="346"/>
      <c r="J72" s="347"/>
      <c r="K72" s="312"/>
      <c r="L72" s="347"/>
      <c r="M72" s="312"/>
      <c r="N72" s="347"/>
      <c r="O72" s="312"/>
      <c r="P72" s="347"/>
      <c r="Q72" s="312"/>
      <c r="R72" s="347"/>
      <c r="S72" s="312"/>
      <c r="T72" s="347"/>
    </row>
    <row r="73" spans="1:20" ht="12" customHeight="1" x14ac:dyDescent="0.3">
      <c r="A73" s="340" t="s">
        <v>284</v>
      </c>
      <c r="B73" s="341">
        <v>36</v>
      </c>
      <c r="C73" s="309">
        <v>46146</v>
      </c>
      <c r="D73" s="310" t="s">
        <v>378</v>
      </c>
      <c r="E73" s="533">
        <v>50</v>
      </c>
      <c r="F73" s="533"/>
      <c r="G73" s="344">
        <f t="shared" si="1"/>
        <v>1661.7099999999848</v>
      </c>
      <c r="H73" s="345"/>
      <c r="I73" s="346"/>
      <c r="J73" s="347"/>
      <c r="K73" s="312"/>
      <c r="L73" s="347"/>
      <c r="M73" s="312"/>
      <c r="N73" s="347"/>
      <c r="O73" s="312"/>
      <c r="P73" s="347"/>
      <c r="Q73" s="312"/>
      <c r="R73" s="347"/>
      <c r="S73" s="312"/>
      <c r="T73" s="347"/>
    </row>
    <row r="74" spans="1:20" ht="12" customHeight="1" x14ac:dyDescent="0.3">
      <c r="A74" s="340" t="s">
        <v>294</v>
      </c>
      <c r="B74" s="341">
        <v>17</v>
      </c>
      <c r="C74" s="309">
        <v>46146</v>
      </c>
      <c r="D74" s="310" t="s">
        <v>374</v>
      </c>
      <c r="E74" s="533">
        <v>99</v>
      </c>
      <c r="F74" s="533"/>
      <c r="G74" s="344">
        <f t="shared" si="1"/>
        <v>1711.7099999999848</v>
      </c>
      <c r="H74" s="345"/>
      <c r="I74" s="346"/>
      <c r="J74" s="347"/>
      <c r="K74" s="312"/>
      <c r="L74" s="347"/>
      <c r="M74" s="312"/>
      <c r="N74" s="347"/>
      <c r="O74" s="312"/>
      <c r="P74" s="347"/>
      <c r="Q74" s="312"/>
      <c r="R74" s="347"/>
      <c r="S74" s="312"/>
      <c r="T74" s="347"/>
    </row>
    <row r="75" spans="1:20" ht="12" customHeight="1" x14ac:dyDescent="0.3">
      <c r="A75" s="340" t="s">
        <v>289</v>
      </c>
      <c r="B75" s="341">
        <v>5</v>
      </c>
      <c r="C75" s="309">
        <v>46145</v>
      </c>
      <c r="D75" s="310" t="s">
        <v>849</v>
      </c>
      <c r="E75" s="533">
        <v>49.13</v>
      </c>
      <c r="F75" s="533"/>
      <c r="G75" s="344">
        <f t="shared" si="1"/>
        <v>1810.7099999999848</v>
      </c>
      <c r="H75" s="345"/>
      <c r="I75" s="346"/>
      <c r="J75" s="347"/>
      <c r="K75" s="312"/>
      <c r="L75" s="347"/>
      <c r="M75" s="312"/>
      <c r="N75" s="347"/>
      <c r="O75" s="312"/>
      <c r="P75" s="347"/>
      <c r="Q75" s="312"/>
      <c r="R75" s="347"/>
      <c r="S75" s="312"/>
      <c r="T75" s="347"/>
    </row>
    <row r="76" spans="1:20" ht="12" customHeight="1" x14ac:dyDescent="0.3">
      <c r="A76" s="340" t="s">
        <v>289</v>
      </c>
      <c r="B76" s="341">
        <v>1</v>
      </c>
      <c r="C76" s="309">
        <v>46145</v>
      </c>
      <c r="D76" s="310" t="s">
        <v>846</v>
      </c>
      <c r="E76" s="533">
        <v>50</v>
      </c>
      <c r="F76" s="533"/>
      <c r="G76" s="344">
        <f t="shared" si="1"/>
        <v>1859.8399999999849</v>
      </c>
      <c r="H76" s="345"/>
      <c r="I76" s="346"/>
      <c r="J76" s="347"/>
      <c r="K76" s="312"/>
      <c r="L76" s="347"/>
      <c r="M76" s="312"/>
      <c r="N76" s="347"/>
      <c r="O76" s="312"/>
      <c r="P76" s="347"/>
      <c r="Q76" s="312"/>
      <c r="R76" s="347"/>
      <c r="S76" s="312"/>
      <c r="T76" s="347"/>
    </row>
    <row r="77" spans="1:20" ht="12" customHeight="1" x14ac:dyDescent="0.3">
      <c r="A77" s="340" t="s">
        <v>289</v>
      </c>
      <c r="B77" s="341">
        <v>1</v>
      </c>
      <c r="C77" s="309">
        <v>46145</v>
      </c>
      <c r="D77" s="310" t="s">
        <v>312</v>
      </c>
      <c r="E77" s="533">
        <v>91.98</v>
      </c>
      <c r="F77" s="533"/>
      <c r="G77" s="344">
        <f t="shared" si="1"/>
        <v>1909.8399999999849</v>
      </c>
      <c r="H77" s="345"/>
      <c r="I77" s="346"/>
      <c r="J77" s="347"/>
      <c r="K77" s="312"/>
      <c r="L77" s="347"/>
      <c r="M77" s="312"/>
      <c r="N77" s="347"/>
      <c r="O77" s="312"/>
      <c r="P77" s="347"/>
      <c r="Q77" s="312"/>
      <c r="R77" s="347"/>
      <c r="S77" s="312"/>
      <c r="T77" s="347"/>
    </row>
    <row r="78" spans="1:20" ht="12" customHeight="1" x14ac:dyDescent="0.3">
      <c r="A78" s="340" t="s">
        <v>289</v>
      </c>
      <c r="B78" s="341">
        <v>6</v>
      </c>
      <c r="C78" s="309">
        <v>46145</v>
      </c>
      <c r="D78" s="310" t="s">
        <v>847</v>
      </c>
      <c r="E78" s="533">
        <v>24.68</v>
      </c>
      <c r="F78" s="533"/>
      <c r="G78" s="344">
        <f t="shared" si="1"/>
        <v>2001.8199999999849</v>
      </c>
      <c r="H78" s="345"/>
      <c r="I78" s="346"/>
      <c r="J78" s="347"/>
      <c r="K78" s="312"/>
      <c r="L78" s="347"/>
      <c r="M78" s="312"/>
      <c r="N78" s="347"/>
      <c r="O78" s="312"/>
      <c r="P78" s="347"/>
      <c r="Q78" s="312"/>
      <c r="R78" s="347"/>
      <c r="S78" s="312"/>
      <c r="T78" s="347"/>
    </row>
    <row r="79" spans="1:20" ht="12" customHeight="1" x14ac:dyDescent="0.3">
      <c r="A79" s="340" t="s">
        <v>289</v>
      </c>
      <c r="B79" s="341">
        <v>2</v>
      </c>
      <c r="C79" s="309">
        <v>46145</v>
      </c>
      <c r="D79" s="310" t="s">
        <v>362</v>
      </c>
      <c r="E79" s="533">
        <v>2.4900000000000002</v>
      </c>
      <c r="F79" s="533"/>
      <c r="G79" s="344">
        <f t="shared" si="1"/>
        <v>2026.499999999985</v>
      </c>
      <c r="H79" s="345"/>
      <c r="I79" s="346"/>
      <c r="J79" s="347"/>
      <c r="K79" s="312"/>
      <c r="L79" s="347"/>
      <c r="M79" s="312"/>
      <c r="N79" s="347"/>
      <c r="O79" s="312"/>
      <c r="P79" s="347"/>
      <c r="Q79" s="312"/>
      <c r="R79" s="347"/>
      <c r="S79" s="312"/>
      <c r="T79" s="347"/>
    </row>
    <row r="80" spans="1:20" ht="12" customHeight="1" x14ac:dyDescent="0.3">
      <c r="A80" s="340" t="s">
        <v>294</v>
      </c>
      <c r="B80" s="341">
        <v>22</v>
      </c>
      <c r="C80" s="309">
        <v>46145</v>
      </c>
      <c r="D80" s="310" t="s">
        <v>845</v>
      </c>
      <c r="E80" s="533">
        <v>12.77</v>
      </c>
      <c r="F80" s="533"/>
      <c r="G80" s="344">
        <f t="shared" si="1"/>
        <v>2028.989999999985</v>
      </c>
      <c r="H80" s="345"/>
      <c r="I80" s="346"/>
      <c r="J80" s="347"/>
      <c r="K80" s="312"/>
      <c r="L80" s="347"/>
      <c r="M80" s="312"/>
      <c r="N80" s="347"/>
      <c r="O80" s="312"/>
      <c r="P80" s="347"/>
      <c r="Q80" s="312"/>
      <c r="R80" s="347"/>
      <c r="S80" s="312"/>
      <c r="T80" s="347"/>
    </row>
    <row r="81" spans="1:20" ht="12" customHeight="1" x14ac:dyDescent="0.3">
      <c r="A81" s="340" t="s">
        <v>289</v>
      </c>
      <c r="B81" s="341">
        <v>2</v>
      </c>
      <c r="C81" s="309">
        <v>46145</v>
      </c>
      <c r="D81" s="310" t="s">
        <v>467</v>
      </c>
      <c r="E81" s="533">
        <v>192.97</v>
      </c>
      <c r="F81" s="533"/>
      <c r="G81" s="344">
        <f t="shared" si="1"/>
        <v>2041.759999999985</v>
      </c>
      <c r="H81" s="345"/>
      <c r="I81" s="346"/>
      <c r="J81" s="347"/>
      <c r="K81" s="312"/>
      <c r="L81" s="347"/>
      <c r="M81" s="312"/>
      <c r="N81" s="347"/>
      <c r="O81" s="312"/>
      <c r="P81" s="347"/>
      <c r="Q81" s="312"/>
      <c r="R81" s="347"/>
      <c r="S81" s="312"/>
      <c r="T81" s="347"/>
    </row>
    <row r="82" spans="1:20" ht="12" customHeight="1" x14ac:dyDescent="0.3">
      <c r="A82" s="340" t="s">
        <v>289</v>
      </c>
      <c r="B82" s="341">
        <v>3</v>
      </c>
      <c r="C82" s="309">
        <v>46145</v>
      </c>
      <c r="D82" s="310" t="s">
        <v>352</v>
      </c>
      <c r="E82" s="533">
        <v>9.35</v>
      </c>
      <c r="F82" s="533"/>
      <c r="G82" s="344">
        <f t="shared" si="1"/>
        <v>2234.729999999985</v>
      </c>
      <c r="H82" s="345"/>
      <c r="I82" s="346"/>
      <c r="J82" s="347"/>
      <c r="K82" s="312"/>
      <c r="L82" s="347"/>
      <c r="M82" s="312"/>
      <c r="N82" s="347"/>
      <c r="O82" s="312"/>
      <c r="P82" s="347"/>
      <c r="Q82" s="312"/>
      <c r="R82" s="347"/>
      <c r="S82" s="312"/>
      <c r="T82" s="347"/>
    </row>
    <row r="83" spans="1:20" ht="12" customHeight="1" x14ac:dyDescent="0.3">
      <c r="A83" s="340" t="s">
        <v>289</v>
      </c>
      <c r="B83" s="341">
        <v>4</v>
      </c>
      <c r="C83" s="309">
        <v>46144</v>
      </c>
      <c r="D83" s="310" t="s">
        <v>311</v>
      </c>
      <c r="E83" s="533">
        <v>57.69</v>
      </c>
      <c r="F83" s="533"/>
      <c r="G83" s="344">
        <f t="shared" si="1"/>
        <v>2244.0799999999849</v>
      </c>
      <c r="H83" s="345"/>
      <c r="I83" s="346"/>
      <c r="J83" s="347"/>
      <c r="K83" s="312"/>
      <c r="L83" s="347"/>
      <c r="M83" s="312"/>
      <c r="N83" s="347"/>
      <c r="O83" s="312"/>
      <c r="P83" s="347"/>
      <c r="Q83" s="312"/>
      <c r="R83" s="347"/>
      <c r="S83" s="312"/>
      <c r="T83" s="347"/>
    </row>
    <row r="84" spans="1:20" ht="12" customHeight="1" x14ac:dyDescent="0.3">
      <c r="A84" s="340" t="s">
        <v>289</v>
      </c>
      <c r="B84" s="341">
        <v>8</v>
      </c>
      <c r="C84" s="309">
        <v>46144</v>
      </c>
      <c r="D84" s="310" t="s">
        <v>311</v>
      </c>
      <c r="E84" s="533">
        <v>6.37</v>
      </c>
      <c r="F84" s="533"/>
      <c r="G84" s="344">
        <f t="shared" si="1"/>
        <v>2301.769999999985</v>
      </c>
      <c r="H84" s="345"/>
      <c r="I84" s="346"/>
      <c r="J84" s="347"/>
      <c r="K84" s="312"/>
      <c r="L84" s="347"/>
      <c r="M84" s="312"/>
      <c r="N84" s="347"/>
      <c r="O84" s="312"/>
      <c r="P84" s="347"/>
      <c r="Q84" s="312"/>
      <c r="R84" s="347"/>
      <c r="S84" s="312"/>
      <c r="T84" s="347"/>
    </row>
    <row r="85" spans="1:20" ht="12" customHeight="1" x14ac:dyDescent="0.3">
      <c r="A85" s="340" t="s">
        <v>294</v>
      </c>
      <c r="B85" s="341">
        <v>22</v>
      </c>
      <c r="C85" s="309">
        <v>46144</v>
      </c>
      <c r="D85" s="310" t="s">
        <v>379</v>
      </c>
      <c r="E85" s="533">
        <v>6.37</v>
      </c>
      <c r="F85" s="533"/>
      <c r="G85" s="344">
        <f t="shared" si="1"/>
        <v>2308.1399999999849</v>
      </c>
      <c r="H85" s="345"/>
      <c r="I85" s="346"/>
      <c r="J85" s="347"/>
      <c r="K85" s="312"/>
      <c r="L85" s="347"/>
      <c r="M85" s="312"/>
      <c r="N85" s="347"/>
      <c r="O85" s="312"/>
      <c r="P85" s="347"/>
      <c r="Q85" s="312"/>
      <c r="R85" s="347"/>
      <c r="S85" s="312"/>
      <c r="T85" s="347"/>
    </row>
    <row r="86" spans="1:20" ht="12" customHeight="1" x14ac:dyDescent="0.3">
      <c r="A86" s="340" t="s">
        <v>289</v>
      </c>
      <c r="B86" s="341">
        <v>6</v>
      </c>
      <c r="C86" s="309">
        <v>46144</v>
      </c>
      <c r="D86" s="310" t="s">
        <v>300</v>
      </c>
      <c r="E86" s="533">
        <v>41.51</v>
      </c>
      <c r="F86" s="533"/>
      <c r="G86" s="344">
        <f t="shared" si="1"/>
        <v>2314.5099999999848</v>
      </c>
      <c r="H86" s="345"/>
      <c r="I86" s="346"/>
      <c r="J86" s="347"/>
      <c r="K86" s="312"/>
      <c r="L86" s="347"/>
      <c r="M86" s="312"/>
      <c r="N86" s="347"/>
      <c r="O86" s="312"/>
      <c r="P86" s="347"/>
      <c r="Q86" s="312"/>
      <c r="R86" s="347"/>
      <c r="S86" s="312"/>
      <c r="T86" s="347"/>
    </row>
    <row r="87" spans="1:20" ht="12" customHeight="1" x14ac:dyDescent="0.3">
      <c r="A87" s="340" t="s">
        <v>289</v>
      </c>
      <c r="B87" s="341">
        <v>7</v>
      </c>
      <c r="C87" s="309">
        <v>46144</v>
      </c>
      <c r="D87" s="310" t="s">
        <v>848</v>
      </c>
      <c r="E87" s="533">
        <v>74.53</v>
      </c>
      <c r="F87" s="533"/>
      <c r="G87" s="344">
        <f t="shared" si="1"/>
        <v>2356.019999999985</v>
      </c>
      <c r="H87" s="345"/>
      <c r="I87" s="346"/>
      <c r="J87" s="347"/>
      <c r="K87" s="312"/>
      <c r="L87" s="347"/>
      <c r="M87" s="312"/>
      <c r="N87" s="347"/>
      <c r="O87" s="312"/>
      <c r="P87" s="347"/>
      <c r="Q87" s="312"/>
      <c r="R87" s="347"/>
      <c r="S87" s="312"/>
      <c r="T87" s="347"/>
    </row>
    <row r="88" spans="1:20" ht="12" customHeight="1" x14ac:dyDescent="0.3">
      <c r="A88" s="340" t="s">
        <v>289</v>
      </c>
      <c r="B88" s="341">
        <v>1</v>
      </c>
      <c r="C88" s="309">
        <v>46144</v>
      </c>
      <c r="D88" s="310" t="s">
        <v>307</v>
      </c>
      <c r="E88" s="533">
        <v>72.73</v>
      </c>
      <c r="F88" s="533"/>
      <c r="G88" s="344">
        <f t="shared" si="1"/>
        <v>2430.5499999999852</v>
      </c>
      <c r="H88" s="345"/>
      <c r="I88" s="346"/>
      <c r="J88" s="347"/>
      <c r="K88" s="312"/>
      <c r="L88" s="347"/>
      <c r="M88" s="312"/>
      <c r="N88" s="347"/>
      <c r="O88" s="312"/>
      <c r="P88" s="347"/>
      <c r="Q88" s="312"/>
      <c r="R88" s="347"/>
      <c r="S88" s="312"/>
      <c r="T88" s="347"/>
    </row>
    <row r="89" spans="1:20" ht="12" customHeight="1" x14ac:dyDescent="0.3">
      <c r="A89" s="340" t="s">
        <v>289</v>
      </c>
      <c r="B89" s="341">
        <v>3</v>
      </c>
      <c r="C89" s="309">
        <v>46144</v>
      </c>
      <c r="D89" s="310" t="s">
        <v>352</v>
      </c>
      <c r="E89" s="533">
        <v>25</v>
      </c>
      <c r="F89" s="533"/>
      <c r="G89" s="344">
        <f t="shared" si="1"/>
        <v>2503.2799999999852</v>
      </c>
      <c r="H89" s="345"/>
      <c r="I89" s="346"/>
      <c r="J89" s="347"/>
      <c r="K89" s="312"/>
      <c r="L89" s="347"/>
      <c r="M89" s="312"/>
      <c r="N89" s="347"/>
      <c r="O89" s="312"/>
      <c r="P89" s="347"/>
      <c r="Q89" s="312"/>
      <c r="R89" s="347"/>
      <c r="S89" s="312"/>
      <c r="T89" s="347"/>
    </row>
    <row r="90" spans="1:20" ht="12" customHeight="1" x14ac:dyDescent="0.3">
      <c r="A90" s="340" t="s">
        <v>287</v>
      </c>
      <c r="B90" s="341" t="s">
        <v>287</v>
      </c>
      <c r="C90" s="309">
        <v>46144</v>
      </c>
      <c r="D90" s="310" t="s">
        <v>499</v>
      </c>
      <c r="E90" s="533">
        <v>121.4</v>
      </c>
      <c r="F90" s="533">
        <v>121.4</v>
      </c>
      <c r="G90" s="344">
        <f t="shared" si="1"/>
        <v>2528.2799999999852</v>
      </c>
      <c r="H90" s="345"/>
      <c r="I90" s="346"/>
      <c r="J90" s="347"/>
      <c r="K90" s="312"/>
      <c r="L90" s="347"/>
      <c r="M90" s="312"/>
      <c r="N90" s="347"/>
      <c r="O90" s="312"/>
      <c r="P90" s="347"/>
      <c r="Q90" s="312"/>
      <c r="R90" s="347"/>
      <c r="S90" s="312"/>
      <c r="T90" s="347"/>
    </row>
    <row r="91" spans="1:20" ht="12" customHeight="1" x14ac:dyDescent="0.3">
      <c r="A91" s="340" t="s">
        <v>289</v>
      </c>
      <c r="B91" s="341">
        <v>3</v>
      </c>
      <c r="C91" s="309">
        <v>46144</v>
      </c>
      <c r="D91" s="310" t="s">
        <v>352</v>
      </c>
      <c r="E91" s="533">
        <v>9.73</v>
      </c>
      <c r="F91" s="533"/>
      <c r="G91" s="344">
        <f t="shared" si="1"/>
        <v>2528.2799999999852</v>
      </c>
      <c r="H91" s="345"/>
      <c r="I91" s="346"/>
      <c r="J91" s="347"/>
      <c r="K91" s="312"/>
      <c r="L91" s="347"/>
      <c r="M91" s="312"/>
      <c r="N91" s="347"/>
      <c r="O91" s="312"/>
      <c r="P91" s="347"/>
      <c r="Q91" s="312"/>
      <c r="R91" s="347"/>
      <c r="S91" s="312"/>
      <c r="T91" s="347"/>
    </row>
    <row r="92" spans="1:20" ht="12" customHeight="1" x14ac:dyDescent="0.3">
      <c r="A92" s="340" t="s">
        <v>289</v>
      </c>
      <c r="B92" s="341">
        <v>2</v>
      </c>
      <c r="C92" s="309">
        <v>46143</v>
      </c>
      <c r="D92" s="310" t="s">
        <v>362</v>
      </c>
      <c r="E92" s="533">
        <v>8.9700000000000006</v>
      </c>
      <c r="F92" s="533"/>
      <c r="G92" s="344">
        <f t="shared" si="1"/>
        <v>2538.0099999999852</v>
      </c>
      <c r="H92" s="345"/>
      <c r="I92" s="346"/>
      <c r="J92" s="347"/>
      <c r="K92" s="312"/>
      <c r="L92" s="347"/>
      <c r="M92" s="312"/>
      <c r="N92" s="347"/>
      <c r="O92" s="312"/>
      <c r="P92" s="347"/>
      <c r="Q92" s="312"/>
      <c r="R92" s="347"/>
      <c r="S92" s="312"/>
      <c r="T92" s="347"/>
    </row>
    <row r="93" spans="1:20" s="551" customFormat="1" ht="12" customHeight="1" x14ac:dyDescent="0.3">
      <c r="A93" s="541" t="s">
        <v>284</v>
      </c>
      <c r="B93" s="542">
        <v>37</v>
      </c>
      <c r="C93" s="543">
        <v>46142</v>
      </c>
      <c r="D93" s="544" t="s">
        <v>285</v>
      </c>
      <c r="E93" s="545">
        <v>5616.82</v>
      </c>
      <c r="F93" s="545"/>
      <c r="G93" s="546">
        <f t="shared" si="1"/>
        <v>2546.979999999985</v>
      </c>
      <c r="H93" s="547"/>
      <c r="I93" s="548"/>
      <c r="J93" s="549"/>
      <c r="K93" s="550"/>
      <c r="L93" s="549"/>
      <c r="M93" s="550"/>
      <c r="N93" s="549"/>
      <c r="O93" s="550"/>
      <c r="P93" s="549"/>
      <c r="Q93" s="550"/>
      <c r="R93" s="549"/>
      <c r="S93" s="550"/>
      <c r="T93" s="549"/>
    </row>
    <row r="94" spans="1:20" ht="12" customHeight="1" x14ac:dyDescent="0.3">
      <c r="A94" s="340" t="s">
        <v>286</v>
      </c>
      <c r="B94" s="341">
        <v>25</v>
      </c>
      <c r="C94" s="309">
        <v>46142</v>
      </c>
      <c r="D94" s="309" t="s">
        <v>204</v>
      </c>
      <c r="E94" s="342">
        <v>350</v>
      </c>
      <c r="F94" s="342"/>
      <c r="G94" s="344">
        <f t="shared" ref="G94:G95" si="2">G95-E94+F94</f>
        <v>8163.7999999999847</v>
      </c>
      <c r="H94" s="345"/>
      <c r="I94" s="346"/>
      <c r="J94" s="347"/>
      <c r="K94" s="312"/>
      <c r="L94" s="347"/>
      <c r="M94" s="312"/>
      <c r="N94" s="347"/>
      <c r="O94" s="312"/>
      <c r="P94" s="347"/>
      <c r="Q94" s="312"/>
      <c r="R94" s="347"/>
      <c r="S94" s="312"/>
      <c r="T94" s="347"/>
    </row>
    <row r="95" spans="1:20" ht="12" customHeight="1" x14ac:dyDescent="0.3">
      <c r="A95" s="340" t="s">
        <v>286</v>
      </c>
      <c r="B95" s="341">
        <v>26</v>
      </c>
      <c r="C95" s="309">
        <v>46142</v>
      </c>
      <c r="D95" s="309" t="s">
        <v>205</v>
      </c>
      <c r="E95" s="342">
        <v>320</v>
      </c>
      <c r="F95" s="342"/>
      <c r="G95" s="344">
        <f t="shared" si="2"/>
        <v>8513.7999999999847</v>
      </c>
      <c r="H95" s="345"/>
      <c r="I95" s="346"/>
      <c r="J95" s="347"/>
      <c r="K95" s="312"/>
      <c r="L95" s="347"/>
      <c r="M95" s="312"/>
      <c r="N95" s="347"/>
      <c r="O95" s="312"/>
      <c r="P95" s="347"/>
      <c r="Q95" s="312"/>
      <c r="R95" s="347"/>
      <c r="S95" s="312"/>
      <c r="T95" s="347"/>
    </row>
    <row r="96" spans="1:20" ht="12" customHeight="1" x14ac:dyDescent="0.3">
      <c r="A96" s="340" t="s">
        <v>286</v>
      </c>
      <c r="B96" s="341">
        <v>27</v>
      </c>
      <c r="C96" s="309">
        <v>46142</v>
      </c>
      <c r="D96" s="309" t="s">
        <v>206</v>
      </c>
      <c r="E96" s="342">
        <v>25</v>
      </c>
      <c r="F96" s="342"/>
      <c r="G96" s="344">
        <f t="shared" ref="G96:G347" si="3">G97-E96+F96</f>
        <v>8833.7999999999847</v>
      </c>
      <c r="H96" s="345"/>
      <c r="I96" s="346"/>
      <c r="J96" s="347"/>
      <c r="K96" s="312"/>
      <c r="L96" s="347"/>
      <c r="M96" s="312"/>
      <c r="N96" s="347"/>
      <c r="O96" s="312"/>
      <c r="P96" s="347"/>
      <c r="Q96" s="312"/>
      <c r="R96" s="347"/>
      <c r="S96" s="312"/>
      <c r="T96" s="347"/>
    </row>
    <row r="97" spans="1:20" ht="12" customHeight="1" x14ac:dyDescent="0.3">
      <c r="A97" s="340" t="s">
        <v>286</v>
      </c>
      <c r="B97" s="341">
        <v>28</v>
      </c>
      <c r="C97" s="309">
        <v>46142</v>
      </c>
      <c r="D97" s="309" t="s">
        <v>207</v>
      </c>
      <c r="E97" s="342">
        <v>25</v>
      </c>
      <c r="F97" s="342"/>
      <c r="G97" s="344">
        <f t="shared" si="3"/>
        <v>8858.7999999999847</v>
      </c>
      <c r="H97" s="345"/>
      <c r="I97" s="346"/>
      <c r="J97" s="347"/>
      <c r="K97" s="312"/>
      <c r="L97" s="347"/>
      <c r="M97" s="312"/>
      <c r="N97" s="347"/>
      <c r="O97" s="312"/>
      <c r="P97" s="347"/>
      <c r="Q97" s="312"/>
      <c r="R97" s="347"/>
      <c r="S97" s="312"/>
      <c r="T97" s="347"/>
    </row>
    <row r="98" spans="1:20" ht="12" customHeight="1" x14ac:dyDescent="0.3">
      <c r="A98" s="340" t="s">
        <v>286</v>
      </c>
      <c r="B98" s="341">
        <v>29</v>
      </c>
      <c r="C98" s="309">
        <v>46142</v>
      </c>
      <c r="D98" s="309" t="s">
        <v>208</v>
      </c>
      <c r="E98" s="342">
        <v>45</v>
      </c>
      <c r="F98" s="342"/>
      <c r="G98" s="344">
        <f t="shared" si="3"/>
        <v>8883.7999999999847</v>
      </c>
      <c r="H98" s="345"/>
      <c r="I98" s="346"/>
      <c r="J98" s="347"/>
      <c r="K98" s="312"/>
      <c r="L98" s="347"/>
      <c r="M98" s="312"/>
      <c r="N98" s="347"/>
      <c r="O98" s="312"/>
      <c r="P98" s="347"/>
      <c r="Q98" s="312"/>
      <c r="R98" s="347"/>
      <c r="S98" s="312"/>
      <c r="T98" s="347"/>
    </row>
    <row r="99" spans="1:20" ht="12" customHeight="1" x14ac:dyDescent="0.3">
      <c r="A99" s="340" t="s">
        <v>286</v>
      </c>
      <c r="B99" s="341">
        <v>30</v>
      </c>
      <c r="C99" s="309">
        <v>46142</v>
      </c>
      <c r="D99" s="309" t="s">
        <v>209</v>
      </c>
      <c r="E99" s="342">
        <v>400</v>
      </c>
      <c r="F99" s="342"/>
      <c r="G99" s="344">
        <f t="shared" si="3"/>
        <v>8928.7999999999847</v>
      </c>
      <c r="H99" s="345"/>
      <c r="I99" s="346"/>
      <c r="J99" s="347"/>
      <c r="K99" s="312"/>
      <c r="L99" s="347"/>
      <c r="M99" s="312"/>
      <c r="N99" s="347"/>
      <c r="O99" s="312"/>
      <c r="P99" s="347"/>
      <c r="Q99" s="312"/>
      <c r="R99" s="347"/>
      <c r="S99" s="312"/>
      <c r="T99" s="347"/>
    </row>
    <row r="100" spans="1:20" ht="12" customHeight="1" x14ac:dyDescent="0.3">
      <c r="A100" s="340" t="s">
        <v>286</v>
      </c>
      <c r="B100" s="341">
        <v>31</v>
      </c>
      <c r="C100" s="309">
        <v>46142</v>
      </c>
      <c r="D100" s="309" t="s">
        <v>210</v>
      </c>
      <c r="E100" s="342">
        <v>375</v>
      </c>
      <c r="F100" s="342"/>
      <c r="G100" s="344">
        <f t="shared" si="3"/>
        <v>9328.7999999999847</v>
      </c>
      <c r="H100" s="345"/>
      <c r="I100" s="346"/>
      <c r="J100" s="347"/>
      <c r="K100" s="312"/>
      <c r="L100" s="347"/>
      <c r="M100" s="312"/>
      <c r="N100" s="347"/>
      <c r="O100" s="312"/>
      <c r="P100" s="347"/>
      <c r="Q100" s="312"/>
      <c r="R100" s="347"/>
      <c r="S100" s="312"/>
      <c r="T100" s="347"/>
    </row>
    <row r="101" spans="1:20" ht="12" customHeight="1" x14ac:dyDescent="0.3">
      <c r="A101" s="340" t="s">
        <v>286</v>
      </c>
      <c r="B101" s="341">
        <v>32</v>
      </c>
      <c r="C101" s="309">
        <v>46142</v>
      </c>
      <c r="D101" s="309" t="s">
        <v>211</v>
      </c>
      <c r="E101" s="342">
        <v>100</v>
      </c>
      <c r="F101" s="342"/>
      <c r="G101" s="344">
        <f t="shared" si="3"/>
        <v>9703.7999999999847</v>
      </c>
      <c r="H101" s="345"/>
      <c r="I101" s="346"/>
      <c r="J101" s="347"/>
      <c r="K101" s="312"/>
      <c r="L101" s="347"/>
      <c r="M101" s="312"/>
      <c r="N101" s="347"/>
      <c r="O101" s="312"/>
      <c r="P101" s="347"/>
      <c r="Q101" s="312"/>
      <c r="R101" s="347"/>
      <c r="S101" s="312"/>
      <c r="T101" s="347"/>
    </row>
    <row r="102" spans="1:20" ht="12" customHeight="1" x14ac:dyDescent="0.3">
      <c r="A102" s="340" t="s">
        <v>286</v>
      </c>
      <c r="B102" s="341">
        <v>33</v>
      </c>
      <c r="C102" s="309">
        <v>46142</v>
      </c>
      <c r="D102" s="309" t="s">
        <v>212</v>
      </c>
      <c r="E102" s="342">
        <v>85</v>
      </c>
      <c r="F102" s="342"/>
      <c r="G102" s="344">
        <f t="shared" si="3"/>
        <v>9803.7999999999847</v>
      </c>
      <c r="H102" s="345"/>
      <c r="I102" s="346"/>
      <c r="J102" s="347"/>
      <c r="K102" s="312"/>
      <c r="L102" s="347"/>
      <c r="M102" s="312"/>
      <c r="N102" s="347"/>
      <c r="O102" s="312"/>
      <c r="P102" s="347"/>
      <c r="Q102" s="312"/>
      <c r="R102" s="347"/>
      <c r="S102" s="312"/>
      <c r="T102" s="347"/>
    </row>
    <row r="103" spans="1:20" ht="12" customHeight="1" x14ac:dyDescent="0.3">
      <c r="A103" s="340" t="s">
        <v>286</v>
      </c>
      <c r="B103" s="341">
        <v>34</v>
      </c>
      <c r="C103" s="309">
        <v>46142</v>
      </c>
      <c r="D103" s="309" t="s">
        <v>213</v>
      </c>
      <c r="E103" s="342">
        <v>230</v>
      </c>
      <c r="F103" s="342"/>
      <c r="G103" s="344">
        <f t="shared" si="3"/>
        <v>9888.7999999999847</v>
      </c>
      <c r="H103" s="345"/>
      <c r="I103" s="346"/>
      <c r="J103" s="347"/>
      <c r="K103" s="312"/>
      <c r="L103" s="347"/>
      <c r="M103" s="312"/>
      <c r="N103" s="347"/>
      <c r="O103" s="312"/>
      <c r="P103" s="347"/>
      <c r="Q103" s="312"/>
      <c r="R103" s="347"/>
      <c r="S103" s="312"/>
      <c r="T103" s="347"/>
    </row>
    <row r="104" spans="1:20" ht="12" customHeight="1" x14ac:dyDescent="0.3">
      <c r="A104" s="340" t="s">
        <v>286</v>
      </c>
      <c r="B104" s="341">
        <v>35</v>
      </c>
      <c r="C104" s="309">
        <v>46142</v>
      </c>
      <c r="D104" s="309" t="s">
        <v>214</v>
      </c>
      <c r="E104" s="342">
        <v>45</v>
      </c>
      <c r="F104" s="342"/>
      <c r="G104" s="344">
        <f t="shared" si="3"/>
        <v>10118.799999999985</v>
      </c>
      <c r="H104" s="345"/>
      <c r="I104" s="346"/>
      <c r="J104" s="347"/>
      <c r="K104" s="312"/>
      <c r="L104" s="347"/>
      <c r="M104" s="312"/>
      <c r="N104" s="347"/>
      <c r="O104" s="312"/>
      <c r="P104" s="347"/>
      <c r="Q104" s="312"/>
      <c r="R104" s="347"/>
      <c r="S104" s="312"/>
      <c r="T104" s="347"/>
    </row>
    <row r="105" spans="1:20" ht="12" customHeight="1" x14ac:dyDescent="0.3">
      <c r="A105" s="340" t="s">
        <v>287</v>
      </c>
      <c r="B105" s="341" t="s">
        <v>287</v>
      </c>
      <c r="C105" s="309">
        <v>46142</v>
      </c>
      <c r="D105" s="310" t="s">
        <v>288</v>
      </c>
      <c r="E105" s="342">
        <v>185.64</v>
      </c>
      <c r="F105" s="342">
        <v>185.64</v>
      </c>
      <c r="G105" s="344">
        <f t="shared" si="3"/>
        <v>10163.799999999985</v>
      </c>
      <c r="H105" s="345"/>
      <c r="I105" s="346"/>
      <c r="J105" s="347"/>
      <c r="K105" s="312"/>
      <c r="L105" s="347"/>
      <c r="M105" s="312"/>
      <c r="N105" s="347"/>
      <c r="O105" s="312"/>
      <c r="P105" s="347"/>
      <c r="Q105" s="312"/>
      <c r="R105" s="347"/>
      <c r="S105" s="312"/>
      <c r="T105" s="347"/>
    </row>
    <row r="106" spans="1:20" ht="12" customHeight="1" x14ac:dyDescent="0.3">
      <c r="A106" s="340" t="s">
        <v>289</v>
      </c>
      <c r="B106" s="341">
        <v>6</v>
      </c>
      <c r="C106" s="309">
        <v>46142</v>
      </c>
      <c r="D106" s="310" t="s">
        <v>290</v>
      </c>
      <c r="E106" s="342">
        <v>30</v>
      </c>
      <c r="F106" s="342"/>
      <c r="G106" s="344">
        <f t="shared" si="3"/>
        <v>10163.799999999985</v>
      </c>
      <c r="H106" s="345"/>
      <c r="I106" s="346"/>
      <c r="J106" s="347"/>
      <c r="K106" s="312"/>
      <c r="L106" s="347"/>
      <c r="M106" s="312"/>
      <c r="N106" s="347"/>
      <c r="O106" s="312"/>
      <c r="P106" s="347"/>
      <c r="Q106" s="312"/>
      <c r="R106" s="347"/>
      <c r="S106" s="312"/>
      <c r="T106" s="347"/>
    </row>
    <row r="107" spans="1:20" ht="12" customHeight="1" x14ac:dyDescent="0.3">
      <c r="A107" s="340" t="s">
        <v>291</v>
      </c>
      <c r="B107" s="341">
        <v>39</v>
      </c>
      <c r="C107" s="309">
        <v>46142</v>
      </c>
      <c r="D107" s="310" t="s">
        <v>292</v>
      </c>
      <c r="E107" s="342"/>
      <c r="F107" s="342">
        <v>2763.78</v>
      </c>
      <c r="G107" s="344">
        <f t="shared" si="3"/>
        <v>10193.799999999985</v>
      </c>
      <c r="H107" s="345"/>
      <c r="I107" s="346"/>
      <c r="J107" s="347"/>
      <c r="K107" s="312"/>
      <c r="L107" s="347"/>
      <c r="M107" s="312"/>
      <c r="N107" s="347"/>
      <c r="O107" s="312"/>
      <c r="P107" s="347"/>
      <c r="Q107" s="312"/>
      <c r="R107" s="347"/>
      <c r="S107" s="312"/>
      <c r="T107" s="347"/>
    </row>
    <row r="108" spans="1:20" ht="12" customHeight="1" x14ac:dyDescent="0.3">
      <c r="A108" s="340" t="s">
        <v>291</v>
      </c>
      <c r="B108" s="341">
        <v>38</v>
      </c>
      <c r="C108" s="309">
        <v>46142</v>
      </c>
      <c r="D108" s="310" t="s">
        <v>293</v>
      </c>
      <c r="E108" s="342"/>
      <c r="F108" s="342">
        <v>4597.82</v>
      </c>
      <c r="G108" s="344">
        <f t="shared" si="3"/>
        <v>7430.019999999985</v>
      </c>
      <c r="H108" s="345"/>
      <c r="I108" s="346"/>
      <c r="J108" s="347"/>
      <c r="K108" s="312"/>
      <c r="L108" s="347"/>
      <c r="M108" s="312"/>
      <c r="N108" s="347"/>
      <c r="O108" s="312"/>
      <c r="P108" s="347"/>
      <c r="Q108" s="312"/>
      <c r="R108" s="347"/>
      <c r="S108" s="312"/>
      <c r="T108" s="347"/>
    </row>
    <row r="109" spans="1:20" ht="12" customHeight="1" x14ac:dyDescent="0.3">
      <c r="A109" s="340" t="s">
        <v>294</v>
      </c>
      <c r="B109" s="341">
        <v>42</v>
      </c>
      <c r="C109" s="309">
        <v>46142</v>
      </c>
      <c r="D109" s="310" t="s">
        <v>200</v>
      </c>
      <c r="E109" s="342">
        <v>50.92</v>
      </c>
      <c r="F109" s="342"/>
      <c r="G109" s="344">
        <f t="shared" si="3"/>
        <v>2832.1999999999853</v>
      </c>
      <c r="H109" s="345"/>
      <c r="I109" s="346"/>
      <c r="J109" s="347"/>
      <c r="K109" s="312"/>
      <c r="L109" s="347"/>
      <c r="M109" s="312"/>
      <c r="N109" s="347"/>
      <c r="O109" s="312"/>
      <c r="P109" s="347"/>
      <c r="Q109" s="312"/>
      <c r="R109" s="347"/>
      <c r="S109" s="312"/>
      <c r="T109" s="347"/>
    </row>
    <row r="110" spans="1:20" ht="12" customHeight="1" x14ac:dyDescent="0.3">
      <c r="A110" s="340" t="s">
        <v>294</v>
      </c>
      <c r="B110" s="341">
        <v>43</v>
      </c>
      <c r="C110" s="309">
        <v>46142</v>
      </c>
      <c r="D110" s="310" t="s">
        <v>201</v>
      </c>
      <c r="E110" s="342">
        <v>50.92</v>
      </c>
      <c r="F110" s="342"/>
      <c r="G110" s="344">
        <f t="shared" si="3"/>
        <v>2883.1199999999853</v>
      </c>
      <c r="H110" s="345"/>
      <c r="I110" s="346"/>
      <c r="J110" s="347"/>
      <c r="K110" s="312"/>
      <c r="L110" s="347"/>
      <c r="M110" s="312"/>
      <c r="N110" s="347"/>
      <c r="O110" s="312"/>
      <c r="P110" s="347"/>
      <c r="Q110" s="312"/>
      <c r="R110" s="347"/>
      <c r="S110" s="312"/>
      <c r="T110" s="347"/>
    </row>
    <row r="111" spans="1:20" ht="12" customHeight="1" x14ac:dyDescent="0.3">
      <c r="A111" s="340" t="s">
        <v>289</v>
      </c>
      <c r="B111" s="341">
        <v>4</v>
      </c>
      <c r="C111" s="309">
        <v>46142</v>
      </c>
      <c r="D111" s="310" t="s">
        <v>295</v>
      </c>
      <c r="E111" s="342">
        <v>35.799999999999997</v>
      </c>
      <c r="F111" s="342"/>
      <c r="G111" s="344">
        <f t="shared" si="3"/>
        <v>2934.0399999999854</v>
      </c>
      <c r="H111" s="345"/>
      <c r="I111" s="346"/>
      <c r="J111" s="347"/>
      <c r="K111" s="312"/>
      <c r="L111" s="347"/>
      <c r="M111" s="312"/>
      <c r="N111" s="347"/>
      <c r="O111" s="312"/>
      <c r="P111" s="347"/>
      <c r="Q111" s="312"/>
      <c r="R111" s="347"/>
      <c r="S111" s="312"/>
      <c r="T111" s="347"/>
    </row>
    <row r="112" spans="1:20" ht="12" customHeight="1" x14ac:dyDescent="0.3">
      <c r="A112" s="340" t="s">
        <v>294</v>
      </c>
      <c r="B112" s="341">
        <v>10</v>
      </c>
      <c r="C112" s="309">
        <v>46142</v>
      </c>
      <c r="D112" s="310" t="s">
        <v>176</v>
      </c>
      <c r="E112" s="342">
        <v>17.899999999999999</v>
      </c>
      <c r="F112" s="342"/>
      <c r="G112" s="344">
        <f t="shared" si="3"/>
        <v>2969.8399999999856</v>
      </c>
      <c r="H112" s="345"/>
      <c r="I112" s="346"/>
      <c r="J112" s="347"/>
      <c r="K112" s="312"/>
      <c r="L112" s="347"/>
      <c r="M112" s="312"/>
      <c r="N112" s="347"/>
      <c r="O112" s="312"/>
      <c r="P112" s="347"/>
      <c r="Q112" s="312"/>
      <c r="R112" s="347"/>
      <c r="S112" s="312"/>
      <c r="T112" s="347"/>
    </row>
    <row r="113" spans="1:20" ht="12" customHeight="1" x14ac:dyDescent="0.3">
      <c r="A113" s="340" t="s">
        <v>289</v>
      </c>
      <c r="B113" s="341">
        <v>2</v>
      </c>
      <c r="C113" s="309">
        <v>46142</v>
      </c>
      <c r="D113" s="310" t="s">
        <v>296</v>
      </c>
      <c r="E113" s="342">
        <v>8.7200000000000006</v>
      </c>
      <c r="F113" s="342"/>
      <c r="G113" s="344">
        <f t="shared" si="3"/>
        <v>2987.7399999999857</v>
      </c>
      <c r="H113" s="345"/>
      <c r="I113" s="346"/>
      <c r="J113" s="347"/>
      <c r="K113" s="312"/>
      <c r="L113" s="347"/>
      <c r="M113" s="312"/>
      <c r="N113" s="347"/>
      <c r="O113" s="312"/>
      <c r="P113" s="347"/>
      <c r="Q113" s="312"/>
      <c r="R113" s="347"/>
      <c r="S113" s="312"/>
      <c r="T113" s="347"/>
    </row>
    <row r="114" spans="1:20" ht="12" customHeight="1" x14ac:dyDescent="0.3">
      <c r="A114" s="340" t="s">
        <v>289</v>
      </c>
      <c r="B114" s="341">
        <v>2</v>
      </c>
      <c r="C114" s="309">
        <v>46142</v>
      </c>
      <c r="D114" s="310" t="s">
        <v>297</v>
      </c>
      <c r="E114" s="342">
        <v>100</v>
      </c>
      <c r="F114" s="342"/>
      <c r="G114" s="344">
        <f t="shared" si="3"/>
        <v>2996.4599999999855</v>
      </c>
      <c r="H114" s="345" t="s">
        <v>298</v>
      </c>
      <c r="I114" s="346"/>
      <c r="J114" s="347"/>
      <c r="K114" s="312"/>
      <c r="L114" s="347"/>
      <c r="M114" s="312"/>
      <c r="N114" s="347"/>
      <c r="O114" s="312"/>
      <c r="P114" s="347"/>
      <c r="Q114" s="312"/>
      <c r="R114" s="347"/>
      <c r="S114" s="312"/>
      <c r="T114" s="347"/>
    </row>
    <row r="115" spans="1:20" ht="12" customHeight="1" x14ac:dyDescent="0.3">
      <c r="A115" s="340" t="s">
        <v>289</v>
      </c>
      <c r="B115" s="341">
        <v>5</v>
      </c>
      <c r="C115" s="309">
        <v>46142</v>
      </c>
      <c r="D115" s="310" t="s">
        <v>297</v>
      </c>
      <c r="E115" s="342">
        <v>100</v>
      </c>
      <c r="F115" s="342"/>
      <c r="G115" s="344">
        <f t="shared" si="3"/>
        <v>3096.4599999999855</v>
      </c>
      <c r="H115" s="345" t="s">
        <v>298</v>
      </c>
      <c r="I115" s="346"/>
      <c r="J115" s="347"/>
      <c r="K115" s="312"/>
      <c r="L115" s="347"/>
      <c r="M115" s="312"/>
      <c r="N115" s="347"/>
      <c r="O115" s="312"/>
      <c r="P115" s="347"/>
      <c r="Q115" s="312"/>
      <c r="R115" s="347"/>
      <c r="S115" s="312"/>
      <c r="T115" s="347"/>
    </row>
    <row r="116" spans="1:20" ht="12" customHeight="1" x14ac:dyDescent="0.3">
      <c r="A116" s="340" t="s">
        <v>289</v>
      </c>
      <c r="B116" s="341">
        <v>6</v>
      </c>
      <c r="C116" s="309">
        <v>46142</v>
      </c>
      <c r="D116" s="310" t="s">
        <v>297</v>
      </c>
      <c r="E116" s="342">
        <v>100</v>
      </c>
      <c r="F116" s="342"/>
      <c r="G116" s="344">
        <f t="shared" si="3"/>
        <v>3196.4599999999855</v>
      </c>
      <c r="H116" s="345" t="s">
        <v>298</v>
      </c>
      <c r="I116" s="346"/>
      <c r="J116" s="347"/>
      <c r="K116" s="312"/>
      <c r="L116" s="347"/>
      <c r="M116" s="312"/>
      <c r="N116" s="347"/>
      <c r="O116" s="312"/>
      <c r="P116" s="347"/>
      <c r="Q116" s="312"/>
      <c r="R116" s="347"/>
      <c r="S116" s="312"/>
      <c r="T116" s="347"/>
    </row>
    <row r="117" spans="1:20" ht="12" customHeight="1" x14ac:dyDescent="0.3">
      <c r="A117" s="340" t="s">
        <v>289</v>
      </c>
      <c r="B117" s="341">
        <v>8</v>
      </c>
      <c r="C117" s="309">
        <v>46142</v>
      </c>
      <c r="D117" s="310" t="s">
        <v>297</v>
      </c>
      <c r="E117" s="342">
        <v>100</v>
      </c>
      <c r="F117" s="342"/>
      <c r="G117" s="344">
        <f t="shared" si="3"/>
        <v>3296.4599999999855</v>
      </c>
      <c r="H117" s="345" t="s">
        <v>298</v>
      </c>
      <c r="I117" s="346"/>
      <c r="J117" s="347"/>
      <c r="K117" s="312"/>
      <c r="L117" s="347"/>
      <c r="M117" s="312"/>
      <c r="N117" s="347"/>
      <c r="O117" s="312"/>
      <c r="P117" s="347"/>
      <c r="Q117" s="312"/>
      <c r="R117" s="347"/>
      <c r="S117" s="312"/>
      <c r="T117" s="347"/>
    </row>
    <row r="118" spans="1:20" ht="12" customHeight="1" x14ac:dyDescent="0.3">
      <c r="A118" s="340" t="s">
        <v>291</v>
      </c>
      <c r="B118" s="341">
        <v>41</v>
      </c>
      <c r="C118" s="309">
        <v>46142</v>
      </c>
      <c r="D118" s="310" t="s">
        <v>299</v>
      </c>
      <c r="E118" s="342"/>
      <c r="F118" s="342">
        <v>250</v>
      </c>
      <c r="G118" s="344">
        <f t="shared" si="3"/>
        <v>3396.4599999999855</v>
      </c>
      <c r="H118" s="345"/>
      <c r="I118" s="346"/>
      <c r="J118" s="347"/>
      <c r="K118" s="312"/>
      <c r="L118" s="347"/>
      <c r="M118" s="312"/>
      <c r="N118" s="347"/>
      <c r="O118" s="312"/>
      <c r="P118" s="347"/>
      <c r="Q118" s="312"/>
      <c r="R118" s="347"/>
      <c r="S118" s="312"/>
      <c r="T118" s="347"/>
    </row>
    <row r="119" spans="1:20" ht="12" customHeight="1" x14ac:dyDescent="0.3">
      <c r="A119" s="340" t="s">
        <v>289</v>
      </c>
      <c r="B119" s="341">
        <v>6</v>
      </c>
      <c r="C119" s="309">
        <v>46142</v>
      </c>
      <c r="D119" s="310" t="s">
        <v>300</v>
      </c>
      <c r="E119" s="342">
        <v>42.44</v>
      </c>
      <c r="F119" s="342"/>
      <c r="G119" s="344">
        <f t="shared" si="3"/>
        <v>3146.4599999999855</v>
      </c>
      <c r="H119" s="345"/>
      <c r="I119" s="346"/>
      <c r="J119" s="347"/>
      <c r="K119" s="312"/>
      <c r="L119" s="347"/>
      <c r="M119" s="312"/>
      <c r="N119" s="347"/>
      <c r="O119" s="312"/>
      <c r="P119" s="347"/>
      <c r="Q119" s="312"/>
      <c r="R119" s="347"/>
      <c r="S119" s="312"/>
      <c r="T119" s="347"/>
    </row>
    <row r="120" spans="1:20" ht="12" customHeight="1" x14ac:dyDescent="0.3">
      <c r="A120" s="340" t="s">
        <v>289</v>
      </c>
      <c r="B120" s="341">
        <v>6</v>
      </c>
      <c r="C120" s="309">
        <v>46142</v>
      </c>
      <c r="D120" s="310" t="s">
        <v>300</v>
      </c>
      <c r="E120" s="342">
        <v>24.05</v>
      </c>
      <c r="F120" s="342"/>
      <c r="G120" s="344">
        <f t="shared" si="3"/>
        <v>3188.8999999999855</v>
      </c>
      <c r="H120" s="345"/>
      <c r="I120" s="346"/>
      <c r="J120" s="347"/>
      <c r="K120" s="312"/>
      <c r="L120" s="347"/>
      <c r="M120" s="312"/>
      <c r="N120" s="347"/>
      <c r="O120" s="312"/>
      <c r="P120" s="347"/>
      <c r="Q120" s="312"/>
      <c r="R120" s="347"/>
      <c r="S120" s="312"/>
      <c r="T120" s="347"/>
    </row>
    <row r="121" spans="1:20" ht="12" customHeight="1" x14ac:dyDescent="0.3">
      <c r="A121" s="340" t="s">
        <v>289</v>
      </c>
      <c r="B121" s="341">
        <v>2</v>
      </c>
      <c r="C121" s="309">
        <v>46141</v>
      </c>
      <c r="D121" s="310" t="s">
        <v>301</v>
      </c>
      <c r="E121" s="342">
        <v>31.8</v>
      </c>
      <c r="F121" s="342"/>
      <c r="G121" s="344">
        <f t="shared" si="3"/>
        <v>3212.9499999999857</v>
      </c>
      <c r="H121" s="345"/>
      <c r="I121" s="346"/>
      <c r="J121" s="347"/>
      <c r="K121" s="312"/>
      <c r="L121" s="347"/>
      <c r="M121" s="312"/>
      <c r="N121" s="347"/>
      <c r="O121" s="312"/>
      <c r="P121" s="347"/>
      <c r="Q121" s="312"/>
      <c r="R121" s="347"/>
      <c r="S121" s="312"/>
      <c r="T121" s="347"/>
    </row>
    <row r="122" spans="1:20" ht="12" customHeight="1" x14ac:dyDescent="0.3">
      <c r="A122" s="340" t="s">
        <v>289</v>
      </c>
      <c r="B122" s="341">
        <v>6</v>
      </c>
      <c r="C122" s="309">
        <v>46141</v>
      </c>
      <c r="D122" s="310" t="s">
        <v>302</v>
      </c>
      <c r="E122" s="342">
        <v>100</v>
      </c>
      <c r="F122" s="342"/>
      <c r="G122" s="344">
        <f t="shared" si="3"/>
        <v>3244.7499999999859</v>
      </c>
      <c r="H122" s="345"/>
      <c r="I122" s="346"/>
      <c r="J122" s="347"/>
      <c r="K122" s="312"/>
      <c r="L122" s="347"/>
      <c r="M122" s="312"/>
      <c r="N122" s="347"/>
      <c r="O122" s="312"/>
      <c r="P122" s="347"/>
      <c r="Q122" s="312"/>
      <c r="R122" s="347"/>
      <c r="S122" s="312"/>
      <c r="T122" s="347"/>
    </row>
    <row r="123" spans="1:20" ht="12" customHeight="1" x14ac:dyDescent="0.3">
      <c r="A123" s="340" t="s">
        <v>289</v>
      </c>
      <c r="B123" s="341">
        <v>6</v>
      </c>
      <c r="C123" s="309">
        <v>46141</v>
      </c>
      <c r="D123" s="310" t="s">
        <v>303</v>
      </c>
      <c r="E123" s="342">
        <v>75</v>
      </c>
      <c r="F123" s="342"/>
      <c r="G123" s="344">
        <f t="shared" si="3"/>
        <v>3344.7499999999859</v>
      </c>
      <c r="H123" s="345"/>
      <c r="I123" s="346"/>
      <c r="J123" s="347"/>
      <c r="K123" s="312"/>
      <c r="L123" s="347"/>
      <c r="M123" s="312"/>
      <c r="N123" s="347"/>
      <c r="O123" s="312"/>
      <c r="P123" s="347"/>
      <c r="Q123" s="312"/>
      <c r="R123" s="347"/>
      <c r="S123" s="312"/>
      <c r="T123" s="347"/>
    </row>
    <row r="124" spans="1:20" ht="12" customHeight="1" x14ac:dyDescent="0.3">
      <c r="A124" s="340" t="s">
        <v>289</v>
      </c>
      <c r="B124" s="341">
        <v>1</v>
      </c>
      <c r="C124" s="309">
        <v>46141</v>
      </c>
      <c r="D124" s="310" t="s">
        <v>304</v>
      </c>
      <c r="E124" s="342">
        <v>52.5</v>
      </c>
      <c r="F124" s="342"/>
      <c r="G124" s="344">
        <f t="shared" si="3"/>
        <v>3419.7499999999859</v>
      </c>
      <c r="H124" s="345"/>
      <c r="I124" s="346"/>
      <c r="J124" s="347"/>
      <c r="K124" s="312"/>
      <c r="L124" s="347"/>
      <c r="M124" s="312"/>
      <c r="N124" s="347"/>
      <c r="O124" s="312"/>
      <c r="P124" s="347"/>
      <c r="Q124" s="312"/>
      <c r="R124" s="347"/>
      <c r="S124" s="312"/>
      <c r="T124" s="347"/>
    </row>
    <row r="125" spans="1:20" ht="12" customHeight="1" x14ac:dyDescent="0.3">
      <c r="A125" s="340" t="s">
        <v>289</v>
      </c>
      <c r="B125" s="341">
        <v>6</v>
      </c>
      <c r="C125" s="309">
        <v>46141</v>
      </c>
      <c r="D125" s="310" t="s">
        <v>305</v>
      </c>
      <c r="E125" s="342">
        <v>-256</v>
      </c>
      <c r="F125" s="342"/>
      <c r="G125" s="344">
        <f t="shared" si="3"/>
        <v>3472.2499999999859</v>
      </c>
      <c r="H125" s="345"/>
      <c r="I125" s="346"/>
      <c r="J125" s="347"/>
      <c r="K125" s="312"/>
      <c r="L125" s="347"/>
      <c r="M125" s="312"/>
      <c r="N125" s="347"/>
      <c r="O125" s="312"/>
      <c r="P125" s="347"/>
      <c r="Q125" s="312"/>
      <c r="R125" s="347"/>
      <c r="S125" s="312"/>
      <c r="T125" s="347"/>
    </row>
    <row r="126" spans="1:20" ht="12" customHeight="1" x14ac:dyDescent="0.3">
      <c r="A126" s="340" t="s">
        <v>289</v>
      </c>
      <c r="B126" s="341">
        <v>6</v>
      </c>
      <c r="C126" s="309">
        <v>46140</v>
      </c>
      <c r="D126" s="310" t="s">
        <v>306</v>
      </c>
      <c r="E126" s="342">
        <v>20.38</v>
      </c>
      <c r="F126" s="342"/>
      <c r="G126" s="344">
        <f t="shared" si="3"/>
        <v>3216.2499999999859</v>
      </c>
      <c r="H126" s="345"/>
      <c r="I126" s="346"/>
      <c r="J126" s="347"/>
      <c r="K126" s="312"/>
      <c r="L126" s="347"/>
      <c r="M126" s="312"/>
      <c r="N126" s="347"/>
      <c r="O126" s="312"/>
      <c r="P126" s="347"/>
      <c r="Q126" s="312"/>
      <c r="R126" s="347"/>
      <c r="S126" s="312"/>
      <c r="T126" s="347"/>
    </row>
    <row r="127" spans="1:20" ht="12" customHeight="1" x14ac:dyDescent="0.3">
      <c r="A127" s="340" t="s">
        <v>289</v>
      </c>
      <c r="B127" s="341">
        <v>2</v>
      </c>
      <c r="C127" s="309">
        <v>46140</v>
      </c>
      <c r="D127" s="310" t="s">
        <v>296</v>
      </c>
      <c r="E127" s="342">
        <v>15.41</v>
      </c>
      <c r="F127" s="342"/>
      <c r="G127" s="344">
        <f t="shared" si="3"/>
        <v>3236.629999999986</v>
      </c>
      <c r="H127" s="345"/>
      <c r="I127" s="346"/>
      <c r="J127" s="347"/>
      <c r="K127" s="312"/>
      <c r="L127" s="347"/>
      <c r="M127" s="312"/>
      <c r="N127" s="347"/>
      <c r="O127" s="312"/>
      <c r="P127" s="347"/>
      <c r="Q127" s="312"/>
      <c r="R127" s="347"/>
      <c r="S127" s="312"/>
      <c r="T127" s="347"/>
    </row>
    <row r="128" spans="1:20" ht="12" customHeight="1" x14ac:dyDescent="0.3">
      <c r="A128" s="340" t="s">
        <v>289</v>
      </c>
      <c r="B128" s="341">
        <v>4</v>
      </c>
      <c r="C128" s="309">
        <v>46140</v>
      </c>
      <c r="D128" s="310" t="s">
        <v>296</v>
      </c>
      <c r="E128" s="342">
        <v>33.840000000000003</v>
      </c>
      <c r="F128" s="342"/>
      <c r="G128" s="344">
        <f t="shared" si="3"/>
        <v>3252.0399999999859</v>
      </c>
      <c r="H128" s="345"/>
      <c r="I128" s="346"/>
      <c r="J128" s="347"/>
      <c r="K128" s="312"/>
      <c r="L128" s="347"/>
      <c r="M128" s="312"/>
      <c r="N128" s="347"/>
      <c r="O128" s="312"/>
      <c r="P128" s="347"/>
      <c r="Q128" s="312"/>
      <c r="R128" s="347"/>
      <c r="S128" s="312"/>
      <c r="T128" s="347"/>
    </row>
    <row r="129" spans="1:20" ht="12" customHeight="1" x14ac:dyDescent="0.3">
      <c r="A129" s="340" t="s">
        <v>289</v>
      </c>
      <c r="B129" s="341">
        <v>1</v>
      </c>
      <c r="C129" s="309">
        <v>46140</v>
      </c>
      <c r="D129" s="310" t="s">
        <v>307</v>
      </c>
      <c r="E129" s="342">
        <v>5.3</v>
      </c>
      <c r="F129" s="342"/>
      <c r="G129" s="344">
        <f t="shared" si="3"/>
        <v>3285.879999999986</v>
      </c>
      <c r="H129" s="345"/>
      <c r="I129" s="346"/>
      <c r="J129" s="347"/>
      <c r="K129" s="312"/>
      <c r="L129" s="347"/>
      <c r="M129" s="312"/>
      <c r="N129" s="347"/>
      <c r="O129" s="312"/>
      <c r="P129" s="347"/>
      <c r="Q129" s="312"/>
      <c r="R129" s="347"/>
      <c r="S129" s="312"/>
      <c r="T129" s="347"/>
    </row>
    <row r="130" spans="1:20" ht="12" customHeight="1" x14ac:dyDescent="0.3">
      <c r="A130" s="340" t="s">
        <v>289</v>
      </c>
      <c r="B130" s="341">
        <v>5</v>
      </c>
      <c r="C130" s="309">
        <v>46140</v>
      </c>
      <c r="D130" s="310" t="s">
        <v>308</v>
      </c>
      <c r="E130" s="342">
        <v>500</v>
      </c>
      <c r="F130" s="342"/>
      <c r="G130" s="344">
        <f t="shared" si="3"/>
        <v>3291.1799999999862</v>
      </c>
      <c r="H130" s="345"/>
      <c r="I130" s="346"/>
      <c r="J130" s="347"/>
      <c r="K130" s="312"/>
      <c r="L130" s="347"/>
      <c r="M130" s="312"/>
      <c r="N130" s="347"/>
      <c r="O130" s="312"/>
      <c r="P130" s="347"/>
      <c r="Q130" s="312"/>
      <c r="R130" s="347"/>
      <c r="S130" s="312"/>
      <c r="T130" s="347"/>
    </row>
    <row r="131" spans="1:20" ht="12" customHeight="1" x14ac:dyDescent="0.3">
      <c r="A131" s="340" t="s">
        <v>289</v>
      </c>
      <c r="B131" s="341">
        <v>8</v>
      </c>
      <c r="C131" s="309">
        <v>46140</v>
      </c>
      <c r="D131" s="310" t="s">
        <v>309</v>
      </c>
      <c r="E131" s="342">
        <v>47.99</v>
      </c>
      <c r="F131" s="342"/>
      <c r="G131" s="344">
        <f t="shared" si="3"/>
        <v>3791.1799999999862</v>
      </c>
      <c r="H131" s="345"/>
      <c r="I131" s="346"/>
      <c r="J131" s="347"/>
      <c r="K131" s="312"/>
      <c r="L131" s="347"/>
      <c r="M131" s="312"/>
      <c r="N131" s="347"/>
      <c r="O131" s="312"/>
      <c r="P131" s="347"/>
      <c r="Q131" s="312"/>
      <c r="R131" s="347"/>
      <c r="S131" s="312"/>
      <c r="T131" s="347"/>
    </row>
    <row r="132" spans="1:20" ht="12" customHeight="1" x14ac:dyDescent="0.3">
      <c r="A132" s="340" t="s">
        <v>289</v>
      </c>
      <c r="B132" s="341">
        <v>3</v>
      </c>
      <c r="C132" s="309">
        <v>46139</v>
      </c>
      <c r="D132" s="310" t="s">
        <v>310</v>
      </c>
      <c r="E132" s="342">
        <v>13.11</v>
      </c>
      <c r="F132" s="342"/>
      <c r="G132" s="344">
        <f t="shared" si="3"/>
        <v>3839.169999999986</v>
      </c>
      <c r="H132" s="345"/>
      <c r="I132" s="346"/>
      <c r="J132" s="347"/>
      <c r="K132" s="312"/>
      <c r="L132" s="347"/>
      <c r="M132" s="312"/>
      <c r="N132" s="347"/>
      <c r="O132" s="312"/>
      <c r="P132" s="347"/>
      <c r="Q132" s="312"/>
      <c r="R132" s="347"/>
      <c r="S132" s="312"/>
      <c r="T132" s="347"/>
    </row>
    <row r="133" spans="1:20" ht="12" customHeight="1" x14ac:dyDescent="0.3">
      <c r="A133" s="340" t="s">
        <v>289</v>
      </c>
      <c r="B133" s="341">
        <v>4</v>
      </c>
      <c r="C133" s="309">
        <v>46139</v>
      </c>
      <c r="D133" s="310" t="s">
        <v>311</v>
      </c>
      <c r="E133" s="342">
        <v>30.54</v>
      </c>
      <c r="F133" s="342"/>
      <c r="G133" s="344">
        <f t="shared" si="3"/>
        <v>3852.2799999999861</v>
      </c>
      <c r="H133" s="345"/>
      <c r="I133" s="346"/>
      <c r="J133" s="347"/>
      <c r="K133" s="312"/>
      <c r="L133" s="347"/>
      <c r="M133" s="312"/>
      <c r="N133" s="347"/>
      <c r="O133" s="312"/>
      <c r="P133" s="347"/>
      <c r="Q133" s="312"/>
      <c r="R133" s="347"/>
      <c r="S133" s="312"/>
      <c r="T133" s="347"/>
    </row>
    <row r="134" spans="1:20" ht="12" customHeight="1" x14ac:dyDescent="0.3">
      <c r="A134" s="340" t="s">
        <v>289</v>
      </c>
      <c r="B134" s="341">
        <v>1</v>
      </c>
      <c r="C134" s="309">
        <v>46139</v>
      </c>
      <c r="D134" s="310" t="s">
        <v>312</v>
      </c>
      <c r="E134" s="342">
        <v>163.01</v>
      </c>
      <c r="F134" s="342"/>
      <c r="G134" s="344">
        <f t="shared" si="3"/>
        <v>3882.8199999999861</v>
      </c>
      <c r="H134" s="345"/>
      <c r="I134" s="346"/>
      <c r="J134" s="347"/>
      <c r="K134" s="312"/>
      <c r="L134" s="347"/>
      <c r="M134" s="312"/>
      <c r="N134" s="347"/>
      <c r="O134" s="312"/>
      <c r="P134" s="347"/>
      <c r="Q134" s="312"/>
      <c r="R134" s="347"/>
      <c r="S134" s="312"/>
      <c r="T134" s="347"/>
    </row>
    <row r="135" spans="1:20" ht="12" customHeight="1" x14ac:dyDescent="0.3">
      <c r="A135" s="340" t="s">
        <v>289</v>
      </c>
      <c r="B135" s="341">
        <v>6</v>
      </c>
      <c r="C135" s="309">
        <v>46139</v>
      </c>
      <c r="D135" s="310" t="s">
        <v>313</v>
      </c>
      <c r="E135" s="342">
        <v>54.97</v>
      </c>
      <c r="F135" s="342"/>
      <c r="G135" s="344">
        <f t="shared" si="3"/>
        <v>4045.8299999999858</v>
      </c>
      <c r="H135" s="345"/>
      <c r="I135" s="346"/>
      <c r="J135" s="347"/>
      <c r="K135" s="312"/>
      <c r="L135" s="347"/>
      <c r="M135" s="312"/>
      <c r="N135" s="347"/>
      <c r="O135" s="312"/>
      <c r="P135" s="347"/>
      <c r="Q135" s="312"/>
      <c r="R135" s="347"/>
      <c r="S135" s="312"/>
      <c r="T135" s="347"/>
    </row>
    <row r="136" spans="1:20" ht="12" customHeight="1" x14ac:dyDescent="0.3">
      <c r="A136" s="340" t="s">
        <v>289</v>
      </c>
      <c r="B136" s="341">
        <v>1</v>
      </c>
      <c r="C136" s="309">
        <v>46139</v>
      </c>
      <c r="D136" s="310" t="s">
        <v>307</v>
      </c>
      <c r="E136" s="342">
        <v>51.28</v>
      </c>
      <c r="F136" s="342"/>
      <c r="G136" s="344">
        <f t="shared" si="3"/>
        <v>4100.7999999999856</v>
      </c>
      <c r="H136" s="345"/>
      <c r="I136" s="346"/>
      <c r="J136" s="347"/>
      <c r="K136" s="312"/>
      <c r="L136" s="347"/>
      <c r="M136" s="312"/>
      <c r="N136" s="347"/>
      <c r="O136" s="312"/>
      <c r="P136" s="347"/>
      <c r="Q136" s="312"/>
      <c r="R136" s="347"/>
      <c r="S136" s="312"/>
      <c r="T136" s="347"/>
    </row>
    <row r="137" spans="1:20" ht="12" customHeight="1" x14ac:dyDescent="0.3">
      <c r="A137" s="340" t="s">
        <v>289</v>
      </c>
      <c r="B137" s="341">
        <v>6</v>
      </c>
      <c r="C137" s="309">
        <v>46138</v>
      </c>
      <c r="D137" s="310" t="s">
        <v>313</v>
      </c>
      <c r="E137" s="342">
        <v>38.979999999999997</v>
      </c>
      <c r="F137" s="342"/>
      <c r="G137" s="344">
        <f t="shared" si="3"/>
        <v>4152.0799999999854</v>
      </c>
      <c r="H137" s="345"/>
      <c r="I137" s="346"/>
      <c r="J137" s="347"/>
      <c r="K137" s="312"/>
      <c r="L137" s="347"/>
      <c r="M137" s="312"/>
      <c r="N137" s="347"/>
      <c r="O137" s="312"/>
      <c r="P137" s="347"/>
      <c r="Q137" s="312"/>
      <c r="R137" s="347"/>
      <c r="S137" s="312"/>
      <c r="T137" s="347"/>
    </row>
    <row r="138" spans="1:20" ht="12" customHeight="1" x14ac:dyDescent="0.3">
      <c r="A138" s="340" t="s">
        <v>289</v>
      </c>
      <c r="B138" s="341">
        <v>2</v>
      </c>
      <c r="C138" s="309">
        <v>46138</v>
      </c>
      <c r="D138" s="310" t="s">
        <v>314</v>
      </c>
      <c r="E138" s="342">
        <v>39.83</v>
      </c>
      <c r="F138" s="342"/>
      <c r="G138" s="344">
        <f t="shared" si="3"/>
        <v>4191.0599999999849</v>
      </c>
      <c r="H138" s="345"/>
      <c r="I138" s="346"/>
      <c r="J138" s="347"/>
      <c r="K138" s="312"/>
      <c r="L138" s="347"/>
      <c r="M138" s="312"/>
      <c r="N138" s="347"/>
      <c r="O138" s="312"/>
      <c r="P138" s="347"/>
      <c r="Q138" s="312"/>
      <c r="R138" s="347"/>
      <c r="S138" s="312"/>
      <c r="T138" s="347"/>
    </row>
    <row r="139" spans="1:20" ht="12" customHeight="1" x14ac:dyDescent="0.3">
      <c r="A139" s="340" t="s">
        <v>289</v>
      </c>
      <c r="B139" s="341">
        <v>8</v>
      </c>
      <c r="C139" s="309">
        <v>46138</v>
      </c>
      <c r="D139" s="310" t="s">
        <v>314</v>
      </c>
      <c r="E139" s="342">
        <v>51.24</v>
      </c>
      <c r="F139" s="342"/>
      <c r="G139" s="344">
        <f t="shared" si="3"/>
        <v>4230.8899999999849</v>
      </c>
      <c r="H139" s="345"/>
      <c r="I139" s="346"/>
      <c r="J139" s="347"/>
      <c r="K139" s="312"/>
      <c r="L139" s="347"/>
      <c r="M139" s="312"/>
      <c r="N139" s="347"/>
      <c r="O139" s="312"/>
      <c r="P139" s="347"/>
      <c r="Q139" s="312"/>
      <c r="R139" s="347"/>
      <c r="S139" s="312"/>
      <c r="T139" s="347"/>
    </row>
    <row r="140" spans="1:20" ht="12" customHeight="1" x14ac:dyDescent="0.3">
      <c r="A140" s="340" t="s">
        <v>294</v>
      </c>
      <c r="B140" s="341">
        <v>12</v>
      </c>
      <c r="C140" s="309">
        <v>46137</v>
      </c>
      <c r="D140" s="310" t="s">
        <v>315</v>
      </c>
      <c r="E140" s="342">
        <v>214.74</v>
      </c>
      <c r="F140" s="342"/>
      <c r="G140" s="344">
        <f t="shared" si="3"/>
        <v>4282.1299999999846</v>
      </c>
      <c r="H140" s="345"/>
      <c r="I140" s="346"/>
      <c r="J140" s="347"/>
      <c r="K140" s="312"/>
      <c r="L140" s="347"/>
      <c r="M140" s="312"/>
      <c r="N140" s="347"/>
      <c r="O140" s="312"/>
      <c r="P140" s="347"/>
      <c r="Q140" s="312"/>
      <c r="R140" s="347"/>
      <c r="S140" s="312"/>
      <c r="T140" s="347"/>
    </row>
    <row r="141" spans="1:20" ht="12" customHeight="1" x14ac:dyDescent="0.3">
      <c r="A141" s="340" t="s">
        <v>287</v>
      </c>
      <c r="B141" s="341" t="s">
        <v>287</v>
      </c>
      <c r="C141" s="309">
        <v>46136</v>
      </c>
      <c r="D141" s="310" t="s">
        <v>316</v>
      </c>
      <c r="E141" s="342">
        <v>127.68</v>
      </c>
      <c r="F141" s="342">
        <v>127.68</v>
      </c>
      <c r="G141" s="344">
        <f t="shared" si="3"/>
        <v>4496.8699999999844</v>
      </c>
      <c r="H141" s="345"/>
      <c r="I141" s="346"/>
      <c r="J141" s="347"/>
      <c r="K141" s="312"/>
      <c r="L141" s="347"/>
      <c r="M141" s="312"/>
      <c r="N141" s="347"/>
      <c r="O141" s="312"/>
      <c r="P141" s="347"/>
      <c r="Q141" s="312"/>
      <c r="R141" s="347"/>
      <c r="S141" s="312"/>
      <c r="T141" s="347"/>
    </row>
    <row r="142" spans="1:20" ht="12" customHeight="1" x14ac:dyDescent="0.3">
      <c r="A142" s="340" t="s">
        <v>289</v>
      </c>
      <c r="B142" s="341">
        <v>8</v>
      </c>
      <c r="C142" s="309">
        <v>46135</v>
      </c>
      <c r="D142" s="310" t="s">
        <v>317</v>
      </c>
      <c r="E142" s="342">
        <v>65</v>
      </c>
      <c r="F142" s="342"/>
      <c r="G142" s="344">
        <f t="shared" si="3"/>
        <v>4496.8699999999844</v>
      </c>
      <c r="H142" s="345"/>
      <c r="I142" s="346"/>
      <c r="J142" s="347"/>
      <c r="K142" s="312"/>
      <c r="L142" s="347"/>
      <c r="M142" s="312"/>
      <c r="N142" s="347"/>
      <c r="O142" s="312"/>
      <c r="P142" s="347"/>
      <c r="Q142" s="312"/>
      <c r="R142" s="347"/>
      <c r="S142" s="312"/>
      <c r="T142" s="347"/>
    </row>
    <row r="143" spans="1:20" ht="12" customHeight="1" x14ac:dyDescent="0.3">
      <c r="A143" s="340" t="s">
        <v>291</v>
      </c>
      <c r="B143" s="341">
        <v>40</v>
      </c>
      <c r="C143" s="309">
        <v>46134</v>
      </c>
      <c r="D143" s="310" t="s">
        <v>318</v>
      </c>
      <c r="E143" s="342"/>
      <c r="F143" s="342">
        <v>838.69</v>
      </c>
      <c r="G143" s="344">
        <f t="shared" si="3"/>
        <v>4561.8699999999844</v>
      </c>
      <c r="H143" s="345"/>
      <c r="I143" s="346"/>
      <c r="J143" s="347"/>
      <c r="K143" s="312"/>
      <c r="L143" s="347"/>
      <c r="M143" s="312"/>
      <c r="N143" s="347"/>
      <c r="O143" s="312"/>
      <c r="P143" s="347"/>
      <c r="Q143" s="312"/>
      <c r="R143" s="347"/>
      <c r="S143" s="312"/>
      <c r="T143" s="347"/>
    </row>
    <row r="144" spans="1:20" ht="12" customHeight="1" x14ac:dyDescent="0.3">
      <c r="A144" s="340" t="s">
        <v>289</v>
      </c>
      <c r="B144" s="341">
        <v>2</v>
      </c>
      <c r="C144" s="309">
        <v>46134</v>
      </c>
      <c r="D144" s="310" t="s">
        <v>319</v>
      </c>
      <c r="E144" s="342">
        <v>17.03</v>
      </c>
      <c r="F144" s="342"/>
      <c r="G144" s="344">
        <f t="shared" si="3"/>
        <v>3723.1799999999848</v>
      </c>
      <c r="H144" s="345"/>
      <c r="I144" s="346"/>
      <c r="J144" s="347"/>
      <c r="K144" s="312"/>
      <c r="L144" s="347"/>
      <c r="M144" s="312"/>
      <c r="N144" s="347"/>
      <c r="O144" s="312"/>
      <c r="P144" s="347"/>
      <c r="Q144" s="312"/>
      <c r="R144" s="347"/>
      <c r="S144" s="312"/>
      <c r="T144" s="347"/>
    </row>
    <row r="145" spans="1:20" ht="12" customHeight="1" x14ac:dyDescent="0.3">
      <c r="A145" s="340" t="s">
        <v>289</v>
      </c>
      <c r="B145" s="341">
        <v>6</v>
      </c>
      <c r="C145" s="309">
        <v>46134</v>
      </c>
      <c r="D145" s="310" t="s">
        <v>313</v>
      </c>
      <c r="E145" s="342">
        <v>51.94</v>
      </c>
      <c r="F145" s="342"/>
      <c r="G145" s="344">
        <f t="shared" si="3"/>
        <v>3740.209999999985</v>
      </c>
      <c r="H145" s="345"/>
      <c r="I145" s="346"/>
      <c r="J145" s="347"/>
      <c r="K145" s="312"/>
      <c r="L145" s="347"/>
      <c r="M145" s="312"/>
      <c r="N145" s="347"/>
      <c r="O145" s="312"/>
      <c r="P145" s="347"/>
      <c r="Q145" s="312"/>
      <c r="R145" s="347"/>
      <c r="S145" s="312"/>
      <c r="T145" s="347"/>
    </row>
    <row r="146" spans="1:20" ht="12" customHeight="1" x14ac:dyDescent="0.3">
      <c r="A146" s="340" t="s">
        <v>289</v>
      </c>
      <c r="B146" s="341">
        <v>1</v>
      </c>
      <c r="C146" s="309">
        <v>46134</v>
      </c>
      <c r="D146" s="310" t="s">
        <v>307</v>
      </c>
      <c r="E146" s="342">
        <v>226.7</v>
      </c>
      <c r="F146" s="342"/>
      <c r="G146" s="344">
        <f t="shared" si="3"/>
        <v>3792.1499999999851</v>
      </c>
      <c r="H146" s="345"/>
      <c r="I146" s="346"/>
      <c r="J146" s="347"/>
      <c r="K146" s="312"/>
      <c r="L146" s="347"/>
      <c r="M146" s="312"/>
      <c r="N146" s="347"/>
      <c r="O146" s="312"/>
      <c r="P146" s="347"/>
      <c r="Q146" s="312"/>
      <c r="R146" s="347"/>
      <c r="S146" s="312"/>
      <c r="T146" s="347"/>
    </row>
    <row r="147" spans="1:20" ht="12" customHeight="1" x14ac:dyDescent="0.3">
      <c r="A147" s="340" t="s">
        <v>289</v>
      </c>
      <c r="B147" s="341">
        <v>2</v>
      </c>
      <c r="C147" s="309">
        <v>46133</v>
      </c>
      <c r="D147" s="310" t="s">
        <v>320</v>
      </c>
      <c r="E147" s="342">
        <v>70</v>
      </c>
      <c r="F147" s="342"/>
      <c r="G147" s="344">
        <f t="shared" si="3"/>
        <v>4018.8499999999849</v>
      </c>
      <c r="H147" s="345"/>
      <c r="I147" s="346"/>
      <c r="J147" s="347"/>
      <c r="K147" s="312"/>
      <c r="L147" s="347"/>
      <c r="M147" s="312"/>
      <c r="N147" s="347"/>
      <c r="O147" s="312"/>
      <c r="P147" s="347"/>
      <c r="Q147" s="312"/>
      <c r="R147" s="347"/>
      <c r="S147" s="312"/>
      <c r="T147" s="347"/>
    </row>
    <row r="148" spans="1:20" ht="12" customHeight="1" x14ac:dyDescent="0.3">
      <c r="A148" s="340" t="s">
        <v>289</v>
      </c>
      <c r="B148" s="341">
        <v>8</v>
      </c>
      <c r="C148" s="309">
        <v>46133</v>
      </c>
      <c r="D148" s="310" t="s">
        <v>321</v>
      </c>
      <c r="E148" s="342">
        <v>14.26</v>
      </c>
      <c r="F148" s="342"/>
      <c r="G148" s="344">
        <f t="shared" si="3"/>
        <v>4088.8499999999849</v>
      </c>
      <c r="H148" s="345"/>
      <c r="I148" s="346"/>
      <c r="J148" s="347"/>
      <c r="K148" s="312"/>
      <c r="L148" s="347"/>
      <c r="M148" s="312"/>
      <c r="N148" s="347"/>
      <c r="O148" s="312"/>
      <c r="P148" s="347"/>
      <c r="Q148" s="312"/>
      <c r="R148" s="347"/>
      <c r="S148" s="312"/>
      <c r="T148" s="347"/>
    </row>
    <row r="149" spans="1:20" ht="12" customHeight="1" x14ac:dyDescent="0.3">
      <c r="A149" s="340" t="s">
        <v>289</v>
      </c>
      <c r="B149" s="341">
        <v>1</v>
      </c>
      <c r="C149" s="309">
        <v>46133</v>
      </c>
      <c r="D149" s="310" t="s">
        <v>322</v>
      </c>
      <c r="E149" s="342">
        <v>8.51</v>
      </c>
      <c r="F149" s="342"/>
      <c r="G149" s="344">
        <f t="shared" si="3"/>
        <v>4103.1099999999851</v>
      </c>
      <c r="H149" s="345"/>
      <c r="I149" s="346"/>
      <c r="J149" s="347"/>
      <c r="K149" s="312"/>
      <c r="L149" s="347"/>
      <c r="M149" s="312"/>
      <c r="N149" s="347"/>
      <c r="O149" s="312"/>
      <c r="P149" s="347"/>
      <c r="Q149" s="312"/>
      <c r="R149" s="347"/>
      <c r="S149" s="312"/>
      <c r="T149" s="347"/>
    </row>
    <row r="150" spans="1:20" ht="12" customHeight="1" x14ac:dyDescent="0.3">
      <c r="A150" s="340" t="s">
        <v>289</v>
      </c>
      <c r="B150" s="341">
        <v>5</v>
      </c>
      <c r="C150" s="309">
        <v>46133</v>
      </c>
      <c r="D150" s="310" t="s">
        <v>323</v>
      </c>
      <c r="E150" s="342">
        <v>20</v>
      </c>
      <c r="F150" s="342"/>
      <c r="G150" s="344">
        <f t="shared" si="3"/>
        <v>4111.6199999999853</v>
      </c>
      <c r="H150" s="345"/>
      <c r="I150" s="346"/>
      <c r="J150" s="347"/>
      <c r="K150" s="312"/>
      <c r="L150" s="347"/>
      <c r="M150" s="312"/>
      <c r="N150" s="347"/>
      <c r="O150" s="312"/>
      <c r="P150" s="347"/>
      <c r="Q150" s="312"/>
      <c r="R150" s="347"/>
      <c r="S150" s="312"/>
      <c r="T150" s="347"/>
    </row>
    <row r="151" spans="1:20" ht="12" customHeight="1" x14ac:dyDescent="0.3">
      <c r="A151" s="340" t="s">
        <v>294</v>
      </c>
      <c r="B151" s="341">
        <v>23</v>
      </c>
      <c r="C151" s="309">
        <v>46133</v>
      </c>
      <c r="D151" s="310" t="s">
        <v>67</v>
      </c>
      <c r="E151" s="342">
        <v>650.88</v>
      </c>
      <c r="F151" s="342"/>
      <c r="G151" s="344">
        <f t="shared" si="3"/>
        <v>4131.6199999999853</v>
      </c>
      <c r="H151" s="345"/>
      <c r="I151" s="346"/>
      <c r="J151" s="347"/>
      <c r="K151" s="312"/>
      <c r="L151" s="347"/>
      <c r="M151" s="312"/>
      <c r="N151" s="347"/>
      <c r="O151" s="312"/>
      <c r="P151" s="347"/>
      <c r="Q151" s="312"/>
      <c r="R151" s="347"/>
      <c r="S151" s="312"/>
      <c r="T151" s="347"/>
    </row>
    <row r="152" spans="1:20" ht="12" customHeight="1" x14ac:dyDescent="0.3">
      <c r="A152" s="340" t="s">
        <v>289</v>
      </c>
      <c r="B152" s="341">
        <v>6</v>
      </c>
      <c r="C152" s="309">
        <v>46133</v>
      </c>
      <c r="D152" s="310" t="s">
        <v>324</v>
      </c>
      <c r="E152" s="342">
        <v>15</v>
      </c>
      <c r="F152" s="342"/>
      <c r="G152" s="344">
        <f t="shared" si="3"/>
        <v>4782.4999999999854</v>
      </c>
      <c r="H152" s="345"/>
      <c r="I152" s="346"/>
      <c r="J152" s="347"/>
      <c r="K152" s="312"/>
      <c r="L152" s="347"/>
      <c r="M152" s="312"/>
      <c r="N152" s="347"/>
      <c r="O152" s="312"/>
      <c r="P152" s="347"/>
      <c r="Q152" s="312"/>
      <c r="R152" s="347"/>
      <c r="S152" s="312"/>
      <c r="T152" s="347"/>
    </row>
    <row r="153" spans="1:20" ht="12" customHeight="1" x14ac:dyDescent="0.3">
      <c r="A153" s="340" t="s">
        <v>289</v>
      </c>
      <c r="B153" s="341">
        <v>5</v>
      </c>
      <c r="C153" s="309">
        <v>46133</v>
      </c>
      <c r="D153" s="310" t="s">
        <v>324</v>
      </c>
      <c r="E153" s="342">
        <v>250</v>
      </c>
      <c r="F153" s="342"/>
      <c r="G153" s="344">
        <f t="shared" si="3"/>
        <v>4797.4999999999854</v>
      </c>
      <c r="H153" s="345"/>
      <c r="I153" s="346"/>
      <c r="J153" s="347"/>
      <c r="K153" s="312"/>
      <c r="L153" s="347"/>
      <c r="M153" s="312"/>
      <c r="N153" s="347"/>
      <c r="O153" s="312"/>
      <c r="P153" s="347"/>
      <c r="Q153" s="312"/>
      <c r="R153" s="347"/>
      <c r="S153" s="312"/>
      <c r="T153" s="347"/>
    </row>
    <row r="154" spans="1:20" ht="12" customHeight="1" x14ac:dyDescent="0.3">
      <c r="A154" s="340" t="s">
        <v>294</v>
      </c>
      <c r="B154" s="341">
        <v>22</v>
      </c>
      <c r="C154" s="309">
        <v>46132</v>
      </c>
      <c r="D154" s="310" t="s">
        <v>325</v>
      </c>
      <c r="E154" s="342">
        <v>20.22</v>
      </c>
      <c r="F154" s="342"/>
      <c r="G154" s="344">
        <f t="shared" si="3"/>
        <v>5047.4999999999854</v>
      </c>
      <c r="H154" s="345"/>
      <c r="I154" s="346"/>
      <c r="J154" s="347"/>
      <c r="K154" s="312"/>
      <c r="L154" s="347"/>
      <c r="M154" s="312"/>
      <c r="N154" s="347"/>
      <c r="O154" s="312"/>
      <c r="P154" s="347"/>
      <c r="Q154" s="312"/>
      <c r="R154" s="347"/>
      <c r="S154" s="312"/>
      <c r="T154" s="347"/>
    </row>
    <row r="155" spans="1:20" ht="12" customHeight="1" x14ac:dyDescent="0.3">
      <c r="A155" s="340" t="s">
        <v>289</v>
      </c>
      <c r="B155" s="341">
        <v>6</v>
      </c>
      <c r="C155" s="309">
        <v>46132</v>
      </c>
      <c r="D155" s="310" t="s">
        <v>326</v>
      </c>
      <c r="E155" s="342">
        <v>44</v>
      </c>
      <c r="F155" s="342"/>
      <c r="G155" s="344">
        <f t="shared" si="3"/>
        <v>5067.7199999999857</v>
      </c>
      <c r="H155" s="345"/>
      <c r="I155" s="346"/>
      <c r="J155" s="347"/>
      <c r="K155" s="312"/>
      <c r="L155" s="347"/>
      <c r="M155" s="312"/>
      <c r="N155" s="347"/>
      <c r="O155" s="312"/>
      <c r="P155" s="347"/>
      <c r="Q155" s="312"/>
      <c r="R155" s="347"/>
      <c r="S155" s="312"/>
      <c r="T155" s="347"/>
    </row>
    <row r="156" spans="1:20" ht="12" customHeight="1" x14ac:dyDescent="0.3">
      <c r="A156" s="340" t="s">
        <v>289</v>
      </c>
      <c r="B156" s="341">
        <v>2</v>
      </c>
      <c r="C156" s="309">
        <v>46132</v>
      </c>
      <c r="D156" s="310" t="s">
        <v>327</v>
      </c>
      <c r="E156" s="342">
        <v>12.01</v>
      </c>
      <c r="F156" s="342"/>
      <c r="G156" s="344">
        <f t="shared" si="3"/>
        <v>5111.7199999999857</v>
      </c>
      <c r="H156" s="345"/>
      <c r="I156" s="346"/>
      <c r="J156" s="347"/>
      <c r="K156" s="312"/>
      <c r="L156" s="347"/>
      <c r="M156" s="312"/>
      <c r="N156" s="347"/>
      <c r="O156" s="312"/>
      <c r="P156" s="347"/>
      <c r="Q156" s="312"/>
      <c r="R156" s="347"/>
      <c r="S156" s="312"/>
      <c r="T156" s="347"/>
    </row>
    <row r="157" spans="1:20" ht="12" customHeight="1" x14ac:dyDescent="0.3">
      <c r="A157" s="340" t="s">
        <v>289</v>
      </c>
      <c r="B157" s="341">
        <v>2</v>
      </c>
      <c r="C157" s="309">
        <v>46132</v>
      </c>
      <c r="D157" s="310" t="s">
        <v>296</v>
      </c>
      <c r="E157" s="342">
        <v>12.21</v>
      </c>
      <c r="F157" s="342"/>
      <c r="G157" s="344">
        <f t="shared" si="3"/>
        <v>5123.7299999999859</v>
      </c>
      <c r="H157" s="345"/>
      <c r="I157" s="346"/>
      <c r="J157" s="347"/>
      <c r="K157" s="312"/>
      <c r="L157" s="347"/>
      <c r="M157" s="312"/>
      <c r="N157" s="347"/>
      <c r="O157" s="312"/>
      <c r="P157" s="347"/>
      <c r="Q157" s="312"/>
      <c r="R157" s="347"/>
      <c r="S157" s="312"/>
      <c r="T157" s="347"/>
    </row>
    <row r="158" spans="1:20" ht="12" customHeight="1" x14ac:dyDescent="0.3">
      <c r="A158" s="340" t="s">
        <v>289</v>
      </c>
      <c r="B158" s="341">
        <v>2</v>
      </c>
      <c r="C158" s="309">
        <v>46132</v>
      </c>
      <c r="D158" s="310" t="s">
        <v>328</v>
      </c>
      <c r="E158" s="342">
        <v>46.4</v>
      </c>
      <c r="F158" s="342"/>
      <c r="G158" s="344">
        <f t="shared" si="3"/>
        <v>5135.939999999986</v>
      </c>
      <c r="H158" s="345"/>
      <c r="I158" s="346"/>
      <c r="J158" s="347"/>
      <c r="K158" s="312"/>
      <c r="L158" s="347"/>
      <c r="M158" s="312"/>
      <c r="N158" s="347"/>
      <c r="O158" s="312"/>
      <c r="P158" s="347"/>
      <c r="Q158" s="312"/>
      <c r="R158" s="347"/>
      <c r="S158" s="312"/>
      <c r="T158" s="347"/>
    </row>
    <row r="159" spans="1:20" ht="12" customHeight="1" x14ac:dyDescent="0.3">
      <c r="A159" s="340" t="s">
        <v>289</v>
      </c>
      <c r="B159" s="341">
        <v>2</v>
      </c>
      <c r="C159" s="309">
        <v>46131</v>
      </c>
      <c r="D159" s="310" t="s">
        <v>329</v>
      </c>
      <c r="E159" s="342">
        <v>31.7</v>
      </c>
      <c r="F159" s="342"/>
      <c r="G159" s="344">
        <f t="shared" si="3"/>
        <v>5182.3399999999856</v>
      </c>
      <c r="H159" s="345"/>
      <c r="I159" s="346"/>
      <c r="J159" s="347"/>
      <c r="K159" s="312"/>
      <c r="L159" s="347"/>
      <c r="M159" s="312"/>
      <c r="N159" s="347"/>
      <c r="O159" s="312"/>
      <c r="P159" s="347"/>
      <c r="Q159" s="312"/>
      <c r="R159" s="347"/>
      <c r="S159" s="312"/>
      <c r="T159" s="347"/>
    </row>
    <row r="160" spans="1:20" ht="12" customHeight="1" x14ac:dyDescent="0.3">
      <c r="A160" s="340" t="s">
        <v>289</v>
      </c>
      <c r="B160" s="341">
        <v>8</v>
      </c>
      <c r="C160" s="309">
        <v>46131</v>
      </c>
      <c r="D160" s="310" t="s">
        <v>330</v>
      </c>
      <c r="E160" s="342">
        <v>11.11</v>
      </c>
      <c r="F160" s="342"/>
      <c r="G160" s="344">
        <f t="shared" si="3"/>
        <v>5214.0399999999854</v>
      </c>
      <c r="H160" s="345"/>
      <c r="I160" s="346"/>
      <c r="J160" s="347"/>
      <c r="K160" s="312"/>
      <c r="L160" s="347"/>
      <c r="M160" s="312"/>
      <c r="N160" s="347"/>
      <c r="O160" s="312"/>
      <c r="P160" s="347"/>
      <c r="Q160" s="312"/>
      <c r="R160" s="347"/>
      <c r="S160" s="312"/>
      <c r="T160" s="347"/>
    </row>
    <row r="161" spans="1:20" ht="12" customHeight="1" x14ac:dyDescent="0.3">
      <c r="A161" s="340" t="s">
        <v>289</v>
      </c>
      <c r="B161" s="341">
        <v>1</v>
      </c>
      <c r="C161" s="309">
        <v>46131</v>
      </c>
      <c r="D161" s="310" t="s">
        <v>307</v>
      </c>
      <c r="E161" s="342">
        <v>79.16</v>
      </c>
      <c r="F161" s="342"/>
      <c r="G161" s="344">
        <f t="shared" si="3"/>
        <v>5225.1499999999851</v>
      </c>
      <c r="H161" s="345"/>
      <c r="I161" s="346"/>
      <c r="J161" s="347"/>
      <c r="K161" s="312"/>
      <c r="L161" s="347"/>
      <c r="M161" s="312"/>
      <c r="N161" s="347"/>
      <c r="O161" s="312"/>
      <c r="P161" s="347"/>
      <c r="Q161" s="312"/>
      <c r="R161" s="347"/>
      <c r="S161" s="312"/>
      <c r="T161" s="347"/>
    </row>
    <row r="162" spans="1:20" ht="12" customHeight="1" x14ac:dyDescent="0.3">
      <c r="A162" s="340" t="s">
        <v>294</v>
      </c>
      <c r="B162" s="341">
        <v>22</v>
      </c>
      <c r="C162" s="309">
        <v>46131</v>
      </c>
      <c r="D162" s="310" t="s">
        <v>331</v>
      </c>
      <c r="E162" s="342">
        <v>7.46</v>
      </c>
      <c r="F162" s="342"/>
      <c r="G162" s="344">
        <f t="shared" si="3"/>
        <v>5304.3099999999849</v>
      </c>
      <c r="H162" s="345"/>
      <c r="I162" s="346"/>
      <c r="J162" s="347"/>
      <c r="K162" s="312"/>
      <c r="L162" s="347"/>
      <c r="M162" s="312"/>
      <c r="N162" s="347"/>
      <c r="O162" s="312"/>
      <c r="P162" s="347"/>
      <c r="Q162" s="312"/>
      <c r="R162" s="347"/>
      <c r="S162" s="312"/>
      <c r="T162" s="347"/>
    </row>
    <row r="163" spans="1:20" ht="12" customHeight="1" x14ac:dyDescent="0.3">
      <c r="A163" s="340" t="s">
        <v>289</v>
      </c>
      <c r="B163" s="341">
        <v>6</v>
      </c>
      <c r="C163" s="309">
        <v>46131</v>
      </c>
      <c r="D163" s="310" t="s">
        <v>300</v>
      </c>
      <c r="E163" s="342">
        <v>13.83</v>
      </c>
      <c r="F163" s="342"/>
      <c r="G163" s="344">
        <f t="shared" si="3"/>
        <v>5311.769999999985</v>
      </c>
      <c r="H163" s="345"/>
      <c r="I163" s="346"/>
      <c r="J163" s="347"/>
      <c r="K163" s="312"/>
      <c r="L163" s="347"/>
      <c r="M163" s="312"/>
      <c r="N163" s="347"/>
      <c r="O163" s="312"/>
      <c r="P163" s="347"/>
      <c r="Q163" s="312"/>
      <c r="R163" s="347"/>
      <c r="S163" s="312"/>
      <c r="T163" s="347"/>
    </row>
    <row r="164" spans="1:20" ht="12" customHeight="1" x14ac:dyDescent="0.3">
      <c r="A164" s="340" t="s">
        <v>289</v>
      </c>
      <c r="B164" s="341">
        <v>6</v>
      </c>
      <c r="C164" s="309">
        <v>46131</v>
      </c>
      <c r="D164" s="310" t="s">
        <v>300</v>
      </c>
      <c r="E164" s="342">
        <v>30</v>
      </c>
      <c r="F164" s="342"/>
      <c r="G164" s="344">
        <f t="shared" si="3"/>
        <v>5325.5999999999849</v>
      </c>
      <c r="H164" s="345"/>
      <c r="I164" s="346"/>
      <c r="J164" s="347"/>
      <c r="K164" s="312"/>
      <c r="L164" s="347"/>
      <c r="M164" s="312"/>
      <c r="N164" s="347"/>
      <c r="O164" s="312"/>
      <c r="P164" s="347"/>
      <c r="Q164" s="312"/>
      <c r="R164" s="347"/>
      <c r="S164" s="312"/>
      <c r="T164" s="347"/>
    </row>
    <row r="165" spans="1:20" ht="12" customHeight="1" x14ac:dyDescent="0.3">
      <c r="A165" s="340" t="s">
        <v>289</v>
      </c>
      <c r="B165" s="341">
        <v>6</v>
      </c>
      <c r="C165" s="309">
        <v>46131</v>
      </c>
      <c r="D165" s="310" t="s">
        <v>300</v>
      </c>
      <c r="E165" s="342">
        <v>15.17</v>
      </c>
      <c r="F165" s="342"/>
      <c r="G165" s="344">
        <f t="shared" si="3"/>
        <v>5355.5999999999849</v>
      </c>
      <c r="H165" s="345"/>
      <c r="I165" s="346"/>
      <c r="J165" s="347"/>
      <c r="K165" s="312"/>
      <c r="L165" s="347"/>
      <c r="M165" s="312"/>
      <c r="N165" s="347"/>
      <c r="O165" s="312"/>
      <c r="P165" s="347"/>
      <c r="Q165" s="312"/>
      <c r="R165" s="347"/>
      <c r="S165" s="312"/>
      <c r="T165" s="347"/>
    </row>
    <row r="166" spans="1:20" ht="12" customHeight="1" x14ac:dyDescent="0.3">
      <c r="A166" s="340" t="s">
        <v>289</v>
      </c>
      <c r="B166" s="341">
        <v>1</v>
      </c>
      <c r="C166" s="309">
        <v>46130</v>
      </c>
      <c r="D166" s="310" t="s">
        <v>332</v>
      </c>
      <c r="E166" s="342">
        <v>75.55</v>
      </c>
      <c r="F166" s="342"/>
      <c r="G166" s="344">
        <f t="shared" si="3"/>
        <v>5370.769999999985</v>
      </c>
      <c r="H166" s="345"/>
      <c r="I166" s="346"/>
      <c r="J166" s="347"/>
      <c r="K166" s="312"/>
      <c r="L166" s="347"/>
      <c r="M166" s="312"/>
      <c r="N166" s="347"/>
      <c r="O166" s="312"/>
      <c r="P166" s="347"/>
      <c r="Q166" s="312"/>
      <c r="R166" s="347"/>
      <c r="S166" s="312"/>
      <c r="T166" s="347"/>
    </row>
    <row r="167" spans="1:20" ht="12" customHeight="1" x14ac:dyDescent="0.3">
      <c r="A167" s="340" t="s">
        <v>289</v>
      </c>
      <c r="B167" s="341">
        <v>2</v>
      </c>
      <c r="C167" s="309">
        <v>46130</v>
      </c>
      <c r="D167" s="310" t="s">
        <v>333</v>
      </c>
      <c r="E167" s="342">
        <v>26</v>
      </c>
      <c r="F167" s="342"/>
      <c r="G167" s="344">
        <f t="shared" si="3"/>
        <v>5446.3199999999852</v>
      </c>
      <c r="H167" s="345"/>
      <c r="I167" s="346"/>
      <c r="J167" s="347"/>
      <c r="K167" s="312"/>
      <c r="L167" s="347"/>
      <c r="M167" s="312"/>
      <c r="N167" s="347"/>
      <c r="O167" s="312"/>
      <c r="P167" s="347"/>
      <c r="Q167" s="312"/>
      <c r="R167" s="347"/>
      <c r="S167" s="312"/>
      <c r="T167" s="347"/>
    </row>
    <row r="168" spans="1:20" ht="12" customHeight="1" x14ac:dyDescent="0.3">
      <c r="A168" s="340" t="s">
        <v>289</v>
      </c>
      <c r="B168" s="341">
        <v>1</v>
      </c>
      <c r="C168" s="309">
        <v>46130</v>
      </c>
      <c r="D168" s="310" t="s">
        <v>312</v>
      </c>
      <c r="E168" s="342">
        <v>25.28</v>
      </c>
      <c r="F168" s="342"/>
      <c r="G168" s="344">
        <f t="shared" si="3"/>
        <v>5472.3199999999852</v>
      </c>
      <c r="H168" s="345"/>
      <c r="I168" s="346"/>
      <c r="J168" s="347"/>
      <c r="K168" s="312"/>
      <c r="L168" s="347"/>
      <c r="M168" s="312"/>
      <c r="N168" s="347"/>
      <c r="O168" s="312"/>
      <c r="P168" s="347"/>
      <c r="Q168" s="312"/>
      <c r="R168" s="347"/>
      <c r="S168" s="312"/>
      <c r="T168" s="347"/>
    </row>
    <row r="169" spans="1:20" ht="12" customHeight="1" x14ac:dyDescent="0.3">
      <c r="A169" s="340" t="s">
        <v>289</v>
      </c>
      <c r="B169" s="341">
        <v>3</v>
      </c>
      <c r="C169" s="309">
        <v>46130</v>
      </c>
      <c r="D169" s="310" t="s">
        <v>296</v>
      </c>
      <c r="E169" s="342">
        <v>7.76</v>
      </c>
      <c r="F169" s="342"/>
      <c r="G169" s="344">
        <f t="shared" si="3"/>
        <v>5497.5999999999849</v>
      </c>
      <c r="H169" s="345"/>
      <c r="I169" s="346"/>
      <c r="J169" s="347"/>
      <c r="K169" s="312"/>
      <c r="L169" s="347"/>
      <c r="M169" s="312"/>
      <c r="N169" s="347"/>
      <c r="O169" s="312"/>
      <c r="P169" s="347"/>
      <c r="Q169" s="312"/>
      <c r="R169" s="347"/>
      <c r="S169" s="312"/>
      <c r="T169" s="347"/>
    </row>
    <row r="170" spans="1:20" ht="12" customHeight="1" x14ac:dyDescent="0.3">
      <c r="A170" s="340" t="s">
        <v>294</v>
      </c>
      <c r="B170" s="341">
        <v>22</v>
      </c>
      <c r="C170" s="309">
        <v>46130</v>
      </c>
      <c r="D170" s="310" t="s">
        <v>334</v>
      </c>
      <c r="E170" s="342">
        <v>13.84</v>
      </c>
      <c r="F170" s="342"/>
      <c r="G170" s="344">
        <f t="shared" si="3"/>
        <v>5505.3599999999851</v>
      </c>
      <c r="H170" s="345"/>
      <c r="I170" s="346"/>
      <c r="J170" s="347"/>
      <c r="K170" s="312"/>
      <c r="L170" s="347"/>
      <c r="M170" s="312"/>
      <c r="N170" s="347"/>
      <c r="O170" s="312"/>
      <c r="P170" s="347"/>
      <c r="Q170" s="312"/>
      <c r="R170" s="347"/>
      <c r="S170" s="312"/>
      <c r="T170" s="347"/>
    </row>
    <row r="171" spans="1:20" ht="12" customHeight="1" x14ac:dyDescent="0.3">
      <c r="A171" s="340" t="s">
        <v>287</v>
      </c>
      <c r="B171" s="341" t="s">
        <v>287</v>
      </c>
      <c r="C171" s="309">
        <v>46130</v>
      </c>
      <c r="D171" s="310" t="s">
        <v>335</v>
      </c>
      <c r="E171" s="342">
        <v>578.57000000000005</v>
      </c>
      <c r="F171" s="342">
        <v>578.57000000000005</v>
      </c>
      <c r="G171" s="344">
        <f t="shared" si="3"/>
        <v>5519.1999999999853</v>
      </c>
      <c r="H171" s="345"/>
      <c r="I171" s="346"/>
      <c r="J171" s="347"/>
      <c r="K171" s="312"/>
      <c r="L171" s="347"/>
      <c r="M171" s="312"/>
      <c r="N171" s="347"/>
      <c r="O171" s="312"/>
      <c r="P171" s="347"/>
      <c r="Q171" s="312"/>
      <c r="R171" s="347"/>
      <c r="S171" s="312"/>
      <c r="T171" s="347"/>
    </row>
    <row r="172" spans="1:20" ht="12" customHeight="1" x14ac:dyDescent="0.3">
      <c r="A172" s="340" t="s">
        <v>289</v>
      </c>
      <c r="B172" s="341">
        <v>2</v>
      </c>
      <c r="C172" s="309">
        <v>46129</v>
      </c>
      <c r="D172" s="310" t="s">
        <v>327</v>
      </c>
      <c r="E172" s="342">
        <v>12.84</v>
      </c>
      <c r="F172" s="342"/>
      <c r="G172" s="344">
        <f t="shared" si="3"/>
        <v>5519.1999999999853</v>
      </c>
      <c r="H172" s="345"/>
      <c r="I172" s="346"/>
      <c r="J172" s="347"/>
      <c r="K172" s="312"/>
      <c r="L172" s="347"/>
      <c r="M172" s="312"/>
      <c r="N172" s="347"/>
      <c r="O172" s="312"/>
      <c r="P172" s="347"/>
      <c r="Q172" s="312"/>
      <c r="R172" s="347"/>
      <c r="S172" s="312"/>
      <c r="T172" s="347"/>
    </row>
    <row r="173" spans="1:20" ht="12" customHeight="1" x14ac:dyDescent="0.3">
      <c r="A173" s="340" t="s">
        <v>289</v>
      </c>
      <c r="B173" s="341">
        <v>2</v>
      </c>
      <c r="C173" s="309">
        <v>46129</v>
      </c>
      <c r="D173" s="310" t="s">
        <v>336</v>
      </c>
      <c r="E173" s="342">
        <v>59.71</v>
      </c>
      <c r="F173" s="342"/>
      <c r="G173" s="344">
        <f t="shared" si="3"/>
        <v>5532.0399999999854</v>
      </c>
      <c r="H173" s="345"/>
      <c r="I173" s="346"/>
      <c r="J173" s="347"/>
      <c r="K173" s="312"/>
      <c r="L173" s="347"/>
      <c r="M173" s="312"/>
      <c r="N173" s="347"/>
      <c r="O173" s="312"/>
      <c r="P173" s="347"/>
      <c r="Q173" s="312"/>
      <c r="R173" s="347"/>
      <c r="S173" s="312"/>
      <c r="T173" s="347"/>
    </row>
    <row r="174" spans="1:20" ht="12" customHeight="1" x14ac:dyDescent="0.3">
      <c r="A174" s="340" t="s">
        <v>294</v>
      </c>
      <c r="B174" s="341">
        <v>21</v>
      </c>
      <c r="C174" s="309">
        <v>46129</v>
      </c>
      <c r="D174" s="310" t="s">
        <v>194</v>
      </c>
      <c r="E174" s="342">
        <v>75.599999999999994</v>
      </c>
      <c r="F174" s="342"/>
      <c r="G174" s="344">
        <f t="shared" si="3"/>
        <v>5591.7499999999854</v>
      </c>
      <c r="H174" s="345"/>
      <c r="I174" s="346"/>
      <c r="J174" s="347"/>
      <c r="K174" s="312"/>
      <c r="L174" s="347"/>
      <c r="M174" s="312"/>
      <c r="N174" s="347"/>
      <c r="O174" s="312"/>
      <c r="P174" s="347"/>
      <c r="Q174" s="312"/>
      <c r="R174" s="347"/>
      <c r="S174" s="312"/>
      <c r="T174" s="347"/>
    </row>
    <row r="175" spans="1:20" ht="12" customHeight="1" x14ac:dyDescent="0.3">
      <c r="A175" s="340" t="s">
        <v>294</v>
      </c>
      <c r="B175" s="341">
        <v>43</v>
      </c>
      <c r="C175" s="309">
        <v>46129</v>
      </c>
      <c r="D175" s="310" t="s">
        <v>337</v>
      </c>
      <c r="E175" s="342">
        <v>22.35</v>
      </c>
      <c r="F175" s="342"/>
      <c r="G175" s="344">
        <f t="shared" si="3"/>
        <v>5667.3499999999858</v>
      </c>
      <c r="H175" s="345"/>
      <c r="I175" s="346"/>
      <c r="J175" s="347"/>
      <c r="K175" s="312"/>
      <c r="L175" s="347"/>
      <c r="M175" s="312"/>
      <c r="N175" s="347"/>
      <c r="O175" s="312"/>
      <c r="P175" s="347"/>
      <c r="Q175" s="312"/>
      <c r="R175" s="347"/>
      <c r="S175" s="312"/>
      <c r="T175" s="347"/>
    </row>
    <row r="176" spans="1:20" ht="12" customHeight="1" x14ac:dyDescent="0.3">
      <c r="A176" s="340" t="s">
        <v>294</v>
      </c>
      <c r="B176" s="341">
        <v>42</v>
      </c>
      <c r="C176" s="309">
        <v>46129</v>
      </c>
      <c r="D176" s="310" t="s">
        <v>337</v>
      </c>
      <c r="E176" s="342">
        <v>37.25</v>
      </c>
      <c r="F176" s="342"/>
      <c r="G176" s="344">
        <f t="shared" si="3"/>
        <v>5689.6999999999862</v>
      </c>
      <c r="H176" s="345"/>
      <c r="I176" s="346"/>
      <c r="J176" s="347"/>
      <c r="K176" s="312"/>
      <c r="L176" s="347"/>
      <c r="M176" s="312"/>
      <c r="N176" s="347"/>
      <c r="O176" s="312"/>
      <c r="P176" s="347"/>
      <c r="Q176" s="312"/>
      <c r="R176" s="347"/>
      <c r="S176" s="312"/>
      <c r="T176" s="347"/>
    </row>
    <row r="177" spans="1:20" ht="12" customHeight="1" x14ac:dyDescent="0.3">
      <c r="A177" s="340" t="s">
        <v>289</v>
      </c>
      <c r="B177" s="341">
        <v>8</v>
      </c>
      <c r="C177" s="309">
        <v>46129</v>
      </c>
      <c r="D177" s="310" t="s">
        <v>321</v>
      </c>
      <c r="E177" s="342">
        <v>35.119999999999997</v>
      </c>
      <c r="F177" s="342"/>
      <c r="G177" s="344">
        <f t="shared" si="3"/>
        <v>5726.9499999999862</v>
      </c>
      <c r="H177" s="345"/>
      <c r="I177" s="346"/>
      <c r="J177" s="347"/>
      <c r="K177" s="312"/>
      <c r="L177" s="347"/>
      <c r="M177" s="312"/>
      <c r="N177" s="347"/>
      <c r="O177" s="312"/>
      <c r="P177" s="347"/>
      <c r="Q177" s="312"/>
      <c r="R177" s="347"/>
      <c r="S177" s="312"/>
      <c r="T177" s="347"/>
    </row>
    <row r="178" spans="1:20" ht="12" customHeight="1" x14ac:dyDescent="0.3">
      <c r="A178" s="340" t="s">
        <v>289</v>
      </c>
      <c r="B178" s="341">
        <v>3</v>
      </c>
      <c r="C178" s="309">
        <v>46129</v>
      </c>
      <c r="D178" s="310" t="s">
        <v>296</v>
      </c>
      <c r="E178" s="342">
        <v>8.7200000000000006</v>
      </c>
      <c r="F178" s="342"/>
      <c r="G178" s="344">
        <f t="shared" si="3"/>
        <v>5762.0699999999861</v>
      </c>
      <c r="H178" s="345"/>
      <c r="I178" s="346"/>
      <c r="J178" s="347"/>
      <c r="K178" s="312"/>
      <c r="L178" s="347"/>
      <c r="M178" s="312"/>
      <c r="N178" s="347"/>
      <c r="O178" s="312"/>
      <c r="P178" s="347"/>
      <c r="Q178" s="312"/>
      <c r="R178" s="347"/>
      <c r="S178" s="312"/>
      <c r="T178" s="347"/>
    </row>
    <row r="179" spans="1:20" ht="12" customHeight="1" x14ac:dyDescent="0.3">
      <c r="A179" s="340" t="s">
        <v>289</v>
      </c>
      <c r="B179" s="341">
        <v>2</v>
      </c>
      <c r="C179" s="309">
        <v>46129</v>
      </c>
      <c r="D179" s="310" t="s">
        <v>338</v>
      </c>
      <c r="E179" s="342">
        <v>13.21</v>
      </c>
      <c r="F179" s="342"/>
      <c r="G179" s="344">
        <f t="shared" si="3"/>
        <v>5770.7899999999863</v>
      </c>
      <c r="H179" s="345"/>
      <c r="I179" s="346"/>
      <c r="J179" s="347"/>
      <c r="K179" s="312"/>
      <c r="L179" s="347"/>
      <c r="M179" s="312"/>
      <c r="N179" s="347"/>
      <c r="O179" s="312"/>
      <c r="P179" s="347"/>
      <c r="Q179" s="312"/>
      <c r="R179" s="347"/>
      <c r="S179" s="312"/>
      <c r="T179" s="347"/>
    </row>
    <row r="180" spans="1:20" ht="12" customHeight="1" x14ac:dyDescent="0.3">
      <c r="A180" s="340" t="s">
        <v>294</v>
      </c>
      <c r="B180" s="341">
        <v>17</v>
      </c>
      <c r="C180" s="309">
        <v>46129</v>
      </c>
      <c r="D180" s="310" t="s">
        <v>188</v>
      </c>
      <c r="E180" s="342">
        <v>42.65</v>
      </c>
      <c r="F180" s="342"/>
      <c r="G180" s="344">
        <f t="shared" si="3"/>
        <v>5783.9999999999864</v>
      </c>
      <c r="H180" s="345"/>
      <c r="I180" s="346"/>
      <c r="J180" s="347"/>
      <c r="K180" s="312"/>
      <c r="L180" s="347"/>
      <c r="M180" s="312"/>
      <c r="N180" s="347"/>
      <c r="O180" s="312"/>
      <c r="P180" s="347"/>
      <c r="Q180" s="312"/>
      <c r="R180" s="347"/>
      <c r="S180" s="312"/>
      <c r="T180" s="347"/>
    </row>
    <row r="181" spans="1:20" ht="12" customHeight="1" x14ac:dyDescent="0.3">
      <c r="A181" s="340" t="s">
        <v>339</v>
      </c>
      <c r="B181" s="341" t="s">
        <v>339</v>
      </c>
      <c r="C181" s="309">
        <v>46129</v>
      </c>
      <c r="D181" s="310" t="s">
        <v>340</v>
      </c>
      <c r="E181" s="342">
        <v>130.31</v>
      </c>
      <c r="F181" s="342"/>
      <c r="G181" s="344">
        <f t="shared" si="3"/>
        <v>5826.649999999986</v>
      </c>
      <c r="H181" s="345"/>
      <c r="I181" s="346"/>
      <c r="J181" s="347"/>
      <c r="K181" s="312"/>
      <c r="L181" s="347"/>
      <c r="M181" s="312"/>
      <c r="N181" s="347"/>
      <c r="O181" s="312"/>
      <c r="P181" s="347"/>
      <c r="Q181" s="312"/>
      <c r="R181" s="347"/>
      <c r="S181" s="312"/>
      <c r="T181" s="347"/>
    </row>
    <row r="182" spans="1:20" ht="12" customHeight="1" x14ac:dyDescent="0.3">
      <c r="A182" s="340" t="s">
        <v>294</v>
      </c>
      <c r="B182" s="341">
        <v>15</v>
      </c>
      <c r="C182" s="309">
        <v>46129</v>
      </c>
      <c r="D182" s="310" t="s">
        <v>185</v>
      </c>
      <c r="E182" s="342">
        <v>131.22999999999999</v>
      </c>
      <c r="F182" s="342"/>
      <c r="G182" s="344">
        <f t="shared" si="3"/>
        <v>5956.9599999999864</v>
      </c>
      <c r="H182" s="345"/>
      <c r="I182" s="346"/>
      <c r="J182" s="347"/>
      <c r="K182" s="312"/>
      <c r="L182" s="347"/>
      <c r="M182" s="312"/>
      <c r="N182" s="347"/>
      <c r="O182" s="312"/>
      <c r="P182" s="347"/>
      <c r="Q182" s="312"/>
      <c r="R182" s="347"/>
      <c r="S182" s="312"/>
      <c r="T182" s="347"/>
    </row>
    <row r="183" spans="1:20" ht="12" customHeight="1" x14ac:dyDescent="0.3">
      <c r="A183" s="340" t="s">
        <v>289</v>
      </c>
      <c r="B183" s="341">
        <v>6</v>
      </c>
      <c r="C183" s="309">
        <v>46129</v>
      </c>
      <c r="D183" s="310" t="s">
        <v>341</v>
      </c>
      <c r="E183" s="342">
        <v>210</v>
      </c>
      <c r="F183" s="342"/>
      <c r="G183" s="344">
        <f t="shared" si="3"/>
        <v>6088.189999999986</v>
      </c>
      <c r="H183" s="345"/>
      <c r="I183" s="346"/>
      <c r="J183" s="347"/>
      <c r="K183" s="312"/>
      <c r="L183" s="347"/>
      <c r="M183" s="312"/>
      <c r="N183" s="347"/>
      <c r="O183" s="312"/>
      <c r="P183" s="347"/>
      <c r="Q183" s="312"/>
      <c r="R183" s="347"/>
      <c r="S183" s="312"/>
      <c r="T183" s="347"/>
    </row>
    <row r="184" spans="1:20" ht="12" customHeight="1" x14ac:dyDescent="0.3">
      <c r="A184" s="340" t="s">
        <v>294</v>
      </c>
      <c r="B184" s="341">
        <v>23</v>
      </c>
      <c r="C184" s="309">
        <v>46129</v>
      </c>
      <c r="D184" s="310" t="s">
        <v>63</v>
      </c>
      <c r="E184" s="342">
        <v>529.46</v>
      </c>
      <c r="F184" s="342"/>
      <c r="G184" s="344">
        <f t="shared" si="3"/>
        <v>6298.189999999986</v>
      </c>
      <c r="H184" s="345"/>
      <c r="I184" s="346"/>
      <c r="J184" s="347"/>
      <c r="K184" s="312"/>
      <c r="L184" s="347"/>
      <c r="M184" s="312"/>
      <c r="N184" s="347"/>
      <c r="O184" s="312"/>
      <c r="P184" s="347"/>
      <c r="Q184" s="312"/>
      <c r="R184" s="347"/>
      <c r="S184" s="312"/>
      <c r="T184" s="347"/>
    </row>
    <row r="185" spans="1:20" ht="12" customHeight="1" x14ac:dyDescent="0.3">
      <c r="A185" s="340" t="s">
        <v>289</v>
      </c>
      <c r="B185" s="341">
        <v>7</v>
      </c>
      <c r="C185" s="309">
        <v>46129</v>
      </c>
      <c r="D185" s="310" t="s">
        <v>342</v>
      </c>
      <c r="E185" s="342">
        <v>32.78</v>
      </c>
      <c r="F185" s="342"/>
      <c r="G185" s="344">
        <f t="shared" si="3"/>
        <v>6827.649999999986</v>
      </c>
      <c r="H185" s="345"/>
      <c r="I185" s="346"/>
      <c r="J185" s="347"/>
      <c r="K185" s="312"/>
      <c r="L185" s="347"/>
      <c r="M185" s="312"/>
      <c r="N185" s="347"/>
      <c r="O185" s="312"/>
      <c r="P185" s="347"/>
      <c r="Q185" s="312"/>
      <c r="R185" s="347"/>
      <c r="S185" s="312"/>
      <c r="T185" s="347"/>
    </row>
    <row r="186" spans="1:20" ht="12" customHeight="1" x14ac:dyDescent="0.3">
      <c r="A186" s="340" t="s">
        <v>289</v>
      </c>
      <c r="B186" s="341">
        <v>4</v>
      </c>
      <c r="C186" s="309">
        <v>46128</v>
      </c>
      <c r="D186" s="310" t="s">
        <v>311</v>
      </c>
      <c r="E186" s="342">
        <v>44.41</v>
      </c>
      <c r="F186" s="342"/>
      <c r="G186" s="344">
        <f t="shared" si="3"/>
        <v>6860.4299999999857</v>
      </c>
      <c r="H186" s="345"/>
      <c r="I186" s="346"/>
      <c r="J186" s="347"/>
      <c r="K186" s="312"/>
      <c r="L186" s="347"/>
      <c r="M186" s="312"/>
      <c r="N186" s="347"/>
      <c r="O186" s="312"/>
      <c r="P186" s="347"/>
      <c r="Q186" s="312"/>
      <c r="R186" s="347"/>
      <c r="S186" s="312"/>
      <c r="T186" s="347"/>
    </row>
    <row r="187" spans="1:20" ht="12" customHeight="1" x14ac:dyDescent="0.3">
      <c r="A187" s="340" t="s">
        <v>294</v>
      </c>
      <c r="B187" s="341">
        <v>16</v>
      </c>
      <c r="C187" s="309">
        <v>46128</v>
      </c>
      <c r="D187" s="310" t="s">
        <v>343</v>
      </c>
      <c r="E187" s="342">
        <v>15</v>
      </c>
      <c r="F187" s="342"/>
      <c r="G187" s="344">
        <f t="shared" si="3"/>
        <v>6904.8399999999856</v>
      </c>
      <c r="H187" s="345"/>
      <c r="I187" s="346"/>
      <c r="J187" s="347"/>
      <c r="K187" s="312"/>
      <c r="L187" s="347"/>
      <c r="M187" s="312"/>
      <c r="N187" s="347"/>
      <c r="O187" s="312"/>
      <c r="P187" s="347"/>
      <c r="Q187" s="312"/>
      <c r="R187" s="347"/>
      <c r="S187" s="312"/>
      <c r="T187" s="347"/>
    </row>
    <row r="188" spans="1:20" ht="12" customHeight="1" x14ac:dyDescent="0.3">
      <c r="A188" s="340" t="s">
        <v>289</v>
      </c>
      <c r="B188" s="341">
        <v>2</v>
      </c>
      <c r="C188" s="309">
        <v>46128</v>
      </c>
      <c r="D188" s="310" t="s">
        <v>301</v>
      </c>
      <c r="E188" s="342">
        <v>41.95</v>
      </c>
      <c r="F188" s="342"/>
      <c r="G188" s="344">
        <f t="shared" si="3"/>
        <v>6919.8399999999856</v>
      </c>
      <c r="H188" s="345"/>
      <c r="I188" s="346"/>
      <c r="J188" s="347"/>
      <c r="K188" s="312"/>
      <c r="L188" s="347"/>
      <c r="M188" s="312"/>
      <c r="N188" s="347"/>
      <c r="O188" s="312"/>
      <c r="P188" s="347"/>
      <c r="Q188" s="312"/>
      <c r="R188" s="347"/>
      <c r="S188" s="312"/>
      <c r="T188" s="347"/>
    </row>
    <row r="189" spans="1:20" ht="12" customHeight="1" x14ac:dyDescent="0.3">
      <c r="A189" s="340" t="s">
        <v>289</v>
      </c>
      <c r="B189" s="341">
        <v>5</v>
      </c>
      <c r="C189" s="309">
        <v>46128</v>
      </c>
      <c r="D189" s="310" t="s">
        <v>344</v>
      </c>
      <c r="E189" s="342">
        <v>21.3</v>
      </c>
      <c r="F189" s="342"/>
      <c r="G189" s="344">
        <f t="shared" si="3"/>
        <v>6961.7899999999854</v>
      </c>
      <c r="H189" s="345"/>
      <c r="I189" s="346"/>
      <c r="J189" s="347"/>
      <c r="K189" s="312"/>
      <c r="L189" s="347"/>
      <c r="M189" s="312"/>
      <c r="N189" s="347"/>
      <c r="O189" s="312"/>
      <c r="P189" s="347"/>
      <c r="Q189" s="312"/>
      <c r="R189" s="347"/>
      <c r="S189" s="312"/>
      <c r="T189" s="347"/>
    </row>
    <row r="190" spans="1:20" ht="12" customHeight="1" x14ac:dyDescent="0.3">
      <c r="A190" s="340" t="s">
        <v>289</v>
      </c>
      <c r="B190" s="341">
        <v>4</v>
      </c>
      <c r="C190" s="309">
        <v>46128</v>
      </c>
      <c r="D190" s="310" t="s">
        <v>296</v>
      </c>
      <c r="E190" s="342">
        <v>70.03</v>
      </c>
      <c r="F190" s="342"/>
      <c r="G190" s="344">
        <f t="shared" si="3"/>
        <v>6983.0899999999856</v>
      </c>
      <c r="H190" s="345"/>
      <c r="I190" s="346"/>
      <c r="J190" s="347"/>
      <c r="K190" s="312"/>
      <c r="L190" s="347"/>
      <c r="M190" s="312"/>
      <c r="N190" s="347"/>
      <c r="O190" s="312"/>
      <c r="P190" s="347"/>
      <c r="Q190" s="312"/>
      <c r="R190" s="347"/>
      <c r="S190" s="312"/>
      <c r="T190" s="347"/>
    </row>
    <row r="191" spans="1:20" ht="12" customHeight="1" x14ac:dyDescent="0.3">
      <c r="A191" s="340" t="s">
        <v>289</v>
      </c>
      <c r="B191" s="341">
        <v>2</v>
      </c>
      <c r="C191" s="309">
        <v>46128</v>
      </c>
      <c r="D191" s="310" t="s">
        <v>296</v>
      </c>
      <c r="E191" s="342">
        <v>11.48</v>
      </c>
      <c r="F191" s="342"/>
      <c r="G191" s="344">
        <f t="shared" si="3"/>
        <v>7053.1199999999853</v>
      </c>
      <c r="H191" s="345"/>
      <c r="I191" s="346"/>
      <c r="J191" s="347"/>
      <c r="K191" s="312"/>
      <c r="L191" s="347"/>
      <c r="M191" s="312"/>
      <c r="N191" s="347"/>
      <c r="O191" s="312"/>
      <c r="P191" s="347"/>
      <c r="Q191" s="312"/>
      <c r="R191" s="347"/>
      <c r="S191" s="312"/>
      <c r="T191" s="347"/>
    </row>
    <row r="192" spans="1:20" ht="12" customHeight="1" x14ac:dyDescent="0.3">
      <c r="A192" s="340" t="s">
        <v>289</v>
      </c>
      <c r="B192" s="341">
        <v>6</v>
      </c>
      <c r="C192" s="309">
        <v>46128</v>
      </c>
      <c r="D192" s="310" t="s">
        <v>345</v>
      </c>
      <c r="E192" s="342">
        <v>26.61</v>
      </c>
      <c r="F192" s="342"/>
      <c r="G192" s="344">
        <f t="shared" si="3"/>
        <v>7064.5999999999849</v>
      </c>
      <c r="H192" s="345"/>
      <c r="I192" s="346"/>
      <c r="J192" s="347"/>
      <c r="K192" s="312"/>
      <c r="L192" s="347"/>
      <c r="M192" s="312"/>
      <c r="N192" s="347"/>
      <c r="O192" s="312"/>
      <c r="P192" s="347"/>
      <c r="Q192" s="312"/>
      <c r="R192" s="347"/>
      <c r="S192" s="312"/>
      <c r="T192" s="347"/>
    </row>
    <row r="193" spans="1:20" ht="12" customHeight="1" x14ac:dyDescent="0.3">
      <c r="A193" s="340" t="s">
        <v>289</v>
      </c>
      <c r="B193" s="341">
        <v>6</v>
      </c>
      <c r="C193" s="309">
        <v>46128</v>
      </c>
      <c r="D193" s="310" t="s">
        <v>346</v>
      </c>
      <c r="E193" s="342">
        <v>42.59</v>
      </c>
      <c r="F193" s="342"/>
      <c r="G193" s="344">
        <f t="shared" si="3"/>
        <v>7091.2099999999846</v>
      </c>
      <c r="H193" s="345"/>
      <c r="I193" s="346"/>
      <c r="J193" s="347"/>
      <c r="K193" s="312"/>
      <c r="L193" s="347"/>
      <c r="M193" s="312"/>
      <c r="N193" s="347"/>
      <c r="O193" s="312"/>
      <c r="P193" s="347"/>
      <c r="Q193" s="312"/>
      <c r="R193" s="347"/>
      <c r="S193" s="312"/>
      <c r="T193" s="347"/>
    </row>
    <row r="194" spans="1:20" ht="12" customHeight="1" x14ac:dyDescent="0.3">
      <c r="A194" s="340" t="s">
        <v>289</v>
      </c>
      <c r="B194" s="341">
        <v>6</v>
      </c>
      <c r="C194" s="309">
        <v>46128</v>
      </c>
      <c r="D194" s="310" t="s">
        <v>300</v>
      </c>
      <c r="E194" s="342">
        <v>20.58</v>
      </c>
      <c r="F194" s="342"/>
      <c r="G194" s="344">
        <f t="shared" si="3"/>
        <v>7133.7999999999847</v>
      </c>
      <c r="H194" s="345"/>
      <c r="I194" s="346"/>
      <c r="J194" s="347"/>
      <c r="K194" s="312"/>
      <c r="L194" s="347"/>
      <c r="M194" s="312"/>
      <c r="N194" s="347"/>
      <c r="O194" s="312"/>
      <c r="P194" s="347"/>
      <c r="Q194" s="312"/>
      <c r="R194" s="347"/>
      <c r="S194" s="312"/>
      <c r="T194" s="347"/>
    </row>
    <row r="195" spans="1:20" ht="12" customHeight="1" x14ac:dyDescent="0.3">
      <c r="A195" s="340" t="s">
        <v>294</v>
      </c>
      <c r="B195" s="341">
        <v>11</v>
      </c>
      <c r="C195" s="309">
        <v>46128</v>
      </c>
      <c r="D195" s="310" t="s">
        <v>178</v>
      </c>
      <c r="E195" s="342">
        <v>267.91000000000003</v>
      </c>
      <c r="F195" s="342"/>
      <c r="G195" s="344">
        <f t="shared" si="3"/>
        <v>7154.3799999999846</v>
      </c>
      <c r="H195" s="345"/>
      <c r="I195" s="346"/>
      <c r="J195" s="347"/>
      <c r="K195" s="312"/>
      <c r="L195" s="347"/>
      <c r="M195" s="312"/>
      <c r="N195" s="347"/>
      <c r="O195" s="312"/>
      <c r="P195" s="347"/>
      <c r="Q195" s="312"/>
      <c r="R195" s="347"/>
      <c r="S195" s="312"/>
      <c r="T195" s="347"/>
    </row>
    <row r="196" spans="1:20" ht="12" customHeight="1" x14ac:dyDescent="0.3">
      <c r="A196" s="340" t="s">
        <v>291</v>
      </c>
      <c r="B196" s="341">
        <v>41</v>
      </c>
      <c r="C196" s="309">
        <v>46128</v>
      </c>
      <c r="D196" s="310" t="s">
        <v>299</v>
      </c>
      <c r="E196" s="342"/>
      <c r="F196" s="342">
        <v>300</v>
      </c>
      <c r="G196" s="344">
        <f t="shared" si="3"/>
        <v>7422.2899999999845</v>
      </c>
      <c r="H196" s="345"/>
      <c r="I196" s="346"/>
      <c r="J196" s="347"/>
      <c r="K196" s="312"/>
      <c r="L196" s="347"/>
      <c r="M196" s="312"/>
      <c r="N196" s="347"/>
      <c r="O196" s="312"/>
      <c r="P196" s="347"/>
      <c r="Q196" s="312"/>
      <c r="R196" s="347"/>
      <c r="S196" s="312"/>
      <c r="T196" s="347"/>
    </row>
    <row r="197" spans="1:20" ht="12" customHeight="1" x14ac:dyDescent="0.3">
      <c r="A197" s="340" t="s">
        <v>291</v>
      </c>
      <c r="B197" s="341">
        <v>39</v>
      </c>
      <c r="C197" s="309">
        <v>46128</v>
      </c>
      <c r="D197" s="310" t="s">
        <v>292</v>
      </c>
      <c r="E197" s="342"/>
      <c r="F197" s="342">
        <v>2763.78</v>
      </c>
      <c r="G197" s="344">
        <f t="shared" si="3"/>
        <v>7122.2899999999845</v>
      </c>
      <c r="H197" s="345"/>
      <c r="I197" s="346"/>
      <c r="J197" s="347"/>
      <c r="K197" s="312"/>
      <c r="L197" s="347"/>
      <c r="M197" s="312"/>
      <c r="N197" s="347"/>
      <c r="O197" s="312"/>
      <c r="P197" s="347"/>
      <c r="Q197" s="312"/>
      <c r="R197" s="347"/>
      <c r="S197" s="312"/>
      <c r="T197" s="347"/>
    </row>
    <row r="198" spans="1:20" ht="12" customHeight="1" x14ac:dyDescent="0.3">
      <c r="A198" s="340" t="s">
        <v>287</v>
      </c>
      <c r="B198" s="341" t="s">
        <v>287</v>
      </c>
      <c r="C198" s="309">
        <v>46127</v>
      </c>
      <c r="D198" s="310" t="s">
        <v>347</v>
      </c>
      <c r="E198" s="342">
        <v>93.71</v>
      </c>
      <c r="F198" s="342">
        <v>93.71</v>
      </c>
      <c r="G198" s="344">
        <f t="shared" si="3"/>
        <v>4358.5099999999848</v>
      </c>
      <c r="H198" s="345"/>
      <c r="I198" s="346"/>
      <c r="J198" s="347"/>
      <c r="K198" s="312"/>
      <c r="L198" s="347"/>
      <c r="M198" s="312"/>
      <c r="N198" s="347"/>
      <c r="O198" s="312"/>
      <c r="P198" s="347"/>
      <c r="Q198" s="312"/>
      <c r="R198" s="347"/>
      <c r="S198" s="312"/>
      <c r="T198" s="347"/>
    </row>
    <row r="199" spans="1:20" ht="12" customHeight="1" x14ac:dyDescent="0.3">
      <c r="A199" s="340" t="s">
        <v>289</v>
      </c>
      <c r="B199" s="341">
        <v>6</v>
      </c>
      <c r="C199" s="309">
        <v>46127</v>
      </c>
      <c r="D199" s="310" t="s">
        <v>348</v>
      </c>
      <c r="E199" s="342">
        <v>27</v>
      </c>
      <c r="F199" s="342"/>
      <c r="G199" s="344">
        <f t="shared" si="3"/>
        <v>4358.5099999999848</v>
      </c>
      <c r="H199" s="345"/>
      <c r="I199" s="346"/>
      <c r="J199" s="347"/>
      <c r="K199" s="312"/>
      <c r="L199" s="347"/>
      <c r="M199" s="312"/>
      <c r="N199" s="347"/>
      <c r="O199" s="312"/>
      <c r="P199" s="347"/>
      <c r="Q199" s="312"/>
      <c r="R199" s="347"/>
      <c r="S199" s="312"/>
      <c r="T199" s="347"/>
    </row>
    <row r="200" spans="1:20" ht="12" customHeight="1" x14ac:dyDescent="0.3">
      <c r="A200" s="340" t="s">
        <v>291</v>
      </c>
      <c r="B200" s="341">
        <v>38</v>
      </c>
      <c r="C200" s="309">
        <v>46127</v>
      </c>
      <c r="D200" s="310" t="s">
        <v>293</v>
      </c>
      <c r="E200" s="342"/>
      <c r="F200" s="342">
        <v>4597.82</v>
      </c>
      <c r="G200" s="344">
        <f t="shared" si="3"/>
        <v>4385.5099999999848</v>
      </c>
      <c r="H200" s="345"/>
      <c r="I200" s="346"/>
      <c r="J200" s="347"/>
      <c r="K200" s="312"/>
      <c r="L200" s="347"/>
      <c r="M200" s="312"/>
      <c r="N200" s="347"/>
      <c r="O200" s="312"/>
      <c r="P200" s="347"/>
      <c r="Q200" s="312"/>
      <c r="R200" s="347"/>
      <c r="S200" s="312"/>
      <c r="T200" s="347"/>
    </row>
    <row r="201" spans="1:20" ht="12" customHeight="1" x14ac:dyDescent="0.3">
      <c r="A201" s="340" t="s">
        <v>289</v>
      </c>
      <c r="B201" s="341">
        <v>2</v>
      </c>
      <c r="C201" s="309">
        <v>46127</v>
      </c>
      <c r="D201" s="310" t="s">
        <v>296</v>
      </c>
      <c r="E201" s="342">
        <v>14.67</v>
      </c>
      <c r="F201" s="342"/>
      <c r="G201" s="344">
        <f t="shared" si="3"/>
        <v>-212.31000000001481</v>
      </c>
      <c r="H201" s="345"/>
      <c r="I201" s="346"/>
      <c r="J201" s="347"/>
      <c r="K201" s="312"/>
      <c r="L201" s="347"/>
      <c r="M201" s="312"/>
      <c r="N201" s="347"/>
      <c r="O201" s="312"/>
      <c r="P201" s="347"/>
      <c r="Q201" s="312"/>
      <c r="R201" s="347"/>
      <c r="S201" s="312"/>
      <c r="T201" s="347"/>
    </row>
    <row r="202" spans="1:20" ht="12" customHeight="1" x14ac:dyDescent="0.3">
      <c r="A202" s="340" t="s">
        <v>289</v>
      </c>
      <c r="B202" s="341">
        <v>2</v>
      </c>
      <c r="C202" s="309">
        <v>46127</v>
      </c>
      <c r="D202" s="310" t="s">
        <v>349</v>
      </c>
      <c r="E202" s="342">
        <v>102.2</v>
      </c>
      <c r="F202" s="342"/>
      <c r="G202" s="344">
        <f t="shared" si="3"/>
        <v>-197.64000000001482</v>
      </c>
      <c r="H202" s="345"/>
      <c r="I202" s="346"/>
      <c r="J202" s="347"/>
      <c r="K202" s="312"/>
      <c r="L202" s="347"/>
      <c r="M202" s="312"/>
      <c r="N202" s="347"/>
      <c r="O202" s="312"/>
      <c r="P202" s="347"/>
      <c r="Q202" s="312"/>
      <c r="R202" s="347"/>
      <c r="S202" s="312"/>
      <c r="T202" s="347"/>
    </row>
    <row r="203" spans="1:20" ht="12" customHeight="1" x14ac:dyDescent="0.3">
      <c r="A203" s="340" t="s">
        <v>289</v>
      </c>
      <c r="B203" s="341">
        <v>8</v>
      </c>
      <c r="C203" s="309">
        <v>46126</v>
      </c>
      <c r="D203" s="310" t="s">
        <v>321</v>
      </c>
      <c r="E203" s="342">
        <v>15.53</v>
      </c>
      <c r="F203" s="342"/>
      <c r="G203" s="344">
        <f t="shared" si="3"/>
        <v>-95.440000000014805</v>
      </c>
      <c r="H203" s="345"/>
      <c r="I203" s="346"/>
      <c r="J203" s="347"/>
      <c r="K203" s="312"/>
      <c r="L203" s="347"/>
      <c r="M203" s="312"/>
      <c r="N203" s="347"/>
      <c r="O203" s="312"/>
      <c r="P203" s="347"/>
      <c r="Q203" s="312"/>
      <c r="R203" s="347"/>
      <c r="S203" s="312"/>
      <c r="T203" s="347"/>
    </row>
    <row r="204" spans="1:20" ht="12" customHeight="1" x14ac:dyDescent="0.3">
      <c r="A204" s="340" t="s">
        <v>294</v>
      </c>
      <c r="B204" s="341">
        <v>24</v>
      </c>
      <c r="C204" s="309">
        <v>46126</v>
      </c>
      <c r="D204" s="310" t="s">
        <v>199</v>
      </c>
      <c r="E204" s="342">
        <v>105.33</v>
      </c>
      <c r="F204" s="342"/>
      <c r="G204" s="344">
        <f t="shared" si="3"/>
        <v>-79.910000000014804</v>
      </c>
      <c r="H204" s="345"/>
      <c r="I204" s="346"/>
      <c r="J204" s="347"/>
      <c r="K204" s="312"/>
      <c r="L204" s="347"/>
      <c r="M204" s="312"/>
      <c r="N204" s="347"/>
      <c r="O204" s="312"/>
      <c r="P204" s="347"/>
      <c r="Q204" s="312"/>
      <c r="R204" s="347"/>
      <c r="S204" s="312"/>
      <c r="T204" s="347"/>
    </row>
    <row r="205" spans="1:20" ht="12" customHeight="1" x14ac:dyDescent="0.3">
      <c r="A205" s="340" t="s">
        <v>289</v>
      </c>
      <c r="B205" s="341">
        <v>2</v>
      </c>
      <c r="C205" s="309">
        <v>46125</v>
      </c>
      <c r="D205" s="310" t="s">
        <v>350</v>
      </c>
      <c r="E205" s="342">
        <v>11.64</v>
      </c>
      <c r="F205" s="342"/>
      <c r="G205" s="344">
        <f t="shared" si="3"/>
        <v>25.419999999985201</v>
      </c>
      <c r="H205" s="345"/>
      <c r="I205" s="346"/>
      <c r="J205" s="347"/>
      <c r="K205" s="312"/>
      <c r="L205" s="347"/>
      <c r="M205" s="312"/>
      <c r="N205" s="347"/>
      <c r="O205" s="312"/>
      <c r="P205" s="347"/>
      <c r="Q205" s="312"/>
      <c r="R205" s="347"/>
      <c r="S205" s="312"/>
      <c r="T205" s="347"/>
    </row>
    <row r="206" spans="1:20" ht="12" customHeight="1" x14ac:dyDescent="0.3">
      <c r="A206" s="340" t="s">
        <v>289</v>
      </c>
      <c r="B206" s="341">
        <v>1</v>
      </c>
      <c r="C206" s="309">
        <v>46125</v>
      </c>
      <c r="D206" s="310" t="s">
        <v>307</v>
      </c>
      <c r="E206" s="342">
        <v>50.71</v>
      </c>
      <c r="F206" s="342"/>
      <c r="G206" s="344">
        <f t="shared" si="3"/>
        <v>37.059999999985202</v>
      </c>
      <c r="H206" s="345"/>
      <c r="I206" s="346"/>
      <c r="J206" s="347"/>
      <c r="K206" s="312"/>
      <c r="L206" s="347"/>
      <c r="M206" s="312"/>
      <c r="N206" s="347"/>
      <c r="O206" s="312"/>
      <c r="P206" s="347"/>
      <c r="Q206" s="312"/>
      <c r="R206" s="347"/>
      <c r="S206" s="312"/>
      <c r="T206" s="347"/>
    </row>
    <row r="207" spans="1:20" ht="12" customHeight="1" x14ac:dyDescent="0.3">
      <c r="A207" s="340" t="s">
        <v>289</v>
      </c>
      <c r="B207" s="341">
        <v>2</v>
      </c>
      <c r="C207" s="309">
        <v>46125</v>
      </c>
      <c r="D207" s="310" t="s">
        <v>338</v>
      </c>
      <c r="E207" s="342">
        <v>11.06</v>
      </c>
      <c r="F207" s="342"/>
      <c r="G207" s="344">
        <f t="shared" si="3"/>
        <v>87.769999999985203</v>
      </c>
      <c r="H207" s="345"/>
      <c r="I207" s="346"/>
      <c r="J207" s="347"/>
      <c r="K207" s="312"/>
      <c r="L207" s="347"/>
      <c r="M207" s="312"/>
      <c r="N207" s="347"/>
      <c r="O207" s="312"/>
      <c r="P207" s="347"/>
      <c r="Q207" s="312"/>
      <c r="R207" s="347"/>
      <c r="S207" s="312"/>
      <c r="T207" s="347"/>
    </row>
    <row r="208" spans="1:20" ht="12" customHeight="1" x14ac:dyDescent="0.3">
      <c r="A208" s="340" t="s">
        <v>289</v>
      </c>
      <c r="B208" s="341">
        <v>4</v>
      </c>
      <c r="C208" s="309">
        <v>46125</v>
      </c>
      <c r="D208" s="310" t="s">
        <v>295</v>
      </c>
      <c r="E208" s="342">
        <v>35.979999999999997</v>
      </c>
      <c r="F208" s="342"/>
      <c r="G208" s="344">
        <f t="shared" si="3"/>
        <v>98.829999999985205</v>
      </c>
      <c r="H208" s="345"/>
      <c r="I208" s="346"/>
      <c r="J208" s="347"/>
      <c r="K208" s="312"/>
      <c r="L208" s="347"/>
      <c r="M208" s="312"/>
      <c r="N208" s="347"/>
      <c r="O208" s="312"/>
      <c r="P208" s="347"/>
      <c r="Q208" s="312"/>
      <c r="R208" s="347"/>
      <c r="S208" s="312"/>
      <c r="T208" s="347"/>
    </row>
    <row r="209" spans="1:20" ht="12" customHeight="1" x14ac:dyDescent="0.3">
      <c r="A209" s="340" t="s">
        <v>289</v>
      </c>
      <c r="B209" s="341">
        <v>8</v>
      </c>
      <c r="C209" s="309">
        <v>46125</v>
      </c>
      <c r="D209" s="310" t="s">
        <v>351</v>
      </c>
      <c r="E209" s="342">
        <v>7.83</v>
      </c>
      <c r="F209" s="342"/>
      <c r="G209" s="344">
        <f t="shared" si="3"/>
        <v>134.80999999998519</v>
      </c>
      <c r="H209" s="345"/>
      <c r="I209" s="346"/>
      <c r="J209" s="347"/>
      <c r="K209" s="312"/>
      <c r="L209" s="347"/>
      <c r="M209" s="312"/>
      <c r="N209" s="347"/>
      <c r="O209" s="312"/>
      <c r="P209" s="347"/>
      <c r="Q209" s="312"/>
      <c r="R209" s="347"/>
      <c r="S209" s="312"/>
      <c r="T209" s="347"/>
    </row>
    <row r="210" spans="1:20" ht="12" customHeight="1" x14ac:dyDescent="0.3">
      <c r="A210" s="340" t="s">
        <v>289</v>
      </c>
      <c r="B210" s="341">
        <v>3</v>
      </c>
      <c r="C210" s="309">
        <v>46125</v>
      </c>
      <c r="D210" s="310" t="s">
        <v>352</v>
      </c>
      <c r="E210" s="342">
        <v>4.1900000000000004</v>
      </c>
      <c r="F210" s="342"/>
      <c r="G210" s="344">
        <f t="shared" si="3"/>
        <v>142.63999999998521</v>
      </c>
      <c r="H210" s="345"/>
      <c r="I210" s="346"/>
      <c r="J210" s="347"/>
      <c r="K210" s="312"/>
      <c r="L210" s="347"/>
      <c r="M210" s="312"/>
      <c r="N210" s="347"/>
      <c r="O210" s="312"/>
      <c r="P210" s="347"/>
      <c r="Q210" s="312"/>
      <c r="R210" s="347"/>
      <c r="S210" s="312"/>
      <c r="T210" s="347"/>
    </row>
    <row r="211" spans="1:20" ht="12" customHeight="1" x14ac:dyDescent="0.3">
      <c r="A211" s="340" t="s">
        <v>289</v>
      </c>
      <c r="B211" s="341">
        <v>8</v>
      </c>
      <c r="C211" s="309">
        <v>46125</v>
      </c>
      <c r="D211" s="310" t="s">
        <v>353</v>
      </c>
      <c r="E211" s="342">
        <v>39.25</v>
      </c>
      <c r="F211" s="342"/>
      <c r="G211" s="344">
        <f t="shared" si="3"/>
        <v>146.8299999999852</v>
      </c>
      <c r="H211" s="345"/>
      <c r="I211" s="346"/>
      <c r="J211" s="347"/>
      <c r="K211" s="312"/>
      <c r="L211" s="347"/>
      <c r="M211" s="312"/>
      <c r="N211" s="347"/>
      <c r="O211" s="312"/>
      <c r="P211" s="347"/>
      <c r="Q211" s="312"/>
      <c r="R211" s="347"/>
      <c r="S211" s="312"/>
      <c r="T211" s="347"/>
    </row>
    <row r="212" spans="1:20" ht="12" customHeight="1" x14ac:dyDescent="0.3">
      <c r="A212" s="340" t="s">
        <v>287</v>
      </c>
      <c r="B212" s="341" t="s">
        <v>287</v>
      </c>
      <c r="C212" s="309">
        <v>46125</v>
      </c>
      <c r="D212" s="310" t="s">
        <v>354</v>
      </c>
      <c r="E212" s="342">
        <v>318.36</v>
      </c>
      <c r="F212" s="342">
        <v>318.36</v>
      </c>
      <c r="G212" s="344">
        <f t="shared" si="3"/>
        <v>186.0799999999852</v>
      </c>
      <c r="H212" s="345"/>
      <c r="I212" s="346"/>
      <c r="J212" s="347"/>
      <c r="K212" s="312"/>
      <c r="L212" s="347"/>
      <c r="M212" s="312"/>
      <c r="N212" s="347"/>
      <c r="O212" s="312"/>
      <c r="P212" s="347"/>
      <c r="Q212" s="312"/>
      <c r="R212" s="347"/>
      <c r="S212" s="312"/>
      <c r="T212" s="347"/>
    </row>
    <row r="213" spans="1:20" ht="12" customHeight="1" x14ac:dyDescent="0.3">
      <c r="A213" s="340" t="s">
        <v>294</v>
      </c>
      <c r="B213" s="341">
        <v>19</v>
      </c>
      <c r="C213" s="309">
        <v>46125</v>
      </c>
      <c r="D213" s="310" t="s">
        <v>191</v>
      </c>
      <c r="E213" s="342">
        <v>200</v>
      </c>
      <c r="F213" s="342"/>
      <c r="G213" s="344">
        <f t="shared" si="3"/>
        <v>186.0799999999852</v>
      </c>
      <c r="H213" s="345"/>
      <c r="I213" s="346"/>
      <c r="J213" s="347"/>
      <c r="K213" s="312"/>
      <c r="L213" s="347"/>
      <c r="M213" s="312"/>
      <c r="N213" s="347"/>
      <c r="O213" s="312"/>
      <c r="P213" s="347"/>
      <c r="Q213" s="312"/>
      <c r="R213" s="347"/>
      <c r="S213" s="312"/>
      <c r="T213" s="347"/>
    </row>
    <row r="214" spans="1:20" ht="12" customHeight="1" x14ac:dyDescent="0.3">
      <c r="A214" s="340" t="s">
        <v>289</v>
      </c>
      <c r="B214" s="341">
        <v>1</v>
      </c>
      <c r="C214" s="309">
        <v>46124</v>
      </c>
      <c r="D214" s="310" t="s">
        <v>304</v>
      </c>
      <c r="E214" s="342">
        <v>136.05000000000001</v>
      </c>
      <c r="F214" s="342"/>
      <c r="G214" s="344">
        <f t="shared" si="3"/>
        <v>386.0799999999852</v>
      </c>
      <c r="H214" s="345"/>
      <c r="I214" s="346"/>
      <c r="J214" s="347"/>
      <c r="K214" s="312"/>
      <c r="L214" s="347"/>
      <c r="M214" s="312"/>
      <c r="N214" s="347"/>
      <c r="O214" s="312"/>
      <c r="P214" s="347"/>
      <c r="Q214" s="312"/>
      <c r="R214" s="347"/>
      <c r="S214" s="312"/>
      <c r="T214" s="347"/>
    </row>
    <row r="215" spans="1:20" ht="12" customHeight="1" x14ac:dyDescent="0.3">
      <c r="A215" s="340" t="s">
        <v>289</v>
      </c>
      <c r="B215" s="341">
        <v>3</v>
      </c>
      <c r="C215" s="309">
        <v>46124</v>
      </c>
      <c r="D215" s="310" t="s">
        <v>352</v>
      </c>
      <c r="E215" s="342">
        <v>13.09</v>
      </c>
      <c r="F215" s="342"/>
      <c r="G215" s="344">
        <f t="shared" si="3"/>
        <v>522.12999999998522</v>
      </c>
      <c r="H215" s="345"/>
      <c r="I215" s="346"/>
      <c r="J215" s="347"/>
      <c r="K215" s="312"/>
      <c r="L215" s="347"/>
      <c r="M215" s="312"/>
      <c r="N215" s="347"/>
      <c r="O215" s="312"/>
      <c r="P215" s="347"/>
      <c r="Q215" s="312"/>
      <c r="R215" s="347"/>
      <c r="S215" s="312"/>
      <c r="T215" s="347"/>
    </row>
    <row r="216" spans="1:20" ht="12" customHeight="1" x14ac:dyDescent="0.3">
      <c r="A216" s="340" t="s">
        <v>289</v>
      </c>
      <c r="B216" s="341">
        <v>8</v>
      </c>
      <c r="C216" s="309">
        <v>46124</v>
      </c>
      <c r="D216" s="310" t="s">
        <v>321</v>
      </c>
      <c r="E216" s="342">
        <v>24.47</v>
      </c>
      <c r="F216" s="342"/>
      <c r="G216" s="344">
        <f t="shared" si="3"/>
        <v>535.21999999998525</v>
      </c>
      <c r="H216" s="345"/>
      <c r="I216" s="346"/>
      <c r="J216" s="347"/>
      <c r="K216" s="312"/>
      <c r="L216" s="347"/>
      <c r="M216" s="312"/>
      <c r="N216" s="347"/>
      <c r="O216" s="312"/>
      <c r="P216" s="347"/>
      <c r="Q216" s="312"/>
      <c r="R216" s="347"/>
      <c r="S216" s="312"/>
      <c r="T216" s="347"/>
    </row>
    <row r="217" spans="1:20" ht="12" customHeight="1" x14ac:dyDescent="0.3">
      <c r="A217" s="340" t="s">
        <v>289</v>
      </c>
      <c r="B217" s="341">
        <v>8</v>
      </c>
      <c r="C217" s="309">
        <v>46124</v>
      </c>
      <c r="D217" s="310" t="s">
        <v>321</v>
      </c>
      <c r="E217" s="342">
        <v>14.29</v>
      </c>
      <c r="F217" s="342"/>
      <c r="G217" s="344">
        <f t="shared" si="3"/>
        <v>559.68999999998528</v>
      </c>
      <c r="H217" s="345"/>
      <c r="I217" s="346"/>
      <c r="J217" s="347"/>
      <c r="K217" s="312"/>
      <c r="L217" s="347"/>
      <c r="M217" s="312"/>
      <c r="N217" s="347"/>
      <c r="O217" s="312"/>
      <c r="P217" s="347"/>
      <c r="Q217" s="312"/>
      <c r="R217" s="347"/>
      <c r="S217" s="312"/>
      <c r="T217" s="347"/>
    </row>
    <row r="218" spans="1:20" ht="12" customHeight="1" x14ac:dyDescent="0.3">
      <c r="A218" s="340" t="s">
        <v>294</v>
      </c>
      <c r="B218" s="341">
        <v>22</v>
      </c>
      <c r="C218" s="309">
        <v>46124</v>
      </c>
      <c r="D218" s="310" t="s">
        <v>306</v>
      </c>
      <c r="E218" s="342">
        <v>9.57</v>
      </c>
      <c r="F218" s="342"/>
      <c r="G218" s="344">
        <f t="shared" si="3"/>
        <v>573.97999999998524</v>
      </c>
      <c r="H218" s="345"/>
      <c r="I218" s="346"/>
      <c r="J218" s="347"/>
      <c r="K218" s="312"/>
      <c r="L218" s="347"/>
      <c r="M218" s="312"/>
      <c r="N218" s="347"/>
      <c r="O218" s="312"/>
      <c r="P218" s="347"/>
      <c r="Q218" s="312"/>
      <c r="R218" s="347"/>
      <c r="S218" s="312"/>
      <c r="T218" s="347"/>
    </row>
    <row r="219" spans="1:20" ht="12" customHeight="1" x14ac:dyDescent="0.3">
      <c r="A219" s="340" t="s">
        <v>289</v>
      </c>
      <c r="B219" s="341">
        <v>3</v>
      </c>
      <c r="C219" s="309">
        <v>46124</v>
      </c>
      <c r="D219" s="310" t="s">
        <v>355</v>
      </c>
      <c r="E219" s="342">
        <v>25</v>
      </c>
      <c r="F219" s="342"/>
      <c r="G219" s="344">
        <f t="shared" si="3"/>
        <v>583.54999999998529</v>
      </c>
      <c r="H219" s="345"/>
      <c r="I219" s="346"/>
      <c r="J219" s="347"/>
      <c r="K219" s="312"/>
      <c r="L219" s="347"/>
      <c r="M219" s="312"/>
      <c r="N219" s="347"/>
      <c r="O219" s="312"/>
      <c r="P219" s="347"/>
      <c r="Q219" s="312"/>
      <c r="R219" s="347"/>
      <c r="S219" s="312"/>
      <c r="T219" s="347"/>
    </row>
    <row r="220" spans="1:20" ht="12" customHeight="1" x14ac:dyDescent="0.3">
      <c r="A220" s="340" t="s">
        <v>294</v>
      </c>
      <c r="B220" s="341">
        <v>22</v>
      </c>
      <c r="C220" s="309">
        <v>46123</v>
      </c>
      <c r="D220" s="310" t="s">
        <v>356</v>
      </c>
      <c r="E220" s="342">
        <v>19.16</v>
      </c>
      <c r="F220" s="342"/>
      <c r="G220" s="344">
        <f t="shared" si="3"/>
        <v>608.54999999998529</v>
      </c>
      <c r="H220" s="345"/>
      <c r="I220" s="346"/>
      <c r="J220" s="347"/>
      <c r="K220" s="312"/>
      <c r="L220" s="347"/>
      <c r="M220" s="312"/>
      <c r="N220" s="347"/>
      <c r="O220" s="312"/>
      <c r="P220" s="347"/>
      <c r="Q220" s="312"/>
      <c r="R220" s="347"/>
      <c r="S220" s="312"/>
      <c r="T220" s="347"/>
    </row>
    <row r="221" spans="1:20" ht="12" customHeight="1" x14ac:dyDescent="0.3">
      <c r="A221" s="340" t="s">
        <v>289</v>
      </c>
      <c r="B221" s="341">
        <v>2</v>
      </c>
      <c r="C221" s="309">
        <v>46123</v>
      </c>
      <c r="D221" s="310" t="s">
        <v>301</v>
      </c>
      <c r="E221" s="342">
        <v>20.91</v>
      </c>
      <c r="F221" s="342"/>
      <c r="G221" s="344">
        <f t="shared" si="3"/>
        <v>627.70999999998526</v>
      </c>
      <c r="H221" s="345"/>
      <c r="I221" s="346"/>
      <c r="J221" s="347"/>
      <c r="K221" s="312"/>
      <c r="L221" s="347"/>
      <c r="M221" s="312"/>
      <c r="N221" s="347"/>
      <c r="O221" s="312"/>
      <c r="P221" s="347"/>
      <c r="Q221" s="312"/>
      <c r="R221" s="347"/>
      <c r="S221" s="312"/>
      <c r="T221" s="347"/>
    </row>
    <row r="222" spans="1:20" ht="12" customHeight="1" x14ac:dyDescent="0.3">
      <c r="A222" s="340" t="s">
        <v>289</v>
      </c>
      <c r="B222" s="341">
        <v>2</v>
      </c>
      <c r="C222" s="309">
        <v>46123</v>
      </c>
      <c r="D222" s="310" t="s">
        <v>296</v>
      </c>
      <c r="E222" s="342">
        <v>12.44</v>
      </c>
      <c r="F222" s="342"/>
      <c r="G222" s="344">
        <f t="shared" si="3"/>
        <v>648.61999999998523</v>
      </c>
      <c r="H222" s="345"/>
      <c r="I222" s="346"/>
      <c r="J222" s="347"/>
      <c r="K222" s="312"/>
      <c r="L222" s="347"/>
      <c r="M222" s="312"/>
      <c r="N222" s="347"/>
      <c r="O222" s="312"/>
      <c r="P222" s="347"/>
      <c r="Q222" s="312"/>
      <c r="R222" s="347"/>
      <c r="S222" s="312"/>
      <c r="T222" s="347"/>
    </row>
    <row r="223" spans="1:20" ht="12" customHeight="1" x14ac:dyDescent="0.3">
      <c r="A223" s="340" t="s">
        <v>289</v>
      </c>
      <c r="B223" s="341">
        <v>2</v>
      </c>
      <c r="C223" s="309">
        <v>46123</v>
      </c>
      <c r="D223" s="310" t="s">
        <v>357</v>
      </c>
      <c r="E223" s="342">
        <v>41.34</v>
      </c>
      <c r="F223" s="342"/>
      <c r="G223" s="344">
        <f t="shared" si="3"/>
        <v>661.05999999998528</v>
      </c>
      <c r="H223" s="345"/>
      <c r="I223" s="346"/>
      <c r="J223" s="347"/>
      <c r="K223" s="312"/>
      <c r="L223" s="347"/>
      <c r="M223" s="312"/>
      <c r="N223" s="347"/>
      <c r="O223" s="312"/>
      <c r="P223" s="347"/>
      <c r="Q223" s="312"/>
      <c r="R223" s="347"/>
      <c r="S223" s="312"/>
      <c r="T223" s="347"/>
    </row>
    <row r="224" spans="1:20" ht="12" customHeight="1" x14ac:dyDescent="0.3">
      <c r="A224" s="340" t="s">
        <v>289</v>
      </c>
      <c r="B224" s="341">
        <v>6</v>
      </c>
      <c r="C224" s="309">
        <v>46122</v>
      </c>
      <c r="D224" s="310" t="s">
        <v>454</v>
      </c>
      <c r="E224" s="342">
        <v>-0.04</v>
      </c>
      <c r="F224" s="342"/>
      <c r="G224" s="344">
        <f t="shared" si="3"/>
        <v>702.39999999998531</v>
      </c>
      <c r="H224" s="345"/>
      <c r="I224" s="346"/>
      <c r="J224" s="347"/>
      <c r="K224" s="312"/>
      <c r="L224" s="347"/>
      <c r="M224" s="312"/>
      <c r="N224" s="347"/>
      <c r="O224" s="312"/>
      <c r="P224" s="347"/>
      <c r="Q224" s="312"/>
      <c r="R224" s="347"/>
      <c r="S224" s="312"/>
      <c r="T224" s="347"/>
    </row>
    <row r="225" spans="1:20" ht="12" customHeight="1" x14ac:dyDescent="0.3">
      <c r="A225" s="340" t="s">
        <v>289</v>
      </c>
      <c r="B225" s="341">
        <v>5</v>
      </c>
      <c r="C225" s="309">
        <v>46122</v>
      </c>
      <c r="D225" s="310" t="s">
        <v>358</v>
      </c>
      <c r="E225" s="342">
        <v>372</v>
      </c>
      <c r="F225" s="342"/>
      <c r="G225" s="344">
        <f t="shared" si="3"/>
        <v>702.35999999998535</v>
      </c>
      <c r="H225" s="345" t="s">
        <v>298</v>
      </c>
      <c r="I225" s="346"/>
      <c r="J225" s="347"/>
      <c r="K225" s="312"/>
      <c r="L225" s="347"/>
      <c r="M225" s="312"/>
      <c r="N225" s="347"/>
      <c r="O225" s="312"/>
      <c r="P225" s="347"/>
      <c r="Q225" s="312"/>
      <c r="R225" s="347"/>
      <c r="S225" s="312"/>
      <c r="T225" s="347"/>
    </row>
    <row r="226" spans="1:20" ht="12" customHeight="1" x14ac:dyDescent="0.3">
      <c r="A226" s="340" t="s">
        <v>289</v>
      </c>
      <c r="B226" s="341">
        <v>2</v>
      </c>
      <c r="C226" s="309">
        <v>46122</v>
      </c>
      <c r="D226" s="310" t="s">
        <v>359</v>
      </c>
      <c r="E226" s="342">
        <v>15.22</v>
      </c>
      <c r="F226" s="342"/>
      <c r="G226" s="344">
        <f t="shared" si="3"/>
        <v>1074.3599999999853</v>
      </c>
      <c r="H226" s="345"/>
      <c r="I226" s="346"/>
      <c r="J226" s="347"/>
      <c r="K226" s="312"/>
      <c r="L226" s="347"/>
      <c r="M226" s="312"/>
      <c r="N226" s="347"/>
      <c r="O226" s="312"/>
      <c r="P226" s="347"/>
      <c r="Q226" s="312"/>
      <c r="R226" s="347"/>
      <c r="S226" s="312"/>
      <c r="T226" s="347"/>
    </row>
    <row r="227" spans="1:20" ht="12" customHeight="1" x14ac:dyDescent="0.3">
      <c r="A227" s="340" t="s">
        <v>289</v>
      </c>
      <c r="B227" s="341">
        <v>3</v>
      </c>
      <c r="C227" s="309">
        <v>46122</v>
      </c>
      <c r="D227" s="310" t="s">
        <v>296</v>
      </c>
      <c r="E227" s="342">
        <v>9.5500000000000007</v>
      </c>
      <c r="F227" s="342"/>
      <c r="G227" s="344">
        <f t="shared" si="3"/>
        <v>1089.5799999999854</v>
      </c>
      <c r="H227" s="345"/>
      <c r="I227" s="346"/>
      <c r="J227" s="347"/>
      <c r="K227" s="312"/>
      <c r="L227" s="347"/>
      <c r="M227" s="312"/>
      <c r="N227" s="347"/>
      <c r="O227" s="312"/>
      <c r="P227" s="347"/>
      <c r="Q227" s="312"/>
      <c r="R227" s="347"/>
      <c r="S227" s="312"/>
      <c r="T227" s="347"/>
    </row>
    <row r="228" spans="1:20" ht="12" customHeight="1" x14ac:dyDescent="0.3">
      <c r="A228" s="340" t="s">
        <v>289</v>
      </c>
      <c r="B228" s="341">
        <v>8</v>
      </c>
      <c r="C228" s="309">
        <v>46122</v>
      </c>
      <c r="D228" s="310" t="s">
        <v>360</v>
      </c>
      <c r="E228" s="342">
        <v>52.65</v>
      </c>
      <c r="F228" s="342"/>
      <c r="G228" s="344">
        <f t="shared" si="3"/>
        <v>1099.1299999999853</v>
      </c>
      <c r="H228" s="345"/>
      <c r="I228" s="346"/>
      <c r="J228" s="347"/>
      <c r="K228" s="312"/>
      <c r="L228" s="347"/>
      <c r="M228" s="312"/>
      <c r="N228" s="347"/>
      <c r="O228" s="312"/>
      <c r="P228" s="347"/>
      <c r="Q228" s="312"/>
      <c r="R228" s="347"/>
      <c r="S228" s="312"/>
      <c r="T228" s="347"/>
    </row>
    <row r="229" spans="1:20" ht="12" customHeight="1" x14ac:dyDescent="0.3">
      <c r="A229" s="340" t="s">
        <v>289</v>
      </c>
      <c r="B229" s="341">
        <v>1</v>
      </c>
      <c r="C229" s="309">
        <v>46122</v>
      </c>
      <c r="D229" s="310" t="s">
        <v>312</v>
      </c>
      <c r="E229" s="342">
        <v>68.989999999999995</v>
      </c>
      <c r="F229" s="342"/>
      <c r="G229" s="344">
        <f t="shared" si="3"/>
        <v>1151.7799999999854</v>
      </c>
      <c r="H229" s="345"/>
      <c r="I229" s="346"/>
      <c r="J229" s="347"/>
      <c r="K229" s="312"/>
      <c r="L229" s="347"/>
      <c r="M229" s="312"/>
      <c r="N229" s="347"/>
      <c r="O229" s="312"/>
      <c r="P229" s="347"/>
      <c r="Q229" s="312"/>
      <c r="R229" s="347"/>
      <c r="S229" s="312"/>
      <c r="T229" s="347"/>
    </row>
    <row r="230" spans="1:20" ht="12" customHeight="1" x14ac:dyDescent="0.3">
      <c r="A230" s="340" t="s">
        <v>289</v>
      </c>
      <c r="B230" s="341">
        <v>2</v>
      </c>
      <c r="C230" s="309">
        <v>46122</v>
      </c>
      <c r="D230" s="310" t="s">
        <v>327</v>
      </c>
      <c r="E230" s="342">
        <v>17.37</v>
      </c>
      <c r="F230" s="342"/>
      <c r="G230" s="344">
        <f t="shared" si="3"/>
        <v>1220.7699999999854</v>
      </c>
      <c r="H230" s="345"/>
      <c r="I230" s="346"/>
      <c r="J230" s="347"/>
      <c r="K230" s="312"/>
      <c r="L230" s="347"/>
      <c r="M230" s="312"/>
      <c r="N230" s="347"/>
      <c r="O230" s="312"/>
      <c r="P230" s="347"/>
      <c r="Q230" s="312"/>
      <c r="R230" s="347"/>
      <c r="S230" s="312"/>
      <c r="T230" s="347"/>
    </row>
    <row r="231" spans="1:20" ht="12" customHeight="1" x14ac:dyDescent="0.3">
      <c r="A231" s="340" t="s">
        <v>289</v>
      </c>
      <c r="B231" s="341">
        <v>8</v>
      </c>
      <c r="C231" s="309">
        <v>46121</v>
      </c>
      <c r="D231" s="310" t="s">
        <v>361</v>
      </c>
      <c r="E231" s="342">
        <v>64.42</v>
      </c>
      <c r="F231" s="342"/>
      <c r="G231" s="344">
        <f t="shared" si="3"/>
        <v>1238.1399999999853</v>
      </c>
      <c r="H231" s="345"/>
      <c r="I231" s="346"/>
      <c r="J231" s="347"/>
      <c r="K231" s="312"/>
      <c r="L231" s="347"/>
      <c r="M231" s="312"/>
      <c r="N231" s="347"/>
      <c r="O231" s="312"/>
      <c r="P231" s="347"/>
      <c r="Q231" s="312"/>
      <c r="R231" s="347"/>
      <c r="S231" s="312"/>
      <c r="T231" s="347"/>
    </row>
    <row r="232" spans="1:20" ht="12" customHeight="1" x14ac:dyDescent="0.3">
      <c r="A232" s="340" t="s">
        <v>289</v>
      </c>
      <c r="B232" s="341">
        <v>2</v>
      </c>
      <c r="C232" s="309">
        <v>46121</v>
      </c>
      <c r="D232" s="310" t="s">
        <v>362</v>
      </c>
      <c r="E232" s="342">
        <v>9.4700000000000006</v>
      </c>
      <c r="F232" s="342"/>
      <c r="G232" s="344">
        <f t="shared" si="3"/>
        <v>1302.5599999999854</v>
      </c>
      <c r="H232" s="345"/>
      <c r="I232" s="346"/>
      <c r="J232" s="347"/>
      <c r="K232" s="312"/>
      <c r="L232" s="347"/>
      <c r="M232" s="312"/>
      <c r="N232" s="347"/>
      <c r="O232" s="312"/>
      <c r="P232" s="347"/>
      <c r="Q232" s="312"/>
      <c r="R232" s="347"/>
      <c r="S232" s="312"/>
      <c r="T232" s="347"/>
    </row>
    <row r="233" spans="1:20" ht="12" customHeight="1" x14ac:dyDescent="0.3">
      <c r="A233" s="340" t="s">
        <v>289</v>
      </c>
      <c r="B233" s="341">
        <v>5</v>
      </c>
      <c r="C233" s="309">
        <v>46121</v>
      </c>
      <c r="D233" s="310" t="s">
        <v>870</v>
      </c>
      <c r="E233" s="342">
        <v>10.68</v>
      </c>
      <c r="F233" s="342"/>
      <c r="G233" s="344">
        <f t="shared" si="3"/>
        <v>1312.0299999999854</v>
      </c>
      <c r="H233" s="345"/>
      <c r="I233" s="346"/>
      <c r="J233" s="347"/>
      <c r="K233" s="312"/>
      <c r="L233" s="347"/>
      <c r="M233" s="312"/>
      <c r="N233" s="347"/>
      <c r="O233" s="312"/>
      <c r="P233" s="347"/>
      <c r="Q233" s="312"/>
      <c r="R233" s="347"/>
      <c r="S233" s="312"/>
      <c r="T233" s="347"/>
    </row>
    <row r="234" spans="1:20" ht="12" customHeight="1" x14ac:dyDescent="0.3">
      <c r="A234" s="340" t="s">
        <v>289</v>
      </c>
      <c r="B234" s="341">
        <v>7</v>
      </c>
      <c r="C234" s="309">
        <v>46121</v>
      </c>
      <c r="D234" s="310" t="s">
        <v>363</v>
      </c>
      <c r="E234" s="342">
        <v>68.010000000000005</v>
      </c>
      <c r="F234" s="342"/>
      <c r="G234" s="344">
        <f t="shared" si="3"/>
        <v>1322.7099999999855</v>
      </c>
      <c r="H234" s="345"/>
      <c r="I234" s="346"/>
      <c r="J234" s="347"/>
      <c r="K234" s="312"/>
      <c r="L234" s="347"/>
      <c r="M234" s="312"/>
      <c r="N234" s="347"/>
      <c r="O234" s="312"/>
      <c r="P234" s="347"/>
      <c r="Q234" s="312"/>
      <c r="R234" s="347"/>
      <c r="S234" s="312"/>
      <c r="T234" s="347"/>
    </row>
    <row r="235" spans="1:20" ht="12" customHeight="1" x14ac:dyDescent="0.3">
      <c r="A235" s="340" t="s">
        <v>289</v>
      </c>
      <c r="B235" s="341">
        <v>4</v>
      </c>
      <c r="C235" s="309">
        <v>46121</v>
      </c>
      <c r="D235" s="310" t="s">
        <v>311</v>
      </c>
      <c r="E235" s="342">
        <v>40.85</v>
      </c>
      <c r="F235" s="342"/>
      <c r="G235" s="344">
        <f t="shared" si="3"/>
        <v>1390.7199999999855</v>
      </c>
      <c r="H235" s="345"/>
      <c r="I235" s="346"/>
      <c r="J235" s="347"/>
      <c r="K235" s="312"/>
      <c r="L235" s="347"/>
      <c r="M235" s="312"/>
      <c r="N235" s="347"/>
      <c r="O235" s="312"/>
      <c r="P235" s="347"/>
      <c r="Q235" s="312"/>
      <c r="R235" s="347"/>
      <c r="S235" s="312"/>
      <c r="T235" s="347"/>
    </row>
    <row r="236" spans="1:20" ht="12" customHeight="1" x14ac:dyDescent="0.3">
      <c r="A236" s="340" t="s">
        <v>289</v>
      </c>
      <c r="B236" s="341">
        <v>6</v>
      </c>
      <c r="C236" s="309">
        <v>46121</v>
      </c>
      <c r="D236" s="310" t="s">
        <v>364</v>
      </c>
      <c r="E236" s="342">
        <v>25</v>
      </c>
      <c r="F236" s="342"/>
      <c r="G236" s="344">
        <f t="shared" si="3"/>
        <v>1431.5699999999854</v>
      </c>
      <c r="H236" s="345"/>
      <c r="I236" s="346"/>
      <c r="J236" s="347"/>
      <c r="K236" s="312"/>
      <c r="L236" s="347"/>
      <c r="M236" s="312"/>
      <c r="N236" s="347"/>
      <c r="O236" s="312"/>
      <c r="P236" s="347"/>
      <c r="Q236" s="312"/>
      <c r="R236" s="347"/>
      <c r="S236" s="312"/>
      <c r="T236" s="347"/>
    </row>
    <row r="237" spans="1:20" ht="12" customHeight="1" x14ac:dyDescent="0.3">
      <c r="A237" s="340" t="s">
        <v>294</v>
      </c>
      <c r="B237" s="341">
        <v>18</v>
      </c>
      <c r="C237" s="309">
        <v>46120</v>
      </c>
      <c r="D237" s="310" t="s">
        <v>365</v>
      </c>
      <c r="E237" s="342">
        <v>400</v>
      </c>
      <c r="F237" s="342"/>
      <c r="G237" s="344">
        <f t="shared" si="3"/>
        <v>1456.5699999999854</v>
      </c>
      <c r="H237" s="345"/>
      <c r="I237" s="346"/>
      <c r="J237" s="347"/>
      <c r="K237" s="312"/>
      <c r="L237" s="347"/>
      <c r="M237" s="312"/>
      <c r="N237" s="347"/>
      <c r="O237" s="312"/>
      <c r="P237" s="347"/>
      <c r="Q237" s="312"/>
      <c r="R237" s="347"/>
      <c r="S237" s="312"/>
      <c r="T237" s="347"/>
    </row>
    <row r="238" spans="1:20" ht="12" customHeight="1" x14ac:dyDescent="0.3">
      <c r="A238" s="340" t="s">
        <v>339</v>
      </c>
      <c r="B238" s="341" t="s">
        <v>339</v>
      </c>
      <c r="C238" s="309">
        <v>46120</v>
      </c>
      <c r="D238" s="310" t="s">
        <v>182</v>
      </c>
      <c r="E238" s="342">
        <v>44.96</v>
      </c>
      <c r="F238" s="342"/>
      <c r="G238" s="344">
        <f t="shared" si="3"/>
        <v>1856.5699999999854</v>
      </c>
      <c r="H238" s="345"/>
      <c r="I238" s="346"/>
      <c r="J238" s="347"/>
      <c r="K238" s="312"/>
      <c r="L238" s="347"/>
      <c r="M238" s="312"/>
      <c r="N238" s="347"/>
      <c r="O238" s="312"/>
      <c r="P238" s="347"/>
      <c r="Q238" s="312"/>
      <c r="R238" s="347"/>
      <c r="S238" s="312"/>
      <c r="T238" s="347"/>
    </row>
    <row r="239" spans="1:20" ht="12" customHeight="1" x14ac:dyDescent="0.3">
      <c r="A239" s="340" t="s">
        <v>294</v>
      </c>
      <c r="B239" s="341">
        <v>13</v>
      </c>
      <c r="C239" s="309">
        <v>46120</v>
      </c>
      <c r="D239" s="310" t="s">
        <v>182</v>
      </c>
      <c r="E239" s="342">
        <v>104.98</v>
      </c>
      <c r="F239" s="342"/>
      <c r="G239" s="344">
        <f t="shared" si="3"/>
        <v>1901.5299999999854</v>
      </c>
      <c r="H239" s="345"/>
      <c r="I239" s="346"/>
      <c r="J239" s="347"/>
      <c r="K239" s="312"/>
      <c r="L239" s="347"/>
      <c r="M239" s="312"/>
      <c r="N239" s="347"/>
      <c r="O239" s="312"/>
      <c r="P239" s="347"/>
      <c r="Q239" s="312"/>
      <c r="R239" s="347"/>
      <c r="S239" s="312"/>
      <c r="T239" s="347"/>
    </row>
    <row r="240" spans="1:20" ht="12" customHeight="1" x14ac:dyDescent="0.3">
      <c r="A240" s="340" t="s">
        <v>289</v>
      </c>
      <c r="B240" s="341">
        <v>2</v>
      </c>
      <c r="C240" s="309">
        <v>46120</v>
      </c>
      <c r="D240" s="310" t="s">
        <v>296</v>
      </c>
      <c r="E240" s="342">
        <v>13.8</v>
      </c>
      <c r="F240" s="342"/>
      <c r="G240" s="344">
        <f t="shared" si="3"/>
        <v>2006.5099999999854</v>
      </c>
      <c r="H240" s="345"/>
      <c r="I240" s="346"/>
      <c r="J240" s="347"/>
      <c r="K240" s="312"/>
      <c r="L240" s="347"/>
      <c r="M240" s="312"/>
      <c r="N240" s="347"/>
      <c r="O240" s="312"/>
      <c r="P240" s="347"/>
      <c r="Q240" s="312"/>
      <c r="R240" s="347"/>
      <c r="S240" s="312"/>
      <c r="T240" s="347"/>
    </row>
    <row r="241" spans="1:20" ht="12" customHeight="1" x14ac:dyDescent="0.3">
      <c r="A241" s="340" t="s">
        <v>289</v>
      </c>
      <c r="B241" s="341">
        <v>4</v>
      </c>
      <c r="C241" s="309">
        <v>46120</v>
      </c>
      <c r="D241" s="310" t="s">
        <v>295</v>
      </c>
      <c r="E241" s="342">
        <v>37.92</v>
      </c>
      <c r="F241" s="342"/>
      <c r="G241" s="344">
        <f t="shared" si="3"/>
        <v>2020.3099999999854</v>
      </c>
      <c r="H241" s="345"/>
      <c r="I241" s="346"/>
      <c r="J241" s="347"/>
      <c r="K241" s="312"/>
      <c r="L241" s="347"/>
      <c r="M241" s="312"/>
      <c r="N241" s="347"/>
      <c r="O241" s="312"/>
      <c r="P241" s="347"/>
      <c r="Q241" s="312"/>
      <c r="R241" s="347"/>
      <c r="S241" s="312"/>
      <c r="T241" s="347"/>
    </row>
    <row r="242" spans="1:20" ht="12" customHeight="1" x14ac:dyDescent="0.3">
      <c r="A242" s="340" t="s">
        <v>289</v>
      </c>
      <c r="B242" s="341">
        <v>6</v>
      </c>
      <c r="C242" s="309">
        <v>46120</v>
      </c>
      <c r="D242" s="310" t="s">
        <v>300</v>
      </c>
      <c r="E242" s="342">
        <v>56.68</v>
      </c>
      <c r="F242" s="342"/>
      <c r="G242" s="344">
        <f t="shared" si="3"/>
        <v>2058.2299999999855</v>
      </c>
      <c r="H242" s="345"/>
      <c r="I242" s="346"/>
      <c r="J242" s="347"/>
      <c r="K242" s="312"/>
      <c r="L242" s="347"/>
      <c r="M242" s="312"/>
      <c r="N242" s="347"/>
      <c r="O242" s="312"/>
      <c r="P242" s="347"/>
      <c r="Q242" s="312"/>
      <c r="R242" s="347"/>
      <c r="S242" s="312"/>
      <c r="T242" s="347"/>
    </row>
    <row r="243" spans="1:20" ht="12" customHeight="1" x14ac:dyDescent="0.3">
      <c r="A243" s="340" t="s">
        <v>289</v>
      </c>
      <c r="B243" s="341">
        <v>6</v>
      </c>
      <c r="C243" s="309">
        <v>46120</v>
      </c>
      <c r="D243" s="310" t="s">
        <v>366</v>
      </c>
      <c r="E243" s="342">
        <v>29.26</v>
      </c>
      <c r="F243" s="342"/>
      <c r="G243" s="344">
        <f t="shared" si="3"/>
        <v>2114.9099999999853</v>
      </c>
      <c r="H243" s="345"/>
      <c r="I243" s="346"/>
      <c r="J243" s="347"/>
      <c r="K243" s="312"/>
      <c r="L243" s="347"/>
      <c r="M243" s="312"/>
      <c r="N243" s="347"/>
      <c r="O243" s="312"/>
      <c r="P243" s="347"/>
      <c r="Q243" s="312"/>
      <c r="R243" s="347"/>
      <c r="S243" s="312"/>
      <c r="T243" s="347"/>
    </row>
    <row r="244" spans="1:20" ht="12" customHeight="1" x14ac:dyDescent="0.3">
      <c r="A244" s="340" t="s">
        <v>294</v>
      </c>
      <c r="B244" s="341">
        <v>9</v>
      </c>
      <c r="C244" s="309">
        <v>46119</v>
      </c>
      <c r="D244" s="310" t="s">
        <v>58</v>
      </c>
      <c r="E244" s="342">
        <v>1281.53</v>
      </c>
      <c r="F244" s="342"/>
      <c r="G244" s="344">
        <f t="shared" si="3"/>
        <v>2144.1699999999855</v>
      </c>
      <c r="H244" s="345"/>
      <c r="I244" s="346"/>
      <c r="J244" s="347"/>
      <c r="K244" s="312"/>
      <c r="L244" s="347"/>
      <c r="M244" s="312"/>
      <c r="N244" s="347"/>
      <c r="O244" s="312"/>
      <c r="P244" s="347"/>
      <c r="Q244" s="312"/>
      <c r="R244" s="347"/>
      <c r="S244" s="312"/>
      <c r="T244" s="347"/>
    </row>
    <row r="245" spans="1:20" ht="12" customHeight="1" x14ac:dyDescent="0.3">
      <c r="A245" s="340" t="s">
        <v>289</v>
      </c>
      <c r="B245" s="341">
        <v>4</v>
      </c>
      <c r="C245" s="309">
        <v>46119</v>
      </c>
      <c r="D245" s="310" t="s">
        <v>367</v>
      </c>
      <c r="E245" s="342">
        <v>25.84</v>
      </c>
      <c r="F245" s="342"/>
      <c r="G245" s="344">
        <f t="shared" si="3"/>
        <v>3425.6999999999853</v>
      </c>
      <c r="H245" s="345"/>
      <c r="I245" s="346"/>
      <c r="J245" s="347"/>
      <c r="K245" s="312"/>
      <c r="L245" s="347"/>
      <c r="M245" s="312"/>
      <c r="N245" s="347"/>
      <c r="O245" s="312"/>
      <c r="P245" s="347"/>
      <c r="Q245" s="312"/>
      <c r="R245" s="347"/>
      <c r="S245" s="312"/>
      <c r="T245" s="347"/>
    </row>
    <row r="246" spans="1:20" ht="12" customHeight="1" x14ac:dyDescent="0.3">
      <c r="A246" s="340" t="s">
        <v>289</v>
      </c>
      <c r="B246" s="341">
        <v>8</v>
      </c>
      <c r="C246" s="309">
        <v>46119</v>
      </c>
      <c r="D246" s="310" t="s">
        <v>321</v>
      </c>
      <c r="E246" s="342">
        <v>12.05</v>
      </c>
      <c r="F246" s="342"/>
      <c r="G246" s="344">
        <f t="shared" si="3"/>
        <v>3451.5399999999854</v>
      </c>
      <c r="H246" s="345"/>
      <c r="I246" s="346"/>
      <c r="J246" s="347"/>
      <c r="K246" s="312"/>
      <c r="L246" s="347"/>
      <c r="M246" s="312"/>
      <c r="N246" s="347"/>
      <c r="O246" s="312"/>
      <c r="P246" s="347"/>
      <c r="Q246" s="312"/>
      <c r="R246" s="347"/>
      <c r="S246" s="312"/>
      <c r="T246" s="347"/>
    </row>
    <row r="247" spans="1:20" ht="12" customHeight="1" x14ac:dyDescent="0.3">
      <c r="A247" s="340" t="s">
        <v>289</v>
      </c>
      <c r="B247" s="341">
        <v>4</v>
      </c>
      <c r="C247" s="309">
        <v>46119</v>
      </c>
      <c r="D247" s="310" t="s">
        <v>338</v>
      </c>
      <c r="E247" s="342">
        <v>82.04</v>
      </c>
      <c r="F247" s="342"/>
      <c r="G247" s="344">
        <f t="shared" si="3"/>
        <v>3463.5899999999856</v>
      </c>
      <c r="H247" s="345"/>
      <c r="I247" s="346"/>
      <c r="J247" s="347"/>
      <c r="K247" s="312"/>
      <c r="L247" s="347"/>
      <c r="M247" s="312"/>
      <c r="N247" s="347"/>
      <c r="O247" s="312"/>
      <c r="P247" s="347"/>
      <c r="Q247" s="312"/>
      <c r="R247" s="347"/>
      <c r="S247" s="312"/>
      <c r="T247" s="347"/>
    </row>
    <row r="248" spans="1:20" ht="12" customHeight="1" x14ac:dyDescent="0.3">
      <c r="A248" s="340" t="s">
        <v>289</v>
      </c>
      <c r="B248" s="341">
        <v>2</v>
      </c>
      <c r="C248" s="309">
        <v>46119</v>
      </c>
      <c r="D248" s="310" t="s">
        <v>368</v>
      </c>
      <c r="E248" s="342">
        <v>22.92</v>
      </c>
      <c r="F248" s="342"/>
      <c r="G248" s="344">
        <f t="shared" si="3"/>
        <v>3545.6299999999856</v>
      </c>
      <c r="H248" s="345"/>
      <c r="I248" s="346"/>
      <c r="J248" s="347"/>
      <c r="K248" s="312"/>
      <c r="L248" s="347"/>
      <c r="M248" s="312"/>
      <c r="N248" s="347"/>
      <c r="O248" s="312"/>
      <c r="P248" s="347"/>
      <c r="Q248" s="312"/>
      <c r="R248" s="347"/>
      <c r="S248" s="312"/>
      <c r="T248" s="347"/>
    </row>
    <row r="249" spans="1:20" ht="12" customHeight="1" x14ac:dyDescent="0.3">
      <c r="A249" s="340" t="s">
        <v>289</v>
      </c>
      <c r="B249" s="341">
        <v>5</v>
      </c>
      <c r="C249" s="309">
        <v>46118</v>
      </c>
      <c r="D249" s="310" t="s">
        <v>369</v>
      </c>
      <c r="E249" s="342">
        <v>400</v>
      </c>
      <c r="F249" s="342"/>
      <c r="G249" s="344">
        <f t="shared" si="3"/>
        <v>3568.5499999999856</v>
      </c>
      <c r="H249" s="345"/>
      <c r="I249" s="346"/>
      <c r="J249" s="347"/>
      <c r="K249" s="312"/>
      <c r="L249" s="347"/>
      <c r="M249" s="312"/>
      <c r="N249" s="347"/>
      <c r="O249" s="312"/>
      <c r="P249" s="347"/>
      <c r="Q249" s="312"/>
      <c r="R249" s="347"/>
      <c r="S249" s="312"/>
      <c r="T249" s="347"/>
    </row>
    <row r="250" spans="1:20" ht="12" customHeight="1" x14ac:dyDescent="0.3">
      <c r="A250" s="340" t="s">
        <v>294</v>
      </c>
      <c r="B250" s="341">
        <v>14</v>
      </c>
      <c r="C250" s="309">
        <v>46118</v>
      </c>
      <c r="D250" s="310" t="s">
        <v>370</v>
      </c>
      <c r="E250" s="342">
        <v>66.67</v>
      </c>
      <c r="F250" s="342"/>
      <c r="G250" s="344">
        <f t="shared" si="3"/>
        <v>3968.5499999999856</v>
      </c>
      <c r="H250" s="345"/>
      <c r="I250" s="346"/>
      <c r="J250" s="347"/>
      <c r="K250" s="312"/>
      <c r="L250" s="347"/>
      <c r="M250" s="312"/>
      <c r="N250" s="347"/>
      <c r="O250" s="312"/>
      <c r="P250" s="347"/>
      <c r="Q250" s="312"/>
      <c r="R250" s="347"/>
      <c r="S250" s="312"/>
      <c r="T250" s="347"/>
    </row>
    <row r="251" spans="1:20" ht="12" customHeight="1" x14ac:dyDescent="0.3">
      <c r="A251" s="340" t="s">
        <v>294</v>
      </c>
      <c r="B251" s="341">
        <v>14</v>
      </c>
      <c r="C251" s="309">
        <v>46118</v>
      </c>
      <c r="D251" s="310" t="s">
        <v>371</v>
      </c>
      <c r="E251" s="342">
        <v>70.25</v>
      </c>
      <c r="F251" s="342"/>
      <c r="G251" s="344">
        <f t="shared" si="3"/>
        <v>4035.2199999999857</v>
      </c>
      <c r="H251" s="345"/>
      <c r="I251" s="346"/>
      <c r="J251" s="347"/>
      <c r="K251" s="312"/>
      <c r="L251" s="347"/>
      <c r="M251" s="312"/>
      <c r="N251" s="347"/>
      <c r="O251" s="312"/>
      <c r="P251" s="347"/>
      <c r="Q251" s="312"/>
      <c r="R251" s="347"/>
      <c r="S251" s="312"/>
      <c r="T251" s="347"/>
    </row>
    <row r="252" spans="1:20" ht="12" customHeight="1" x14ac:dyDescent="0.3">
      <c r="A252" s="340" t="s">
        <v>289</v>
      </c>
      <c r="B252" s="341">
        <v>1</v>
      </c>
      <c r="C252" s="309">
        <v>46117</v>
      </c>
      <c r="D252" s="310" t="s">
        <v>372</v>
      </c>
      <c r="E252" s="342">
        <v>25.6</v>
      </c>
      <c r="F252" s="342"/>
      <c r="G252" s="344">
        <f t="shared" si="3"/>
        <v>4105.4699999999857</v>
      </c>
      <c r="H252" s="345"/>
      <c r="I252" s="346"/>
      <c r="J252" s="347"/>
      <c r="K252" s="312"/>
      <c r="L252" s="347"/>
      <c r="M252" s="312"/>
      <c r="N252" s="347"/>
      <c r="O252" s="312"/>
      <c r="P252" s="347"/>
      <c r="Q252" s="312"/>
      <c r="R252" s="347"/>
      <c r="S252" s="312"/>
      <c r="T252" s="347"/>
    </row>
    <row r="253" spans="1:20" ht="12" customHeight="1" x14ac:dyDescent="0.3">
      <c r="A253" s="340" t="s">
        <v>289</v>
      </c>
      <c r="B253" s="341">
        <v>8</v>
      </c>
      <c r="C253" s="309">
        <v>46117</v>
      </c>
      <c r="D253" s="310" t="s">
        <v>321</v>
      </c>
      <c r="E253" s="342">
        <v>8.56</v>
      </c>
      <c r="F253" s="342"/>
      <c r="G253" s="344">
        <f t="shared" si="3"/>
        <v>4131.0699999999861</v>
      </c>
      <c r="H253" s="345"/>
      <c r="I253" s="346"/>
      <c r="J253" s="347"/>
      <c r="K253" s="312"/>
      <c r="L253" s="347"/>
      <c r="M253" s="312"/>
      <c r="N253" s="347"/>
      <c r="O253" s="312"/>
      <c r="P253" s="347"/>
      <c r="Q253" s="312"/>
      <c r="R253" s="347"/>
      <c r="S253" s="312"/>
      <c r="T253" s="347"/>
    </row>
    <row r="254" spans="1:20" ht="12" customHeight="1" x14ac:dyDescent="0.3">
      <c r="A254" s="340" t="s">
        <v>289</v>
      </c>
      <c r="B254" s="341">
        <v>6</v>
      </c>
      <c r="C254" s="309">
        <v>46117</v>
      </c>
      <c r="D254" s="310" t="s">
        <v>373</v>
      </c>
      <c r="E254" s="342">
        <v>301.67</v>
      </c>
      <c r="F254" s="342"/>
      <c r="G254" s="344">
        <f t="shared" si="3"/>
        <v>4139.6299999999865</v>
      </c>
      <c r="H254" s="345"/>
      <c r="I254" s="346"/>
      <c r="J254" s="347"/>
      <c r="K254" s="312"/>
      <c r="L254" s="347"/>
      <c r="M254" s="312"/>
      <c r="N254" s="347"/>
      <c r="O254" s="312"/>
      <c r="P254" s="347"/>
      <c r="Q254" s="312"/>
      <c r="R254" s="347"/>
      <c r="S254" s="312"/>
      <c r="T254" s="347"/>
    </row>
    <row r="255" spans="1:20" ht="12" customHeight="1" x14ac:dyDescent="0.3">
      <c r="A255" s="340" t="s">
        <v>289</v>
      </c>
      <c r="B255" s="341">
        <v>1</v>
      </c>
      <c r="C255" s="309">
        <v>46116</v>
      </c>
      <c r="D255" s="310" t="s">
        <v>307</v>
      </c>
      <c r="E255" s="342">
        <v>176.85</v>
      </c>
      <c r="F255" s="342"/>
      <c r="G255" s="344">
        <f t="shared" si="3"/>
        <v>4441.2999999999865</v>
      </c>
      <c r="H255" s="345"/>
      <c r="I255" s="346"/>
      <c r="J255" s="347"/>
      <c r="K255" s="312"/>
      <c r="L255" s="347"/>
      <c r="M255" s="312"/>
      <c r="N255" s="347"/>
      <c r="O255" s="312"/>
      <c r="P255" s="347"/>
      <c r="Q255" s="312"/>
      <c r="R255" s="347"/>
      <c r="S255" s="312"/>
      <c r="T255" s="347"/>
    </row>
    <row r="256" spans="1:20" ht="12" customHeight="1" x14ac:dyDescent="0.3">
      <c r="A256" s="340" t="s">
        <v>289</v>
      </c>
      <c r="B256" s="341">
        <v>1</v>
      </c>
      <c r="C256" s="309">
        <v>46116</v>
      </c>
      <c r="D256" s="310" t="s">
        <v>312</v>
      </c>
      <c r="E256" s="342">
        <v>139.34</v>
      </c>
      <c r="F256" s="342"/>
      <c r="G256" s="344">
        <f t="shared" si="3"/>
        <v>4618.1499999999869</v>
      </c>
      <c r="H256" s="345"/>
      <c r="I256" s="346"/>
      <c r="J256" s="347"/>
      <c r="K256" s="312"/>
      <c r="L256" s="347"/>
      <c r="M256" s="312"/>
      <c r="N256" s="347"/>
      <c r="O256" s="312"/>
      <c r="P256" s="347"/>
      <c r="Q256" s="312"/>
      <c r="R256" s="347"/>
      <c r="S256" s="312"/>
      <c r="T256" s="347"/>
    </row>
    <row r="257" spans="1:20" ht="12" customHeight="1" x14ac:dyDescent="0.3">
      <c r="A257" s="340" t="s">
        <v>294</v>
      </c>
      <c r="B257" s="341">
        <v>17</v>
      </c>
      <c r="C257" s="309">
        <v>46116</v>
      </c>
      <c r="D257" s="310" t="s">
        <v>374</v>
      </c>
      <c r="E257" s="342">
        <v>99</v>
      </c>
      <c r="F257" s="342"/>
      <c r="G257" s="344">
        <f t="shared" si="3"/>
        <v>4757.489999999987</v>
      </c>
      <c r="H257" s="345"/>
      <c r="I257" s="346"/>
      <c r="J257" s="347"/>
      <c r="K257" s="312"/>
      <c r="L257" s="347"/>
      <c r="M257" s="312"/>
      <c r="N257" s="347"/>
      <c r="O257" s="312"/>
      <c r="P257" s="347"/>
      <c r="Q257" s="312"/>
      <c r="R257" s="347"/>
      <c r="S257" s="312"/>
      <c r="T257" s="347"/>
    </row>
    <row r="258" spans="1:20" ht="12" customHeight="1" x14ac:dyDescent="0.3">
      <c r="A258" s="340" t="s">
        <v>289</v>
      </c>
      <c r="B258" s="341">
        <v>2</v>
      </c>
      <c r="C258" s="309">
        <v>46116</v>
      </c>
      <c r="D258" s="310" t="s">
        <v>375</v>
      </c>
      <c r="E258" s="342">
        <v>34</v>
      </c>
      <c r="F258" s="342"/>
      <c r="G258" s="344">
        <f t="shared" si="3"/>
        <v>4856.489999999987</v>
      </c>
      <c r="H258" s="345"/>
      <c r="I258" s="346"/>
      <c r="J258" s="347"/>
      <c r="K258" s="312"/>
      <c r="L258" s="347"/>
      <c r="M258" s="312"/>
      <c r="N258" s="347"/>
      <c r="O258" s="312"/>
      <c r="P258" s="347"/>
      <c r="Q258" s="312"/>
      <c r="R258" s="347"/>
      <c r="S258" s="312"/>
      <c r="T258" s="347"/>
    </row>
    <row r="259" spans="1:20" ht="12" customHeight="1" x14ac:dyDescent="0.3">
      <c r="A259" s="340" t="s">
        <v>289</v>
      </c>
      <c r="B259" s="341">
        <v>3</v>
      </c>
      <c r="C259" s="309">
        <v>46116</v>
      </c>
      <c r="D259" s="310" t="s">
        <v>352</v>
      </c>
      <c r="E259" s="342">
        <v>10.24</v>
      </c>
      <c r="F259" s="342"/>
      <c r="G259" s="344">
        <f t="shared" si="3"/>
        <v>4890.489999999987</v>
      </c>
      <c r="H259" s="345"/>
      <c r="I259" s="346"/>
      <c r="J259" s="347"/>
      <c r="K259" s="312"/>
      <c r="L259" s="347"/>
      <c r="M259" s="312"/>
      <c r="N259" s="347"/>
      <c r="O259" s="312"/>
      <c r="P259" s="347"/>
      <c r="Q259" s="312"/>
      <c r="R259" s="347"/>
      <c r="S259" s="312"/>
      <c r="T259" s="347"/>
    </row>
    <row r="260" spans="1:20" ht="12" customHeight="1" x14ac:dyDescent="0.3">
      <c r="A260" s="340" t="s">
        <v>289</v>
      </c>
      <c r="B260" s="341">
        <v>7</v>
      </c>
      <c r="C260" s="309">
        <v>46115</v>
      </c>
      <c r="D260" s="310" t="s">
        <v>376</v>
      </c>
      <c r="E260" s="342">
        <v>100</v>
      </c>
      <c r="F260" s="342"/>
      <c r="G260" s="344">
        <f t="shared" si="3"/>
        <v>4900.7299999999868</v>
      </c>
      <c r="H260" s="345"/>
      <c r="I260" s="346"/>
      <c r="J260" s="347"/>
      <c r="K260" s="312"/>
      <c r="L260" s="347"/>
      <c r="M260" s="312"/>
      <c r="N260" s="347"/>
      <c r="O260" s="312"/>
      <c r="P260" s="347"/>
      <c r="Q260" s="312"/>
      <c r="R260" s="347"/>
      <c r="S260" s="312"/>
      <c r="T260" s="347"/>
    </row>
    <row r="261" spans="1:20" ht="12" customHeight="1" x14ac:dyDescent="0.3">
      <c r="A261" s="340" t="s">
        <v>289</v>
      </c>
      <c r="B261" s="341">
        <v>6</v>
      </c>
      <c r="C261" s="309">
        <v>46115</v>
      </c>
      <c r="D261" s="310" t="s">
        <v>300</v>
      </c>
      <c r="E261" s="342">
        <v>7.68</v>
      </c>
      <c r="F261" s="342"/>
      <c r="G261" s="344">
        <f t="shared" si="3"/>
        <v>5000.7299999999868</v>
      </c>
      <c r="H261" s="345"/>
      <c r="I261" s="346"/>
      <c r="J261" s="347"/>
      <c r="K261" s="312"/>
      <c r="L261" s="347"/>
      <c r="M261" s="312"/>
      <c r="N261" s="347"/>
      <c r="O261" s="312"/>
      <c r="P261" s="347"/>
      <c r="Q261" s="312"/>
      <c r="R261" s="347"/>
      <c r="S261" s="312"/>
      <c r="T261" s="347"/>
    </row>
    <row r="262" spans="1:20" ht="12" customHeight="1" x14ac:dyDescent="0.3">
      <c r="A262" s="340" t="s">
        <v>289</v>
      </c>
      <c r="B262" s="341">
        <v>2</v>
      </c>
      <c r="C262" s="309">
        <v>46115</v>
      </c>
      <c r="D262" s="310" t="s">
        <v>296</v>
      </c>
      <c r="E262" s="342">
        <v>8.7200000000000006</v>
      </c>
      <c r="F262" s="342"/>
      <c r="G262" s="344">
        <f t="shared" si="3"/>
        <v>5008.4099999999871</v>
      </c>
      <c r="H262" s="345"/>
      <c r="I262" s="346"/>
      <c r="J262" s="347"/>
      <c r="K262" s="312"/>
      <c r="L262" s="347"/>
      <c r="M262" s="312"/>
      <c r="N262" s="347"/>
      <c r="O262" s="312"/>
      <c r="P262" s="347"/>
      <c r="Q262" s="312"/>
      <c r="R262" s="347"/>
      <c r="S262" s="312"/>
      <c r="T262" s="347"/>
    </row>
    <row r="263" spans="1:20" ht="12" customHeight="1" x14ac:dyDescent="0.3">
      <c r="A263" s="340" t="s">
        <v>289</v>
      </c>
      <c r="B263" s="341">
        <v>8</v>
      </c>
      <c r="C263" s="309">
        <v>46114</v>
      </c>
      <c r="D263" s="310" t="s">
        <v>377</v>
      </c>
      <c r="E263" s="342">
        <v>81.739999999999995</v>
      </c>
      <c r="F263" s="342"/>
      <c r="G263" s="344">
        <f t="shared" si="3"/>
        <v>5017.1299999999874</v>
      </c>
      <c r="H263" s="345"/>
      <c r="I263" s="346"/>
      <c r="J263" s="347"/>
      <c r="K263" s="312"/>
      <c r="L263" s="347"/>
      <c r="M263" s="312"/>
      <c r="N263" s="347"/>
      <c r="O263" s="312"/>
      <c r="P263" s="347"/>
      <c r="Q263" s="312"/>
      <c r="R263" s="347"/>
      <c r="S263" s="312"/>
      <c r="T263" s="347"/>
    </row>
    <row r="264" spans="1:20" ht="12" customHeight="1" x14ac:dyDescent="0.3">
      <c r="A264" s="340" t="s">
        <v>284</v>
      </c>
      <c r="B264" s="341">
        <v>36</v>
      </c>
      <c r="C264" s="309">
        <v>46114</v>
      </c>
      <c r="D264" s="310" t="s">
        <v>378</v>
      </c>
      <c r="E264" s="342">
        <v>50</v>
      </c>
      <c r="F264" s="342"/>
      <c r="G264" s="344">
        <f t="shared" si="3"/>
        <v>5098.8699999999872</v>
      </c>
      <c r="H264" s="345"/>
      <c r="I264" s="346"/>
      <c r="J264" s="347"/>
      <c r="K264" s="312"/>
      <c r="L264" s="347"/>
      <c r="M264" s="312"/>
      <c r="N264" s="347"/>
      <c r="O264" s="312"/>
      <c r="P264" s="347"/>
      <c r="Q264" s="312"/>
      <c r="R264" s="347"/>
      <c r="S264" s="312"/>
      <c r="T264" s="347"/>
    </row>
    <row r="265" spans="1:20" ht="12" customHeight="1" x14ac:dyDescent="0.3">
      <c r="A265" s="340" t="s">
        <v>294</v>
      </c>
      <c r="B265" s="341">
        <v>22</v>
      </c>
      <c r="C265" s="309">
        <v>46114</v>
      </c>
      <c r="D265" s="310" t="s">
        <v>379</v>
      </c>
      <c r="E265" s="342">
        <v>6.37</v>
      </c>
      <c r="F265" s="342"/>
      <c r="G265" s="344">
        <f t="shared" si="3"/>
        <v>5148.8699999999872</v>
      </c>
      <c r="H265" s="345"/>
      <c r="I265" s="346"/>
      <c r="J265" s="347"/>
      <c r="K265" s="312"/>
      <c r="L265" s="347"/>
      <c r="M265" s="312"/>
      <c r="N265" s="347"/>
      <c r="O265" s="312"/>
      <c r="P265" s="347"/>
      <c r="Q265" s="312"/>
      <c r="R265" s="347"/>
      <c r="S265" s="312"/>
      <c r="T265" s="347"/>
    </row>
    <row r="266" spans="1:20" ht="12" customHeight="1" x14ac:dyDescent="0.3">
      <c r="A266" s="340" t="s">
        <v>289</v>
      </c>
      <c r="B266" s="341">
        <v>2</v>
      </c>
      <c r="C266" s="309">
        <v>46114</v>
      </c>
      <c r="D266" s="310" t="s">
        <v>329</v>
      </c>
      <c r="E266" s="342">
        <v>55.22</v>
      </c>
      <c r="F266" s="342"/>
      <c r="G266" s="344">
        <f t="shared" si="3"/>
        <v>5155.239999999987</v>
      </c>
      <c r="H266" s="345"/>
      <c r="I266" s="346"/>
      <c r="J266" s="347"/>
      <c r="K266" s="312"/>
      <c r="L266" s="347"/>
      <c r="M266" s="312"/>
      <c r="N266" s="347"/>
      <c r="O266" s="312"/>
      <c r="P266" s="347"/>
      <c r="Q266" s="312"/>
      <c r="R266" s="347"/>
      <c r="S266" s="312"/>
      <c r="T266" s="347"/>
    </row>
    <row r="267" spans="1:20" ht="12" customHeight="1" x14ac:dyDescent="0.3">
      <c r="A267" s="340" t="s">
        <v>289</v>
      </c>
      <c r="B267" s="341">
        <v>8</v>
      </c>
      <c r="C267" s="309">
        <v>46114</v>
      </c>
      <c r="D267" s="310" t="s">
        <v>321</v>
      </c>
      <c r="E267" s="342">
        <v>8.5</v>
      </c>
      <c r="F267" s="342"/>
      <c r="G267" s="344">
        <f t="shared" si="3"/>
        <v>5210.4599999999873</v>
      </c>
      <c r="H267" s="345"/>
      <c r="I267" s="346"/>
      <c r="J267" s="347"/>
      <c r="K267" s="312"/>
      <c r="L267" s="347"/>
      <c r="M267" s="312"/>
      <c r="N267" s="347"/>
      <c r="O267" s="312"/>
      <c r="P267" s="347"/>
      <c r="Q267" s="312"/>
      <c r="R267" s="347"/>
      <c r="S267" s="312"/>
      <c r="T267" s="347"/>
    </row>
    <row r="268" spans="1:20" ht="12" customHeight="1" x14ac:dyDescent="0.3">
      <c r="A268" s="340" t="s">
        <v>289</v>
      </c>
      <c r="B268" s="341">
        <v>4</v>
      </c>
      <c r="C268" s="309">
        <v>46114</v>
      </c>
      <c r="D268" s="310" t="s">
        <v>338</v>
      </c>
      <c r="E268" s="342">
        <v>38.99</v>
      </c>
      <c r="F268" s="342"/>
      <c r="G268" s="344">
        <f t="shared" si="3"/>
        <v>5218.9599999999873</v>
      </c>
      <c r="H268" s="345"/>
      <c r="I268" s="346"/>
      <c r="J268" s="347"/>
      <c r="K268" s="312"/>
      <c r="L268" s="347"/>
      <c r="M268" s="312"/>
      <c r="N268" s="347"/>
      <c r="O268" s="312"/>
      <c r="P268" s="347"/>
      <c r="Q268" s="312"/>
      <c r="R268" s="347"/>
      <c r="S268" s="312"/>
      <c r="T268" s="347"/>
    </row>
    <row r="269" spans="1:20" ht="12" customHeight="1" x14ac:dyDescent="0.3">
      <c r="A269" s="340" t="s">
        <v>291</v>
      </c>
      <c r="B269" s="341">
        <v>39</v>
      </c>
      <c r="C269" s="309">
        <v>46113</v>
      </c>
      <c r="D269" s="310" t="s">
        <v>292</v>
      </c>
      <c r="E269" s="342"/>
      <c r="F269" s="342">
        <v>2763.78</v>
      </c>
      <c r="G269" s="344">
        <f t="shared" si="3"/>
        <v>5257.9499999999871</v>
      </c>
      <c r="H269" s="345"/>
      <c r="I269" s="346"/>
      <c r="J269" s="347"/>
      <c r="K269" s="312"/>
      <c r="L269" s="347"/>
      <c r="M269" s="312"/>
      <c r="N269" s="347"/>
      <c r="O269" s="312"/>
      <c r="P269" s="347"/>
      <c r="Q269" s="312"/>
      <c r="R269" s="347"/>
      <c r="S269" s="312"/>
      <c r="T269" s="347"/>
    </row>
    <row r="270" spans="1:20" ht="12" customHeight="1" x14ac:dyDescent="0.3">
      <c r="A270" s="340" t="s">
        <v>289</v>
      </c>
      <c r="B270" s="341">
        <v>4</v>
      </c>
      <c r="C270" s="309">
        <v>46113</v>
      </c>
      <c r="D270" s="310" t="s">
        <v>296</v>
      </c>
      <c r="E270" s="342">
        <v>36.090000000000003</v>
      </c>
      <c r="F270" s="342"/>
      <c r="G270" s="344">
        <f t="shared" si="3"/>
        <v>2494.1699999999869</v>
      </c>
      <c r="H270" s="345"/>
      <c r="I270" s="346"/>
      <c r="J270" s="347"/>
      <c r="K270" s="312"/>
      <c r="L270" s="347"/>
      <c r="M270" s="312"/>
      <c r="N270" s="347"/>
      <c r="O270" s="312"/>
      <c r="P270" s="347"/>
      <c r="Q270" s="312"/>
      <c r="R270" s="347"/>
      <c r="S270" s="312"/>
      <c r="T270" s="347"/>
    </row>
    <row r="271" spans="1:20" ht="12" customHeight="1" x14ac:dyDescent="0.3">
      <c r="A271" s="340" t="s">
        <v>289</v>
      </c>
      <c r="B271" s="341">
        <v>4</v>
      </c>
      <c r="C271" s="309">
        <v>46113</v>
      </c>
      <c r="D271" s="310" t="s">
        <v>311</v>
      </c>
      <c r="E271" s="342">
        <v>80</v>
      </c>
      <c r="F271" s="342"/>
      <c r="G271" s="344">
        <f t="shared" si="3"/>
        <v>2530.259999999987</v>
      </c>
      <c r="H271" s="345"/>
      <c r="I271" s="346"/>
      <c r="J271" s="347"/>
      <c r="K271" s="312"/>
      <c r="L271" s="347"/>
      <c r="M271" s="312"/>
      <c r="N271" s="347"/>
      <c r="O271" s="312"/>
      <c r="P271" s="347"/>
      <c r="Q271" s="312"/>
      <c r="R271" s="347"/>
      <c r="S271" s="312"/>
      <c r="T271" s="347"/>
    </row>
    <row r="272" spans="1:20" ht="12" customHeight="1" x14ac:dyDescent="0.3">
      <c r="A272" s="340" t="s">
        <v>289</v>
      </c>
      <c r="B272" s="341">
        <v>7</v>
      </c>
      <c r="C272" s="309">
        <v>46113</v>
      </c>
      <c r="D272" s="310" t="s">
        <v>322</v>
      </c>
      <c r="E272" s="342">
        <v>47.84</v>
      </c>
      <c r="F272" s="342"/>
      <c r="G272" s="344">
        <f t="shared" si="3"/>
        <v>2610.259999999987</v>
      </c>
      <c r="H272" s="345"/>
      <c r="I272" s="346"/>
      <c r="J272" s="347"/>
      <c r="K272" s="312"/>
      <c r="L272" s="347"/>
      <c r="M272" s="312"/>
      <c r="N272" s="347"/>
      <c r="O272" s="312"/>
      <c r="P272" s="347"/>
      <c r="Q272" s="312"/>
      <c r="R272" s="347"/>
      <c r="S272" s="312"/>
      <c r="T272" s="347"/>
    </row>
    <row r="273" spans="1:20" ht="12" customHeight="1" x14ac:dyDescent="0.3">
      <c r="A273" s="340" t="s">
        <v>289</v>
      </c>
      <c r="B273" s="341">
        <v>7</v>
      </c>
      <c r="C273" s="309">
        <v>46113</v>
      </c>
      <c r="D273" s="310" t="s">
        <v>322</v>
      </c>
      <c r="E273" s="342">
        <v>21.25</v>
      </c>
      <c r="F273" s="342"/>
      <c r="G273" s="344">
        <f t="shared" si="3"/>
        <v>2658.0999999999872</v>
      </c>
      <c r="H273" s="345"/>
      <c r="I273" s="346"/>
      <c r="J273" s="347"/>
      <c r="K273" s="312"/>
      <c r="L273" s="347"/>
      <c r="M273" s="312"/>
      <c r="N273" s="347"/>
      <c r="O273" s="312"/>
      <c r="P273" s="347"/>
      <c r="Q273" s="312"/>
      <c r="R273" s="347"/>
      <c r="S273" s="312"/>
      <c r="T273" s="347"/>
    </row>
    <row r="274" spans="1:20" ht="12" customHeight="1" x14ac:dyDescent="0.3">
      <c r="A274" s="340" t="s">
        <v>289</v>
      </c>
      <c r="B274" s="341">
        <v>2</v>
      </c>
      <c r="C274" s="309">
        <v>46113</v>
      </c>
      <c r="D274" s="310" t="s">
        <v>380</v>
      </c>
      <c r="E274" s="342">
        <v>42.9</v>
      </c>
      <c r="F274" s="342"/>
      <c r="G274" s="344">
        <f t="shared" si="3"/>
        <v>2679.3499999999872</v>
      </c>
      <c r="H274" s="345"/>
      <c r="I274" s="346"/>
      <c r="J274" s="347"/>
      <c r="K274" s="312"/>
      <c r="L274" s="347"/>
      <c r="M274" s="312"/>
      <c r="N274" s="347"/>
      <c r="O274" s="312"/>
      <c r="P274" s="347"/>
      <c r="Q274" s="312"/>
      <c r="R274" s="347"/>
      <c r="S274" s="312"/>
      <c r="T274" s="347"/>
    </row>
    <row r="275" spans="1:20" ht="12" customHeight="1" x14ac:dyDescent="0.3">
      <c r="A275" s="340" t="s">
        <v>284</v>
      </c>
      <c r="B275" s="341">
        <v>37</v>
      </c>
      <c r="C275" s="309">
        <v>46112</v>
      </c>
      <c r="D275" s="310" t="s">
        <v>381</v>
      </c>
      <c r="E275" s="342">
        <v>4309.58</v>
      </c>
      <c r="F275" s="342"/>
      <c r="G275" s="344">
        <f t="shared" si="3"/>
        <v>2722.2499999999873</v>
      </c>
      <c r="H275" s="345"/>
      <c r="I275" s="346"/>
      <c r="J275" s="347"/>
      <c r="K275" s="312"/>
      <c r="L275" s="347"/>
      <c r="M275" s="312"/>
      <c r="N275" s="347"/>
      <c r="O275" s="312"/>
      <c r="P275" s="347"/>
      <c r="Q275" s="312"/>
      <c r="R275" s="347"/>
      <c r="S275" s="312"/>
      <c r="T275" s="347"/>
    </row>
    <row r="276" spans="1:20" ht="12" customHeight="1" x14ac:dyDescent="0.3">
      <c r="A276" s="340" t="s">
        <v>286</v>
      </c>
      <c r="B276" s="341">
        <v>25</v>
      </c>
      <c r="C276" s="309">
        <v>46112</v>
      </c>
      <c r="D276" s="309" t="s">
        <v>204</v>
      </c>
      <c r="E276" s="342">
        <v>350</v>
      </c>
      <c r="F276" s="342"/>
      <c r="G276" s="344">
        <f t="shared" si="3"/>
        <v>7031.8299999999872</v>
      </c>
      <c r="H276" s="345"/>
      <c r="I276" s="346"/>
      <c r="J276" s="347"/>
      <c r="K276" s="312"/>
      <c r="L276" s="347"/>
      <c r="M276" s="312"/>
      <c r="N276" s="347"/>
      <c r="O276" s="312"/>
      <c r="P276" s="347"/>
      <c r="Q276" s="312"/>
      <c r="R276" s="347"/>
      <c r="S276" s="312"/>
      <c r="T276" s="347"/>
    </row>
    <row r="277" spans="1:20" ht="12" customHeight="1" x14ac:dyDescent="0.3">
      <c r="A277" s="340" t="s">
        <v>286</v>
      </c>
      <c r="B277" s="341">
        <v>26</v>
      </c>
      <c r="C277" s="309">
        <v>46112</v>
      </c>
      <c r="D277" s="309" t="s">
        <v>205</v>
      </c>
      <c r="E277" s="342">
        <v>320</v>
      </c>
      <c r="F277" s="342"/>
      <c r="G277" s="344">
        <f t="shared" si="3"/>
        <v>7381.8299999999872</v>
      </c>
      <c r="H277" s="345"/>
      <c r="I277" s="346"/>
      <c r="J277" s="347"/>
      <c r="K277" s="312"/>
      <c r="L277" s="347"/>
      <c r="M277" s="312"/>
      <c r="N277" s="347"/>
      <c r="O277" s="312"/>
      <c r="P277" s="347"/>
      <c r="Q277" s="312"/>
      <c r="R277" s="347"/>
      <c r="S277" s="312"/>
      <c r="T277" s="347"/>
    </row>
    <row r="278" spans="1:20" ht="12" customHeight="1" x14ac:dyDescent="0.3">
      <c r="A278" s="340" t="s">
        <v>286</v>
      </c>
      <c r="B278" s="341">
        <v>27</v>
      </c>
      <c r="C278" s="309">
        <v>46112</v>
      </c>
      <c r="D278" s="309" t="s">
        <v>206</v>
      </c>
      <c r="E278" s="342">
        <v>25</v>
      </c>
      <c r="F278" s="342"/>
      <c r="G278" s="344">
        <f t="shared" si="3"/>
        <v>7701.8299999999872</v>
      </c>
      <c r="H278" s="345"/>
      <c r="I278" s="346"/>
      <c r="J278" s="347"/>
      <c r="K278" s="312"/>
      <c r="L278" s="347"/>
      <c r="M278" s="312"/>
      <c r="N278" s="347"/>
      <c r="O278" s="312"/>
      <c r="P278" s="347"/>
      <c r="Q278" s="312"/>
      <c r="R278" s="347"/>
      <c r="S278" s="312"/>
      <c r="T278" s="347"/>
    </row>
    <row r="279" spans="1:20" ht="12" customHeight="1" x14ac:dyDescent="0.3">
      <c r="A279" s="340" t="s">
        <v>286</v>
      </c>
      <c r="B279" s="341">
        <v>28</v>
      </c>
      <c r="C279" s="309">
        <v>46112</v>
      </c>
      <c r="D279" s="309" t="s">
        <v>207</v>
      </c>
      <c r="E279" s="342">
        <v>25</v>
      </c>
      <c r="F279" s="342"/>
      <c r="G279" s="344">
        <f t="shared" si="3"/>
        <v>7726.8299999999872</v>
      </c>
      <c r="H279" s="345"/>
      <c r="I279" s="346"/>
      <c r="J279" s="347"/>
      <c r="K279" s="312"/>
      <c r="L279" s="347"/>
      <c r="M279" s="312"/>
      <c r="N279" s="347"/>
      <c r="O279" s="312"/>
      <c r="P279" s="347"/>
      <c r="Q279" s="312"/>
      <c r="R279" s="347"/>
      <c r="S279" s="312"/>
      <c r="T279" s="347"/>
    </row>
    <row r="280" spans="1:20" ht="12" customHeight="1" x14ac:dyDescent="0.3">
      <c r="A280" s="340" t="s">
        <v>286</v>
      </c>
      <c r="B280" s="341">
        <v>29</v>
      </c>
      <c r="C280" s="309">
        <v>46112</v>
      </c>
      <c r="D280" s="309" t="s">
        <v>208</v>
      </c>
      <c r="E280" s="342">
        <v>45</v>
      </c>
      <c r="F280" s="342"/>
      <c r="G280" s="344">
        <f t="shared" si="3"/>
        <v>7751.8299999999872</v>
      </c>
      <c r="H280" s="345"/>
      <c r="I280" s="346"/>
      <c r="J280" s="347"/>
      <c r="K280" s="312"/>
      <c r="L280" s="347"/>
      <c r="M280" s="312"/>
      <c r="N280" s="347"/>
      <c r="O280" s="312"/>
      <c r="P280" s="347"/>
      <c r="Q280" s="312"/>
      <c r="R280" s="347"/>
      <c r="S280" s="312"/>
      <c r="T280" s="347"/>
    </row>
    <row r="281" spans="1:20" ht="12" customHeight="1" x14ac:dyDescent="0.3">
      <c r="A281" s="340" t="s">
        <v>286</v>
      </c>
      <c r="B281" s="341">
        <v>30</v>
      </c>
      <c r="C281" s="309">
        <v>46112</v>
      </c>
      <c r="D281" s="309" t="s">
        <v>209</v>
      </c>
      <c r="E281" s="342">
        <v>400</v>
      </c>
      <c r="F281" s="342"/>
      <c r="G281" s="344">
        <f t="shared" si="3"/>
        <v>7796.8299999999872</v>
      </c>
      <c r="H281" s="345"/>
      <c r="I281" s="346"/>
      <c r="J281" s="347"/>
      <c r="K281" s="312"/>
      <c r="L281" s="347"/>
      <c r="M281" s="312"/>
      <c r="N281" s="347"/>
      <c r="O281" s="312"/>
      <c r="P281" s="347"/>
      <c r="Q281" s="312"/>
      <c r="R281" s="347"/>
      <c r="S281" s="312"/>
      <c r="T281" s="347"/>
    </row>
    <row r="282" spans="1:20" ht="12" customHeight="1" x14ac:dyDescent="0.3">
      <c r="A282" s="340" t="s">
        <v>286</v>
      </c>
      <c r="B282" s="341">
        <v>31</v>
      </c>
      <c r="C282" s="309">
        <v>46112</v>
      </c>
      <c r="D282" s="309" t="s">
        <v>210</v>
      </c>
      <c r="E282" s="342">
        <v>375</v>
      </c>
      <c r="F282" s="342"/>
      <c r="G282" s="344">
        <f t="shared" si="3"/>
        <v>8196.8299999999872</v>
      </c>
      <c r="H282" s="345"/>
      <c r="I282" s="346"/>
      <c r="J282" s="347"/>
      <c r="K282" s="312"/>
      <c r="L282" s="347"/>
      <c r="M282" s="312"/>
      <c r="N282" s="347"/>
      <c r="O282" s="312"/>
      <c r="P282" s="347"/>
      <c r="Q282" s="312"/>
      <c r="R282" s="347"/>
      <c r="S282" s="312"/>
      <c r="T282" s="347"/>
    </row>
    <row r="283" spans="1:20" ht="12" customHeight="1" x14ac:dyDescent="0.3">
      <c r="A283" s="340" t="s">
        <v>286</v>
      </c>
      <c r="B283" s="341">
        <v>32</v>
      </c>
      <c r="C283" s="309">
        <v>46112</v>
      </c>
      <c r="D283" s="309" t="s">
        <v>211</v>
      </c>
      <c r="E283" s="342">
        <v>100</v>
      </c>
      <c r="F283" s="342"/>
      <c r="G283" s="344">
        <f t="shared" si="3"/>
        <v>8571.8299999999872</v>
      </c>
      <c r="H283" s="345"/>
      <c r="I283" s="346"/>
      <c r="J283" s="347"/>
      <c r="K283" s="312"/>
      <c r="L283" s="347"/>
      <c r="M283" s="312"/>
      <c r="N283" s="347"/>
      <c r="O283" s="312"/>
      <c r="P283" s="347"/>
      <c r="Q283" s="312"/>
      <c r="R283" s="347"/>
      <c r="S283" s="312"/>
      <c r="T283" s="347"/>
    </row>
    <row r="284" spans="1:20" ht="12" customHeight="1" x14ac:dyDescent="0.3">
      <c r="A284" s="340" t="s">
        <v>286</v>
      </c>
      <c r="B284" s="341">
        <v>33</v>
      </c>
      <c r="C284" s="309">
        <v>46112</v>
      </c>
      <c r="D284" s="309" t="s">
        <v>212</v>
      </c>
      <c r="E284" s="342">
        <v>85</v>
      </c>
      <c r="F284" s="342"/>
      <c r="G284" s="344">
        <f t="shared" si="3"/>
        <v>8671.8299999999872</v>
      </c>
      <c r="H284" s="345"/>
      <c r="I284" s="346"/>
      <c r="J284" s="347"/>
      <c r="K284" s="312"/>
      <c r="L284" s="347"/>
      <c r="M284" s="312"/>
      <c r="N284" s="347"/>
      <c r="O284" s="312"/>
      <c r="P284" s="347"/>
      <c r="Q284" s="312"/>
      <c r="R284" s="347"/>
      <c r="S284" s="312"/>
      <c r="T284" s="347"/>
    </row>
    <row r="285" spans="1:20" ht="12" customHeight="1" x14ac:dyDescent="0.3">
      <c r="A285" s="340" t="s">
        <v>286</v>
      </c>
      <c r="B285" s="341">
        <v>34</v>
      </c>
      <c r="C285" s="309">
        <v>46112</v>
      </c>
      <c r="D285" s="309" t="s">
        <v>213</v>
      </c>
      <c r="E285" s="342">
        <v>230</v>
      </c>
      <c r="F285" s="342"/>
      <c r="G285" s="344">
        <f t="shared" si="3"/>
        <v>8756.8299999999872</v>
      </c>
      <c r="H285" s="345"/>
      <c r="I285" s="346"/>
      <c r="J285" s="347"/>
      <c r="K285" s="312"/>
      <c r="L285" s="347"/>
      <c r="M285" s="312"/>
      <c r="N285" s="347"/>
      <c r="O285" s="312"/>
      <c r="P285" s="347"/>
      <c r="Q285" s="312"/>
      <c r="R285" s="347"/>
      <c r="S285" s="312"/>
      <c r="T285" s="347"/>
    </row>
    <row r="286" spans="1:20" ht="12" customHeight="1" x14ac:dyDescent="0.3">
      <c r="A286" s="340" t="s">
        <v>286</v>
      </c>
      <c r="B286" s="341">
        <v>35</v>
      </c>
      <c r="C286" s="309">
        <v>46112</v>
      </c>
      <c r="D286" s="309" t="s">
        <v>214</v>
      </c>
      <c r="E286" s="342">
        <v>45</v>
      </c>
      <c r="F286" s="342"/>
      <c r="G286" s="344">
        <f t="shared" si="3"/>
        <v>8986.8299999999872</v>
      </c>
      <c r="H286" s="345"/>
      <c r="I286" s="346"/>
      <c r="J286" s="347"/>
      <c r="K286" s="312"/>
      <c r="L286" s="347"/>
      <c r="M286" s="312"/>
      <c r="N286" s="347"/>
      <c r="O286" s="312"/>
      <c r="P286" s="347"/>
      <c r="Q286" s="312"/>
      <c r="R286" s="347"/>
      <c r="S286" s="312"/>
      <c r="T286" s="347"/>
    </row>
    <row r="287" spans="1:20" ht="12" customHeight="1" x14ac:dyDescent="0.3">
      <c r="A287" s="340" t="s">
        <v>289</v>
      </c>
      <c r="B287" s="341">
        <v>6</v>
      </c>
      <c r="C287" s="309">
        <v>46112</v>
      </c>
      <c r="D287" s="309" t="s">
        <v>382</v>
      </c>
      <c r="E287" s="342">
        <v>40</v>
      </c>
      <c r="F287" s="342"/>
      <c r="G287" s="344">
        <f t="shared" si="3"/>
        <v>9031.8299999999872</v>
      </c>
      <c r="H287" s="345"/>
      <c r="I287" s="346"/>
      <c r="J287" s="347"/>
      <c r="K287" s="312"/>
      <c r="L287" s="347"/>
      <c r="M287" s="312"/>
      <c r="N287" s="347"/>
      <c r="O287" s="312"/>
      <c r="P287" s="347"/>
      <c r="Q287" s="312"/>
      <c r="R287" s="347"/>
      <c r="S287" s="312"/>
      <c r="T287" s="347"/>
    </row>
    <row r="288" spans="1:20" ht="12" customHeight="1" x14ac:dyDescent="0.3">
      <c r="A288" s="340" t="s">
        <v>294</v>
      </c>
      <c r="B288" s="341">
        <v>42</v>
      </c>
      <c r="C288" s="309">
        <v>46112</v>
      </c>
      <c r="D288" s="309" t="s">
        <v>200</v>
      </c>
      <c r="E288" s="342">
        <v>59</v>
      </c>
      <c r="F288" s="342"/>
      <c r="G288" s="344">
        <f t="shared" si="3"/>
        <v>9071.8299999999872</v>
      </c>
      <c r="H288" s="345"/>
      <c r="I288" s="346"/>
      <c r="J288" s="347"/>
      <c r="K288" s="312"/>
      <c r="L288" s="347"/>
      <c r="M288" s="312"/>
      <c r="N288" s="347"/>
      <c r="O288" s="312"/>
      <c r="P288" s="347"/>
      <c r="Q288" s="312"/>
      <c r="R288" s="347"/>
      <c r="S288" s="312"/>
      <c r="T288" s="347"/>
    </row>
    <row r="289" spans="1:20" ht="12" customHeight="1" x14ac:dyDescent="0.3">
      <c r="A289" s="340" t="s">
        <v>294</v>
      </c>
      <c r="B289" s="341">
        <v>43</v>
      </c>
      <c r="C289" s="309">
        <v>46112</v>
      </c>
      <c r="D289" s="309" t="s">
        <v>201</v>
      </c>
      <c r="E289" s="342">
        <v>42.84</v>
      </c>
      <c r="F289" s="342"/>
      <c r="G289" s="344">
        <f t="shared" si="3"/>
        <v>9130.8299999999872</v>
      </c>
      <c r="H289" s="345"/>
      <c r="I289" s="346"/>
      <c r="J289" s="347"/>
      <c r="K289" s="312"/>
      <c r="L289" s="347"/>
      <c r="M289" s="312"/>
      <c r="N289" s="347"/>
      <c r="O289" s="312"/>
      <c r="P289" s="347"/>
      <c r="Q289" s="312"/>
      <c r="R289" s="347"/>
      <c r="S289" s="312"/>
      <c r="T289" s="347"/>
    </row>
    <row r="290" spans="1:20" ht="12" customHeight="1" x14ac:dyDescent="0.3">
      <c r="A290" s="340" t="s">
        <v>289</v>
      </c>
      <c r="B290" s="341">
        <v>6</v>
      </c>
      <c r="C290" s="309">
        <v>46112</v>
      </c>
      <c r="D290" s="309" t="s">
        <v>300</v>
      </c>
      <c r="E290" s="342">
        <v>57.21</v>
      </c>
      <c r="F290" s="342"/>
      <c r="G290" s="344">
        <f t="shared" si="3"/>
        <v>9173.6699999999873</v>
      </c>
      <c r="H290" s="345"/>
      <c r="I290" s="346"/>
      <c r="J290" s="347"/>
      <c r="K290" s="312"/>
      <c r="L290" s="347"/>
      <c r="M290" s="312"/>
      <c r="N290" s="347"/>
      <c r="O290" s="312"/>
      <c r="P290" s="347"/>
      <c r="Q290" s="312"/>
      <c r="R290" s="347"/>
      <c r="S290" s="312"/>
      <c r="T290" s="347"/>
    </row>
    <row r="291" spans="1:20" ht="12" customHeight="1" x14ac:dyDescent="0.3">
      <c r="A291" s="340" t="s">
        <v>289</v>
      </c>
      <c r="B291" s="341">
        <v>8</v>
      </c>
      <c r="C291" s="309">
        <v>46112</v>
      </c>
      <c r="D291" s="309" t="s">
        <v>296</v>
      </c>
      <c r="E291" s="342">
        <v>11.18</v>
      </c>
      <c r="F291" s="342"/>
      <c r="G291" s="344">
        <f t="shared" si="3"/>
        <v>9230.8799999999865</v>
      </c>
      <c r="H291" s="345"/>
      <c r="I291" s="346"/>
      <c r="J291" s="347"/>
      <c r="K291" s="312"/>
      <c r="L291" s="347"/>
      <c r="M291" s="312"/>
      <c r="N291" s="347"/>
      <c r="O291" s="312"/>
      <c r="P291" s="347"/>
      <c r="Q291" s="312"/>
      <c r="R291" s="347"/>
      <c r="S291" s="312"/>
      <c r="T291" s="347"/>
    </row>
    <row r="292" spans="1:20" ht="12" customHeight="1" x14ac:dyDescent="0.3">
      <c r="A292" s="340" t="s">
        <v>294</v>
      </c>
      <c r="B292" s="341">
        <v>10</v>
      </c>
      <c r="C292" s="309">
        <v>46112</v>
      </c>
      <c r="D292" s="309" t="s">
        <v>176</v>
      </c>
      <c r="E292" s="342">
        <v>17.899999999999999</v>
      </c>
      <c r="F292" s="342"/>
      <c r="G292" s="344">
        <f t="shared" si="3"/>
        <v>9242.0599999999868</v>
      </c>
      <c r="H292" s="345"/>
      <c r="I292" s="346"/>
      <c r="J292" s="347"/>
      <c r="K292" s="312"/>
      <c r="L292" s="347"/>
      <c r="M292" s="312"/>
      <c r="N292" s="347"/>
      <c r="O292" s="312"/>
      <c r="P292" s="347"/>
      <c r="Q292" s="312"/>
      <c r="R292" s="347"/>
      <c r="S292" s="312"/>
      <c r="T292" s="347"/>
    </row>
    <row r="293" spans="1:20" ht="12" customHeight="1" x14ac:dyDescent="0.3">
      <c r="A293" s="340" t="s">
        <v>289</v>
      </c>
      <c r="B293" s="341">
        <v>2</v>
      </c>
      <c r="C293" s="309">
        <v>46111</v>
      </c>
      <c r="D293" s="309" t="s">
        <v>338</v>
      </c>
      <c r="E293" s="342">
        <v>23.83</v>
      </c>
      <c r="F293" s="342"/>
      <c r="G293" s="344">
        <f t="shared" si="3"/>
        <v>9259.9599999999864</v>
      </c>
      <c r="H293" s="345"/>
      <c r="I293" s="346"/>
      <c r="J293" s="347"/>
      <c r="K293" s="312"/>
      <c r="L293" s="347"/>
      <c r="M293" s="312"/>
      <c r="N293" s="347"/>
      <c r="O293" s="312"/>
      <c r="P293" s="347"/>
      <c r="Q293" s="312"/>
      <c r="R293" s="347"/>
      <c r="S293" s="312"/>
      <c r="T293" s="347"/>
    </row>
    <row r="294" spans="1:20" ht="12" customHeight="1" x14ac:dyDescent="0.3">
      <c r="A294" s="340" t="s">
        <v>291</v>
      </c>
      <c r="B294" s="341">
        <v>38</v>
      </c>
      <c r="C294" s="309">
        <v>46111</v>
      </c>
      <c r="D294" s="310" t="s">
        <v>293</v>
      </c>
      <c r="E294" s="342"/>
      <c r="F294" s="342">
        <v>4278.1400000000003</v>
      </c>
      <c r="G294" s="344">
        <f t="shared" si="3"/>
        <v>9283.7899999999863</v>
      </c>
      <c r="H294" s="345"/>
      <c r="I294" s="346"/>
      <c r="J294" s="347"/>
      <c r="K294" s="312"/>
      <c r="L294" s="347"/>
      <c r="M294" s="312"/>
      <c r="N294" s="347"/>
      <c r="O294" s="312"/>
      <c r="P294" s="347"/>
      <c r="Q294" s="312"/>
      <c r="R294" s="347"/>
      <c r="S294" s="312"/>
      <c r="T294" s="347"/>
    </row>
    <row r="295" spans="1:20" ht="12" customHeight="1" x14ac:dyDescent="0.3">
      <c r="A295" s="340" t="s">
        <v>289</v>
      </c>
      <c r="B295" s="341">
        <v>3</v>
      </c>
      <c r="C295" s="309">
        <v>46111</v>
      </c>
      <c r="D295" s="310" t="s">
        <v>355</v>
      </c>
      <c r="E295" s="342">
        <v>30</v>
      </c>
      <c r="F295" s="342"/>
      <c r="G295" s="344">
        <f t="shared" si="3"/>
        <v>5005.649999999986</v>
      </c>
      <c r="H295" s="345"/>
      <c r="I295" s="346"/>
      <c r="J295" s="347"/>
      <c r="K295" s="312"/>
      <c r="L295" s="347"/>
      <c r="M295" s="312"/>
      <c r="N295" s="347"/>
      <c r="O295" s="312"/>
      <c r="P295" s="347"/>
      <c r="Q295" s="312"/>
      <c r="R295" s="347"/>
      <c r="S295" s="312"/>
      <c r="T295" s="347"/>
    </row>
    <row r="296" spans="1:20" ht="12" customHeight="1" x14ac:dyDescent="0.3">
      <c r="A296" s="340" t="s">
        <v>289</v>
      </c>
      <c r="B296" s="341">
        <v>6</v>
      </c>
      <c r="C296" s="309">
        <v>46111</v>
      </c>
      <c r="D296" s="310" t="s">
        <v>300</v>
      </c>
      <c r="E296" s="342">
        <v>15.96</v>
      </c>
      <c r="F296" s="342"/>
      <c r="G296" s="344">
        <f t="shared" si="3"/>
        <v>5035.649999999986</v>
      </c>
      <c r="H296" s="345"/>
      <c r="I296" s="346"/>
      <c r="J296" s="347"/>
      <c r="K296" s="312"/>
      <c r="L296" s="347"/>
      <c r="M296" s="312"/>
      <c r="N296" s="347"/>
      <c r="O296" s="312"/>
      <c r="P296" s="347"/>
      <c r="Q296" s="312"/>
      <c r="R296" s="347"/>
      <c r="S296" s="312"/>
      <c r="T296" s="347"/>
    </row>
    <row r="297" spans="1:20" ht="12" customHeight="1" x14ac:dyDescent="0.3">
      <c r="A297" s="340" t="s">
        <v>289</v>
      </c>
      <c r="B297" s="341">
        <v>3</v>
      </c>
      <c r="C297" s="309">
        <v>46111</v>
      </c>
      <c r="D297" s="310" t="s">
        <v>383</v>
      </c>
      <c r="E297" s="342">
        <v>18.96</v>
      </c>
      <c r="F297" s="342"/>
      <c r="G297" s="344">
        <f t="shared" si="3"/>
        <v>5051.609999999986</v>
      </c>
      <c r="H297" s="345"/>
      <c r="I297" s="346"/>
      <c r="J297" s="347"/>
      <c r="K297" s="312"/>
      <c r="L297" s="347"/>
      <c r="M297" s="312"/>
      <c r="N297" s="347"/>
      <c r="O297" s="312"/>
      <c r="P297" s="347"/>
      <c r="Q297" s="312"/>
      <c r="R297" s="347"/>
      <c r="S297" s="312"/>
      <c r="T297" s="347"/>
    </row>
    <row r="298" spans="1:20" ht="12" customHeight="1" x14ac:dyDescent="0.3">
      <c r="A298" s="340" t="s">
        <v>289</v>
      </c>
      <c r="B298" s="341">
        <v>1</v>
      </c>
      <c r="C298" s="309">
        <v>46110</v>
      </c>
      <c r="D298" s="310" t="s">
        <v>312</v>
      </c>
      <c r="E298" s="342">
        <v>144.22</v>
      </c>
      <c r="F298" s="342"/>
      <c r="G298" s="344">
        <f t="shared" si="3"/>
        <v>5070.5699999999861</v>
      </c>
      <c r="H298" s="345"/>
      <c r="I298" s="346"/>
      <c r="J298" s="347"/>
      <c r="K298" s="312"/>
      <c r="L298" s="347"/>
      <c r="M298" s="312"/>
      <c r="N298" s="347"/>
      <c r="O298" s="312"/>
      <c r="P298" s="347"/>
      <c r="Q298" s="312"/>
      <c r="R298" s="347"/>
      <c r="S298" s="312"/>
      <c r="T298" s="347"/>
    </row>
    <row r="299" spans="1:20" ht="12" customHeight="1" x14ac:dyDescent="0.3">
      <c r="A299" s="340" t="s">
        <v>289</v>
      </c>
      <c r="B299" s="341">
        <v>7</v>
      </c>
      <c r="C299" s="309">
        <v>46110</v>
      </c>
      <c r="D299" s="310" t="s">
        <v>384</v>
      </c>
      <c r="E299" s="342">
        <v>181.04</v>
      </c>
      <c r="F299" s="342"/>
      <c r="G299" s="344">
        <f t="shared" si="3"/>
        <v>5214.7899999999863</v>
      </c>
      <c r="H299" s="345"/>
      <c r="I299" s="346"/>
      <c r="J299" s="347"/>
      <c r="K299" s="312"/>
      <c r="L299" s="347"/>
      <c r="M299" s="312"/>
      <c r="N299" s="347"/>
      <c r="O299" s="312"/>
      <c r="P299" s="347"/>
      <c r="Q299" s="312"/>
      <c r="R299" s="347"/>
      <c r="S299" s="312"/>
      <c r="T299" s="347"/>
    </row>
    <row r="300" spans="1:20" ht="12" customHeight="1" x14ac:dyDescent="0.3">
      <c r="A300" s="340" t="s">
        <v>289</v>
      </c>
      <c r="B300" s="341">
        <v>6</v>
      </c>
      <c r="C300" s="309">
        <v>46110</v>
      </c>
      <c r="D300" s="310" t="s">
        <v>385</v>
      </c>
      <c r="E300" s="342">
        <v>196.9</v>
      </c>
      <c r="F300" s="342"/>
      <c r="G300" s="344">
        <f t="shared" si="3"/>
        <v>5395.8299999999863</v>
      </c>
      <c r="H300" s="345"/>
      <c r="I300" s="346"/>
      <c r="J300" s="347"/>
      <c r="K300" s="312"/>
      <c r="L300" s="347"/>
      <c r="M300" s="312"/>
      <c r="N300" s="347"/>
      <c r="O300" s="312"/>
      <c r="P300" s="347"/>
      <c r="Q300" s="312"/>
      <c r="R300" s="347"/>
      <c r="S300" s="312"/>
      <c r="T300" s="347"/>
    </row>
    <row r="301" spans="1:20" ht="12" customHeight="1" x14ac:dyDescent="0.3">
      <c r="A301" s="340" t="s">
        <v>289</v>
      </c>
      <c r="B301" s="341">
        <v>3</v>
      </c>
      <c r="C301" s="309">
        <v>46110</v>
      </c>
      <c r="D301" s="310" t="s">
        <v>386</v>
      </c>
      <c r="E301" s="342">
        <v>7.5</v>
      </c>
      <c r="F301" s="342"/>
      <c r="G301" s="344">
        <f t="shared" si="3"/>
        <v>5592.7299999999859</v>
      </c>
      <c r="H301" s="345"/>
      <c r="I301" s="346"/>
      <c r="J301" s="347"/>
      <c r="K301" s="312"/>
      <c r="L301" s="347"/>
      <c r="M301" s="312"/>
      <c r="N301" s="347"/>
      <c r="O301" s="312"/>
      <c r="P301" s="347"/>
      <c r="Q301" s="312"/>
      <c r="R301" s="347"/>
      <c r="S301" s="312"/>
      <c r="T301" s="347"/>
    </row>
    <row r="302" spans="1:20" ht="12" customHeight="1" x14ac:dyDescent="0.3">
      <c r="A302" s="340" t="s">
        <v>289</v>
      </c>
      <c r="B302" s="341">
        <v>8</v>
      </c>
      <c r="C302" s="309">
        <v>46109</v>
      </c>
      <c r="D302" s="310" t="s">
        <v>321</v>
      </c>
      <c r="E302" s="342">
        <v>11.7</v>
      </c>
      <c r="F302" s="342"/>
      <c r="G302" s="344">
        <f t="shared" si="3"/>
        <v>5600.2299999999859</v>
      </c>
      <c r="H302" s="345"/>
      <c r="I302" s="346"/>
      <c r="J302" s="347"/>
      <c r="K302" s="312"/>
      <c r="L302" s="347"/>
      <c r="M302" s="312"/>
      <c r="N302" s="347"/>
      <c r="O302" s="312"/>
      <c r="P302" s="347"/>
      <c r="Q302" s="312"/>
      <c r="R302" s="347"/>
      <c r="S302" s="312"/>
      <c r="T302" s="347"/>
    </row>
    <row r="303" spans="1:20" ht="12" customHeight="1" x14ac:dyDescent="0.3">
      <c r="A303" s="340" t="s">
        <v>289</v>
      </c>
      <c r="B303" s="341">
        <v>2</v>
      </c>
      <c r="C303" s="309">
        <v>46109</v>
      </c>
      <c r="D303" s="310" t="s">
        <v>309</v>
      </c>
      <c r="E303" s="342">
        <v>210.76</v>
      </c>
      <c r="F303" s="342"/>
      <c r="G303" s="344">
        <f t="shared" si="3"/>
        <v>5611.9299999999857</v>
      </c>
      <c r="H303" s="345"/>
      <c r="I303" s="346"/>
      <c r="J303" s="347"/>
      <c r="K303" s="312"/>
      <c r="L303" s="347"/>
      <c r="M303" s="312"/>
      <c r="N303" s="347"/>
      <c r="O303" s="312"/>
      <c r="P303" s="347"/>
      <c r="Q303" s="312"/>
      <c r="R303" s="347"/>
      <c r="S303" s="312"/>
      <c r="T303" s="347"/>
    </row>
    <row r="304" spans="1:20" ht="12" customHeight="1" x14ac:dyDescent="0.3">
      <c r="A304" s="340" t="s">
        <v>289</v>
      </c>
      <c r="B304" s="341">
        <v>4</v>
      </c>
      <c r="C304" s="309">
        <v>46109</v>
      </c>
      <c r="D304" s="310" t="s">
        <v>311</v>
      </c>
      <c r="E304" s="342">
        <v>46.9</v>
      </c>
      <c r="F304" s="342"/>
      <c r="G304" s="344">
        <f t="shared" si="3"/>
        <v>5822.689999999986</v>
      </c>
      <c r="H304" s="345"/>
      <c r="I304" s="346"/>
      <c r="J304" s="347"/>
      <c r="K304" s="312"/>
      <c r="L304" s="347"/>
      <c r="M304" s="312"/>
      <c r="N304" s="347"/>
      <c r="O304" s="312"/>
      <c r="P304" s="347"/>
      <c r="Q304" s="312"/>
      <c r="R304" s="347"/>
      <c r="S304" s="312"/>
      <c r="T304" s="347"/>
    </row>
    <row r="305" spans="1:20" ht="12" customHeight="1" x14ac:dyDescent="0.3">
      <c r="A305" s="340" t="s">
        <v>289</v>
      </c>
      <c r="B305" s="341">
        <v>1</v>
      </c>
      <c r="C305" s="309">
        <v>46109</v>
      </c>
      <c r="D305" s="310" t="s">
        <v>332</v>
      </c>
      <c r="E305" s="342">
        <v>179.1</v>
      </c>
      <c r="F305" s="342"/>
      <c r="G305" s="344">
        <f t="shared" si="3"/>
        <v>5869.5899999999856</v>
      </c>
      <c r="H305" s="345"/>
      <c r="I305" s="346"/>
      <c r="J305" s="347"/>
      <c r="K305" s="312"/>
      <c r="L305" s="347"/>
      <c r="M305" s="312"/>
      <c r="N305" s="347"/>
      <c r="O305" s="312"/>
      <c r="P305" s="347"/>
      <c r="Q305" s="312"/>
      <c r="R305" s="347"/>
      <c r="S305" s="312"/>
      <c r="T305" s="347"/>
    </row>
    <row r="306" spans="1:20" ht="12" customHeight="1" x14ac:dyDescent="0.3">
      <c r="A306" s="340" t="s">
        <v>289</v>
      </c>
      <c r="B306" s="341">
        <v>8</v>
      </c>
      <c r="C306" s="309">
        <v>46109</v>
      </c>
      <c r="D306" s="310" t="s">
        <v>309</v>
      </c>
      <c r="E306" s="342">
        <v>31.97</v>
      </c>
      <c r="F306" s="342"/>
      <c r="G306" s="344">
        <f t="shared" si="3"/>
        <v>6048.689999999986</v>
      </c>
      <c r="H306" s="345"/>
      <c r="I306" s="346"/>
      <c r="J306" s="347"/>
      <c r="K306" s="312"/>
      <c r="L306" s="347"/>
      <c r="M306" s="312"/>
      <c r="N306" s="347"/>
      <c r="O306" s="312"/>
      <c r="P306" s="347"/>
      <c r="Q306" s="312"/>
      <c r="R306" s="347"/>
      <c r="S306" s="312"/>
      <c r="T306" s="347"/>
    </row>
    <row r="307" spans="1:20" ht="12" customHeight="1" x14ac:dyDescent="0.3">
      <c r="A307" s="340" t="s">
        <v>289</v>
      </c>
      <c r="B307" s="341">
        <v>8</v>
      </c>
      <c r="C307" s="309">
        <v>46109</v>
      </c>
      <c r="D307" s="310" t="s">
        <v>309</v>
      </c>
      <c r="E307" s="342">
        <v>12.19</v>
      </c>
      <c r="F307" s="342"/>
      <c r="G307" s="344">
        <f t="shared" si="3"/>
        <v>6080.6599999999862</v>
      </c>
      <c r="H307" s="345"/>
      <c r="I307" s="346"/>
      <c r="J307" s="347"/>
      <c r="K307" s="312"/>
      <c r="L307" s="347"/>
      <c r="M307" s="312"/>
      <c r="N307" s="347"/>
      <c r="O307" s="312"/>
      <c r="P307" s="347"/>
      <c r="Q307" s="312"/>
      <c r="R307" s="347"/>
      <c r="S307" s="312"/>
      <c r="T307" s="347"/>
    </row>
    <row r="308" spans="1:20" ht="12" customHeight="1" x14ac:dyDescent="0.3">
      <c r="A308" s="340" t="s">
        <v>291</v>
      </c>
      <c r="B308" s="341">
        <v>41</v>
      </c>
      <c r="C308" s="309">
        <v>46108</v>
      </c>
      <c r="D308" s="310" t="s">
        <v>387</v>
      </c>
      <c r="E308" s="342"/>
      <c r="F308" s="342">
        <v>400</v>
      </c>
      <c r="G308" s="344">
        <f t="shared" si="3"/>
        <v>6092.8499999999858</v>
      </c>
      <c r="H308" s="345"/>
      <c r="I308" s="346"/>
      <c r="J308" s="347"/>
      <c r="K308" s="312"/>
      <c r="L308" s="347"/>
      <c r="M308" s="312"/>
      <c r="N308" s="347"/>
      <c r="O308" s="312"/>
      <c r="P308" s="347"/>
      <c r="Q308" s="312"/>
      <c r="R308" s="347"/>
      <c r="S308" s="312"/>
      <c r="T308" s="347"/>
    </row>
    <row r="309" spans="1:20" ht="12" customHeight="1" x14ac:dyDescent="0.3">
      <c r="A309" s="340" t="s">
        <v>289</v>
      </c>
      <c r="B309" s="341">
        <v>2</v>
      </c>
      <c r="C309" s="309">
        <v>46108</v>
      </c>
      <c r="D309" s="310" t="s">
        <v>301</v>
      </c>
      <c r="E309" s="342">
        <v>19.5</v>
      </c>
      <c r="F309" s="342"/>
      <c r="G309" s="344">
        <f t="shared" si="3"/>
        <v>5692.8499999999858</v>
      </c>
      <c r="H309" s="345"/>
      <c r="I309" s="346"/>
      <c r="J309" s="347"/>
      <c r="K309" s="312"/>
      <c r="L309" s="347"/>
      <c r="M309" s="312"/>
      <c r="N309" s="347"/>
      <c r="O309" s="312"/>
      <c r="P309" s="347"/>
      <c r="Q309" s="312"/>
      <c r="R309" s="347"/>
      <c r="S309" s="312"/>
      <c r="T309" s="347"/>
    </row>
    <row r="310" spans="1:20" ht="12" customHeight="1" x14ac:dyDescent="0.3">
      <c r="A310" s="340" t="s">
        <v>289</v>
      </c>
      <c r="B310" s="341">
        <v>2</v>
      </c>
      <c r="C310" s="309">
        <v>46108</v>
      </c>
      <c r="D310" s="310" t="s">
        <v>296</v>
      </c>
      <c r="E310" s="342">
        <v>11.48</v>
      </c>
      <c r="F310" s="342"/>
      <c r="G310" s="344">
        <f t="shared" si="3"/>
        <v>5712.3499999999858</v>
      </c>
      <c r="H310" s="345"/>
      <c r="I310" s="346"/>
      <c r="J310" s="347"/>
      <c r="K310" s="312"/>
      <c r="L310" s="347"/>
      <c r="M310" s="312"/>
      <c r="N310" s="347"/>
      <c r="O310" s="312"/>
      <c r="P310" s="347"/>
      <c r="Q310" s="312"/>
      <c r="R310" s="347"/>
      <c r="S310" s="312"/>
      <c r="T310" s="347"/>
    </row>
    <row r="311" spans="1:20" ht="12" customHeight="1" x14ac:dyDescent="0.3">
      <c r="A311" s="340" t="s">
        <v>289</v>
      </c>
      <c r="B311" s="341">
        <v>8</v>
      </c>
      <c r="C311" s="309">
        <v>46108</v>
      </c>
      <c r="D311" s="310" t="s">
        <v>338</v>
      </c>
      <c r="E311" s="342">
        <v>11.46</v>
      </c>
      <c r="F311" s="342"/>
      <c r="G311" s="344">
        <f t="shared" si="3"/>
        <v>5723.8299999999854</v>
      </c>
      <c r="H311" s="345"/>
      <c r="I311" s="346"/>
      <c r="J311" s="347"/>
      <c r="K311" s="312"/>
      <c r="L311" s="347"/>
      <c r="M311" s="312"/>
      <c r="N311" s="347"/>
      <c r="O311" s="312"/>
      <c r="P311" s="347"/>
      <c r="Q311" s="312"/>
      <c r="R311" s="347"/>
      <c r="S311" s="312"/>
      <c r="T311" s="347"/>
    </row>
    <row r="312" spans="1:20" ht="12" customHeight="1" x14ac:dyDescent="0.3">
      <c r="A312" s="340" t="s">
        <v>289</v>
      </c>
      <c r="B312" s="341">
        <v>4</v>
      </c>
      <c r="C312" s="309">
        <v>46108</v>
      </c>
      <c r="D312" s="310" t="s">
        <v>338</v>
      </c>
      <c r="E312" s="342">
        <v>38.21</v>
      </c>
      <c r="F312" s="342"/>
      <c r="G312" s="344">
        <f t="shared" si="3"/>
        <v>5735.2899999999854</v>
      </c>
      <c r="H312" s="345"/>
      <c r="I312" s="346"/>
      <c r="J312" s="347"/>
      <c r="K312" s="312"/>
      <c r="L312" s="347"/>
      <c r="M312" s="312"/>
      <c r="N312" s="347"/>
      <c r="O312" s="312"/>
      <c r="P312" s="347"/>
      <c r="Q312" s="312"/>
      <c r="R312" s="347"/>
      <c r="S312" s="312"/>
      <c r="T312" s="347"/>
    </row>
    <row r="313" spans="1:20" ht="12" customHeight="1" x14ac:dyDescent="0.3">
      <c r="A313" s="340" t="s">
        <v>289</v>
      </c>
      <c r="B313" s="341">
        <v>2</v>
      </c>
      <c r="C313" s="309">
        <v>46108</v>
      </c>
      <c r="D313" s="310" t="s">
        <v>388</v>
      </c>
      <c r="E313" s="342">
        <v>69.95</v>
      </c>
      <c r="F313" s="342"/>
      <c r="G313" s="344">
        <f t="shared" si="3"/>
        <v>5773.4999999999854</v>
      </c>
      <c r="H313" s="345"/>
      <c r="I313" s="346"/>
      <c r="J313" s="347"/>
      <c r="K313" s="312"/>
      <c r="L313" s="347"/>
      <c r="M313" s="312"/>
      <c r="N313" s="347"/>
      <c r="O313" s="312"/>
      <c r="P313" s="347"/>
      <c r="Q313" s="312"/>
      <c r="R313" s="347"/>
      <c r="S313" s="312"/>
      <c r="T313" s="347"/>
    </row>
    <row r="314" spans="1:20" ht="12" customHeight="1" x14ac:dyDescent="0.3">
      <c r="A314" s="340" t="s">
        <v>289</v>
      </c>
      <c r="B314" s="341">
        <v>3</v>
      </c>
      <c r="C314" s="309">
        <v>46108</v>
      </c>
      <c r="D314" s="310" t="s">
        <v>352</v>
      </c>
      <c r="E314" s="342">
        <v>10.78</v>
      </c>
      <c r="F314" s="342"/>
      <c r="G314" s="344">
        <f t="shared" si="3"/>
        <v>5843.4499999999853</v>
      </c>
      <c r="H314" s="345"/>
      <c r="I314" s="346"/>
      <c r="J314" s="347"/>
      <c r="K314" s="312"/>
      <c r="L314" s="347"/>
      <c r="M314" s="312"/>
      <c r="N314" s="347"/>
      <c r="O314" s="312"/>
      <c r="P314" s="347"/>
      <c r="Q314" s="312"/>
      <c r="R314" s="347"/>
      <c r="S314" s="312"/>
      <c r="T314" s="347"/>
    </row>
    <row r="315" spans="1:20" ht="12" customHeight="1" x14ac:dyDescent="0.3">
      <c r="A315" s="340" t="s">
        <v>289</v>
      </c>
      <c r="B315" s="341">
        <v>6</v>
      </c>
      <c r="C315" s="309">
        <v>46108</v>
      </c>
      <c r="D315" s="310" t="s">
        <v>300</v>
      </c>
      <c r="E315" s="342">
        <v>15.84</v>
      </c>
      <c r="F315" s="342"/>
      <c r="G315" s="344">
        <f t="shared" si="3"/>
        <v>5854.229999999985</v>
      </c>
      <c r="H315" s="345"/>
      <c r="I315" s="346"/>
      <c r="J315" s="347"/>
      <c r="K315" s="312"/>
      <c r="L315" s="347"/>
      <c r="M315" s="312"/>
      <c r="N315" s="347"/>
      <c r="O315" s="312"/>
      <c r="P315" s="347"/>
      <c r="Q315" s="312"/>
      <c r="R315" s="347"/>
      <c r="S315" s="312"/>
      <c r="T315" s="347"/>
    </row>
    <row r="316" spans="1:20" ht="12" customHeight="1" x14ac:dyDescent="0.3">
      <c r="A316" s="340" t="s">
        <v>289</v>
      </c>
      <c r="B316" s="341">
        <v>8</v>
      </c>
      <c r="C316" s="309">
        <v>46108</v>
      </c>
      <c r="D316" s="310" t="s">
        <v>389</v>
      </c>
      <c r="E316" s="342">
        <v>22.48</v>
      </c>
      <c r="F316" s="342"/>
      <c r="G316" s="344">
        <f t="shared" si="3"/>
        <v>5870.0699999999852</v>
      </c>
      <c r="H316" s="345"/>
      <c r="I316" s="346"/>
      <c r="J316" s="347"/>
      <c r="K316" s="312"/>
      <c r="L316" s="347"/>
      <c r="M316" s="312"/>
      <c r="N316" s="347"/>
      <c r="O316" s="312"/>
      <c r="P316" s="347"/>
      <c r="Q316" s="312"/>
      <c r="R316" s="347"/>
      <c r="S316" s="312"/>
      <c r="T316" s="347"/>
    </row>
    <row r="317" spans="1:20" ht="12" customHeight="1" x14ac:dyDescent="0.3">
      <c r="A317" s="340" t="s">
        <v>289</v>
      </c>
      <c r="B317" s="341">
        <v>2</v>
      </c>
      <c r="C317" s="309">
        <v>46107</v>
      </c>
      <c r="D317" s="310" t="s">
        <v>362</v>
      </c>
      <c r="E317" s="342">
        <v>11.17</v>
      </c>
      <c r="F317" s="342"/>
      <c r="G317" s="344">
        <f t="shared" si="3"/>
        <v>5892.5499999999847</v>
      </c>
      <c r="H317" s="345"/>
      <c r="I317" s="346"/>
      <c r="J317" s="347"/>
      <c r="K317" s="312"/>
      <c r="L317" s="347"/>
      <c r="M317" s="312"/>
      <c r="N317" s="347"/>
      <c r="O317" s="312"/>
      <c r="P317" s="347"/>
      <c r="Q317" s="312"/>
      <c r="R317" s="347"/>
      <c r="S317" s="312"/>
      <c r="T317" s="347"/>
    </row>
    <row r="318" spans="1:20" ht="12" customHeight="1" x14ac:dyDescent="0.3">
      <c r="A318" s="340" t="s">
        <v>289</v>
      </c>
      <c r="B318" s="341">
        <v>2</v>
      </c>
      <c r="C318" s="309">
        <v>46107</v>
      </c>
      <c r="D318" s="310" t="s">
        <v>390</v>
      </c>
      <c r="E318" s="342">
        <v>14.38</v>
      </c>
      <c r="F318" s="342"/>
      <c r="G318" s="344">
        <f t="shared" si="3"/>
        <v>5903.7199999999848</v>
      </c>
      <c r="H318" s="345"/>
      <c r="I318" s="346"/>
      <c r="J318" s="347"/>
      <c r="K318" s="312"/>
      <c r="L318" s="347"/>
      <c r="M318" s="312"/>
      <c r="N318" s="347"/>
      <c r="O318" s="312"/>
      <c r="P318" s="347"/>
      <c r="Q318" s="312"/>
      <c r="R318" s="347"/>
      <c r="S318" s="312"/>
      <c r="T318" s="347"/>
    </row>
    <row r="319" spans="1:20" ht="12" customHeight="1" x14ac:dyDescent="0.3">
      <c r="A319" s="340" t="s">
        <v>289</v>
      </c>
      <c r="B319" s="341">
        <v>8</v>
      </c>
      <c r="C319" s="309">
        <v>46107</v>
      </c>
      <c r="D319" s="310" t="s">
        <v>391</v>
      </c>
      <c r="E319" s="342">
        <v>45</v>
      </c>
      <c r="F319" s="342"/>
      <c r="G319" s="344">
        <f t="shared" si="3"/>
        <v>5918.0999999999849</v>
      </c>
      <c r="H319" s="345"/>
      <c r="I319" s="346"/>
      <c r="J319" s="347"/>
      <c r="K319" s="312"/>
      <c r="L319" s="347"/>
      <c r="M319" s="312"/>
      <c r="N319" s="347"/>
      <c r="O319" s="312"/>
      <c r="P319" s="347"/>
      <c r="Q319" s="312"/>
      <c r="R319" s="347"/>
      <c r="S319" s="312"/>
      <c r="T319" s="347"/>
    </row>
    <row r="320" spans="1:20" ht="12" customHeight="1" x14ac:dyDescent="0.3">
      <c r="A320" s="340" t="s">
        <v>289</v>
      </c>
      <c r="B320" s="341">
        <v>2</v>
      </c>
      <c r="C320" s="309">
        <v>46107</v>
      </c>
      <c r="D320" s="310" t="s">
        <v>327</v>
      </c>
      <c r="E320" s="342">
        <v>9.0299999999999994</v>
      </c>
      <c r="F320" s="342"/>
      <c r="G320" s="344">
        <f t="shared" si="3"/>
        <v>5963.0999999999849</v>
      </c>
      <c r="H320" s="345"/>
      <c r="I320" s="346"/>
      <c r="J320" s="347"/>
      <c r="K320" s="312"/>
      <c r="L320" s="347"/>
      <c r="M320" s="312"/>
      <c r="N320" s="347"/>
      <c r="O320" s="312"/>
      <c r="P320" s="347"/>
      <c r="Q320" s="312"/>
      <c r="R320" s="347"/>
      <c r="S320" s="312"/>
      <c r="T320" s="347"/>
    </row>
    <row r="321" spans="1:20" ht="12" customHeight="1" x14ac:dyDescent="0.3">
      <c r="A321" s="340" t="s">
        <v>289</v>
      </c>
      <c r="B321" s="341">
        <v>2</v>
      </c>
      <c r="C321" s="309">
        <v>46107</v>
      </c>
      <c r="D321" s="310" t="s">
        <v>301</v>
      </c>
      <c r="E321" s="342">
        <v>30</v>
      </c>
      <c r="F321" s="342"/>
      <c r="G321" s="344">
        <f t="shared" si="3"/>
        <v>5972.1299999999846</v>
      </c>
      <c r="H321" s="345"/>
      <c r="I321" s="346"/>
      <c r="J321" s="347"/>
      <c r="K321" s="312"/>
      <c r="L321" s="347"/>
      <c r="M321" s="312"/>
      <c r="N321" s="347"/>
      <c r="O321" s="312"/>
      <c r="P321" s="347"/>
      <c r="Q321" s="312"/>
      <c r="R321" s="347"/>
      <c r="S321" s="312"/>
      <c r="T321" s="347"/>
    </row>
    <row r="322" spans="1:20" ht="12" customHeight="1" x14ac:dyDescent="0.3">
      <c r="A322" s="340" t="s">
        <v>289</v>
      </c>
      <c r="B322" s="341">
        <v>6</v>
      </c>
      <c r="C322" s="309">
        <v>46106</v>
      </c>
      <c r="D322" s="310" t="s">
        <v>392</v>
      </c>
      <c r="E322" s="342">
        <v>12</v>
      </c>
      <c r="F322" s="342"/>
      <c r="G322" s="344">
        <f t="shared" si="3"/>
        <v>6002.1299999999846</v>
      </c>
      <c r="H322" s="345"/>
      <c r="I322" s="346"/>
      <c r="J322" s="347"/>
      <c r="K322" s="312"/>
      <c r="L322" s="347"/>
      <c r="M322" s="312"/>
      <c r="N322" s="347"/>
      <c r="O322" s="312"/>
      <c r="P322" s="347"/>
      <c r="Q322" s="312"/>
      <c r="R322" s="347"/>
      <c r="S322" s="312"/>
      <c r="T322" s="347"/>
    </row>
    <row r="323" spans="1:20" ht="12" customHeight="1" x14ac:dyDescent="0.3">
      <c r="A323" s="340" t="s">
        <v>289</v>
      </c>
      <c r="B323" s="341">
        <v>6</v>
      </c>
      <c r="C323" s="309">
        <v>46106</v>
      </c>
      <c r="D323" s="310" t="s">
        <v>393</v>
      </c>
      <c r="E323" s="342">
        <v>20</v>
      </c>
      <c r="F323" s="342"/>
      <c r="G323" s="344">
        <f t="shared" si="3"/>
        <v>6014.1299999999846</v>
      </c>
      <c r="H323" s="345"/>
      <c r="I323" s="346"/>
      <c r="J323" s="347"/>
      <c r="K323" s="312"/>
      <c r="L323" s="347"/>
      <c r="M323" s="312"/>
      <c r="N323" s="347"/>
      <c r="O323" s="312"/>
      <c r="P323" s="347"/>
      <c r="Q323" s="312"/>
      <c r="R323" s="347"/>
      <c r="S323" s="312"/>
      <c r="T323" s="347"/>
    </row>
    <row r="324" spans="1:20" ht="12" customHeight="1" x14ac:dyDescent="0.3">
      <c r="A324" s="340" t="s">
        <v>289</v>
      </c>
      <c r="B324" s="341">
        <v>2</v>
      </c>
      <c r="C324" s="309">
        <v>46106</v>
      </c>
      <c r="D324" s="310" t="s">
        <v>296</v>
      </c>
      <c r="E324" s="342">
        <v>21.05</v>
      </c>
      <c r="F324" s="342"/>
      <c r="G324" s="344">
        <f t="shared" si="3"/>
        <v>6034.1299999999846</v>
      </c>
      <c r="H324" s="345"/>
      <c r="I324" s="346"/>
      <c r="J324" s="347"/>
      <c r="K324" s="312"/>
      <c r="L324" s="347"/>
      <c r="M324" s="312"/>
      <c r="N324" s="347"/>
      <c r="O324" s="312"/>
      <c r="P324" s="347"/>
      <c r="Q324" s="312"/>
      <c r="R324" s="347"/>
      <c r="S324" s="312"/>
      <c r="T324" s="347"/>
    </row>
    <row r="325" spans="1:20" ht="12" customHeight="1" x14ac:dyDescent="0.3">
      <c r="A325" s="340" t="s">
        <v>289</v>
      </c>
      <c r="B325" s="341">
        <v>4</v>
      </c>
      <c r="C325" s="309">
        <v>46106</v>
      </c>
      <c r="D325" s="310" t="s">
        <v>296</v>
      </c>
      <c r="E325" s="342">
        <v>38.58</v>
      </c>
      <c r="F325" s="342"/>
      <c r="G325" s="344">
        <f t="shared" si="3"/>
        <v>6055.1799999999848</v>
      </c>
      <c r="H325" s="345"/>
      <c r="I325" s="346"/>
      <c r="J325" s="347"/>
      <c r="K325" s="312"/>
      <c r="L325" s="347"/>
      <c r="M325" s="312"/>
      <c r="N325" s="347"/>
      <c r="O325" s="312"/>
      <c r="P325" s="347"/>
      <c r="Q325" s="312"/>
      <c r="R325" s="347"/>
      <c r="S325" s="312"/>
      <c r="T325" s="347"/>
    </row>
    <row r="326" spans="1:20" ht="12" customHeight="1" x14ac:dyDescent="0.3">
      <c r="A326" s="340" t="s">
        <v>294</v>
      </c>
      <c r="B326" s="341">
        <v>12</v>
      </c>
      <c r="C326" s="309">
        <v>46106</v>
      </c>
      <c r="D326" s="310" t="s">
        <v>315</v>
      </c>
      <c r="E326" s="342">
        <v>204.47</v>
      </c>
      <c r="F326" s="342"/>
      <c r="G326" s="344">
        <f t="shared" si="3"/>
        <v>6093.7599999999848</v>
      </c>
      <c r="H326" s="345"/>
      <c r="I326" s="346"/>
      <c r="J326" s="347"/>
      <c r="K326" s="312"/>
      <c r="L326" s="347"/>
      <c r="M326" s="312"/>
      <c r="N326" s="347"/>
      <c r="O326" s="312"/>
      <c r="P326" s="347"/>
      <c r="Q326" s="312"/>
      <c r="R326" s="347"/>
      <c r="S326" s="312"/>
      <c r="T326" s="347"/>
    </row>
    <row r="327" spans="1:20" ht="12" customHeight="1" x14ac:dyDescent="0.3">
      <c r="A327" s="340" t="s">
        <v>294</v>
      </c>
      <c r="B327" s="341">
        <v>24</v>
      </c>
      <c r="C327" s="309">
        <v>46105</v>
      </c>
      <c r="D327" s="310" t="s">
        <v>199</v>
      </c>
      <c r="E327" s="342">
        <v>86.58</v>
      </c>
      <c r="F327" s="342"/>
      <c r="G327" s="344">
        <f t="shared" si="3"/>
        <v>6298.229999999985</v>
      </c>
      <c r="H327" s="345"/>
      <c r="I327" s="346"/>
      <c r="J327" s="347"/>
      <c r="K327" s="312"/>
      <c r="L327" s="347"/>
      <c r="M327" s="312"/>
      <c r="N327" s="347"/>
      <c r="O327" s="312"/>
      <c r="P327" s="347"/>
      <c r="Q327" s="312"/>
      <c r="R327" s="347"/>
      <c r="S327" s="312"/>
      <c r="T327" s="347"/>
    </row>
    <row r="328" spans="1:20" ht="12" customHeight="1" x14ac:dyDescent="0.3">
      <c r="A328" s="340" t="s">
        <v>289</v>
      </c>
      <c r="B328" s="341">
        <v>6</v>
      </c>
      <c r="C328" s="309">
        <v>46105</v>
      </c>
      <c r="D328" s="310" t="s">
        <v>393</v>
      </c>
      <c r="E328" s="342">
        <v>20</v>
      </c>
      <c r="F328" s="342"/>
      <c r="G328" s="344">
        <f t="shared" si="3"/>
        <v>6384.8099999999849</v>
      </c>
      <c r="H328" s="345"/>
      <c r="I328" s="346"/>
      <c r="J328" s="347"/>
      <c r="K328" s="312"/>
      <c r="L328" s="347"/>
      <c r="M328" s="312"/>
      <c r="N328" s="347"/>
      <c r="O328" s="312"/>
      <c r="P328" s="347"/>
      <c r="Q328" s="312"/>
      <c r="R328" s="347"/>
      <c r="S328" s="312"/>
      <c r="T328" s="347"/>
    </row>
    <row r="329" spans="1:20" ht="12" customHeight="1" x14ac:dyDescent="0.3">
      <c r="A329" s="340" t="s">
        <v>289</v>
      </c>
      <c r="B329" s="341">
        <v>2</v>
      </c>
      <c r="C329" s="309">
        <v>46105</v>
      </c>
      <c r="D329" s="310" t="s">
        <v>394</v>
      </c>
      <c r="E329" s="342">
        <v>15.29</v>
      </c>
      <c r="F329" s="342"/>
      <c r="G329" s="344">
        <f t="shared" si="3"/>
        <v>6404.8099999999849</v>
      </c>
      <c r="H329" s="345"/>
      <c r="I329" s="346"/>
      <c r="J329" s="347"/>
      <c r="K329" s="312"/>
      <c r="L329" s="347"/>
      <c r="M329" s="312"/>
      <c r="N329" s="347"/>
      <c r="O329" s="312"/>
      <c r="P329" s="347"/>
      <c r="Q329" s="312"/>
      <c r="R329" s="347"/>
      <c r="S329" s="312"/>
      <c r="T329" s="347"/>
    </row>
    <row r="330" spans="1:20" ht="12" customHeight="1" x14ac:dyDescent="0.3">
      <c r="A330" s="340" t="s">
        <v>289</v>
      </c>
      <c r="B330" s="341">
        <v>8</v>
      </c>
      <c r="C330" s="309">
        <v>46105</v>
      </c>
      <c r="D330" s="310" t="s">
        <v>309</v>
      </c>
      <c r="E330" s="342">
        <v>47.99</v>
      </c>
      <c r="F330" s="342"/>
      <c r="G330" s="344">
        <f t="shared" si="3"/>
        <v>6420.0999999999849</v>
      </c>
      <c r="H330" s="345"/>
      <c r="I330" s="346"/>
      <c r="J330" s="347"/>
      <c r="K330" s="312"/>
      <c r="L330" s="347"/>
      <c r="M330" s="312"/>
      <c r="N330" s="347"/>
      <c r="O330" s="312"/>
      <c r="P330" s="347"/>
      <c r="Q330" s="312"/>
      <c r="R330" s="347"/>
      <c r="S330" s="312"/>
      <c r="T330" s="347"/>
    </row>
    <row r="331" spans="1:20" ht="12" customHeight="1" x14ac:dyDescent="0.3">
      <c r="A331" s="340" t="s">
        <v>294</v>
      </c>
      <c r="B331" s="341">
        <v>23</v>
      </c>
      <c r="C331" s="309">
        <v>46104</v>
      </c>
      <c r="D331" s="310" t="s">
        <v>67</v>
      </c>
      <c r="E331" s="342">
        <v>650.88</v>
      </c>
      <c r="F331" s="342"/>
      <c r="G331" s="344">
        <f t="shared" si="3"/>
        <v>6468.0899999999847</v>
      </c>
      <c r="H331" s="345"/>
      <c r="I331" s="346"/>
      <c r="J331" s="347"/>
      <c r="K331" s="312"/>
      <c r="L331" s="347"/>
      <c r="M331" s="312"/>
      <c r="N331" s="347"/>
      <c r="O331" s="312"/>
      <c r="P331" s="347"/>
      <c r="Q331" s="312"/>
      <c r="R331" s="347"/>
      <c r="S331" s="312"/>
      <c r="T331" s="347"/>
    </row>
    <row r="332" spans="1:20" ht="12" customHeight="1" x14ac:dyDescent="0.3">
      <c r="A332" s="340" t="s">
        <v>289</v>
      </c>
      <c r="B332" s="341">
        <v>2</v>
      </c>
      <c r="C332" s="309">
        <v>46104</v>
      </c>
      <c r="D332" s="310" t="s">
        <v>395</v>
      </c>
      <c r="E332" s="342">
        <v>46</v>
      </c>
      <c r="F332" s="342"/>
      <c r="G332" s="344">
        <f t="shared" si="3"/>
        <v>7118.9699999999848</v>
      </c>
      <c r="H332" s="345"/>
      <c r="I332" s="346"/>
      <c r="J332" s="347"/>
      <c r="K332" s="312"/>
      <c r="L332" s="347"/>
      <c r="M332" s="312"/>
      <c r="N332" s="347"/>
      <c r="O332" s="312"/>
      <c r="P332" s="347"/>
      <c r="Q332" s="312"/>
      <c r="R332" s="347"/>
      <c r="S332" s="312"/>
      <c r="T332" s="347"/>
    </row>
    <row r="333" spans="1:20" ht="12" customHeight="1" x14ac:dyDescent="0.3">
      <c r="A333" s="340" t="s">
        <v>289</v>
      </c>
      <c r="B333" s="341">
        <v>2</v>
      </c>
      <c r="C333" s="309">
        <v>46103</v>
      </c>
      <c r="D333" s="310" t="s">
        <v>396</v>
      </c>
      <c r="E333" s="342">
        <v>24.81</v>
      </c>
      <c r="F333" s="342"/>
      <c r="G333" s="344">
        <f t="shared" si="3"/>
        <v>7164.9699999999848</v>
      </c>
      <c r="H333" s="345"/>
      <c r="I333" s="346"/>
      <c r="J333" s="347"/>
      <c r="K333" s="312"/>
      <c r="L333" s="347"/>
      <c r="M333" s="312"/>
      <c r="N333" s="347"/>
      <c r="O333" s="312"/>
      <c r="P333" s="347"/>
      <c r="Q333" s="312"/>
      <c r="R333" s="347"/>
      <c r="S333" s="312"/>
      <c r="T333" s="347"/>
    </row>
    <row r="334" spans="1:20" ht="12" customHeight="1" x14ac:dyDescent="0.3">
      <c r="A334" s="340" t="s">
        <v>289</v>
      </c>
      <c r="B334" s="341">
        <v>4</v>
      </c>
      <c r="C334" s="309">
        <v>46103</v>
      </c>
      <c r="D334" s="310" t="s">
        <v>296</v>
      </c>
      <c r="E334" s="342">
        <v>28.77</v>
      </c>
      <c r="F334" s="342"/>
      <c r="G334" s="344">
        <f t="shared" si="3"/>
        <v>7189.7799999999852</v>
      </c>
      <c r="H334" s="345"/>
      <c r="I334" s="346"/>
      <c r="J334" s="347"/>
      <c r="K334" s="312"/>
      <c r="L334" s="347"/>
      <c r="M334" s="312"/>
      <c r="N334" s="347"/>
      <c r="O334" s="312"/>
      <c r="P334" s="347"/>
      <c r="Q334" s="312"/>
      <c r="R334" s="347"/>
      <c r="S334" s="312"/>
      <c r="T334" s="347"/>
    </row>
    <row r="335" spans="1:20" ht="12" customHeight="1" x14ac:dyDescent="0.3">
      <c r="A335" s="340" t="s">
        <v>289</v>
      </c>
      <c r="B335" s="341">
        <v>8</v>
      </c>
      <c r="C335" s="309">
        <v>46103</v>
      </c>
      <c r="D335" s="310" t="s">
        <v>296</v>
      </c>
      <c r="E335" s="342">
        <v>11.9</v>
      </c>
      <c r="F335" s="342"/>
      <c r="G335" s="344">
        <f t="shared" si="3"/>
        <v>7218.5499999999856</v>
      </c>
      <c r="H335" s="345"/>
      <c r="I335" s="346"/>
      <c r="J335" s="347"/>
      <c r="K335" s="312"/>
      <c r="L335" s="347"/>
      <c r="M335" s="312"/>
      <c r="N335" s="347"/>
      <c r="O335" s="312"/>
      <c r="P335" s="347"/>
      <c r="Q335" s="312"/>
      <c r="R335" s="347"/>
      <c r="S335" s="312"/>
      <c r="T335" s="347"/>
    </row>
    <row r="336" spans="1:20" ht="12" customHeight="1" x14ac:dyDescent="0.3">
      <c r="A336" s="340" t="s">
        <v>289</v>
      </c>
      <c r="B336" s="341">
        <v>1</v>
      </c>
      <c r="C336" s="309">
        <v>46103</v>
      </c>
      <c r="D336" s="310" t="s">
        <v>306</v>
      </c>
      <c r="E336" s="342">
        <v>42.59</v>
      </c>
      <c r="F336" s="342"/>
      <c r="G336" s="344">
        <f t="shared" si="3"/>
        <v>7230.4499999999853</v>
      </c>
      <c r="H336" s="345"/>
      <c r="I336" s="346"/>
      <c r="J336" s="347"/>
      <c r="K336" s="312"/>
      <c r="L336" s="347"/>
      <c r="M336" s="312"/>
      <c r="N336" s="347"/>
      <c r="O336" s="312"/>
      <c r="P336" s="347"/>
      <c r="Q336" s="312"/>
      <c r="R336" s="347"/>
      <c r="S336" s="312"/>
      <c r="T336" s="347"/>
    </row>
    <row r="337" spans="1:20" ht="12" customHeight="1" x14ac:dyDescent="0.3">
      <c r="A337" s="340" t="s">
        <v>289</v>
      </c>
      <c r="B337" s="341">
        <v>6</v>
      </c>
      <c r="C337" s="309">
        <v>46103</v>
      </c>
      <c r="D337" s="310" t="s">
        <v>306</v>
      </c>
      <c r="E337" s="342">
        <v>17.579999999999998</v>
      </c>
      <c r="F337" s="342"/>
      <c r="G337" s="344">
        <f t="shared" si="3"/>
        <v>7273.0399999999854</v>
      </c>
      <c r="H337" s="345"/>
      <c r="I337" s="346"/>
      <c r="J337" s="347"/>
      <c r="K337" s="312"/>
      <c r="L337" s="347"/>
      <c r="M337" s="312"/>
      <c r="N337" s="347"/>
      <c r="O337" s="312"/>
      <c r="P337" s="347"/>
      <c r="Q337" s="312"/>
      <c r="R337" s="347"/>
      <c r="S337" s="312"/>
      <c r="T337" s="347"/>
    </row>
    <row r="338" spans="1:20" ht="12" customHeight="1" x14ac:dyDescent="0.3">
      <c r="A338" s="340" t="s">
        <v>289</v>
      </c>
      <c r="B338" s="341">
        <v>6</v>
      </c>
      <c r="C338" s="309">
        <v>46103</v>
      </c>
      <c r="D338" s="310" t="s">
        <v>306</v>
      </c>
      <c r="E338" s="342">
        <v>11.99</v>
      </c>
      <c r="F338" s="342"/>
      <c r="G338" s="344">
        <f t="shared" si="3"/>
        <v>7290.6199999999853</v>
      </c>
      <c r="H338" s="345"/>
      <c r="I338" s="346"/>
      <c r="J338" s="347"/>
      <c r="K338" s="312"/>
      <c r="L338" s="347"/>
      <c r="M338" s="312"/>
      <c r="N338" s="347"/>
      <c r="O338" s="312"/>
      <c r="P338" s="347"/>
      <c r="Q338" s="312"/>
      <c r="R338" s="347"/>
      <c r="S338" s="312"/>
      <c r="T338" s="347"/>
    </row>
    <row r="339" spans="1:20" ht="12" customHeight="1" x14ac:dyDescent="0.3">
      <c r="A339" s="340" t="s">
        <v>289</v>
      </c>
      <c r="B339" s="341">
        <v>1</v>
      </c>
      <c r="C339" s="309">
        <v>46103</v>
      </c>
      <c r="D339" s="310" t="s">
        <v>312</v>
      </c>
      <c r="E339" s="342">
        <v>81.31</v>
      </c>
      <c r="F339" s="342"/>
      <c r="G339" s="344">
        <f t="shared" si="3"/>
        <v>7302.6099999999851</v>
      </c>
      <c r="H339" s="345"/>
      <c r="I339" s="346"/>
      <c r="J339" s="347"/>
      <c r="K339" s="312"/>
      <c r="L339" s="347"/>
      <c r="M339" s="312"/>
      <c r="N339" s="347"/>
      <c r="O339" s="312"/>
      <c r="P339" s="347"/>
      <c r="Q339" s="312"/>
      <c r="R339" s="347"/>
      <c r="S339" s="312"/>
      <c r="T339" s="347"/>
    </row>
    <row r="340" spans="1:20" ht="12" customHeight="1" x14ac:dyDescent="0.3">
      <c r="A340" s="340" t="s">
        <v>289</v>
      </c>
      <c r="B340" s="341">
        <v>1</v>
      </c>
      <c r="C340" s="309">
        <v>46103</v>
      </c>
      <c r="D340" s="310" t="s">
        <v>397</v>
      </c>
      <c r="E340" s="342">
        <v>38.44</v>
      </c>
      <c r="F340" s="342"/>
      <c r="G340" s="344">
        <f t="shared" si="3"/>
        <v>7383.9199999999855</v>
      </c>
      <c r="H340" s="345"/>
      <c r="I340" s="346"/>
      <c r="J340" s="347"/>
      <c r="K340" s="312"/>
      <c r="L340" s="347"/>
      <c r="M340" s="312"/>
      <c r="N340" s="347"/>
      <c r="O340" s="312"/>
      <c r="P340" s="347"/>
      <c r="Q340" s="312"/>
      <c r="R340" s="347"/>
      <c r="S340" s="312"/>
      <c r="T340" s="347"/>
    </row>
    <row r="341" spans="1:20" ht="12" customHeight="1" x14ac:dyDescent="0.3">
      <c r="A341" s="340" t="s">
        <v>289</v>
      </c>
      <c r="B341" s="341">
        <v>2</v>
      </c>
      <c r="C341" s="309">
        <v>46103</v>
      </c>
      <c r="D341" s="310" t="s">
        <v>398</v>
      </c>
      <c r="E341" s="342">
        <v>35.700000000000003</v>
      </c>
      <c r="F341" s="342"/>
      <c r="G341" s="344">
        <f t="shared" si="3"/>
        <v>7422.3599999999851</v>
      </c>
      <c r="H341" s="345"/>
      <c r="I341" s="346"/>
      <c r="J341" s="347"/>
      <c r="K341" s="312"/>
      <c r="L341" s="347"/>
      <c r="M341" s="312"/>
      <c r="N341" s="347"/>
      <c r="O341" s="312"/>
      <c r="P341" s="347"/>
      <c r="Q341" s="312"/>
      <c r="R341" s="347"/>
      <c r="S341" s="312"/>
      <c r="T341" s="347"/>
    </row>
    <row r="342" spans="1:20" ht="12" customHeight="1" x14ac:dyDescent="0.3">
      <c r="A342" s="340" t="s">
        <v>289</v>
      </c>
      <c r="B342" s="341">
        <v>6</v>
      </c>
      <c r="C342" s="309">
        <v>46102</v>
      </c>
      <c r="D342" s="310" t="s">
        <v>306</v>
      </c>
      <c r="E342" s="342">
        <v>10.64</v>
      </c>
      <c r="F342" s="342"/>
      <c r="G342" s="344">
        <f t="shared" si="3"/>
        <v>7458.0599999999849</v>
      </c>
      <c r="H342" s="345"/>
      <c r="I342" s="346"/>
      <c r="J342" s="347"/>
      <c r="K342" s="312"/>
      <c r="L342" s="347"/>
      <c r="M342" s="312"/>
      <c r="N342" s="347"/>
      <c r="O342" s="312"/>
      <c r="P342" s="347"/>
      <c r="Q342" s="312"/>
      <c r="R342" s="347"/>
      <c r="S342" s="312"/>
      <c r="T342" s="347"/>
    </row>
    <row r="343" spans="1:20" ht="12" customHeight="1" x14ac:dyDescent="0.3">
      <c r="A343" s="340" t="s">
        <v>289</v>
      </c>
      <c r="B343" s="341">
        <v>6</v>
      </c>
      <c r="C343" s="309">
        <v>46102</v>
      </c>
      <c r="D343" s="310" t="s">
        <v>306</v>
      </c>
      <c r="E343" s="342">
        <v>28.69</v>
      </c>
      <c r="F343" s="342"/>
      <c r="G343" s="344">
        <f t="shared" si="3"/>
        <v>7468.6999999999853</v>
      </c>
      <c r="H343" s="345"/>
      <c r="I343" s="346"/>
      <c r="J343" s="347"/>
      <c r="K343" s="312"/>
      <c r="L343" s="347"/>
      <c r="M343" s="312"/>
      <c r="N343" s="347"/>
      <c r="O343" s="312"/>
      <c r="P343" s="347"/>
      <c r="Q343" s="312"/>
      <c r="R343" s="347"/>
      <c r="S343" s="312"/>
      <c r="T343" s="347"/>
    </row>
    <row r="344" spans="1:20" ht="12" customHeight="1" x14ac:dyDescent="0.3">
      <c r="A344" s="340" t="s">
        <v>289</v>
      </c>
      <c r="B344" s="341">
        <v>3</v>
      </c>
      <c r="C344" s="309">
        <v>46102</v>
      </c>
      <c r="D344" s="310" t="s">
        <v>352</v>
      </c>
      <c r="E344" s="342">
        <v>11.59</v>
      </c>
      <c r="F344" s="342"/>
      <c r="G344" s="344">
        <f t="shared" si="3"/>
        <v>7497.3899999999849</v>
      </c>
      <c r="H344" s="345"/>
      <c r="I344" s="346"/>
      <c r="J344" s="347"/>
      <c r="K344" s="312"/>
      <c r="L344" s="347"/>
      <c r="M344" s="312"/>
      <c r="N344" s="347"/>
      <c r="O344" s="312"/>
      <c r="P344" s="347"/>
      <c r="Q344" s="312"/>
      <c r="R344" s="347"/>
      <c r="S344" s="312"/>
      <c r="T344" s="347"/>
    </row>
    <row r="345" spans="1:20" ht="12" customHeight="1" x14ac:dyDescent="0.3">
      <c r="A345" s="340" t="s">
        <v>291</v>
      </c>
      <c r="B345" s="341">
        <v>41</v>
      </c>
      <c r="C345" s="309">
        <v>46102</v>
      </c>
      <c r="D345" s="310" t="s">
        <v>387</v>
      </c>
      <c r="E345" s="342"/>
      <c r="F345" s="342">
        <v>400</v>
      </c>
      <c r="G345" s="344">
        <f t="shared" si="3"/>
        <v>7508.979999999985</v>
      </c>
      <c r="H345" s="345"/>
      <c r="I345" s="346"/>
      <c r="J345" s="347"/>
      <c r="K345" s="312"/>
      <c r="L345" s="347"/>
      <c r="M345" s="312"/>
      <c r="N345" s="347"/>
      <c r="O345" s="312"/>
      <c r="P345" s="347"/>
      <c r="Q345" s="312"/>
      <c r="R345" s="347"/>
      <c r="S345" s="312"/>
      <c r="T345" s="347"/>
    </row>
    <row r="346" spans="1:20" ht="12" customHeight="1" x14ac:dyDescent="0.3">
      <c r="A346" s="340" t="s">
        <v>289</v>
      </c>
      <c r="B346" s="341">
        <v>5</v>
      </c>
      <c r="C346" s="309">
        <v>46102</v>
      </c>
      <c r="D346" s="310" t="s">
        <v>399</v>
      </c>
      <c r="E346" s="342">
        <v>170</v>
      </c>
      <c r="F346" s="342"/>
      <c r="G346" s="344">
        <f t="shared" si="3"/>
        <v>7108.979999999985</v>
      </c>
      <c r="H346" s="345" t="s">
        <v>298</v>
      </c>
      <c r="I346" s="346"/>
      <c r="J346" s="347"/>
      <c r="K346" s="312"/>
      <c r="L346" s="347"/>
      <c r="M346" s="312"/>
      <c r="N346" s="347"/>
      <c r="O346" s="312"/>
      <c r="P346" s="347"/>
      <c r="Q346" s="312"/>
      <c r="R346" s="347"/>
      <c r="S346" s="312"/>
      <c r="T346" s="347"/>
    </row>
    <row r="347" spans="1:20" ht="12" customHeight="1" x14ac:dyDescent="0.3">
      <c r="A347" s="340" t="s">
        <v>289</v>
      </c>
      <c r="B347" s="341">
        <v>5</v>
      </c>
      <c r="C347" s="309">
        <v>46102</v>
      </c>
      <c r="D347" s="310" t="s">
        <v>358</v>
      </c>
      <c r="E347" s="342">
        <v>70</v>
      </c>
      <c r="F347" s="342"/>
      <c r="G347" s="344">
        <f t="shared" si="3"/>
        <v>7278.979999999985</v>
      </c>
      <c r="H347" s="345" t="s">
        <v>298</v>
      </c>
      <c r="I347" s="346"/>
      <c r="J347" s="347"/>
      <c r="K347" s="312"/>
      <c r="L347" s="347"/>
      <c r="M347" s="312"/>
      <c r="N347" s="347"/>
      <c r="O347" s="312"/>
      <c r="P347" s="347"/>
      <c r="Q347" s="312"/>
      <c r="R347" s="347"/>
      <c r="S347" s="312"/>
      <c r="T347" s="347"/>
    </row>
    <row r="348" spans="1:20" ht="12" customHeight="1" x14ac:dyDescent="0.3">
      <c r="A348" s="340" t="s">
        <v>289</v>
      </c>
      <c r="B348" s="341">
        <v>5</v>
      </c>
      <c r="C348" s="309">
        <v>46102</v>
      </c>
      <c r="D348" s="310" t="s">
        <v>400</v>
      </c>
      <c r="E348" s="342">
        <v>40</v>
      </c>
      <c r="F348" s="342"/>
      <c r="G348" s="344">
        <f t="shared" ref="G348:G602" si="4">G349-E348+F348</f>
        <v>7348.979999999985</v>
      </c>
      <c r="H348" s="345" t="s">
        <v>298</v>
      </c>
      <c r="I348" s="346"/>
      <c r="J348" s="347"/>
      <c r="K348" s="312"/>
      <c r="L348" s="347"/>
      <c r="M348" s="312"/>
      <c r="N348" s="347"/>
      <c r="O348" s="312"/>
      <c r="P348" s="347"/>
      <c r="Q348" s="312"/>
      <c r="R348" s="347"/>
      <c r="S348" s="312"/>
      <c r="T348" s="347"/>
    </row>
    <row r="349" spans="1:20" ht="12" customHeight="1" x14ac:dyDescent="0.3">
      <c r="A349" s="340" t="s">
        <v>289</v>
      </c>
      <c r="B349" s="341">
        <v>3</v>
      </c>
      <c r="C349" s="309">
        <v>46102</v>
      </c>
      <c r="D349" s="310" t="s">
        <v>352</v>
      </c>
      <c r="E349" s="342">
        <v>25</v>
      </c>
      <c r="F349" s="342"/>
      <c r="G349" s="344">
        <f t="shared" si="4"/>
        <v>7388.979999999985</v>
      </c>
      <c r="H349" s="345"/>
      <c r="I349" s="346"/>
      <c r="J349" s="347"/>
      <c r="K349" s="312"/>
      <c r="L349" s="347"/>
      <c r="M349" s="312"/>
      <c r="N349" s="347"/>
      <c r="O349" s="312"/>
      <c r="P349" s="347"/>
      <c r="Q349" s="312"/>
      <c r="R349" s="347"/>
      <c r="S349" s="312"/>
      <c r="T349" s="347"/>
    </row>
    <row r="350" spans="1:20" ht="12" customHeight="1" x14ac:dyDescent="0.3">
      <c r="A350" s="340" t="s">
        <v>289</v>
      </c>
      <c r="B350" s="341">
        <v>1</v>
      </c>
      <c r="C350" s="309">
        <v>46102</v>
      </c>
      <c r="D350" s="310" t="s">
        <v>304</v>
      </c>
      <c r="E350" s="342">
        <v>65.19</v>
      </c>
      <c r="F350" s="342"/>
      <c r="G350" s="344">
        <f t="shared" si="4"/>
        <v>7413.979999999985</v>
      </c>
      <c r="H350" s="345"/>
      <c r="I350" s="346"/>
      <c r="J350" s="347"/>
      <c r="K350" s="312"/>
      <c r="L350" s="347"/>
      <c r="M350" s="312"/>
      <c r="N350" s="347"/>
      <c r="O350" s="312"/>
      <c r="P350" s="347"/>
      <c r="Q350" s="312"/>
      <c r="R350" s="347"/>
      <c r="S350" s="312"/>
      <c r="T350" s="347"/>
    </row>
    <row r="351" spans="1:20" ht="12" customHeight="1" x14ac:dyDescent="0.3">
      <c r="A351" s="340" t="s">
        <v>289</v>
      </c>
      <c r="B351" s="341">
        <v>4</v>
      </c>
      <c r="C351" s="309">
        <v>46102</v>
      </c>
      <c r="D351" s="310" t="s">
        <v>311</v>
      </c>
      <c r="E351" s="342">
        <v>37.450000000000003</v>
      </c>
      <c r="F351" s="342"/>
      <c r="G351" s="344">
        <f t="shared" si="4"/>
        <v>7479.1699999999846</v>
      </c>
      <c r="H351" s="345"/>
      <c r="I351" s="346"/>
      <c r="J351" s="347"/>
      <c r="K351" s="312"/>
      <c r="L351" s="347"/>
      <c r="M351" s="312"/>
      <c r="N351" s="347"/>
      <c r="O351" s="312"/>
      <c r="P351" s="347"/>
      <c r="Q351" s="312"/>
      <c r="R351" s="347"/>
      <c r="S351" s="312"/>
      <c r="T351" s="347"/>
    </row>
    <row r="352" spans="1:20" ht="12" customHeight="1" x14ac:dyDescent="0.3">
      <c r="A352" s="340" t="s">
        <v>289</v>
      </c>
      <c r="B352" s="341">
        <v>8</v>
      </c>
      <c r="C352" s="309">
        <v>46101</v>
      </c>
      <c r="D352" s="310" t="s">
        <v>360</v>
      </c>
      <c r="E352" s="342">
        <v>65.099999999999994</v>
      </c>
      <c r="F352" s="342"/>
      <c r="G352" s="344">
        <f t="shared" si="4"/>
        <v>7516.6199999999844</v>
      </c>
      <c r="H352" s="345"/>
      <c r="I352" s="346"/>
      <c r="J352" s="347"/>
      <c r="K352" s="312"/>
      <c r="L352" s="347"/>
      <c r="M352" s="312"/>
      <c r="N352" s="347"/>
      <c r="O352" s="312"/>
      <c r="P352" s="347"/>
      <c r="Q352" s="312"/>
      <c r="R352" s="347"/>
      <c r="S352" s="312"/>
      <c r="T352" s="347"/>
    </row>
    <row r="353" spans="1:20" ht="12" customHeight="1" x14ac:dyDescent="0.3">
      <c r="A353" s="340" t="s">
        <v>294</v>
      </c>
      <c r="B353" s="341">
        <v>22</v>
      </c>
      <c r="C353" s="309">
        <v>46101</v>
      </c>
      <c r="D353" s="310" t="s">
        <v>325</v>
      </c>
      <c r="E353" s="342">
        <v>20.22</v>
      </c>
      <c r="F353" s="342"/>
      <c r="G353" s="344">
        <f t="shared" si="4"/>
        <v>7581.7199999999848</v>
      </c>
      <c r="H353" s="345"/>
      <c r="I353" s="346"/>
      <c r="J353" s="347"/>
      <c r="K353" s="312"/>
      <c r="L353" s="347"/>
      <c r="M353" s="312"/>
      <c r="N353" s="347"/>
      <c r="O353" s="312"/>
      <c r="P353" s="347"/>
      <c r="Q353" s="312"/>
      <c r="R353" s="347"/>
      <c r="S353" s="312"/>
      <c r="T353" s="347"/>
    </row>
    <row r="354" spans="1:20" ht="12" customHeight="1" x14ac:dyDescent="0.3">
      <c r="A354" s="340" t="s">
        <v>289</v>
      </c>
      <c r="B354" s="341">
        <v>6</v>
      </c>
      <c r="C354" s="309">
        <v>46101</v>
      </c>
      <c r="D354" s="310" t="s">
        <v>401</v>
      </c>
      <c r="E354" s="342">
        <v>-73</v>
      </c>
      <c r="F354" s="342"/>
      <c r="G354" s="344">
        <f t="shared" si="4"/>
        <v>7601.939999999985</v>
      </c>
      <c r="H354" s="345"/>
      <c r="I354" s="346"/>
      <c r="J354" s="347"/>
      <c r="K354" s="312"/>
      <c r="L354" s="347"/>
      <c r="M354" s="312"/>
      <c r="N354" s="347"/>
      <c r="O354" s="312"/>
      <c r="P354" s="347"/>
      <c r="Q354" s="312"/>
      <c r="R354" s="347"/>
      <c r="S354" s="312"/>
      <c r="T354" s="347"/>
    </row>
    <row r="355" spans="1:20" ht="12" customHeight="1" x14ac:dyDescent="0.3">
      <c r="A355" s="340" t="s">
        <v>289</v>
      </c>
      <c r="B355" s="341">
        <v>6</v>
      </c>
      <c r="C355" s="309">
        <v>46101</v>
      </c>
      <c r="D355" s="310" t="s">
        <v>300</v>
      </c>
      <c r="E355" s="342">
        <v>34.68</v>
      </c>
      <c r="F355" s="342"/>
      <c r="G355" s="344">
        <f t="shared" si="4"/>
        <v>7528.939999999985</v>
      </c>
      <c r="H355" s="345"/>
      <c r="I355" s="346"/>
      <c r="J355" s="347"/>
      <c r="K355" s="312"/>
      <c r="L355" s="347"/>
      <c r="M355" s="312"/>
      <c r="N355" s="347"/>
      <c r="O355" s="312"/>
      <c r="P355" s="347"/>
      <c r="Q355" s="312"/>
      <c r="R355" s="347"/>
      <c r="S355" s="312"/>
      <c r="T355" s="347"/>
    </row>
    <row r="356" spans="1:20" ht="12" customHeight="1" x14ac:dyDescent="0.3">
      <c r="A356" s="340" t="s">
        <v>289</v>
      </c>
      <c r="B356" s="341">
        <v>6</v>
      </c>
      <c r="C356" s="309">
        <v>46101</v>
      </c>
      <c r="D356" s="310" t="s">
        <v>402</v>
      </c>
      <c r="E356" s="342">
        <v>10.63</v>
      </c>
      <c r="F356" s="342"/>
      <c r="G356" s="344">
        <f t="shared" si="4"/>
        <v>7563.6199999999853</v>
      </c>
      <c r="H356" s="345"/>
      <c r="I356" s="346"/>
      <c r="J356" s="347"/>
      <c r="K356" s="312"/>
      <c r="L356" s="347"/>
      <c r="M356" s="312"/>
      <c r="N356" s="347"/>
      <c r="O356" s="312"/>
      <c r="P356" s="347"/>
      <c r="Q356" s="312"/>
      <c r="R356" s="347"/>
      <c r="S356" s="312"/>
      <c r="T356" s="347"/>
    </row>
    <row r="357" spans="1:20" ht="12" customHeight="1" x14ac:dyDescent="0.3">
      <c r="A357" s="340" t="s">
        <v>289</v>
      </c>
      <c r="B357" s="341">
        <v>5</v>
      </c>
      <c r="C357" s="309">
        <v>46101</v>
      </c>
      <c r="D357" s="310" t="s">
        <v>403</v>
      </c>
      <c r="E357" s="342">
        <v>106.49</v>
      </c>
      <c r="F357" s="342"/>
      <c r="G357" s="344">
        <f t="shared" si="4"/>
        <v>7574.2499999999854</v>
      </c>
      <c r="H357" s="345"/>
      <c r="I357" s="346"/>
      <c r="J357" s="347"/>
      <c r="K357" s="312"/>
      <c r="L357" s="347"/>
      <c r="M357" s="312"/>
      <c r="N357" s="347"/>
      <c r="O357" s="312"/>
      <c r="P357" s="347"/>
      <c r="Q357" s="312"/>
      <c r="R357" s="347"/>
      <c r="S357" s="312"/>
      <c r="T357" s="347"/>
    </row>
    <row r="358" spans="1:20" ht="12" customHeight="1" x14ac:dyDescent="0.3">
      <c r="A358" s="340" t="s">
        <v>289</v>
      </c>
      <c r="B358" s="341">
        <v>8</v>
      </c>
      <c r="C358" s="309">
        <v>46100</v>
      </c>
      <c r="D358" s="310" t="s">
        <v>361</v>
      </c>
      <c r="E358" s="342">
        <v>16.739999999999998</v>
      </c>
      <c r="F358" s="342"/>
      <c r="G358" s="344">
        <f t="shared" si="4"/>
        <v>7680.7399999999852</v>
      </c>
      <c r="H358" s="345"/>
      <c r="I358" s="346"/>
      <c r="J358" s="347"/>
      <c r="K358" s="312"/>
      <c r="L358" s="347"/>
      <c r="M358" s="312"/>
      <c r="N358" s="347"/>
      <c r="O358" s="312"/>
      <c r="P358" s="347"/>
      <c r="Q358" s="312"/>
      <c r="R358" s="347"/>
      <c r="S358" s="312"/>
      <c r="T358" s="347"/>
    </row>
    <row r="359" spans="1:20" ht="12" customHeight="1" x14ac:dyDescent="0.3">
      <c r="A359" s="340" t="s">
        <v>289</v>
      </c>
      <c r="B359" s="341">
        <v>8</v>
      </c>
      <c r="C359" s="309">
        <v>46100</v>
      </c>
      <c r="D359" s="310" t="s">
        <v>404</v>
      </c>
      <c r="E359" s="342">
        <v>108.54</v>
      </c>
      <c r="F359" s="342"/>
      <c r="G359" s="344">
        <f t="shared" si="4"/>
        <v>7697.479999999985</v>
      </c>
      <c r="H359" s="345"/>
      <c r="I359" s="346"/>
      <c r="J359" s="347"/>
      <c r="K359" s="312"/>
      <c r="L359" s="347"/>
      <c r="M359" s="312"/>
      <c r="N359" s="347"/>
      <c r="O359" s="312"/>
      <c r="P359" s="347"/>
      <c r="Q359" s="312"/>
      <c r="R359" s="347"/>
      <c r="S359" s="312"/>
      <c r="T359" s="347"/>
    </row>
    <row r="360" spans="1:20" ht="12" customHeight="1" x14ac:dyDescent="0.3">
      <c r="A360" s="340" t="s">
        <v>294</v>
      </c>
      <c r="B360" s="341">
        <v>22</v>
      </c>
      <c r="C360" s="309">
        <v>46100</v>
      </c>
      <c r="D360" s="310" t="s">
        <v>405</v>
      </c>
      <c r="E360" s="342">
        <v>12.77</v>
      </c>
      <c r="F360" s="342"/>
      <c r="G360" s="344">
        <f t="shared" si="4"/>
        <v>7806.019999999985</v>
      </c>
      <c r="H360" s="345"/>
      <c r="I360" s="346"/>
      <c r="J360" s="347"/>
      <c r="K360" s="312"/>
      <c r="L360" s="347"/>
      <c r="M360" s="312"/>
      <c r="N360" s="347"/>
      <c r="O360" s="312"/>
      <c r="P360" s="347"/>
      <c r="Q360" s="312"/>
      <c r="R360" s="347"/>
      <c r="S360" s="312"/>
      <c r="T360" s="347"/>
    </row>
    <row r="361" spans="1:20" ht="12" customHeight="1" x14ac:dyDescent="0.3">
      <c r="A361" s="340" t="s">
        <v>289</v>
      </c>
      <c r="B361" s="341">
        <v>8</v>
      </c>
      <c r="C361" s="309">
        <v>46100</v>
      </c>
      <c r="D361" s="310" t="s">
        <v>338</v>
      </c>
      <c r="E361" s="342">
        <v>28.33</v>
      </c>
      <c r="F361" s="342"/>
      <c r="G361" s="344">
        <f t="shared" si="4"/>
        <v>7818.7899999999854</v>
      </c>
      <c r="H361" s="345"/>
      <c r="I361" s="346"/>
      <c r="J361" s="347"/>
      <c r="K361" s="312"/>
      <c r="L361" s="347"/>
      <c r="M361" s="312"/>
      <c r="N361" s="347"/>
      <c r="O361" s="312"/>
      <c r="P361" s="347"/>
      <c r="Q361" s="312"/>
      <c r="R361" s="347"/>
      <c r="S361" s="312"/>
      <c r="T361" s="347"/>
    </row>
    <row r="362" spans="1:20" ht="12" customHeight="1" x14ac:dyDescent="0.3">
      <c r="A362" s="340" t="s">
        <v>289</v>
      </c>
      <c r="B362" s="341">
        <v>2</v>
      </c>
      <c r="C362" s="309">
        <v>46100</v>
      </c>
      <c r="D362" s="310" t="s">
        <v>362</v>
      </c>
      <c r="E362" s="342">
        <v>17.45</v>
      </c>
      <c r="F362" s="342"/>
      <c r="G362" s="344">
        <f t="shared" si="4"/>
        <v>7847.1199999999853</v>
      </c>
      <c r="H362" s="345"/>
      <c r="I362" s="346"/>
      <c r="J362" s="347"/>
      <c r="K362" s="312"/>
      <c r="L362" s="347"/>
      <c r="M362" s="312"/>
      <c r="N362" s="347"/>
      <c r="O362" s="312"/>
      <c r="P362" s="347"/>
      <c r="Q362" s="312"/>
      <c r="R362" s="347"/>
      <c r="S362" s="312"/>
      <c r="T362" s="347"/>
    </row>
    <row r="363" spans="1:20" ht="12" customHeight="1" x14ac:dyDescent="0.3">
      <c r="A363" s="340" t="s">
        <v>294</v>
      </c>
      <c r="B363" s="341">
        <v>22</v>
      </c>
      <c r="C363" s="309">
        <v>46100</v>
      </c>
      <c r="D363" s="310" t="s">
        <v>406</v>
      </c>
      <c r="E363" s="342">
        <v>7.46</v>
      </c>
      <c r="F363" s="342"/>
      <c r="G363" s="344">
        <f t="shared" si="4"/>
        <v>7864.5699999999852</v>
      </c>
      <c r="H363" s="345"/>
      <c r="I363" s="346"/>
      <c r="J363" s="347"/>
      <c r="K363" s="312"/>
      <c r="L363" s="347"/>
      <c r="M363" s="312"/>
      <c r="N363" s="347"/>
      <c r="O363" s="312"/>
      <c r="P363" s="347"/>
      <c r="Q363" s="312"/>
      <c r="R363" s="347"/>
      <c r="S363" s="312"/>
      <c r="T363" s="347"/>
    </row>
    <row r="364" spans="1:20" ht="12" customHeight="1" x14ac:dyDescent="0.3">
      <c r="A364" s="340" t="s">
        <v>339</v>
      </c>
      <c r="B364" s="341" t="s">
        <v>339</v>
      </c>
      <c r="C364" s="309">
        <v>46100</v>
      </c>
      <c r="D364" s="310" t="s">
        <v>185</v>
      </c>
      <c r="E364" s="342">
        <v>172.29</v>
      </c>
      <c r="F364" s="342"/>
      <c r="G364" s="344">
        <f t="shared" si="4"/>
        <v>7872.0299999999852</v>
      </c>
      <c r="H364" s="345"/>
      <c r="I364" s="346"/>
      <c r="J364" s="347"/>
      <c r="K364" s="312"/>
      <c r="L364" s="347"/>
      <c r="M364" s="312"/>
      <c r="N364" s="347"/>
      <c r="O364" s="312"/>
      <c r="P364" s="347"/>
      <c r="Q364" s="312"/>
      <c r="R364" s="347"/>
      <c r="S364" s="312"/>
      <c r="T364" s="347"/>
    </row>
    <row r="365" spans="1:20" ht="12" customHeight="1" x14ac:dyDescent="0.3">
      <c r="A365" s="340" t="s">
        <v>294</v>
      </c>
      <c r="B365" s="341">
        <v>15</v>
      </c>
      <c r="C365" s="309">
        <v>46100</v>
      </c>
      <c r="D365" s="310" t="s">
        <v>185</v>
      </c>
      <c r="E365" s="342">
        <v>175.09</v>
      </c>
      <c r="F365" s="342"/>
      <c r="G365" s="344">
        <f t="shared" si="4"/>
        <v>8044.3199999999852</v>
      </c>
      <c r="H365" s="345"/>
      <c r="I365" s="346"/>
      <c r="J365" s="347"/>
      <c r="K365" s="312"/>
      <c r="L365" s="347"/>
      <c r="M365" s="312"/>
      <c r="N365" s="347"/>
      <c r="O365" s="312"/>
      <c r="P365" s="347"/>
      <c r="Q365" s="312"/>
      <c r="R365" s="347"/>
      <c r="S365" s="312"/>
      <c r="T365" s="347"/>
    </row>
    <row r="366" spans="1:20" ht="12" customHeight="1" x14ac:dyDescent="0.3">
      <c r="A366" s="340" t="s">
        <v>291</v>
      </c>
      <c r="B366" s="341">
        <v>39</v>
      </c>
      <c r="C366" s="309">
        <v>46100</v>
      </c>
      <c r="D366" s="310" t="s">
        <v>292</v>
      </c>
      <c r="E366" s="342"/>
      <c r="F366" s="342">
        <v>2763.78</v>
      </c>
      <c r="G366" s="344">
        <f t="shared" si="4"/>
        <v>8219.4099999999853</v>
      </c>
      <c r="H366" s="345"/>
      <c r="I366" s="346"/>
      <c r="J366" s="347"/>
      <c r="K366" s="312"/>
      <c r="L366" s="347"/>
      <c r="M366" s="312"/>
      <c r="N366" s="347"/>
      <c r="O366" s="312"/>
      <c r="P366" s="347"/>
      <c r="Q366" s="312"/>
      <c r="R366" s="347"/>
      <c r="S366" s="312"/>
      <c r="T366" s="347"/>
    </row>
    <row r="367" spans="1:20" ht="12" customHeight="1" x14ac:dyDescent="0.3">
      <c r="A367" s="340" t="s">
        <v>289</v>
      </c>
      <c r="B367" s="341">
        <v>2</v>
      </c>
      <c r="C367" s="309">
        <v>46099</v>
      </c>
      <c r="D367" s="310" t="s">
        <v>407</v>
      </c>
      <c r="E367" s="342">
        <v>47.46</v>
      </c>
      <c r="F367" s="342"/>
      <c r="G367" s="344">
        <f t="shared" si="4"/>
        <v>5455.6299999999856</v>
      </c>
      <c r="H367" s="345"/>
      <c r="I367" s="346"/>
      <c r="J367" s="347"/>
      <c r="K367" s="312"/>
      <c r="L367" s="347"/>
      <c r="M367" s="312"/>
      <c r="N367" s="347"/>
      <c r="O367" s="312"/>
      <c r="P367" s="347"/>
      <c r="Q367" s="312"/>
      <c r="R367" s="347"/>
      <c r="S367" s="312"/>
      <c r="T367" s="347"/>
    </row>
    <row r="368" spans="1:20" ht="12" customHeight="1" x14ac:dyDescent="0.3">
      <c r="A368" s="340" t="s">
        <v>289</v>
      </c>
      <c r="B368" s="341">
        <v>8</v>
      </c>
      <c r="C368" s="309">
        <v>46099</v>
      </c>
      <c r="D368" s="310" t="s">
        <v>407</v>
      </c>
      <c r="E368" s="342">
        <v>15.01</v>
      </c>
      <c r="F368" s="342"/>
      <c r="G368" s="344">
        <f t="shared" si="4"/>
        <v>5503.0899999999856</v>
      </c>
      <c r="H368" s="345"/>
      <c r="I368" s="346"/>
      <c r="J368" s="347"/>
      <c r="K368" s="312"/>
      <c r="L368" s="347"/>
      <c r="M368" s="312"/>
      <c r="N368" s="347"/>
      <c r="O368" s="312"/>
      <c r="P368" s="347"/>
      <c r="Q368" s="312"/>
      <c r="R368" s="347"/>
      <c r="S368" s="312"/>
      <c r="T368" s="347"/>
    </row>
    <row r="369" spans="1:20" ht="12" customHeight="1" x14ac:dyDescent="0.3">
      <c r="A369" s="340" t="s">
        <v>291</v>
      </c>
      <c r="B369" s="341">
        <v>40</v>
      </c>
      <c r="C369" s="309">
        <v>46099</v>
      </c>
      <c r="D369" s="310" t="s">
        <v>318</v>
      </c>
      <c r="E369" s="342"/>
      <c r="F369" s="342">
        <v>838.67</v>
      </c>
      <c r="G369" s="344">
        <f t="shared" si="4"/>
        <v>5518.0999999999858</v>
      </c>
      <c r="H369" s="345"/>
      <c r="I369" s="346"/>
      <c r="J369" s="347"/>
      <c r="K369" s="312"/>
      <c r="L369" s="347"/>
      <c r="M369" s="312"/>
      <c r="N369" s="347"/>
      <c r="O369" s="312"/>
      <c r="P369" s="347"/>
      <c r="Q369" s="312"/>
      <c r="R369" s="347"/>
      <c r="S369" s="312"/>
      <c r="T369" s="347"/>
    </row>
    <row r="370" spans="1:20" ht="12" customHeight="1" x14ac:dyDescent="0.3">
      <c r="A370" s="340" t="s">
        <v>289</v>
      </c>
      <c r="B370" s="341">
        <v>2</v>
      </c>
      <c r="C370" s="309">
        <v>46099</v>
      </c>
      <c r="D370" s="310" t="s">
        <v>296</v>
      </c>
      <c r="E370" s="342">
        <v>14.67</v>
      </c>
      <c r="F370" s="342"/>
      <c r="G370" s="344">
        <f t="shared" si="4"/>
        <v>4679.4299999999857</v>
      </c>
      <c r="H370" s="345"/>
      <c r="I370" s="346"/>
      <c r="J370" s="347"/>
      <c r="K370" s="312"/>
      <c r="L370" s="347"/>
      <c r="M370" s="312"/>
      <c r="N370" s="347"/>
      <c r="O370" s="312"/>
      <c r="P370" s="347"/>
      <c r="Q370" s="312"/>
      <c r="R370" s="347"/>
      <c r="S370" s="312"/>
      <c r="T370" s="347"/>
    </row>
    <row r="371" spans="1:20" ht="12" customHeight="1" x14ac:dyDescent="0.3">
      <c r="A371" s="340" t="s">
        <v>289</v>
      </c>
      <c r="B371" s="341">
        <v>4</v>
      </c>
      <c r="C371" s="309">
        <v>46099</v>
      </c>
      <c r="D371" s="310" t="s">
        <v>296</v>
      </c>
      <c r="E371" s="342">
        <v>40.22</v>
      </c>
      <c r="F371" s="342"/>
      <c r="G371" s="344">
        <f t="shared" si="4"/>
        <v>4694.0999999999858</v>
      </c>
      <c r="H371" s="345"/>
      <c r="I371" s="346"/>
      <c r="J371" s="347"/>
      <c r="K371" s="312"/>
      <c r="L371" s="347"/>
      <c r="M371" s="312"/>
      <c r="N371" s="347"/>
      <c r="O371" s="312"/>
      <c r="P371" s="347"/>
      <c r="Q371" s="312"/>
      <c r="R371" s="347"/>
      <c r="S371" s="312"/>
      <c r="T371" s="347"/>
    </row>
    <row r="372" spans="1:20" ht="12" customHeight="1" x14ac:dyDescent="0.3">
      <c r="A372" s="340" t="s">
        <v>289</v>
      </c>
      <c r="B372" s="341">
        <v>8</v>
      </c>
      <c r="C372" s="309">
        <v>46099</v>
      </c>
      <c r="D372" s="310" t="s">
        <v>295</v>
      </c>
      <c r="E372" s="342">
        <v>3.49</v>
      </c>
      <c r="F372" s="342"/>
      <c r="G372" s="344">
        <f t="shared" si="4"/>
        <v>4734.3199999999861</v>
      </c>
      <c r="H372" s="345"/>
      <c r="I372" s="346"/>
      <c r="J372" s="347"/>
      <c r="K372" s="312"/>
      <c r="L372" s="347"/>
      <c r="M372" s="312"/>
      <c r="N372" s="347"/>
      <c r="O372" s="312"/>
      <c r="P372" s="347"/>
      <c r="Q372" s="312"/>
      <c r="R372" s="347"/>
      <c r="S372" s="312"/>
      <c r="T372" s="347"/>
    </row>
    <row r="373" spans="1:20" ht="12" customHeight="1" x14ac:dyDescent="0.3">
      <c r="A373" s="340" t="s">
        <v>294</v>
      </c>
      <c r="B373" s="341">
        <v>22</v>
      </c>
      <c r="C373" s="309">
        <v>46099</v>
      </c>
      <c r="D373" s="310" t="s">
        <v>408</v>
      </c>
      <c r="E373" s="342">
        <v>13.84</v>
      </c>
      <c r="F373" s="342"/>
      <c r="G373" s="344">
        <f t="shared" si="4"/>
        <v>4737.8099999999858</v>
      </c>
      <c r="H373" s="345"/>
      <c r="I373" s="346"/>
      <c r="J373" s="347"/>
      <c r="K373" s="312"/>
      <c r="L373" s="347"/>
      <c r="M373" s="312"/>
      <c r="N373" s="347"/>
      <c r="O373" s="312"/>
      <c r="P373" s="347"/>
      <c r="Q373" s="312"/>
      <c r="R373" s="347"/>
      <c r="S373" s="312"/>
      <c r="T373" s="347"/>
    </row>
    <row r="374" spans="1:20" ht="12" customHeight="1" x14ac:dyDescent="0.3">
      <c r="A374" s="340" t="s">
        <v>294</v>
      </c>
      <c r="B374" s="341">
        <v>17</v>
      </c>
      <c r="C374" s="309">
        <v>46098</v>
      </c>
      <c r="D374" s="310" t="s">
        <v>188</v>
      </c>
      <c r="E374" s="342">
        <v>42.65</v>
      </c>
      <c r="F374" s="342"/>
      <c r="G374" s="344">
        <f t="shared" si="4"/>
        <v>4751.649999999986</v>
      </c>
      <c r="H374" s="345"/>
      <c r="I374" s="346"/>
      <c r="J374" s="347"/>
      <c r="K374" s="312"/>
      <c r="L374" s="347"/>
      <c r="M374" s="312"/>
      <c r="N374" s="347"/>
      <c r="O374" s="312"/>
      <c r="P374" s="347"/>
      <c r="Q374" s="312"/>
      <c r="R374" s="347"/>
      <c r="S374" s="312"/>
      <c r="T374" s="347"/>
    </row>
    <row r="375" spans="1:20" ht="12" customHeight="1" x14ac:dyDescent="0.3">
      <c r="A375" s="340" t="s">
        <v>294</v>
      </c>
      <c r="B375" s="341">
        <v>23</v>
      </c>
      <c r="C375" s="309">
        <v>46098</v>
      </c>
      <c r="D375" s="310" t="s">
        <v>409</v>
      </c>
      <c r="E375" s="342">
        <v>529.46</v>
      </c>
      <c r="F375" s="342"/>
      <c r="G375" s="344">
        <f t="shared" si="4"/>
        <v>4794.2999999999856</v>
      </c>
      <c r="H375" s="345"/>
      <c r="I375" s="346"/>
      <c r="J375" s="347"/>
      <c r="K375" s="312"/>
      <c r="L375" s="347"/>
      <c r="M375" s="312"/>
      <c r="N375" s="347"/>
      <c r="O375" s="312"/>
      <c r="P375" s="347"/>
      <c r="Q375" s="312"/>
      <c r="R375" s="347"/>
      <c r="S375" s="312"/>
      <c r="T375" s="347"/>
    </row>
    <row r="376" spans="1:20" ht="12" customHeight="1" x14ac:dyDescent="0.3">
      <c r="A376" s="340" t="s">
        <v>294</v>
      </c>
      <c r="B376" s="341">
        <v>43</v>
      </c>
      <c r="C376" s="309">
        <v>46098</v>
      </c>
      <c r="D376" s="310" t="s">
        <v>337</v>
      </c>
      <c r="E376" s="342">
        <v>22.35</v>
      </c>
      <c r="F376" s="342"/>
      <c r="G376" s="344">
        <f t="shared" si="4"/>
        <v>5323.7599999999857</v>
      </c>
      <c r="H376" s="345"/>
      <c r="I376" s="346"/>
      <c r="J376" s="347"/>
      <c r="K376" s="312"/>
      <c r="L376" s="347"/>
      <c r="M376" s="312"/>
      <c r="N376" s="347"/>
      <c r="O376" s="312"/>
      <c r="P376" s="347"/>
      <c r="Q376" s="312"/>
      <c r="R376" s="347"/>
      <c r="S376" s="312"/>
      <c r="T376" s="347"/>
    </row>
    <row r="377" spans="1:20" ht="12" customHeight="1" x14ac:dyDescent="0.3">
      <c r="A377" s="340" t="s">
        <v>294</v>
      </c>
      <c r="B377" s="341">
        <v>42</v>
      </c>
      <c r="C377" s="309">
        <v>46098</v>
      </c>
      <c r="D377" s="310" t="s">
        <v>337</v>
      </c>
      <c r="E377" s="342">
        <v>37.25</v>
      </c>
      <c r="F377" s="342"/>
      <c r="G377" s="344">
        <f t="shared" si="4"/>
        <v>5346.109999999986</v>
      </c>
      <c r="H377" s="345"/>
      <c r="I377" s="346"/>
      <c r="J377" s="347"/>
      <c r="K377" s="312"/>
      <c r="L377" s="347"/>
      <c r="M377" s="312"/>
      <c r="N377" s="347"/>
      <c r="O377" s="312"/>
      <c r="P377" s="347"/>
      <c r="Q377" s="312"/>
      <c r="R377" s="347"/>
      <c r="S377" s="312"/>
      <c r="T377" s="347"/>
    </row>
    <row r="378" spans="1:20" ht="12" customHeight="1" x14ac:dyDescent="0.3">
      <c r="A378" s="340" t="s">
        <v>289</v>
      </c>
      <c r="B378" s="341">
        <v>8</v>
      </c>
      <c r="C378" s="309">
        <v>46098</v>
      </c>
      <c r="D378" s="310" t="s">
        <v>321</v>
      </c>
      <c r="E378" s="342">
        <v>3.99</v>
      </c>
      <c r="F378" s="342"/>
      <c r="G378" s="344">
        <f t="shared" si="4"/>
        <v>5383.359999999986</v>
      </c>
      <c r="H378" s="345"/>
      <c r="I378" s="346"/>
      <c r="J378" s="347"/>
      <c r="K378" s="312"/>
      <c r="L378" s="347"/>
      <c r="M378" s="312"/>
      <c r="N378" s="347"/>
      <c r="O378" s="312"/>
      <c r="P378" s="347"/>
      <c r="Q378" s="312"/>
      <c r="R378" s="347"/>
      <c r="S378" s="312"/>
      <c r="T378" s="347"/>
    </row>
    <row r="379" spans="1:20" ht="12" customHeight="1" x14ac:dyDescent="0.3">
      <c r="A379" s="340" t="s">
        <v>289</v>
      </c>
      <c r="B379" s="341">
        <v>8</v>
      </c>
      <c r="C379" s="309">
        <v>46098</v>
      </c>
      <c r="D379" s="310" t="s">
        <v>321</v>
      </c>
      <c r="E379" s="342">
        <v>24.47</v>
      </c>
      <c r="F379" s="342"/>
      <c r="G379" s="344">
        <f t="shared" si="4"/>
        <v>5387.3499999999858</v>
      </c>
      <c r="H379" s="345"/>
      <c r="I379" s="346"/>
      <c r="J379" s="347"/>
      <c r="K379" s="312"/>
      <c r="L379" s="347"/>
      <c r="M379" s="312"/>
      <c r="N379" s="347"/>
      <c r="O379" s="312"/>
      <c r="P379" s="347"/>
      <c r="Q379" s="312"/>
      <c r="R379" s="347"/>
      <c r="S379" s="312"/>
      <c r="T379" s="347"/>
    </row>
    <row r="380" spans="1:20" ht="12" customHeight="1" x14ac:dyDescent="0.3">
      <c r="A380" s="340" t="s">
        <v>294</v>
      </c>
      <c r="B380" s="341">
        <v>21</v>
      </c>
      <c r="C380" s="309">
        <v>46098</v>
      </c>
      <c r="D380" s="310" t="s">
        <v>194</v>
      </c>
      <c r="E380" s="342">
        <v>75.599999999999994</v>
      </c>
      <c r="F380" s="342"/>
      <c r="G380" s="344">
        <f t="shared" si="4"/>
        <v>5411.8199999999861</v>
      </c>
      <c r="H380" s="345"/>
      <c r="I380" s="346"/>
      <c r="J380" s="347"/>
      <c r="K380" s="312"/>
      <c r="L380" s="347"/>
      <c r="M380" s="312"/>
      <c r="N380" s="347"/>
      <c r="O380" s="312"/>
      <c r="P380" s="347"/>
      <c r="Q380" s="312"/>
      <c r="R380" s="347"/>
      <c r="S380" s="312"/>
      <c r="T380" s="347"/>
    </row>
    <row r="381" spans="1:20" ht="12" customHeight="1" x14ac:dyDescent="0.3">
      <c r="A381" s="340" t="s">
        <v>289</v>
      </c>
      <c r="B381" s="341">
        <v>5</v>
      </c>
      <c r="C381" s="309">
        <v>46097</v>
      </c>
      <c r="D381" s="310" t="s">
        <v>344</v>
      </c>
      <c r="E381" s="342">
        <v>21.3</v>
      </c>
      <c r="F381" s="342"/>
      <c r="G381" s="344">
        <f t="shared" si="4"/>
        <v>5487.4199999999864</v>
      </c>
      <c r="H381" s="345"/>
      <c r="I381" s="346"/>
      <c r="J381" s="347"/>
      <c r="K381" s="312"/>
      <c r="L381" s="347"/>
      <c r="M381" s="312"/>
      <c r="N381" s="347"/>
      <c r="O381" s="312"/>
      <c r="P381" s="347"/>
      <c r="Q381" s="312"/>
      <c r="R381" s="347"/>
      <c r="S381" s="312"/>
      <c r="T381" s="347"/>
    </row>
    <row r="382" spans="1:20" ht="12" customHeight="1" x14ac:dyDescent="0.3">
      <c r="A382" s="340" t="s">
        <v>294</v>
      </c>
      <c r="B382" s="341">
        <v>11</v>
      </c>
      <c r="C382" s="309">
        <v>46097</v>
      </c>
      <c r="D382" s="310" t="s">
        <v>178</v>
      </c>
      <c r="E382" s="342">
        <v>267.91000000000003</v>
      </c>
      <c r="F382" s="342"/>
      <c r="G382" s="344">
        <f t="shared" si="4"/>
        <v>5508.7199999999866</v>
      </c>
      <c r="H382" s="345"/>
      <c r="I382" s="346"/>
      <c r="J382" s="347"/>
      <c r="K382" s="312"/>
      <c r="L382" s="347"/>
      <c r="M382" s="312"/>
      <c r="N382" s="347"/>
      <c r="O382" s="312"/>
      <c r="P382" s="347"/>
      <c r="Q382" s="312"/>
      <c r="R382" s="347"/>
      <c r="S382" s="312"/>
      <c r="T382" s="347"/>
    </row>
    <row r="383" spans="1:20" ht="12" customHeight="1" x14ac:dyDescent="0.3">
      <c r="A383" s="340" t="s">
        <v>287</v>
      </c>
      <c r="B383" s="341" t="s">
        <v>287</v>
      </c>
      <c r="C383" s="309">
        <v>46097</v>
      </c>
      <c r="D383" s="310" t="s">
        <v>410</v>
      </c>
      <c r="E383" s="342"/>
      <c r="F383" s="342">
        <v>80</v>
      </c>
      <c r="G383" s="344">
        <f t="shared" si="4"/>
        <v>5776.6299999999865</v>
      </c>
      <c r="H383" s="345" t="s">
        <v>298</v>
      </c>
      <c r="I383" s="346"/>
      <c r="J383" s="347"/>
      <c r="K383" s="312"/>
      <c r="L383" s="347"/>
      <c r="M383" s="312"/>
      <c r="N383" s="347"/>
      <c r="O383" s="312"/>
      <c r="P383" s="347"/>
      <c r="Q383" s="312"/>
      <c r="R383" s="347"/>
      <c r="S383" s="312"/>
      <c r="T383" s="347"/>
    </row>
    <row r="384" spans="1:20" ht="12" customHeight="1" x14ac:dyDescent="0.3">
      <c r="A384" s="340" t="s">
        <v>287</v>
      </c>
      <c r="B384" s="341" t="s">
        <v>287</v>
      </c>
      <c r="C384" s="309">
        <v>46097</v>
      </c>
      <c r="D384" s="310" t="s">
        <v>302</v>
      </c>
      <c r="E384" s="342">
        <v>80</v>
      </c>
      <c r="F384" s="342"/>
      <c r="G384" s="344">
        <f t="shared" si="4"/>
        <v>5696.6299999999865</v>
      </c>
      <c r="H384" s="345"/>
      <c r="I384" s="346"/>
      <c r="J384" s="347"/>
      <c r="K384" s="312"/>
      <c r="L384" s="347"/>
      <c r="M384" s="312"/>
      <c r="N384" s="347"/>
      <c r="O384" s="312"/>
      <c r="P384" s="347"/>
      <c r="Q384" s="312"/>
      <c r="R384" s="347"/>
      <c r="S384" s="312"/>
      <c r="T384" s="347"/>
    </row>
    <row r="385" spans="1:20" ht="12" customHeight="1" x14ac:dyDescent="0.3">
      <c r="A385" s="340" t="s">
        <v>289</v>
      </c>
      <c r="B385" s="341">
        <v>4</v>
      </c>
      <c r="C385" s="309">
        <v>46097</v>
      </c>
      <c r="D385" s="310" t="s">
        <v>311</v>
      </c>
      <c r="E385" s="342">
        <v>42.47</v>
      </c>
      <c r="F385" s="342"/>
      <c r="G385" s="344">
        <f t="shared" si="4"/>
        <v>5776.6299999999865</v>
      </c>
      <c r="H385" s="345"/>
      <c r="I385" s="346"/>
      <c r="J385" s="347"/>
      <c r="K385" s="312"/>
      <c r="L385" s="347"/>
      <c r="M385" s="312"/>
      <c r="N385" s="347"/>
      <c r="O385" s="312"/>
      <c r="P385" s="347"/>
      <c r="Q385" s="312"/>
      <c r="R385" s="347"/>
      <c r="S385" s="312"/>
      <c r="T385" s="347"/>
    </row>
    <row r="386" spans="1:20" ht="12" customHeight="1" x14ac:dyDescent="0.3">
      <c r="A386" s="340" t="s">
        <v>289</v>
      </c>
      <c r="B386" s="341">
        <v>2</v>
      </c>
      <c r="C386" s="309">
        <v>46097</v>
      </c>
      <c r="D386" s="310" t="s">
        <v>296</v>
      </c>
      <c r="E386" s="342">
        <v>11.18</v>
      </c>
      <c r="F386" s="342"/>
      <c r="G386" s="344">
        <f t="shared" si="4"/>
        <v>5819.0999999999867</v>
      </c>
      <c r="H386" s="345"/>
      <c r="I386" s="346"/>
      <c r="J386" s="347"/>
      <c r="K386" s="312"/>
      <c r="L386" s="347"/>
      <c r="M386" s="312"/>
      <c r="N386" s="347"/>
      <c r="O386" s="312"/>
      <c r="P386" s="347"/>
      <c r="Q386" s="312"/>
      <c r="R386" s="347"/>
      <c r="S386" s="312"/>
      <c r="T386" s="347"/>
    </row>
    <row r="387" spans="1:20" ht="12" customHeight="1" x14ac:dyDescent="0.3">
      <c r="A387" s="340" t="s">
        <v>289</v>
      </c>
      <c r="B387" s="341">
        <v>2</v>
      </c>
      <c r="C387" s="309">
        <v>46096</v>
      </c>
      <c r="D387" s="310" t="s">
        <v>411</v>
      </c>
      <c r="E387" s="342">
        <v>38.67</v>
      </c>
      <c r="F387" s="342"/>
      <c r="G387" s="344">
        <f t="shared" si="4"/>
        <v>5830.279999999987</v>
      </c>
      <c r="H387" s="345"/>
      <c r="I387" s="346"/>
      <c r="J387" s="347"/>
      <c r="K387" s="312"/>
      <c r="L387" s="347"/>
      <c r="M387" s="312"/>
      <c r="N387" s="347"/>
      <c r="O387" s="312"/>
      <c r="P387" s="347"/>
      <c r="Q387" s="312"/>
      <c r="R387" s="347"/>
      <c r="S387" s="312"/>
      <c r="T387" s="347"/>
    </row>
    <row r="388" spans="1:20" ht="12" customHeight="1" x14ac:dyDescent="0.3">
      <c r="A388" s="340" t="s">
        <v>289</v>
      </c>
      <c r="B388" s="341">
        <v>3</v>
      </c>
      <c r="C388" s="309">
        <v>46096</v>
      </c>
      <c r="D388" s="310" t="s">
        <v>352</v>
      </c>
      <c r="E388" s="342">
        <v>7.11</v>
      </c>
      <c r="F388" s="342"/>
      <c r="G388" s="344">
        <f t="shared" si="4"/>
        <v>5868.9499999999871</v>
      </c>
      <c r="H388" s="345"/>
      <c r="I388" s="346"/>
      <c r="J388" s="347"/>
      <c r="K388" s="312"/>
      <c r="L388" s="347"/>
      <c r="M388" s="312"/>
      <c r="N388" s="347"/>
      <c r="O388" s="312"/>
      <c r="P388" s="347"/>
      <c r="Q388" s="312"/>
      <c r="R388" s="347"/>
      <c r="S388" s="312"/>
      <c r="T388" s="347"/>
    </row>
    <row r="389" spans="1:20" ht="12" customHeight="1" x14ac:dyDescent="0.3">
      <c r="A389" s="340" t="s">
        <v>289</v>
      </c>
      <c r="B389" s="341">
        <v>1</v>
      </c>
      <c r="C389" s="309">
        <v>46096</v>
      </c>
      <c r="D389" s="310" t="s">
        <v>304</v>
      </c>
      <c r="E389" s="342">
        <v>126.64</v>
      </c>
      <c r="F389" s="342"/>
      <c r="G389" s="344">
        <f t="shared" si="4"/>
        <v>5876.0599999999868</v>
      </c>
      <c r="H389" s="345"/>
      <c r="I389" s="346"/>
      <c r="J389" s="347"/>
      <c r="K389" s="312"/>
      <c r="L389" s="347"/>
      <c r="M389" s="312"/>
      <c r="N389" s="347"/>
      <c r="O389" s="312"/>
      <c r="P389" s="347"/>
      <c r="Q389" s="312"/>
      <c r="R389" s="347"/>
      <c r="S389" s="312"/>
      <c r="T389" s="347"/>
    </row>
    <row r="390" spans="1:20" ht="12" customHeight="1" x14ac:dyDescent="0.3">
      <c r="A390" s="340" t="s">
        <v>289</v>
      </c>
      <c r="B390" s="341">
        <v>1</v>
      </c>
      <c r="C390" s="309">
        <v>46096</v>
      </c>
      <c r="D390" s="310" t="s">
        <v>312</v>
      </c>
      <c r="E390" s="342">
        <v>125.2</v>
      </c>
      <c r="F390" s="342"/>
      <c r="G390" s="344">
        <f t="shared" si="4"/>
        <v>6002.6999999999871</v>
      </c>
      <c r="H390" s="345"/>
      <c r="I390" s="346"/>
      <c r="J390" s="347"/>
      <c r="K390" s="312"/>
      <c r="L390" s="347"/>
      <c r="M390" s="312"/>
      <c r="N390" s="347"/>
      <c r="O390" s="312"/>
      <c r="P390" s="347"/>
      <c r="Q390" s="312"/>
      <c r="R390" s="347"/>
      <c r="S390" s="312"/>
      <c r="T390" s="347"/>
    </row>
    <row r="391" spans="1:20" ht="12" customHeight="1" x14ac:dyDescent="0.3">
      <c r="A391" s="340" t="s">
        <v>289</v>
      </c>
      <c r="B391" s="341">
        <v>1</v>
      </c>
      <c r="C391" s="309">
        <v>46096</v>
      </c>
      <c r="D391" s="310" t="s">
        <v>307</v>
      </c>
      <c r="E391" s="342">
        <v>37.159999999999997</v>
      </c>
      <c r="F391" s="342"/>
      <c r="G391" s="344">
        <f t="shared" si="4"/>
        <v>6127.8999999999869</v>
      </c>
      <c r="H391" s="345"/>
      <c r="I391" s="346"/>
      <c r="J391" s="347"/>
      <c r="K391" s="312"/>
      <c r="L391" s="347"/>
      <c r="M391" s="312"/>
      <c r="N391" s="347"/>
      <c r="O391" s="312"/>
      <c r="P391" s="347"/>
      <c r="Q391" s="312"/>
      <c r="R391" s="347"/>
      <c r="S391" s="312"/>
      <c r="T391" s="347"/>
    </row>
    <row r="392" spans="1:20" ht="12" customHeight="1" x14ac:dyDescent="0.3">
      <c r="A392" s="340" t="s">
        <v>294</v>
      </c>
      <c r="B392" s="341">
        <v>16</v>
      </c>
      <c r="C392" s="309">
        <v>46096</v>
      </c>
      <c r="D392" s="310" t="s">
        <v>412</v>
      </c>
      <c r="E392" s="342">
        <v>713.06</v>
      </c>
      <c r="F392" s="342"/>
      <c r="G392" s="344">
        <f t="shared" si="4"/>
        <v>6165.0599999999868</v>
      </c>
      <c r="H392" s="345"/>
      <c r="I392" s="346"/>
      <c r="J392" s="347"/>
      <c r="K392" s="312"/>
      <c r="L392" s="347"/>
      <c r="M392" s="312"/>
      <c r="N392" s="347"/>
      <c r="O392" s="312"/>
      <c r="P392" s="347"/>
      <c r="Q392" s="312"/>
      <c r="R392" s="347"/>
      <c r="S392" s="312"/>
      <c r="T392" s="347"/>
    </row>
    <row r="393" spans="1:20" ht="12" customHeight="1" x14ac:dyDescent="0.3">
      <c r="A393" s="340" t="s">
        <v>289</v>
      </c>
      <c r="B393" s="341">
        <v>5</v>
      </c>
      <c r="C393" s="309">
        <v>46095</v>
      </c>
      <c r="D393" s="310" t="s">
        <v>413</v>
      </c>
      <c r="E393" s="342">
        <v>24</v>
      </c>
      <c r="F393" s="342"/>
      <c r="G393" s="344">
        <f t="shared" si="4"/>
        <v>6878.1199999999862</v>
      </c>
      <c r="H393" s="345"/>
      <c r="I393" s="346"/>
      <c r="J393" s="347"/>
      <c r="K393" s="312"/>
      <c r="L393" s="347"/>
      <c r="M393" s="312"/>
      <c r="N393" s="347"/>
      <c r="O393" s="312"/>
      <c r="P393" s="347"/>
      <c r="Q393" s="312"/>
      <c r="R393" s="347"/>
      <c r="S393" s="312"/>
      <c r="T393" s="347"/>
    </row>
    <row r="394" spans="1:20" ht="12" customHeight="1" x14ac:dyDescent="0.3">
      <c r="A394" s="340" t="s">
        <v>289</v>
      </c>
      <c r="B394" s="341">
        <v>3</v>
      </c>
      <c r="C394" s="309">
        <v>46095</v>
      </c>
      <c r="D394" s="310" t="s">
        <v>352</v>
      </c>
      <c r="E394" s="342">
        <v>14.58</v>
      </c>
      <c r="F394" s="342"/>
      <c r="G394" s="344">
        <f t="shared" si="4"/>
        <v>6902.1199999999862</v>
      </c>
      <c r="H394" s="345"/>
      <c r="I394" s="346"/>
      <c r="J394" s="347"/>
      <c r="K394" s="312"/>
      <c r="L394" s="347"/>
      <c r="M394" s="312"/>
      <c r="N394" s="347"/>
      <c r="O394" s="312"/>
      <c r="P394" s="347"/>
      <c r="Q394" s="312"/>
      <c r="R394" s="347"/>
      <c r="S394" s="312"/>
      <c r="T394" s="347"/>
    </row>
    <row r="395" spans="1:20" ht="12" customHeight="1" x14ac:dyDescent="0.3">
      <c r="A395" s="340" t="s">
        <v>291</v>
      </c>
      <c r="B395" s="341">
        <v>41</v>
      </c>
      <c r="C395" s="309">
        <v>46094</v>
      </c>
      <c r="D395" s="310" t="s">
        <v>414</v>
      </c>
      <c r="E395" s="342"/>
      <c r="F395" s="342">
        <v>300</v>
      </c>
      <c r="G395" s="344">
        <f t="shared" si="4"/>
        <v>6916.6999999999862</v>
      </c>
      <c r="H395" s="345"/>
      <c r="I395" s="346"/>
      <c r="J395" s="347"/>
      <c r="K395" s="312"/>
      <c r="L395" s="347"/>
      <c r="M395" s="312"/>
      <c r="N395" s="347"/>
      <c r="O395" s="312"/>
      <c r="P395" s="347"/>
      <c r="Q395" s="312"/>
      <c r="R395" s="347"/>
      <c r="S395" s="312"/>
      <c r="T395" s="347"/>
    </row>
    <row r="396" spans="1:20" ht="12" customHeight="1" x14ac:dyDescent="0.3">
      <c r="A396" s="340" t="s">
        <v>289</v>
      </c>
      <c r="B396" s="341">
        <v>1</v>
      </c>
      <c r="C396" s="309">
        <v>46094</v>
      </c>
      <c r="D396" s="310" t="s">
        <v>312</v>
      </c>
      <c r="E396" s="342">
        <v>17.71</v>
      </c>
      <c r="F396" s="342"/>
      <c r="G396" s="344">
        <f t="shared" si="4"/>
        <v>6616.6999999999862</v>
      </c>
      <c r="H396" s="345"/>
      <c r="I396" s="346"/>
      <c r="J396" s="347"/>
      <c r="K396" s="312"/>
      <c r="L396" s="347"/>
      <c r="M396" s="312"/>
      <c r="N396" s="347"/>
      <c r="O396" s="312"/>
      <c r="P396" s="347"/>
      <c r="Q396" s="312"/>
      <c r="R396" s="347"/>
      <c r="S396" s="312"/>
      <c r="T396" s="347"/>
    </row>
    <row r="397" spans="1:20" ht="12" customHeight="1" x14ac:dyDescent="0.3">
      <c r="A397" s="340" t="s">
        <v>289</v>
      </c>
      <c r="B397" s="341">
        <v>4</v>
      </c>
      <c r="C397" s="309">
        <v>46094</v>
      </c>
      <c r="D397" s="310" t="s">
        <v>296</v>
      </c>
      <c r="E397" s="342">
        <v>31.56</v>
      </c>
      <c r="F397" s="342"/>
      <c r="G397" s="344">
        <f t="shared" si="4"/>
        <v>6634.4099999999862</v>
      </c>
      <c r="H397" s="345"/>
      <c r="I397" s="346"/>
      <c r="J397" s="347"/>
      <c r="K397" s="312"/>
      <c r="L397" s="347"/>
      <c r="M397" s="312"/>
      <c r="N397" s="347"/>
      <c r="O397" s="312"/>
      <c r="P397" s="347"/>
      <c r="Q397" s="312"/>
      <c r="R397" s="347"/>
      <c r="S397" s="312"/>
      <c r="T397" s="347"/>
    </row>
    <row r="398" spans="1:20" ht="12" customHeight="1" x14ac:dyDescent="0.3">
      <c r="A398" s="340" t="s">
        <v>289</v>
      </c>
      <c r="B398" s="341">
        <v>2</v>
      </c>
      <c r="C398" s="309">
        <v>46094</v>
      </c>
      <c r="D398" s="310" t="s">
        <v>296</v>
      </c>
      <c r="E398" s="342">
        <v>34.79</v>
      </c>
      <c r="F398" s="342"/>
      <c r="G398" s="344">
        <f t="shared" si="4"/>
        <v>6665.9699999999866</v>
      </c>
      <c r="H398" s="345"/>
      <c r="I398" s="346"/>
      <c r="J398" s="347"/>
      <c r="K398" s="312"/>
      <c r="L398" s="347"/>
      <c r="M398" s="312"/>
      <c r="N398" s="347"/>
      <c r="O398" s="312"/>
      <c r="P398" s="347"/>
      <c r="Q398" s="312"/>
      <c r="R398" s="347"/>
      <c r="S398" s="312"/>
      <c r="T398" s="347"/>
    </row>
    <row r="399" spans="1:20" ht="12" customHeight="1" x14ac:dyDescent="0.3">
      <c r="A399" s="340" t="s">
        <v>289</v>
      </c>
      <c r="B399" s="341">
        <v>2</v>
      </c>
      <c r="C399" s="309">
        <v>46094</v>
      </c>
      <c r="D399" s="310" t="s">
        <v>415</v>
      </c>
      <c r="E399" s="342">
        <v>23.9</v>
      </c>
      <c r="F399" s="342"/>
      <c r="G399" s="344">
        <f t="shared" si="4"/>
        <v>6700.7599999999866</v>
      </c>
      <c r="H399" s="345"/>
      <c r="I399" s="346"/>
      <c r="J399" s="347"/>
      <c r="K399" s="312"/>
      <c r="L399" s="347"/>
      <c r="M399" s="312"/>
      <c r="N399" s="347"/>
      <c r="O399" s="312"/>
      <c r="P399" s="347"/>
      <c r="Q399" s="312"/>
      <c r="R399" s="347"/>
      <c r="S399" s="312"/>
      <c r="T399" s="347"/>
    </row>
    <row r="400" spans="1:20" ht="12" customHeight="1" x14ac:dyDescent="0.3">
      <c r="A400" s="340" t="s">
        <v>289</v>
      </c>
      <c r="B400" s="341">
        <v>3</v>
      </c>
      <c r="C400" s="309">
        <v>46094</v>
      </c>
      <c r="D400" s="310" t="s">
        <v>352</v>
      </c>
      <c r="E400" s="342">
        <v>7.26</v>
      </c>
      <c r="F400" s="342"/>
      <c r="G400" s="344">
        <f t="shared" si="4"/>
        <v>6724.6599999999862</v>
      </c>
      <c r="H400" s="345"/>
      <c r="I400" s="346"/>
      <c r="J400" s="347"/>
      <c r="K400" s="312"/>
      <c r="L400" s="347"/>
      <c r="M400" s="312"/>
      <c r="N400" s="347"/>
      <c r="O400" s="312"/>
      <c r="P400" s="347"/>
      <c r="Q400" s="312"/>
      <c r="R400" s="347"/>
      <c r="S400" s="312"/>
      <c r="T400" s="347"/>
    </row>
    <row r="401" spans="1:20" ht="12" customHeight="1" x14ac:dyDescent="0.3">
      <c r="A401" s="340" t="s">
        <v>289</v>
      </c>
      <c r="B401" s="341">
        <v>5</v>
      </c>
      <c r="C401" s="309">
        <v>46094</v>
      </c>
      <c r="D401" s="310" t="s">
        <v>358</v>
      </c>
      <c r="E401" s="342">
        <v>85</v>
      </c>
      <c r="F401" s="342"/>
      <c r="G401" s="344">
        <f t="shared" si="4"/>
        <v>6731.9199999999864</v>
      </c>
      <c r="H401" s="345" t="s">
        <v>298</v>
      </c>
      <c r="I401" s="346"/>
      <c r="J401" s="347"/>
      <c r="K401" s="312"/>
      <c r="L401" s="347"/>
      <c r="M401" s="312"/>
      <c r="N401" s="347"/>
      <c r="O401" s="312"/>
      <c r="P401" s="347"/>
      <c r="Q401" s="312"/>
      <c r="R401" s="347"/>
      <c r="S401" s="312"/>
      <c r="T401" s="347"/>
    </row>
    <row r="402" spans="1:20" ht="12" customHeight="1" x14ac:dyDescent="0.3">
      <c r="A402" s="340" t="s">
        <v>289</v>
      </c>
      <c r="B402" s="341">
        <v>8</v>
      </c>
      <c r="C402" s="309">
        <v>46093</v>
      </c>
      <c r="D402" s="310" t="s">
        <v>416</v>
      </c>
      <c r="E402" s="342">
        <v>51.22</v>
      </c>
      <c r="F402" s="342"/>
      <c r="G402" s="344">
        <f t="shared" si="4"/>
        <v>6816.9199999999864</v>
      </c>
      <c r="H402" s="345"/>
      <c r="I402" s="346"/>
      <c r="J402" s="347"/>
      <c r="K402" s="312"/>
      <c r="L402" s="347"/>
      <c r="M402" s="312"/>
      <c r="N402" s="347"/>
      <c r="O402" s="312"/>
      <c r="P402" s="347"/>
      <c r="Q402" s="312"/>
      <c r="R402" s="347"/>
      <c r="S402" s="312"/>
      <c r="T402" s="347"/>
    </row>
    <row r="403" spans="1:20" ht="12" customHeight="1" x14ac:dyDescent="0.3">
      <c r="A403" s="340" t="s">
        <v>289</v>
      </c>
      <c r="B403" s="341">
        <v>2</v>
      </c>
      <c r="C403" s="309">
        <v>46093</v>
      </c>
      <c r="D403" s="310" t="s">
        <v>417</v>
      </c>
      <c r="E403" s="342">
        <v>57.43</v>
      </c>
      <c r="F403" s="342"/>
      <c r="G403" s="344">
        <f t="shared" si="4"/>
        <v>6868.1399999999867</v>
      </c>
      <c r="H403" s="345"/>
      <c r="I403" s="346"/>
      <c r="J403" s="347"/>
      <c r="K403" s="312"/>
      <c r="L403" s="347"/>
      <c r="M403" s="312"/>
      <c r="N403" s="347"/>
      <c r="O403" s="312"/>
      <c r="P403" s="347"/>
      <c r="Q403" s="312"/>
      <c r="R403" s="347"/>
      <c r="S403" s="312"/>
      <c r="T403" s="347"/>
    </row>
    <row r="404" spans="1:20" ht="12" customHeight="1" x14ac:dyDescent="0.3">
      <c r="A404" s="340" t="s">
        <v>289</v>
      </c>
      <c r="B404" s="341">
        <v>2</v>
      </c>
      <c r="C404" s="309">
        <v>46093</v>
      </c>
      <c r="D404" s="310" t="s">
        <v>362</v>
      </c>
      <c r="E404" s="342">
        <v>17.45</v>
      </c>
      <c r="F404" s="342"/>
      <c r="G404" s="344">
        <f t="shared" si="4"/>
        <v>6925.569999999987</v>
      </c>
      <c r="H404" s="345"/>
      <c r="I404" s="346"/>
      <c r="J404" s="347"/>
      <c r="K404" s="312"/>
      <c r="L404" s="347"/>
      <c r="M404" s="312"/>
      <c r="N404" s="347"/>
      <c r="O404" s="312"/>
      <c r="P404" s="347"/>
      <c r="Q404" s="312"/>
      <c r="R404" s="347"/>
      <c r="S404" s="312"/>
      <c r="T404" s="347"/>
    </row>
    <row r="405" spans="1:20" ht="12" customHeight="1" x14ac:dyDescent="0.3">
      <c r="A405" s="340" t="s">
        <v>289</v>
      </c>
      <c r="B405" s="341">
        <v>8</v>
      </c>
      <c r="C405" s="309">
        <v>46093</v>
      </c>
      <c r="D405" s="310" t="s">
        <v>321</v>
      </c>
      <c r="E405" s="342">
        <v>7.92</v>
      </c>
      <c r="F405" s="342"/>
      <c r="G405" s="344">
        <f t="shared" si="4"/>
        <v>6943.0199999999868</v>
      </c>
      <c r="H405" s="345"/>
      <c r="I405" s="346"/>
      <c r="J405" s="347"/>
      <c r="K405" s="312"/>
      <c r="L405" s="347"/>
      <c r="M405" s="312"/>
      <c r="N405" s="347"/>
      <c r="O405" s="312"/>
      <c r="P405" s="347"/>
      <c r="Q405" s="312"/>
      <c r="R405" s="347"/>
      <c r="S405" s="312"/>
      <c r="T405" s="347"/>
    </row>
    <row r="406" spans="1:20" ht="12" customHeight="1" x14ac:dyDescent="0.3">
      <c r="A406" s="340" t="s">
        <v>291</v>
      </c>
      <c r="B406" s="341">
        <v>38</v>
      </c>
      <c r="C406" s="309">
        <v>46093</v>
      </c>
      <c r="D406" s="310" t="s">
        <v>293</v>
      </c>
      <c r="E406" s="342"/>
      <c r="F406" s="342">
        <v>4726.92</v>
      </c>
      <c r="G406" s="344">
        <f t="shared" si="4"/>
        <v>6950.9399999999869</v>
      </c>
      <c r="H406" s="345"/>
      <c r="I406" s="346"/>
      <c r="J406" s="347"/>
      <c r="K406" s="312"/>
      <c r="L406" s="347"/>
      <c r="M406" s="312"/>
      <c r="N406" s="347"/>
      <c r="O406" s="312"/>
      <c r="P406" s="347"/>
      <c r="Q406" s="312"/>
      <c r="R406" s="347"/>
      <c r="S406" s="312"/>
      <c r="T406" s="347"/>
    </row>
    <row r="407" spans="1:20" ht="12" customHeight="1" x14ac:dyDescent="0.3">
      <c r="A407" s="340" t="s">
        <v>289</v>
      </c>
      <c r="B407" s="341">
        <v>2</v>
      </c>
      <c r="C407" s="309">
        <v>46093</v>
      </c>
      <c r="D407" s="310" t="s">
        <v>390</v>
      </c>
      <c r="E407" s="342">
        <v>15</v>
      </c>
      <c r="F407" s="342"/>
      <c r="G407" s="344">
        <f t="shared" si="4"/>
        <v>2224.0199999999868</v>
      </c>
      <c r="H407" s="345"/>
      <c r="I407" s="346"/>
      <c r="J407" s="347"/>
      <c r="K407" s="312"/>
      <c r="L407" s="347"/>
      <c r="M407" s="312"/>
      <c r="N407" s="347"/>
      <c r="O407" s="312"/>
      <c r="P407" s="347"/>
      <c r="Q407" s="312"/>
      <c r="R407" s="347"/>
      <c r="S407" s="312"/>
      <c r="T407" s="347"/>
    </row>
    <row r="408" spans="1:20" ht="12" customHeight="1" x14ac:dyDescent="0.3">
      <c r="A408" s="340" t="s">
        <v>289</v>
      </c>
      <c r="B408" s="341">
        <v>6</v>
      </c>
      <c r="C408" s="309">
        <v>46093</v>
      </c>
      <c r="D408" s="310" t="s">
        <v>418</v>
      </c>
      <c r="E408" s="342">
        <v>12</v>
      </c>
      <c r="F408" s="342"/>
      <c r="G408" s="344">
        <f t="shared" si="4"/>
        <v>2239.0199999999868</v>
      </c>
      <c r="H408" s="345"/>
      <c r="I408" s="346"/>
      <c r="J408" s="347"/>
      <c r="K408" s="312"/>
      <c r="L408" s="347"/>
      <c r="M408" s="312"/>
      <c r="N408" s="347"/>
      <c r="O408" s="312"/>
      <c r="P408" s="347"/>
      <c r="Q408" s="312"/>
      <c r="R408" s="347"/>
      <c r="S408" s="312"/>
      <c r="T408" s="347"/>
    </row>
    <row r="409" spans="1:20" ht="12" customHeight="1" x14ac:dyDescent="0.3">
      <c r="A409" s="340" t="s">
        <v>294</v>
      </c>
      <c r="B409" s="341">
        <v>19</v>
      </c>
      <c r="C409" s="309">
        <v>46093</v>
      </c>
      <c r="D409" s="310" t="s">
        <v>191</v>
      </c>
      <c r="E409" s="342">
        <v>200</v>
      </c>
      <c r="F409" s="342"/>
      <c r="G409" s="344">
        <f t="shared" si="4"/>
        <v>2251.0199999999868</v>
      </c>
      <c r="H409" s="345"/>
      <c r="I409" s="346"/>
      <c r="J409" s="347"/>
      <c r="K409" s="312"/>
      <c r="L409" s="347"/>
      <c r="M409" s="312"/>
      <c r="N409" s="347"/>
      <c r="O409" s="312"/>
      <c r="P409" s="347"/>
      <c r="Q409" s="312"/>
      <c r="R409" s="347"/>
      <c r="S409" s="312"/>
      <c r="T409" s="347"/>
    </row>
    <row r="410" spans="1:20" ht="12" customHeight="1" x14ac:dyDescent="0.3">
      <c r="A410" s="340" t="s">
        <v>289</v>
      </c>
      <c r="B410" s="341">
        <v>6</v>
      </c>
      <c r="C410" s="309">
        <v>46092</v>
      </c>
      <c r="D410" s="310" t="s">
        <v>419</v>
      </c>
      <c r="E410" s="342">
        <v>-10.050000000000001</v>
      </c>
      <c r="F410" s="342"/>
      <c r="G410" s="344">
        <f t="shared" si="4"/>
        <v>2451.0199999999868</v>
      </c>
      <c r="H410" s="345"/>
      <c r="I410" s="346"/>
      <c r="J410" s="347"/>
      <c r="K410" s="312"/>
      <c r="L410" s="347"/>
      <c r="M410" s="312"/>
      <c r="N410" s="347"/>
      <c r="O410" s="312"/>
      <c r="P410" s="347"/>
      <c r="Q410" s="312"/>
      <c r="R410" s="347"/>
      <c r="S410" s="312"/>
      <c r="T410" s="347"/>
    </row>
    <row r="411" spans="1:20" ht="12" customHeight="1" x14ac:dyDescent="0.3">
      <c r="A411" s="340" t="s">
        <v>289</v>
      </c>
      <c r="B411" s="341">
        <v>6</v>
      </c>
      <c r="C411" s="309">
        <v>46092</v>
      </c>
      <c r="D411" s="310" t="s">
        <v>420</v>
      </c>
      <c r="E411" s="342">
        <v>25</v>
      </c>
      <c r="F411" s="342"/>
      <c r="G411" s="344">
        <f t="shared" si="4"/>
        <v>2440.9699999999866</v>
      </c>
      <c r="H411" s="345"/>
      <c r="I411" s="346"/>
      <c r="J411" s="347"/>
      <c r="K411" s="312"/>
      <c r="L411" s="347"/>
      <c r="M411" s="312"/>
      <c r="N411" s="347"/>
      <c r="O411" s="312"/>
      <c r="P411" s="347"/>
      <c r="Q411" s="312"/>
      <c r="R411" s="347"/>
      <c r="S411" s="312"/>
      <c r="T411" s="347"/>
    </row>
    <row r="412" spans="1:20" ht="12" customHeight="1" x14ac:dyDescent="0.3">
      <c r="A412" s="340" t="s">
        <v>289</v>
      </c>
      <c r="B412" s="341">
        <v>2</v>
      </c>
      <c r="C412" s="309">
        <v>46092</v>
      </c>
      <c r="D412" s="310" t="s">
        <v>301</v>
      </c>
      <c r="E412" s="342">
        <v>-9</v>
      </c>
      <c r="F412" s="342"/>
      <c r="G412" s="344">
        <f t="shared" si="4"/>
        <v>2465.9699999999866</v>
      </c>
      <c r="H412" s="345"/>
      <c r="I412" s="346"/>
      <c r="J412" s="347"/>
      <c r="K412" s="312"/>
      <c r="L412" s="347"/>
      <c r="M412" s="312"/>
      <c r="N412" s="347"/>
      <c r="O412" s="312"/>
      <c r="P412" s="347"/>
      <c r="Q412" s="312"/>
      <c r="R412" s="347"/>
      <c r="S412" s="312"/>
      <c r="T412" s="347"/>
    </row>
    <row r="413" spans="1:20" ht="12" customHeight="1" x14ac:dyDescent="0.3">
      <c r="A413" s="340" t="s">
        <v>291</v>
      </c>
      <c r="B413" s="341">
        <v>41</v>
      </c>
      <c r="C413" s="309">
        <v>46092</v>
      </c>
      <c r="D413" s="310" t="s">
        <v>414</v>
      </c>
      <c r="E413" s="342"/>
      <c r="F413" s="342">
        <v>500</v>
      </c>
      <c r="G413" s="344">
        <f t="shared" si="4"/>
        <v>2456.9699999999866</v>
      </c>
      <c r="H413" s="345"/>
      <c r="I413" s="346"/>
      <c r="J413" s="347"/>
      <c r="K413" s="312"/>
      <c r="L413" s="347"/>
      <c r="M413" s="312"/>
      <c r="N413" s="347"/>
      <c r="O413" s="312"/>
      <c r="P413" s="347"/>
      <c r="Q413" s="312"/>
      <c r="R413" s="347"/>
      <c r="S413" s="312"/>
      <c r="T413" s="347"/>
    </row>
    <row r="414" spans="1:20" ht="12" customHeight="1" x14ac:dyDescent="0.3">
      <c r="A414" s="340" t="s">
        <v>289</v>
      </c>
      <c r="B414" s="341">
        <v>2</v>
      </c>
      <c r="C414" s="309">
        <v>46092</v>
      </c>
      <c r="D414" s="310" t="s">
        <v>296</v>
      </c>
      <c r="E414" s="342">
        <v>16.170000000000002</v>
      </c>
      <c r="F414" s="342"/>
      <c r="G414" s="344">
        <f t="shared" si="4"/>
        <v>1956.9699999999864</v>
      </c>
      <c r="H414" s="345"/>
      <c r="I414" s="346"/>
      <c r="J414" s="347"/>
      <c r="K414" s="312"/>
      <c r="L414" s="347"/>
      <c r="M414" s="312"/>
      <c r="N414" s="347"/>
      <c r="O414" s="312"/>
      <c r="P414" s="347"/>
      <c r="Q414" s="312"/>
      <c r="R414" s="347"/>
      <c r="S414" s="312"/>
      <c r="T414" s="347"/>
    </row>
    <row r="415" spans="1:20" ht="12" customHeight="1" x14ac:dyDescent="0.3">
      <c r="A415" s="340" t="s">
        <v>294</v>
      </c>
      <c r="B415" s="341">
        <v>22</v>
      </c>
      <c r="C415" s="309">
        <v>46092</v>
      </c>
      <c r="D415" s="310" t="s">
        <v>356</v>
      </c>
      <c r="E415" s="342">
        <v>19.16</v>
      </c>
      <c r="F415" s="342"/>
      <c r="G415" s="344">
        <f t="shared" si="4"/>
        <v>1973.1399999999865</v>
      </c>
      <c r="H415" s="345"/>
      <c r="I415" s="346"/>
      <c r="J415" s="347"/>
      <c r="K415" s="312"/>
      <c r="L415" s="347"/>
      <c r="M415" s="312"/>
      <c r="N415" s="347"/>
      <c r="O415" s="312"/>
      <c r="P415" s="347"/>
      <c r="Q415" s="312"/>
      <c r="R415" s="347"/>
      <c r="S415" s="312"/>
      <c r="T415" s="347"/>
    </row>
    <row r="416" spans="1:20" ht="12" customHeight="1" x14ac:dyDescent="0.3">
      <c r="A416" s="340" t="s">
        <v>339</v>
      </c>
      <c r="B416" s="341" t="s">
        <v>339</v>
      </c>
      <c r="C416" s="309">
        <v>46091</v>
      </c>
      <c r="D416" s="310" t="s">
        <v>182</v>
      </c>
      <c r="E416" s="342">
        <v>47.28</v>
      </c>
      <c r="F416" s="342"/>
      <c r="G416" s="344">
        <f t="shared" si="4"/>
        <v>1992.2999999999865</v>
      </c>
      <c r="H416" s="345"/>
      <c r="I416" s="346"/>
      <c r="J416" s="347"/>
      <c r="K416" s="312"/>
      <c r="L416" s="347"/>
      <c r="M416" s="312"/>
      <c r="N416" s="347"/>
      <c r="O416" s="312"/>
      <c r="P416" s="347"/>
      <c r="Q416" s="312"/>
      <c r="R416" s="347"/>
      <c r="S416" s="312"/>
      <c r="T416" s="347"/>
    </row>
    <row r="417" spans="1:20" ht="12" customHeight="1" x14ac:dyDescent="0.3">
      <c r="A417" s="340" t="s">
        <v>294</v>
      </c>
      <c r="B417" s="341">
        <v>13</v>
      </c>
      <c r="C417" s="309">
        <v>46091</v>
      </c>
      <c r="D417" s="310" t="s">
        <v>182</v>
      </c>
      <c r="E417" s="342">
        <v>134.93</v>
      </c>
      <c r="F417" s="342"/>
      <c r="G417" s="344">
        <f t="shared" si="4"/>
        <v>2039.5799999999865</v>
      </c>
      <c r="H417" s="345"/>
      <c r="I417" s="346"/>
      <c r="J417" s="347"/>
      <c r="K417" s="312"/>
      <c r="L417" s="347"/>
      <c r="M417" s="312"/>
      <c r="N417" s="347"/>
      <c r="O417" s="312"/>
      <c r="P417" s="347"/>
      <c r="Q417" s="312"/>
      <c r="R417" s="347"/>
      <c r="S417" s="312"/>
      <c r="T417" s="347"/>
    </row>
    <row r="418" spans="1:20" ht="12" customHeight="1" x14ac:dyDescent="0.3">
      <c r="A418" s="340" t="s">
        <v>289</v>
      </c>
      <c r="B418" s="341">
        <v>8</v>
      </c>
      <c r="C418" s="309">
        <v>46091</v>
      </c>
      <c r="D418" s="310" t="s">
        <v>295</v>
      </c>
      <c r="E418" s="342">
        <v>7.44</v>
      </c>
      <c r="F418" s="342"/>
      <c r="G418" s="344">
        <f t="shared" si="4"/>
        <v>2174.5099999999866</v>
      </c>
      <c r="H418" s="345"/>
      <c r="I418" s="346"/>
      <c r="J418" s="347"/>
      <c r="K418" s="312"/>
      <c r="L418" s="347"/>
      <c r="M418" s="312"/>
      <c r="N418" s="347"/>
      <c r="O418" s="312"/>
      <c r="P418" s="347"/>
      <c r="Q418" s="312"/>
      <c r="R418" s="347"/>
      <c r="S418" s="312"/>
      <c r="T418" s="347"/>
    </row>
    <row r="419" spans="1:20" ht="12" customHeight="1" x14ac:dyDescent="0.3">
      <c r="A419" s="340" t="s">
        <v>289</v>
      </c>
      <c r="B419" s="341">
        <v>4</v>
      </c>
      <c r="C419" s="309">
        <v>46091</v>
      </c>
      <c r="D419" s="310" t="s">
        <v>295</v>
      </c>
      <c r="E419" s="342">
        <v>29.53</v>
      </c>
      <c r="F419" s="342"/>
      <c r="G419" s="344">
        <f t="shared" si="4"/>
        <v>2181.9499999999866</v>
      </c>
      <c r="H419" s="345"/>
      <c r="I419" s="346"/>
      <c r="J419" s="347"/>
      <c r="K419" s="312"/>
      <c r="L419" s="347"/>
      <c r="M419" s="312"/>
      <c r="N419" s="347"/>
      <c r="O419" s="312"/>
      <c r="P419" s="347"/>
      <c r="Q419" s="312"/>
      <c r="R419" s="347"/>
      <c r="S419" s="312"/>
      <c r="T419" s="347"/>
    </row>
    <row r="420" spans="1:20" ht="12" customHeight="1" x14ac:dyDescent="0.3">
      <c r="A420" s="340" t="s">
        <v>289</v>
      </c>
      <c r="B420" s="341">
        <v>4</v>
      </c>
      <c r="C420" s="309">
        <v>46091</v>
      </c>
      <c r="D420" s="310" t="s">
        <v>311</v>
      </c>
      <c r="E420" s="342">
        <v>34.119999999999997</v>
      </c>
      <c r="F420" s="342"/>
      <c r="G420" s="344">
        <f t="shared" si="4"/>
        <v>2211.4799999999868</v>
      </c>
      <c r="H420" s="345"/>
      <c r="I420" s="346"/>
      <c r="J420" s="347"/>
      <c r="K420" s="312"/>
      <c r="L420" s="347"/>
      <c r="M420" s="312"/>
      <c r="N420" s="347"/>
      <c r="O420" s="312"/>
      <c r="P420" s="347"/>
      <c r="Q420" s="312"/>
      <c r="R420" s="347"/>
      <c r="S420" s="312"/>
      <c r="T420" s="347"/>
    </row>
    <row r="421" spans="1:20" ht="12" customHeight="1" x14ac:dyDescent="0.3">
      <c r="A421" s="340" t="s">
        <v>289</v>
      </c>
      <c r="B421" s="341">
        <v>2</v>
      </c>
      <c r="C421" s="309">
        <v>46091</v>
      </c>
      <c r="D421" s="310" t="s">
        <v>421</v>
      </c>
      <c r="E421" s="342">
        <v>18.57</v>
      </c>
      <c r="F421" s="342"/>
      <c r="G421" s="344">
        <f t="shared" si="4"/>
        <v>2245.5999999999867</v>
      </c>
      <c r="H421" s="345"/>
      <c r="I421" s="346"/>
      <c r="J421" s="347"/>
      <c r="K421" s="312"/>
      <c r="L421" s="347"/>
      <c r="M421" s="312"/>
      <c r="N421" s="347"/>
      <c r="O421" s="312"/>
      <c r="P421" s="347"/>
      <c r="Q421" s="312"/>
      <c r="R421" s="347"/>
      <c r="S421" s="312"/>
      <c r="T421" s="347"/>
    </row>
    <row r="422" spans="1:20" ht="12" customHeight="1" x14ac:dyDescent="0.3">
      <c r="A422" s="340" t="s">
        <v>294</v>
      </c>
      <c r="B422" s="341">
        <v>16</v>
      </c>
      <c r="C422" s="309">
        <v>46091</v>
      </c>
      <c r="D422" s="310" t="s">
        <v>422</v>
      </c>
      <c r="E422" s="342">
        <v>107</v>
      </c>
      <c r="F422" s="342"/>
      <c r="G422" s="344">
        <f t="shared" si="4"/>
        <v>2264.1699999999869</v>
      </c>
      <c r="H422" s="345"/>
      <c r="I422" s="346"/>
      <c r="J422" s="347"/>
      <c r="K422" s="312"/>
      <c r="L422" s="347"/>
      <c r="M422" s="312"/>
      <c r="N422" s="347"/>
      <c r="O422" s="312"/>
      <c r="P422" s="347"/>
      <c r="Q422" s="312"/>
      <c r="R422" s="347"/>
      <c r="S422" s="312"/>
      <c r="T422" s="347"/>
    </row>
    <row r="423" spans="1:20" ht="12" customHeight="1" x14ac:dyDescent="0.3">
      <c r="A423" s="340" t="s">
        <v>294</v>
      </c>
      <c r="B423" s="341">
        <v>18</v>
      </c>
      <c r="C423" s="309">
        <v>46090</v>
      </c>
      <c r="D423" s="310" t="s">
        <v>365</v>
      </c>
      <c r="E423" s="342">
        <v>400</v>
      </c>
      <c r="F423" s="342"/>
      <c r="G423" s="344">
        <f t="shared" si="4"/>
        <v>2371.1699999999869</v>
      </c>
      <c r="H423" s="345"/>
      <c r="I423" s="346"/>
      <c r="J423" s="347"/>
      <c r="K423" s="312"/>
      <c r="L423" s="347"/>
      <c r="M423" s="312"/>
      <c r="N423" s="347"/>
      <c r="O423" s="312"/>
      <c r="P423" s="347"/>
      <c r="Q423" s="312"/>
      <c r="R423" s="347"/>
      <c r="S423" s="312"/>
      <c r="T423" s="347"/>
    </row>
    <row r="424" spans="1:20" ht="12" customHeight="1" x14ac:dyDescent="0.3">
      <c r="A424" s="340" t="s">
        <v>289</v>
      </c>
      <c r="B424" s="341">
        <v>4</v>
      </c>
      <c r="C424" s="309">
        <v>46090</v>
      </c>
      <c r="D424" s="310" t="s">
        <v>296</v>
      </c>
      <c r="E424" s="342">
        <v>24.69</v>
      </c>
      <c r="F424" s="342"/>
      <c r="G424" s="344">
        <f t="shared" si="4"/>
        <v>2771.1699999999869</v>
      </c>
      <c r="H424" s="345"/>
      <c r="I424" s="346"/>
      <c r="J424" s="347"/>
      <c r="K424" s="312"/>
      <c r="L424" s="347"/>
      <c r="M424" s="312"/>
      <c r="N424" s="347"/>
      <c r="O424" s="312"/>
      <c r="P424" s="347"/>
      <c r="Q424" s="312"/>
      <c r="R424" s="347"/>
      <c r="S424" s="312"/>
      <c r="T424" s="347"/>
    </row>
    <row r="425" spans="1:20" ht="12" customHeight="1" x14ac:dyDescent="0.3">
      <c r="A425" s="340" t="s">
        <v>289</v>
      </c>
      <c r="B425" s="341">
        <v>3</v>
      </c>
      <c r="C425" s="309">
        <v>46090</v>
      </c>
      <c r="D425" s="310" t="s">
        <v>423</v>
      </c>
      <c r="E425" s="342">
        <v>4.59</v>
      </c>
      <c r="F425" s="342"/>
      <c r="G425" s="344">
        <f t="shared" si="4"/>
        <v>2795.8599999999869</v>
      </c>
      <c r="H425" s="345"/>
      <c r="I425" s="346"/>
      <c r="J425" s="347"/>
      <c r="K425" s="312"/>
      <c r="L425" s="347"/>
      <c r="M425" s="312"/>
      <c r="N425" s="347"/>
      <c r="O425" s="312"/>
      <c r="P425" s="347"/>
      <c r="Q425" s="312"/>
      <c r="R425" s="347"/>
      <c r="S425" s="312"/>
      <c r="T425" s="347"/>
    </row>
    <row r="426" spans="1:20" ht="12" customHeight="1" x14ac:dyDescent="0.3">
      <c r="A426" s="340" t="s">
        <v>294</v>
      </c>
      <c r="B426" s="341">
        <v>9</v>
      </c>
      <c r="C426" s="309">
        <v>46090</v>
      </c>
      <c r="D426" s="310" t="s">
        <v>58</v>
      </c>
      <c r="E426" s="342">
        <v>1281.53</v>
      </c>
      <c r="F426" s="342"/>
      <c r="G426" s="344">
        <f t="shared" si="4"/>
        <v>2800.4499999999871</v>
      </c>
      <c r="H426" s="345"/>
      <c r="I426" s="346"/>
      <c r="J426" s="347"/>
      <c r="K426" s="312"/>
      <c r="L426" s="347"/>
      <c r="M426" s="312"/>
      <c r="N426" s="347"/>
      <c r="O426" s="312"/>
      <c r="P426" s="347"/>
      <c r="Q426" s="312"/>
      <c r="R426" s="347"/>
      <c r="S426" s="312"/>
      <c r="T426" s="347"/>
    </row>
    <row r="427" spans="1:20" ht="12" customHeight="1" x14ac:dyDescent="0.3">
      <c r="A427" s="340" t="s">
        <v>289</v>
      </c>
      <c r="B427" s="341">
        <v>7</v>
      </c>
      <c r="C427" s="309">
        <v>46090</v>
      </c>
      <c r="D427" s="310" t="s">
        <v>342</v>
      </c>
      <c r="E427" s="342">
        <v>40.61</v>
      </c>
      <c r="F427" s="342"/>
      <c r="G427" s="344">
        <f t="shared" si="4"/>
        <v>4081.9799999999873</v>
      </c>
      <c r="H427" s="345"/>
      <c r="I427" s="346"/>
      <c r="J427" s="347"/>
      <c r="K427" s="312"/>
      <c r="L427" s="347"/>
      <c r="M427" s="312"/>
      <c r="N427" s="347"/>
      <c r="O427" s="312"/>
      <c r="P427" s="347"/>
      <c r="Q427" s="312"/>
      <c r="R427" s="347"/>
      <c r="S427" s="312"/>
      <c r="T427" s="347"/>
    </row>
    <row r="428" spans="1:20" ht="12" customHeight="1" x14ac:dyDescent="0.3">
      <c r="A428" s="340" t="s">
        <v>287</v>
      </c>
      <c r="B428" s="341" t="s">
        <v>287</v>
      </c>
      <c r="C428" s="309">
        <v>46090</v>
      </c>
      <c r="D428" s="310" t="s">
        <v>424</v>
      </c>
      <c r="E428" s="342">
        <v>380</v>
      </c>
      <c r="F428" s="342">
        <v>380</v>
      </c>
      <c r="G428" s="344">
        <f t="shared" si="4"/>
        <v>4122.5899999999874</v>
      </c>
      <c r="H428" s="345"/>
      <c r="I428" s="346"/>
      <c r="J428" s="347"/>
      <c r="K428" s="312"/>
      <c r="L428" s="347"/>
      <c r="M428" s="312"/>
      <c r="N428" s="347"/>
      <c r="O428" s="312"/>
      <c r="P428" s="347"/>
      <c r="Q428" s="312"/>
      <c r="R428" s="347"/>
      <c r="S428" s="312"/>
      <c r="T428" s="347"/>
    </row>
    <row r="429" spans="1:20" ht="12" customHeight="1" x14ac:dyDescent="0.3">
      <c r="A429" s="340" t="s">
        <v>289</v>
      </c>
      <c r="B429" s="341">
        <v>2</v>
      </c>
      <c r="C429" s="309">
        <v>46090</v>
      </c>
      <c r="D429" s="310" t="s">
        <v>425</v>
      </c>
      <c r="E429" s="342">
        <v>15</v>
      </c>
      <c r="F429" s="342"/>
      <c r="G429" s="344">
        <f t="shared" si="4"/>
        <v>4122.5899999999874</v>
      </c>
      <c r="H429" s="345"/>
      <c r="I429" s="346"/>
      <c r="J429" s="347"/>
      <c r="K429" s="312"/>
      <c r="L429" s="347"/>
      <c r="M429" s="312"/>
      <c r="N429" s="347"/>
      <c r="O429" s="312"/>
      <c r="P429" s="347"/>
      <c r="Q429" s="312"/>
      <c r="R429" s="347"/>
      <c r="S429" s="312"/>
      <c r="T429" s="347"/>
    </row>
    <row r="430" spans="1:20" ht="12" customHeight="1" x14ac:dyDescent="0.3">
      <c r="A430" s="340" t="s">
        <v>289</v>
      </c>
      <c r="B430" s="341">
        <v>2</v>
      </c>
      <c r="C430" s="309">
        <v>46090</v>
      </c>
      <c r="D430" s="310" t="s">
        <v>390</v>
      </c>
      <c r="E430" s="342">
        <v>15</v>
      </c>
      <c r="F430" s="342"/>
      <c r="G430" s="344">
        <f t="shared" si="4"/>
        <v>4137.5899999999874</v>
      </c>
      <c r="H430" s="345"/>
      <c r="I430" s="346"/>
      <c r="J430" s="347"/>
      <c r="K430" s="312"/>
      <c r="L430" s="347"/>
      <c r="M430" s="312"/>
      <c r="N430" s="347"/>
      <c r="O430" s="312"/>
      <c r="P430" s="347"/>
      <c r="Q430" s="312"/>
      <c r="R430" s="347"/>
      <c r="S430" s="312"/>
      <c r="T430" s="347"/>
    </row>
    <row r="431" spans="1:20" ht="12" customHeight="1" x14ac:dyDescent="0.3">
      <c r="A431" s="340" t="s">
        <v>289</v>
      </c>
      <c r="B431" s="341">
        <v>6</v>
      </c>
      <c r="C431" s="309">
        <v>46090</v>
      </c>
      <c r="D431" s="310" t="s">
        <v>300</v>
      </c>
      <c r="E431" s="342">
        <v>70.66</v>
      </c>
      <c r="F431" s="342"/>
      <c r="G431" s="344">
        <f t="shared" si="4"/>
        <v>4152.5899999999874</v>
      </c>
      <c r="H431" s="345"/>
      <c r="I431" s="346"/>
      <c r="J431" s="347"/>
      <c r="K431" s="312"/>
      <c r="L431" s="347"/>
      <c r="M431" s="312"/>
      <c r="N431" s="347"/>
      <c r="O431" s="312"/>
      <c r="P431" s="347"/>
      <c r="Q431" s="312"/>
      <c r="R431" s="347"/>
      <c r="S431" s="312"/>
      <c r="T431" s="347"/>
    </row>
    <row r="432" spans="1:20" ht="12" customHeight="1" x14ac:dyDescent="0.3">
      <c r="A432" s="340" t="s">
        <v>289</v>
      </c>
      <c r="B432" s="341">
        <v>1</v>
      </c>
      <c r="C432" s="309">
        <v>46089</v>
      </c>
      <c r="D432" s="310" t="s">
        <v>312</v>
      </c>
      <c r="E432" s="342">
        <v>109.77</v>
      </c>
      <c r="F432" s="342"/>
      <c r="G432" s="344">
        <f t="shared" si="4"/>
        <v>4223.2499999999873</v>
      </c>
      <c r="H432" s="345"/>
      <c r="I432" s="346"/>
      <c r="J432" s="347"/>
      <c r="K432" s="312"/>
      <c r="L432" s="347"/>
      <c r="M432" s="312"/>
      <c r="N432" s="347"/>
      <c r="O432" s="312"/>
      <c r="P432" s="347"/>
      <c r="Q432" s="312"/>
      <c r="R432" s="347"/>
      <c r="S432" s="312"/>
      <c r="T432" s="347"/>
    </row>
    <row r="433" spans="1:20" ht="12" customHeight="1" x14ac:dyDescent="0.3">
      <c r="A433" s="340" t="s">
        <v>289</v>
      </c>
      <c r="B433" s="341">
        <v>6</v>
      </c>
      <c r="C433" s="309">
        <v>46089</v>
      </c>
      <c r="D433" s="310" t="s">
        <v>307</v>
      </c>
      <c r="E433" s="342">
        <v>9.3800000000000008</v>
      </c>
      <c r="F433" s="342"/>
      <c r="G433" s="344">
        <f t="shared" si="4"/>
        <v>4333.0199999999877</v>
      </c>
      <c r="H433" s="345"/>
      <c r="I433" s="346"/>
      <c r="J433" s="347"/>
      <c r="K433" s="312"/>
      <c r="L433" s="347"/>
      <c r="M433" s="312"/>
      <c r="N433" s="347"/>
      <c r="O433" s="312"/>
      <c r="P433" s="347"/>
      <c r="Q433" s="312"/>
      <c r="R433" s="347"/>
      <c r="S433" s="312"/>
      <c r="T433" s="347"/>
    </row>
    <row r="434" spans="1:20" ht="12" customHeight="1" x14ac:dyDescent="0.3">
      <c r="A434" s="340" t="s">
        <v>289</v>
      </c>
      <c r="B434" s="341">
        <v>3</v>
      </c>
      <c r="C434" s="309">
        <v>46089</v>
      </c>
      <c r="D434" s="310" t="s">
        <v>426</v>
      </c>
      <c r="E434" s="342">
        <v>3.85</v>
      </c>
      <c r="F434" s="342"/>
      <c r="G434" s="344">
        <f t="shared" si="4"/>
        <v>4342.3999999999878</v>
      </c>
      <c r="H434" s="345"/>
      <c r="I434" s="346"/>
      <c r="J434" s="347"/>
      <c r="K434" s="312"/>
      <c r="L434" s="347"/>
      <c r="M434" s="312"/>
      <c r="N434" s="347"/>
      <c r="O434" s="312"/>
      <c r="P434" s="347"/>
      <c r="Q434" s="312"/>
      <c r="R434" s="347"/>
      <c r="S434" s="312"/>
      <c r="T434" s="347"/>
    </row>
    <row r="435" spans="1:20" ht="12" customHeight="1" x14ac:dyDescent="0.3">
      <c r="A435" s="340" t="s">
        <v>289</v>
      </c>
      <c r="B435" s="341">
        <v>2</v>
      </c>
      <c r="C435" s="309">
        <v>46089</v>
      </c>
      <c r="D435" s="310" t="s">
        <v>411</v>
      </c>
      <c r="E435" s="342">
        <v>88.54</v>
      </c>
      <c r="F435" s="342"/>
      <c r="G435" s="344">
        <f t="shared" si="4"/>
        <v>4346.2499999999882</v>
      </c>
      <c r="H435" s="345"/>
      <c r="I435" s="346"/>
      <c r="J435" s="347"/>
      <c r="K435" s="312"/>
      <c r="L435" s="347"/>
      <c r="M435" s="312"/>
      <c r="N435" s="347"/>
      <c r="O435" s="312"/>
      <c r="P435" s="347"/>
      <c r="Q435" s="312"/>
      <c r="R435" s="347"/>
      <c r="S435" s="312"/>
      <c r="T435" s="347"/>
    </row>
    <row r="436" spans="1:20" ht="12" customHeight="1" x14ac:dyDescent="0.3">
      <c r="A436" s="340" t="s">
        <v>289</v>
      </c>
      <c r="B436" s="341">
        <v>2</v>
      </c>
      <c r="C436" s="309">
        <v>46089</v>
      </c>
      <c r="D436" s="310" t="s">
        <v>362</v>
      </c>
      <c r="E436" s="342">
        <v>8.3800000000000008</v>
      </c>
      <c r="F436" s="342"/>
      <c r="G436" s="344">
        <f t="shared" si="4"/>
        <v>4434.7899999999881</v>
      </c>
      <c r="H436" s="345"/>
      <c r="I436" s="346"/>
      <c r="J436" s="347"/>
      <c r="K436" s="312"/>
      <c r="L436" s="347"/>
      <c r="M436" s="312"/>
      <c r="N436" s="347"/>
      <c r="O436" s="312"/>
      <c r="P436" s="347"/>
      <c r="Q436" s="312"/>
      <c r="R436" s="347"/>
      <c r="S436" s="312"/>
      <c r="T436" s="347"/>
    </row>
    <row r="437" spans="1:20" ht="12" customHeight="1" x14ac:dyDescent="0.3">
      <c r="A437" s="340" t="s">
        <v>289</v>
      </c>
      <c r="B437" s="341">
        <v>2</v>
      </c>
      <c r="C437" s="309">
        <v>46089</v>
      </c>
      <c r="D437" s="310" t="s">
        <v>301</v>
      </c>
      <c r="E437" s="342">
        <v>39.549999999999997</v>
      </c>
      <c r="F437" s="342"/>
      <c r="G437" s="344">
        <f t="shared" si="4"/>
        <v>4443.1699999999882</v>
      </c>
      <c r="H437" s="345"/>
      <c r="I437" s="346"/>
      <c r="J437" s="347"/>
      <c r="K437" s="312"/>
      <c r="L437" s="347"/>
      <c r="M437" s="312"/>
      <c r="N437" s="347"/>
      <c r="O437" s="312"/>
      <c r="P437" s="347"/>
      <c r="Q437" s="312"/>
      <c r="R437" s="347"/>
      <c r="S437" s="312"/>
      <c r="T437" s="347"/>
    </row>
    <row r="438" spans="1:20" ht="12" customHeight="1" x14ac:dyDescent="0.3">
      <c r="A438" s="340" t="s">
        <v>289</v>
      </c>
      <c r="B438" s="341">
        <v>4</v>
      </c>
      <c r="C438" s="309">
        <v>46089</v>
      </c>
      <c r="D438" s="310" t="s">
        <v>427</v>
      </c>
      <c r="E438" s="342">
        <v>31.68</v>
      </c>
      <c r="F438" s="342"/>
      <c r="G438" s="344">
        <f t="shared" si="4"/>
        <v>4482.7199999999884</v>
      </c>
      <c r="H438" s="345"/>
      <c r="I438" s="346"/>
      <c r="J438" s="347"/>
      <c r="K438" s="312"/>
      <c r="L438" s="347"/>
      <c r="M438" s="312"/>
      <c r="N438" s="347"/>
      <c r="O438" s="312"/>
      <c r="P438" s="347"/>
      <c r="Q438" s="312"/>
      <c r="R438" s="347"/>
      <c r="S438" s="312"/>
      <c r="T438" s="347"/>
    </row>
    <row r="439" spans="1:20" ht="12" customHeight="1" x14ac:dyDescent="0.3">
      <c r="A439" s="340" t="s">
        <v>289</v>
      </c>
      <c r="B439" s="341">
        <v>8</v>
      </c>
      <c r="C439" s="309">
        <v>46088</v>
      </c>
      <c r="D439" s="310" t="s">
        <v>309</v>
      </c>
      <c r="E439" s="342">
        <v>24.65</v>
      </c>
      <c r="F439" s="342"/>
      <c r="G439" s="344">
        <f t="shared" si="4"/>
        <v>4514.3999999999887</v>
      </c>
      <c r="H439" s="345"/>
      <c r="I439" s="346"/>
      <c r="J439" s="347"/>
      <c r="K439" s="312"/>
      <c r="L439" s="347"/>
      <c r="M439" s="312"/>
      <c r="N439" s="347"/>
      <c r="O439" s="312"/>
      <c r="P439" s="347"/>
      <c r="Q439" s="312"/>
      <c r="R439" s="347"/>
      <c r="S439" s="312"/>
      <c r="T439" s="347"/>
    </row>
    <row r="440" spans="1:20" ht="12" customHeight="1" x14ac:dyDescent="0.3">
      <c r="A440" s="340" t="s">
        <v>289</v>
      </c>
      <c r="B440" s="341">
        <v>2</v>
      </c>
      <c r="C440" s="309">
        <v>46088</v>
      </c>
      <c r="D440" s="310" t="s">
        <v>350</v>
      </c>
      <c r="E440" s="342">
        <v>11.04</v>
      </c>
      <c r="F440" s="342"/>
      <c r="G440" s="344">
        <f t="shared" si="4"/>
        <v>4539.0499999999884</v>
      </c>
      <c r="H440" s="345"/>
      <c r="I440" s="346"/>
      <c r="J440" s="347"/>
      <c r="K440" s="312"/>
      <c r="L440" s="347"/>
      <c r="M440" s="312"/>
      <c r="N440" s="347"/>
      <c r="O440" s="312"/>
      <c r="P440" s="347"/>
      <c r="Q440" s="312"/>
      <c r="R440" s="347"/>
      <c r="S440" s="312"/>
      <c r="T440" s="347"/>
    </row>
    <row r="441" spans="1:20" ht="12" customHeight="1" x14ac:dyDescent="0.3">
      <c r="A441" s="340" t="s">
        <v>289</v>
      </c>
      <c r="B441" s="341">
        <v>8</v>
      </c>
      <c r="C441" s="309">
        <v>46088</v>
      </c>
      <c r="D441" s="310" t="s">
        <v>321</v>
      </c>
      <c r="E441" s="342">
        <v>11.5</v>
      </c>
      <c r="F441" s="342"/>
      <c r="G441" s="344">
        <f t="shared" si="4"/>
        <v>4550.0899999999883</v>
      </c>
      <c r="H441" s="345"/>
      <c r="I441" s="346"/>
      <c r="J441" s="347"/>
      <c r="K441" s="312"/>
      <c r="L441" s="347"/>
      <c r="M441" s="312"/>
      <c r="N441" s="347"/>
      <c r="O441" s="312"/>
      <c r="P441" s="347"/>
      <c r="Q441" s="312"/>
      <c r="R441" s="347"/>
      <c r="S441" s="312"/>
      <c r="T441" s="347"/>
    </row>
    <row r="442" spans="1:20" ht="12" customHeight="1" x14ac:dyDescent="0.3">
      <c r="A442" s="340" t="s">
        <v>289</v>
      </c>
      <c r="B442" s="341">
        <v>8</v>
      </c>
      <c r="C442" s="309">
        <v>46088</v>
      </c>
      <c r="D442" s="310" t="s">
        <v>296</v>
      </c>
      <c r="E442" s="342">
        <v>12.44</v>
      </c>
      <c r="F442" s="342"/>
      <c r="G442" s="344">
        <f t="shared" si="4"/>
        <v>4561.5899999999883</v>
      </c>
      <c r="H442" s="345"/>
      <c r="I442" s="346"/>
      <c r="J442" s="347"/>
      <c r="K442" s="312"/>
      <c r="L442" s="347"/>
      <c r="M442" s="312"/>
      <c r="N442" s="347"/>
      <c r="O442" s="312"/>
      <c r="P442" s="347"/>
      <c r="Q442" s="312"/>
      <c r="R442" s="347"/>
      <c r="S442" s="312"/>
      <c r="T442" s="347"/>
    </row>
    <row r="443" spans="1:20" ht="12" customHeight="1" x14ac:dyDescent="0.3">
      <c r="A443" s="340" t="s">
        <v>289</v>
      </c>
      <c r="B443" s="341">
        <v>4</v>
      </c>
      <c r="C443" s="309">
        <v>46088</v>
      </c>
      <c r="D443" s="310" t="s">
        <v>296</v>
      </c>
      <c r="E443" s="342">
        <v>23.62</v>
      </c>
      <c r="F443" s="342"/>
      <c r="G443" s="344">
        <f t="shared" si="4"/>
        <v>4574.0299999999879</v>
      </c>
      <c r="H443" s="345"/>
      <c r="I443" s="346"/>
      <c r="J443" s="347"/>
      <c r="K443" s="312"/>
      <c r="L443" s="347"/>
      <c r="M443" s="312"/>
      <c r="N443" s="347"/>
      <c r="O443" s="312"/>
      <c r="P443" s="347"/>
      <c r="Q443" s="312"/>
      <c r="R443" s="347"/>
      <c r="S443" s="312"/>
      <c r="T443" s="347"/>
    </row>
    <row r="444" spans="1:20" ht="12" customHeight="1" x14ac:dyDescent="0.3">
      <c r="A444" s="340" t="s">
        <v>289</v>
      </c>
      <c r="B444" s="341">
        <v>2</v>
      </c>
      <c r="C444" s="309">
        <v>46088</v>
      </c>
      <c r="D444" s="310" t="s">
        <v>301</v>
      </c>
      <c r="E444" s="342">
        <v>36.049999999999997</v>
      </c>
      <c r="F444" s="342"/>
      <c r="G444" s="344">
        <f t="shared" si="4"/>
        <v>4597.6499999999878</v>
      </c>
      <c r="H444" s="345"/>
      <c r="I444" s="346"/>
      <c r="J444" s="347"/>
      <c r="K444" s="312"/>
      <c r="L444" s="347"/>
      <c r="M444" s="312"/>
      <c r="N444" s="347"/>
      <c r="O444" s="312"/>
      <c r="P444" s="347"/>
      <c r="Q444" s="312"/>
      <c r="R444" s="347"/>
      <c r="S444" s="312"/>
      <c r="T444" s="347"/>
    </row>
    <row r="445" spans="1:20" ht="12" customHeight="1" x14ac:dyDescent="0.3">
      <c r="A445" s="340" t="s">
        <v>294</v>
      </c>
      <c r="B445" s="341">
        <v>14</v>
      </c>
      <c r="C445" s="309">
        <v>46087</v>
      </c>
      <c r="D445" s="310" t="s">
        <v>370</v>
      </c>
      <c r="E445" s="342">
        <v>66.67</v>
      </c>
      <c r="F445" s="342"/>
      <c r="G445" s="344">
        <f t="shared" si="4"/>
        <v>4633.699999999988</v>
      </c>
      <c r="H445" s="345"/>
      <c r="I445" s="346"/>
      <c r="J445" s="347"/>
      <c r="K445" s="312"/>
      <c r="L445" s="347"/>
      <c r="M445" s="312"/>
      <c r="N445" s="347"/>
      <c r="O445" s="312"/>
      <c r="P445" s="347"/>
      <c r="Q445" s="312"/>
      <c r="R445" s="347"/>
      <c r="S445" s="312"/>
      <c r="T445" s="347"/>
    </row>
    <row r="446" spans="1:20" ht="12" customHeight="1" x14ac:dyDescent="0.3">
      <c r="A446" s="340" t="s">
        <v>289</v>
      </c>
      <c r="B446" s="341">
        <v>2</v>
      </c>
      <c r="C446" s="309">
        <v>46087</v>
      </c>
      <c r="D446" s="310" t="s">
        <v>296</v>
      </c>
      <c r="E446" s="342">
        <v>17.850000000000001</v>
      </c>
      <c r="F446" s="342"/>
      <c r="G446" s="344">
        <f t="shared" si="4"/>
        <v>4700.3699999999881</v>
      </c>
      <c r="H446" s="345"/>
      <c r="I446" s="346"/>
      <c r="J446" s="347"/>
      <c r="K446" s="312"/>
      <c r="L446" s="347"/>
      <c r="M446" s="312"/>
      <c r="N446" s="347"/>
      <c r="O446" s="312"/>
      <c r="P446" s="347"/>
      <c r="Q446" s="312"/>
      <c r="R446" s="347"/>
      <c r="S446" s="312"/>
      <c r="T446" s="347"/>
    </row>
    <row r="447" spans="1:20" ht="12" customHeight="1" x14ac:dyDescent="0.3">
      <c r="A447" s="340" t="s">
        <v>289</v>
      </c>
      <c r="B447" s="341">
        <v>1</v>
      </c>
      <c r="C447" s="309">
        <v>46087</v>
      </c>
      <c r="D447" s="310" t="s">
        <v>304</v>
      </c>
      <c r="E447" s="342">
        <v>112.13</v>
      </c>
      <c r="F447" s="342"/>
      <c r="G447" s="344">
        <f t="shared" si="4"/>
        <v>4718.2199999999884</v>
      </c>
      <c r="H447" s="345"/>
      <c r="I447" s="346"/>
      <c r="J447" s="347"/>
      <c r="K447" s="312"/>
      <c r="L447" s="347"/>
      <c r="M447" s="312"/>
      <c r="N447" s="347"/>
      <c r="O447" s="312"/>
      <c r="P447" s="347"/>
      <c r="Q447" s="312"/>
      <c r="R447" s="347"/>
      <c r="S447" s="312"/>
      <c r="T447" s="347"/>
    </row>
    <row r="448" spans="1:20" ht="12" customHeight="1" x14ac:dyDescent="0.3">
      <c r="A448" s="340" t="s">
        <v>289</v>
      </c>
      <c r="B448" s="341">
        <v>3</v>
      </c>
      <c r="C448" s="309">
        <v>46087</v>
      </c>
      <c r="D448" s="310" t="s">
        <v>327</v>
      </c>
      <c r="E448" s="342">
        <v>7.31</v>
      </c>
      <c r="F448" s="342"/>
      <c r="G448" s="344">
        <f t="shared" si="4"/>
        <v>4830.3499999999885</v>
      </c>
      <c r="H448" s="345"/>
      <c r="I448" s="346"/>
      <c r="J448" s="347"/>
      <c r="K448" s="312"/>
      <c r="L448" s="347"/>
      <c r="M448" s="312"/>
      <c r="N448" s="347"/>
      <c r="O448" s="312"/>
      <c r="P448" s="347"/>
      <c r="Q448" s="312"/>
      <c r="R448" s="347"/>
      <c r="S448" s="312"/>
      <c r="T448" s="347"/>
    </row>
    <row r="449" spans="1:20" ht="12" customHeight="1" x14ac:dyDescent="0.3">
      <c r="A449" s="340" t="s">
        <v>291</v>
      </c>
      <c r="B449" s="341">
        <v>39</v>
      </c>
      <c r="C449" s="309">
        <v>46086</v>
      </c>
      <c r="D449" s="310" t="s">
        <v>292</v>
      </c>
      <c r="E449" s="342"/>
      <c r="F449" s="342">
        <v>2763.78</v>
      </c>
      <c r="G449" s="344">
        <f t="shared" si="4"/>
        <v>4837.6599999999889</v>
      </c>
      <c r="H449" s="345"/>
      <c r="I449" s="346"/>
      <c r="J449" s="347"/>
      <c r="K449" s="312"/>
      <c r="L449" s="347"/>
      <c r="M449" s="312"/>
      <c r="N449" s="347"/>
      <c r="O449" s="312"/>
      <c r="P449" s="347"/>
      <c r="Q449" s="312"/>
      <c r="R449" s="347"/>
      <c r="S449" s="312"/>
      <c r="T449" s="347"/>
    </row>
    <row r="450" spans="1:20" ht="12" customHeight="1" x14ac:dyDescent="0.3">
      <c r="A450" s="340" t="s">
        <v>289</v>
      </c>
      <c r="B450" s="341">
        <v>4</v>
      </c>
      <c r="C450" s="309">
        <v>46086</v>
      </c>
      <c r="D450" s="310" t="s">
        <v>295</v>
      </c>
      <c r="E450" s="342">
        <v>31.52</v>
      </c>
      <c r="F450" s="342"/>
      <c r="G450" s="344">
        <f t="shared" si="4"/>
        <v>2073.8799999999892</v>
      </c>
      <c r="H450" s="345"/>
      <c r="I450" s="346"/>
      <c r="J450" s="347"/>
      <c r="K450" s="312"/>
      <c r="L450" s="347"/>
      <c r="M450" s="312"/>
      <c r="N450" s="347"/>
      <c r="O450" s="312"/>
      <c r="P450" s="347"/>
      <c r="Q450" s="312"/>
      <c r="R450" s="347"/>
      <c r="S450" s="312"/>
      <c r="T450" s="347"/>
    </row>
    <row r="451" spans="1:20" ht="12" customHeight="1" x14ac:dyDescent="0.3">
      <c r="A451" s="340" t="s">
        <v>289</v>
      </c>
      <c r="B451" s="341">
        <v>2</v>
      </c>
      <c r="C451" s="309">
        <v>46086</v>
      </c>
      <c r="D451" s="310" t="s">
        <v>362</v>
      </c>
      <c r="E451" s="342">
        <v>14.86</v>
      </c>
      <c r="F451" s="342"/>
      <c r="G451" s="344">
        <f t="shared" si="4"/>
        <v>2105.3999999999892</v>
      </c>
      <c r="H451" s="345"/>
      <c r="I451" s="346"/>
      <c r="J451" s="347"/>
      <c r="K451" s="312"/>
      <c r="L451" s="347"/>
      <c r="M451" s="312"/>
      <c r="N451" s="347"/>
      <c r="O451" s="312"/>
      <c r="P451" s="347"/>
      <c r="Q451" s="312"/>
      <c r="R451" s="347"/>
      <c r="S451" s="312"/>
      <c r="T451" s="347"/>
    </row>
    <row r="452" spans="1:20" ht="12" customHeight="1" x14ac:dyDescent="0.3">
      <c r="A452" s="340" t="s">
        <v>289</v>
      </c>
      <c r="B452" s="341">
        <v>8</v>
      </c>
      <c r="C452" s="309">
        <v>46086</v>
      </c>
      <c r="D452" s="310" t="s">
        <v>416</v>
      </c>
      <c r="E452" s="342">
        <v>44.99</v>
      </c>
      <c r="F452" s="342"/>
      <c r="G452" s="344">
        <f t="shared" si="4"/>
        <v>2120.2599999999893</v>
      </c>
      <c r="H452" s="345"/>
      <c r="I452" s="346"/>
      <c r="J452" s="347"/>
      <c r="K452" s="312"/>
      <c r="L452" s="347"/>
      <c r="M452" s="312"/>
      <c r="N452" s="347"/>
      <c r="O452" s="312"/>
      <c r="P452" s="347"/>
      <c r="Q452" s="312"/>
      <c r="R452" s="347"/>
      <c r="S452" s="312"/>
      <c r="T452" s="347"/>
    </row>
    <row r="453" spans="1:20" ht="12" customHeight="1" x14ac:dyDescent="0.3">
      <c r="A453" s="340" t="s">
        <v>289</v>
      </c>
      <c r="B453" s="341">
        <v>2</v>
      </c>
      <c r="C453" s="309">
        <v>46085</v>
      </c>
      <c r="D453" s="310" t="s">
        <v>428</v>
      </c>
      <c r="E453" s="342">
        <v>15</v>
      </c>
      <c r="F453" s="342"/>
      <c r="G453" s="344">
        <f t="shared" si="4"/>
        <v>2165.2499999999891</v>
      </c>
      <c r="H453" s="345"/>
      <c r="I453" s="346"/>
      <c r="J453" s="347"/>
      <c r="K453" s="312"/>
      <c r="L453" s="347"/>
      <c r="M453" s="312"/>
      <c r="N453" s="347"/>
      <c r="O453" s="312"/>
      <c r="P453" s="347"/>
      <c r="Q453" s="312"/>
      <c r="R453" s="347"/>
      <c r="S453" s="312"/>
      <c r="T453" s="347"/>
    </row>
    <row r="454" spans="1:20" ht="12" customHeight="1" x14ac:dyDescent="0.3">
      <c r="A454" s="340" t="s">
        <v>289</v>
      </c>
      <c r="B454" s="341">
        <v>2</v>
      </c>
      <c r="C454" s="309">
        <v>46085</v>
      </c>
      <c r="D454" s="310" t="s">
        <v>296</v>
      </c>
      <c r="E454" s="342">
        <v>10.84</v>
      </c>
      <c r="F454" s="342"/>
      <c r="G454" s="344">
        <f t="shared" si="4"/>
        <v>2180.2499999999891</v>
      </c>
      <c r="H454" s="345"/>
      <c r="I454" s="346"/>
      <c r="J454" s="347"/>
      <c r="K454" s="312"/>
      <c r="L454" s="347"/>
      <c r="M454" s="312"/>
      <c r="N454" s="347"/>
      <c r="O454" s="312"/>
      <c r="P454" s="347"/>
      <c r="Q454" s="312"/>
      <c r="R454" s="347"/>
      <c r="S454" s="312"/>
      <c r="T454" s="347"/>
    </row>
    <row r="455" spans="1:20" ht="12" customHeight="1" x14ac:dyDescent="0.3">
      <c r="A455" s="340" t="s">
        <v>294</v>
      </c>
      <c r="B455" s="341">
        <v>14</v>
      </c>
      <c r="C455" s="309">
        <v>46085</v>
      </c>
      <c r="D455" s="310" t="s">
        <v>371</v>
      </c>
      <c r="E455" s="342">
        <v>68.739999999999995</v>
      </c>
      <c r="F455" s="342"/>
      <c r="G455" s="344">
        <f t="shared" si="4"/>
        <v>2191.0899999999892</v>
      </c>
      <c r="H455" s="345"/>
      <c r="I455" s="346"/>
      <c r="J455" s="347"/>
      <c r="K455" s="312"/>
      <c r="L455" s="347"/>
      <c r="M455" s="312"/>
      <c r="N455" s="347"/>
      <c r="O455" s="312"/>
      <c r="P455" s="347"/>
      <c r="Q455" s="312"/>
      <c r="R455" s="347"/>
      <c r="S455" s="312"/>
      <c r="T455" s="347"/>
    </row>
    <row r="456" spans="1:20" ht="12" customHeight="1" x14ac:dyDescent="0.3">
      <c r="A456" s="340" t="s">
        <v>289</v>
      </c>
      <c r="B456" s="341">
        <v>4</v>
      </c>
      <c r="C456" s="309">
        <v>46085</v>
      </c>
      <c r="D456" s="310" t="s">
        <v>311</v>
      </c>
      <c r="E456" s="342">
        <v>30.67</v>
      </c>
      <c r="F456" s="342"/>
      <c r="G456" s="344">
        <f t="shared" si="4"/>
        <v>2259.829999999989</v>
      </c>
      <c r="H456" s="345"/>
      <c r="I456" s="346"/>
      <c r="J456" s="347"/>
      <c r="K456" s="312"/>
      <c r="L456" s="347"/>
      <c r="M456" s="312"/>
      <c r="N456" s="347"/>
      <c r="O456" s="312"/>
      <c r="P456" s="347"/>
      <c r="Q456" s="312"/>
      <c r="R456" s="347"/>
      <c r="S456" s="312"/>
      <c r="T456" s="347"/>
    </row>
    <row r="457" spans="1:20" ht="12" customHeight="1" x14ac:dyDescent="0.3">
      <c r="A457" s="340" t="s">
        <v>294</v>
      </c>
      <c r="B457" s="341">
        <v>17</v>
      </c>
      <c r="C457" s="309">
        <v>46085</v>
      </c>
      <c r="D457" s="310" t="s">
        <v>374</v>
      </c>
      <c r="E457" s="342">
        <v>99</v>
      </c>
      <c r="F457" s="342"/>
      <c r="G457" s="344">
        <f t="shared" si="4"/>
        <v>2290.4999999999891</v>
      </c>
      <c r="H457" s="345"/>
      <c r="I457" s="346"/>
      <c r="J457" s="347"/>
      <c r="K457" s="312"/>
      <c r="L457" s="347"/>
      <c r="M457" s="312"/>
      <c r="N457" s="347"/>
      <c r="O457" s="312"/>
      <c r="P457" s="347"/>
      <c r="Q457" s="312"/>
      <c r="R457" s="347"/>
      <c r="S457" s="312"/>
      <c r="T457" s="347"/>
    </row>
    <row r="458" spans="1:20" ht="12" customHeight="1" x14ac:dyDescent="0.3">
      <c r="A458" s="340" t="s">
        <v>294</v>
      </c>
      <c r="B458" s="341">
        <v>21</v>
      </c>
      <c r="C458" s="309">
        <v>46084</v>
      </c>
      <c r="D458" s="310" t="s">
        <v>194</v>
      </c>
      <c r="E458" s="342">
        <v>40.72</v>
      </c>
      <c r="F458" s="342"/>
      <c r="G458" s="344">
        <f t="shared" si="4"/>
        <v>2389.4999999999891</v>
      </c>
      <c r="H458" s="345"/>
      <c r="I458" s="346"/>
      <c r="J458" s="347"/>
      <c r="K458" s="312"/>
      <c r="L458" s="347"/>
      <c r="M458" s="312"/>
      <c r="N458" s="347"/>
      <c r="O458" s="312"/>
      <c r="P458" s="347"/>
      <c r="Q458" s="312"/>
      <c r="R458" s="347"/>
      <c r="S458" s="312"/>
      <c r="T458" s="347"/>
    </row>
    <row r="459" spans="1:20" ht="12" customHeight="1" x14ac:dyDescent="0.3">
      <c r="A459" s="340" t="s">
        <v>284</v>
      </c>
      <c r="B459" s="341">
        <v>36</v>
      </c>
      <c r="C459" s="309">
        <v>46084</v>
      </c>
      <c r="D459" s="310" t="s">
        <v>378</v>
      </c>
      <c r="E459" s="342">
        <v>50</v>
      </c>
      <c r="F459" s="342"/>
      <c r="G459" s="344">
        <f t="shared" si="4"/>
        <v>2430.2199999999889</v>
      </c>
      <c r="H459" s="345"/>
      <c r="I459" s="346"/>
      <c r="J459" s="347"/>
      <c r="K459" s="312"/>
      <c r="L459" s="347"/>
      <c r="M459" s="312"/>
      <c r="N459" s="347"/>
      <c r="O459" s="312"/>
      <c r="P459" s="347"/>
      <c r="Q459" s="312"/>
      <c r="R459" s="347"/>
      <c r="S459" s="312"/>
      <c r="T459" s="347"/>
    </row>
    <row r="460" spans="1:20" ht="12" customHeight="1" x14ac:dyDescent="0.3">
      <c r="A460" s="340" t="s">
        <v>289</v>
      </c>
      <c r="B460" s="341">
        <v>2</v>
      </c>
      <c r="C460" s="309">
        <v>46084</v>
      </c>
      <c r="D460" s="310" t="s">
        <v>296</v>
      </c>
      <c r="E460" s="342">
        <v>14.67</v>
      </c>
      <c r="F460" s="342"/>
      <c r="G460" s="344">
        <f t="shared" si="4"/>
        <v>2480.2199999999889</v>
      </c>
      <c r="H460" s="345"/>
      <c r="I460" s="346"/>
      <c r="J460" s="347"/>
      <c r="K460" s="312"/>
      <c r="L460" s="347"/>
      <c r="M460" s="312"/>
      <c r="N460" s="347"/>
      <c r="O460" s="312"/>
      <c r="P460" s="347"/>
      <c r="Q460" s="312"/>
      <c r="R460" s="347"/>
      <c r="S460" s="312"/>
      <c r="T460" s="347"/>
    </row>
    <row r="461" spans="1:20" ht="12" customHeight="1" x14ac:dyDescent="0.3">
      <c r="A461" s="340" t="s">
        <v>289</v>
      </c>
      <c r="B461" s="341">
        <v>4</v>
      </c>
      <c r="C461" s="309">
        <v>46084</v>
      </c>
      <c r="D461" s="310" t="s">
        <v>296</v>
      </c>
      <c r="E461" s="342">
        <v>27.42</v>
      </c>
      <c r="F461" s="342"/>
      <c r="G461" s="344">
        <f t="shared" si="4"/>
        <v>2494.889999999989</v>
      </c>
      <c r="H461" s="345"/>
      <c r="I461" s="346"/>
      <c r="J461" s="347"/>
      <c r="K461" s="312"/>
      <c r="L461" s="347"/>
      <c r="M461" s="312"/>
      <c r="N461" s="347"/>
      <c r="O461" s="312"/>
      <c r="P461" s="347"/>
      <c r="Q461" s="312"/>
      <c r="R461" s="347"/>
      <c r="S461" s="312"/>
      <c r="T461" s="347"/>
    </row>
    <row r="462" spans="1:20" ht="12" customHeight="1" x14ac:dyDescent="0.3">
      <c r="A462" s="340" t="s">
        <v>289</v>
      </c>
      <c r="B462" s="341">
        <v>6</v>
      </c>
      <c r="C462" s="309">
        <v>46084</v>
      </c>
      <c r="D462" s="310" t="s">
        <v>429</v>
      </c>
      <c r="E462" s="342">
        <v>106.27</v>
      </c>
      <c r="F462" s="342"/>
      <c r="G462" s="344">
        <f t="shared" si="4"/>
        <v>2522.309999999989</v>
      </c>
      <c r="H462" s="345"/>
      <c r="I462" s="346"/>
      <c r="J462" s="347"/>
      <c r="K462" s="312"/>
      <c r="L462" s="347"/>
      <c r="M462" s="312"/>
      <c r="N462" s="347"/>
      <c r="O462" s="312"/>
      <c r="P462" s="347"/>
      <c r="Q462" s="312"/>
      <c r="R462" s="347"/>
      <c r="S462" s="312"/>
      <c r="T462" s="347"/>
    </row>
    <row r="463" spans="1:20" ht="12" customHeight="1" x14ac:dyDescent="0.3">
      <c r="A463" s="340" t="s">
        <v>289</v>
      </c>
      <c r="B463" s="341">
        <v>6</v>
      </c>
      <c r="C463" s="309">
        <v>46084</v>
      </c>
      <c r="D463" s="310" t="s">
        <v>429</v>
      </c>
      <c r="E463" s="342">
        <v>-107</v>
      </c>
      <c r="F463" s="342"/>
      <c r="G463" s="344">
        <f t="shared" si="4"/>
        <v>2628.579999999989</v>
      </c>
      <c r="H463" s="345" t="s">
        <v>298</v>
      </c>
      <c r="I463" s="346"/>
      <c r="J463" s="347"/>
      <c r="K463" s="312"/>
      <c r="L463" s="347"/>
      <c r="M463" s="312"/>
      <c r="N463" s="347"/>
      <c r="O463" s="312"/>
      <c r="P463" s="347"/>
      <c r="Q463" s="312"/>
      <c r="R463" s="347"/>
      <c r="S463" s="312"/>
      <c r="T463" s="347"/>
    </row>
    <row r="464" spans="1:20" ht="12" customHeight="1" x14ac:dyDescent="0.3">
      <c r="A464" s="340" t="s">
        <v>289</v>
      </c>
      <c r="B464" s="341">
        <v>2</v>
      </c>
      <c r="C464" s="309">
        <v>46083</v>
      </c>
      <c r="D464" s="310" t="s">
        <v>301</v>
      </c>
      <c r="E464" s="342">
        <v>20</v>
      </c>
      <c r="F464" s="342"/>
      <c r="G464" s="344">
        <f t="shared" si="4"/>
        <v>2521.579999999989</v>
      </c>
      <c r="H464" s="345"/>
      <c r="I464" s="346"/>
      <c r="J464" s="347"/>
      <c r="K464" s="312"/>
      <c r="L464" s="347"/>
      <c r="M464" s="312"/>
      <c r="N464" s="347"/>
      <c r="O464" s="312"/>
      <c r="P464" s="347"/>
      <c r="Q464" s="312"/>
      <c r="R464" s="347"/>
      <c r="S464" s="312"/>
      <c r="T464" s="347"/>
    </row>
    <row r="465" spans="1:20" ht="12" customHeight="1" x14ac:dyDescent="0.3">
      <c r="A465" s="340" t="s">
        <v>287</v>
      </c>
      <c r="B465" s="341" t="s">
        <v>287</v>
      </c>
      <c r="C465" s="309">
        <v>46083</v>
      </c>
      <c r="D465" s="310" t="s">
        <v>430</v>
      </c>
      <c r="E465" s="342">
        <v>185.64</v>
      </c>
      <c r="F465" s="342">
        <v>185.64</v>
      </c>
      <c r="G465" s="344">
        <f t="shared" si="4"/>
        <v>2541.579999999989</v>
      </c>
      <c r="H465" s="345"/>
      <c r="I465" s="346"/>
      <c r="J465" s="347"/>
      <c r="K465" s="312"/>
      <c r="L465" s="347"/>
      <c r="M465" s="312"/>
      <c r="N465" s="347"/>
      <c r="O465" s="312"/>
      <c r="P465" s="347"/>
      <c r="Q465" s="312"/>
      <c r="R465" s="347"/>
      <c r="S465" s="312"/>
      <c r="T465" s="347"/>
    </row>
    <row r="466" spans="1:20" ht="12" customHeight="1" x14ac:dyDescent="0.3">
      <c r="A466" s="340" t="s">
        <v>289</v>
      </c>
      <c r="B466" s="341">
        <v>2</v>
      </c>
      <c r="C466" s="309">
        <v>46083</v>
      </c>
      <c r="D466" s="310" t="s">
        <v>431</v>
      </c>
      <c r="E466" s="342">
        <v>70.12</v>
      </c>
      <c r="F466" s="342"/>
      <c r="G466" s="344">
        <f t="shared" si="4"/>
        <v>2541.579999999989</v>
      </c>
      <c r="H466" s="345"/>
      <c r="I466" s="346"/>
      <c r="J466" s="347"/>
      <c r="K466" s="312"/>
      <c r="L466" s="347"/>
      <c r="M466" s="312"/>
      <c r="N466" s="347"/>
      <c r="O466" s="312"/>
      <c r="P466" s="347"/>
      <c r="Q466" s="312"/>
      <c r="R466" s="347"/>
      <c r="S466" s="312"/>
      <c r="T466" s="347"/>
    </row>
    <row r="467" spans="1:20" ht="12" customHeight="1" x14ac:dyDescent="0.3">
      <c r="A467" s="340" t="s">
        <v>294</v>
      </c>
      <c r="B467" s="341">
        <v>17</v>
      </c>
      <c r="C467" s="309">
        <v>46083</v>
      </c>
      <c r="D467" s="310" t="s">
        <v>188</v>
      </c>
      <c r="E467" s="342">
        <v>41.44</v>
      </c>
      <c r="F467" s="342"/>
      <c r="G467" s="344">
        <f t="shared" si="4"/>
        <v>2611.6999999999889</v>
      </c>
      <c r="H467" s="345"/>
      <c r="I467" s="346"/>
      <c r="J467" s="347"/>
      <c r="K467" s="312"/>
      <c r="L467" s="347"/>
      <c r="M467" s="312"/>
      <c r="N467" s="347"/>
      <c r="O467" s="312"/>
      <c r="P467" s="347"/>
      <c r="Q467" s="312"/>
      <c r="R467" s="347"/>
      <c r="S467" s="312"/>
      <c r="T467" s="347"/>
    </row>
    <row r="468" spans="1:20" ht="12" customHeight="1" x14ac:dyDescent="0.3">
      <c r="A468" s="340" t="s">
        <v>289</v>
      </c>
      <c r="B468" s="341">
        <v>8</v>
      </c>
      <c r="C468" s="309">
        <v>46083</v>
      </c>
      <c r="D468" s="310" t="s">
        <v>296</v>
      </c>
      <c r="E468" s="342">
        <v>8.7200000000000006</v>
      </c>
      <c r="F468" s="342"/>
      <c r="G468" s="344">
        <f t="shared" si="4"/>
        <v>2653.139999999989</v>
      </c>
      <c r="H468" s="345"/>
      <c r="I468" s="346"/>
      <c r="J468" s="347"/>
      <c r="K468" s="312"/>
      <c r="L468" s="347"/>
      <c r="M468" s="312"/>
      <c r="N468" s="347"/>
      <c r="O468" s="312"/>
      <c r="P468" s="347"/>
      <c r="Q468" s="312"/>
      <c r="R468" s="347"/>
      <c r="S468" s="312"/>
      <c r="T468" s="347"/>
    </row>
    <row r="469" spans="1:20" ht="12" customHeight="1" x14ac:dyDescent="0.3">
      <c r="A469" s="340" t="s">
        <v>294</v>
      </c>
      <c r="B469" s="341">
        <v>22</v>
      </c>
      <c r="C469" s="309">
        <v>46082</v>
      </c>
      <c r="D469" s="310" t="s">
        <v>379</v>
      </c>
      <c r="E469" s="342">
        <v>6.37</v>
      </c>
      <c r="F469" s="342"/>
      <c r="G469" s="344">
        <f t="shared" si="4"/>
        <v>2661.8599999999888</v>
      </c>
      <c r="H469" s="345"/>
      <c r="I469" s="346"/>
      <c r="J469" s="347"/>
      <c r="K469" s="312"/>
      <c r="L469" s="347"/>
      <c r="M469" s="312"/>
      <c r="N469" s="347"/>
      <c r="O469" s="312"/>
      <c r="P469" s="347"/>
      <c r="Q469" s="312"/>
      <c r="R469" s="347"/>
      <c r="S469" s="312"/>
      <c r="T469" s="347"/>
    </row>
    <row r="470" spans="1:20" ht="12" customHeight="1" x14ac:dyDescent="0.3">
      <c r="A470" s="340" t="s">
        <v>289</v>
      </c>
      <c r="B470" s="341">
        <v>2</v>
      </c>
      <c r="C470" s="309">
        <v>46082</v>
      </c>
      <c r="D470" s="310" t="s">
        <v>296</v>
      </c>
      <c r="E470" s="342">
        <v>9.8699999999999992</v>
      </c>
      <c r="F470" s="342"/>
      <c r="G470" s="344">
        <f t="shared" si="4"/>
        <v>2668.2299999999886</v>
      </c>
      <c r="H470" s="345"/>
      <c r="I470" s="346"/>
      <c r="J470" s="347"/>
      <c r="K470" s="312"/>
      <c r="L470" s="347"/>
      <c r="M470" s="312"/>
      <c r="N470" s="347"/>
      <c r="O470" s="312"/>
      <c r="P470" s="347"/>
      <c r="Q470" s="312"/>
      <c r="R470" s="347"/>
      <c r="S470" s="312"/>
      <c r="T470" s="347"/>
    </row>
    <row r="471" spans="1:20" ht="12" customHeight="1" x14ac:dyDescent="0.3">
      <c r="A471" s="340" t="s">
        <v>289</v>
      </c>
      <c r="B471" s="341">
        <v>1</v>
      </c>
      <c r="C471" s="309">
        <v>46082</v>
      </c>
      <c r="D471" s="310" t="s">
        <v>312</v>
      </c>
      <c r="E471" s="342">
        <v>119.55</v>
      </c>
      <c r="F471" s="342"/>
      <c r="G471" s="344">
        <f t="shared" si="4"/>
        <v>2678.0999999999885</v>
      </c>
      <c r="H471" s="345"/>
      <c r="I471" s="346"/>
      <c r="J471" s="347"/>
      <c r="K471" s="312"/>
      <c r="L471" s="347"/>
      <c r="M471" s="312"/>
      <c r="N471" s="347"/>
      <c r="O471" s="312"/>
      <c r="P471" s="347"/>
      <c r="Q471" s="312"/>
      <c r="R471" s="347"/>
      <c r="S471" s="312"/>
      <c r="T471" s="347"/>
    </row>
    <row r="472" spans="1:20" ht="12" customHeight="1" x14ac:dyDescent="0.3">
      <c r="A472" s="340" t="s">
        <v>289</v>
      </c>
      <c r="B472" s="341">
        <v>3</v>
      </c>
      <c r="C472" s="309">
        <v>46082</v>
      </c>
      <c r="D472" s="310" t="s">
        <v>352</v>
      </c>
      <c r="E472" s="342">
        <v>25</v>
      </c>
      <c r="F472" s="342"/>
      <c r="G472" s="344">
        <f t="shared" si="4"/>
        <v>2797.6499999999887</v>
      </c>
      <c r="H472" s="345"/>
      <c r="I472" s="346"/>
      <c r="J472" s="347"/>
      <c r="K472" s="312"/>
      <c r="L472" s="347"/>
      <c r="M472" s="312"/>
      <c r="N472" s="347"/>
      <c r="O472" s="312"/>
      <c r="P472" s="347"/>
      <c r="Q472" s="312"/>
      <c r="R472" s="347"/>
      <c r="S472" s="312"/>
      <c r="T472" s="347"/>
    </row>
    <row r="473" spans="1:20" ht="12" customHeight="1" x14ac:dyDescent="0.3">
      <c r="A473" s="340" t="s">
        <v>289</v>
      </c>
      <c r="B473" s="341">
        <v>1</v>
      </c>
      <c r="C473" s="309">
        <v>46082</v>
      </c>
      <c r="D473" s="310" t="s">
        <v>304</v>
      </c>
      <c r="E473" s="342">
        <v>119.17</v>
      </c>
      <c r="F473" s="342"/>
      <c r="G473" s="344">
        <f t="shared" si="4"/>
        <v>2822.6499999999887</v>
      </c>
      <c r="H473" s="345"/>
      <c r="I473" s="346"/>
      <c r="J473" s="347"/>
      <c r="K473" s="312"/>
      <c r="L473" s="347"/>
      <c r="M473" s="312"/>
      <c r="N473" s="347"/>
      <c r="O473" s="312"/>
      <c r="P473" s="347"/>
      <c r="Q473" s="312"/>
      <c r="R473" s="347"/>
      <c r="S473" s="312"/>
      <c r="T473" s="347"/>
    </row>
    <row r="474" spans="1:20" ht="12" customHeight="1" x14ac:dyDescent="0.3">
      <c r="A474" s="340" t="s">
        <v>284</v>
      </c>
      <c r="B474" s="341">
        <v>37</v>
      </c>
      <c r="C474" s="309">
        <v>46081</v>
      </c>
      <c r="D474" s="310" t="s">
        <v>432</v>
      </c>
      <c r="E474" s="342">
        <v>3764.91</v>
      </c>
      <c r="F474" s="342"/>
      <c r="G474" s="344">
        <f t="shared" si="4"/>
        <v>2941.8199999999888</v>
      </c>
      <c r="H474" s="345"/>
      <c r="I474" s="346"/>
      <c r="J474" s="347"/>
      <c r="K474" s="312"/>
      <c r="L474" s="347"/>
      <c r="M474" s="312"/>
      <c r="N474" s="347"/>
      <c r="O474" s="312"/>
      <c r="P474" s="347"/>
      <c r="Q474" s="312"/>
      <c r="R474" s="347"/>
      <c r="S474" s="312"/>
      <c r="T474" s="347"/>
    </row>
    <row r="475" spans="1:20" ht="12" customHeight="1" x14ac:dyDescent="0.3">
      <c r="A475" s="340" t="s">
        <v>286</v>
      </c>
      <c r="B475" s="341">
        <v>25</v>
      </c>
      <c r="C475" s="309">
        <v>46081</v>
      </c>
      <c r="D475" s="309" t="s">
        <v>204</v>
      </c>
      <c r="E475" s="342">
        <v>350</v>
      </c>
      <c r="F475" s="342"/>
      <c r="G475" s="344">
        <f t="shared" si="4"/>
        <v>6706.7299999999886</v>
      </c>
      <c r="H475" s="345"/>
      <c r="I475" s="346"/>
      <c r="J475" s="347"/>
      <c r="K475" s="312"/>
      <c r="L475" s="347"/>
      <c r="M475" s="312"/>
      <c r="N475" s="347"/>
      <c r="O475" s="312"/>
      <c r="P475" s="347"/>
      <c r="Q475" s="312"/>
      <c r="R475" s="347"/>
      <c r="S475" s="312"/>
      <c r="T475" s="347"/>
    </row>
    <row r="476" spans="1:20" ht="12" customHeight="1" x14ac:dyDescent="0.3">
      <c r="A476" s="340" t="s">
        <v>286</v>
      </c>
      <c r="B476" s="341">
        <v>26</v>
      </c>
      <c r="C476" s="309">
        <v>46081</v>
      </c>
      <c r="D476" s="309" t="s">
        <v>205</v>
      </c>
      <c r="E476" s="342">
        <v>320</v>
      </c>
      <c r="F476" s="342"/>
      <c r="G476" s="344">
        <f t="shared" si="4"/>
        <v>7056.7299999999886</v>
      </c>
      <c r="H476" s="345"/>
      <c r="I476" s="346"/>
      <c r="J476" s="347"/>
      <c r="K476" s="312"/>
      <c r="L476" s="347"/>
      <c r="M476" s="312"/>
      <c r="N476" s="347"/>
      <c r="O476" s="312"/>
      <c r="P476" s="347"/>
      <c r="Q476" s="312"/>
      <c r="R476" s="347"/>
      <c r="S476" s="312"/>
      <c r="T476" s="347"/>
    </row>
    <row r="477" spans="1:20" ht="12" customHeight="1" x14ac:dyDescent="0.3">
      <c r="A477" s="340" t="s">
        <v>286</v>
      </c>
      <c r="B477" s="341">
        <v>27</v>
      </c>
      <c r="C477" s="309">
        <v>46081</v>
      </c>
      <c r="D477" s="309" t="s">
        <v>206</v>
      </c>
      <c r="E477" s="342">
        <v>25</v>
      </c>
      <c r="F477" s="342"/>
      <c r="G477" s="344">
        <f t="shared" si="4"/>
        <v>7376.7299999999886</v>
      </c>
      <c r="H477" s="345"/>
      <c r="I477" s="346"/>
      <c r="J477" s="347"/>
      <c r="K477" s="312"/>
      <c r="L477" s="347"/>
      <c r="M477" s="312"/>
      <c r="N477" s="347"/>
      <c r="O477" s="312"/>
      <c r="P477" s="347"/>
      <c r="Q477" s="312"/>
      <c r="R477" s="347"/>
      <c r="S477" s="312"/>
      <c r="T477" s="347"/>
    </row>
    <row r="478" spans="1:20" ht="12" customHeight="1" x14ac:dyDescent="0.3">
      <c r="A478" s="340" t="s">
        <v>286</v>
      </c>
      <c r="B478" s="341">
        <v>28</v>
      </c>
      <c r="C478" s="309">
        <v>46081</v>
      </c>
      <c r="D478" s="309" t="s">
        <v>207</v>
      </c>
      <c r="E478" s="342">
        <v>25</v>
      </c>
      <c r="F478" s="342"/>
      <c r="G478" s="344">
        <f t="shared" si="4"/>
        <v>7401.7299999999886</v>
      </c>
      <c r="H478" s="345"/>
      <c r="I478" s="346"/>
      <c r="J478" s="347"/>
      <c r="K478" s="312"/>
      <c r="L478" s="347"/>
      <c r="M478" s="312"/>
      <c r="N478" s="347"/>
      <c r="O478" s="312"/>
      <c r="P478" s="347"/>
      <c r="Q478" s="312"/>
      <c r="R478" s="347"/>
      <c r="S478" s="312"/>
      <c r="T478" s="347"/>
    </row>
    <row r="479" spans="1:20" ht="12" customHeight="1" x14ac:dyDescent="0.3">
      <c r="A479" s="340" t="s">
        <v>286</v>
      </c>
      <c r="B479" s="341">
        <v>29</v>
      </c>
      <c r="C479" s="309">
        <v>46081</v>
      </c>
      <c r="D479" s="309" t="s">
        <v>208</v>
      </c>
      <c r="E479" s="342">
        <v>45</v>
      </c>
      <c r="F479" s="342"/>
      <c r="G479" s="344">
        <f t="shared" si="4"/>
        <v>7426.7299999999886</v>
      </c>
      <c r="H479" s="345"/>
      <c r="I479" s="346"/>
      <c r="J479" s="347"/>
      <c r="K479" s="312"/>
      <c r="L479" s="347"/>
      <c r="M479" s="312"/>
      <c r="N479" s="347"/>
      <c r="O479" s="312"/>
      <c r="P479" s="347"/>
      <c r="Q479" s="312"/>
      <c r="R479" s="347"/>
      <c r="S479" s="312"/>
      <c r="T479" s="347"/>
    </row>
    <row r="480" spans="1:20" ht="12" customHeight="1" x14ac:dyDescent="0.3">
      <c r="A480" s="340" t="s">
        <v>286</v>
      </c>
      <c r="B480" s="341">
        <v>30</v>
      </c>
      <c r="C480" s="309">
        <v>46081</v>
      </c>
      <c r="D480" s="309" t="s">
        <v>209</v>
      </c>
      <c r="E480" s="342">
        <v>400</v>
      </c>
      <c r="F480" s="342"/>
      <c r="G480" s="344">
        <f t="shared" si="4"/>
        <v>7471.7299999999886</v>
      </c>
      <c r="H480" s="345"/>
      <c r="I480" s="346"/>
      <c r="J480" s="347"/>
      <c r="K480" s="312"/>
      <c r="L480" s="347"/>
      <c r="M480" s="312"/>
      <c r="N480" s="347"/>
      <c r="O480" s="312"/>
      <c r="P480" s="347"/>
      <c r="Q480" s="312"/>
      <c r="R480" s="347"/>
      <c r="S480" s="312"/>
      <c r="T480" s="347"/>
    </row>
    <row r="481" spans="1:20" ht="12" customHeight="1" x14ac:dyDescent="0.3">
      <c r="A481" s="340" t="s">
        <v>286</v>
      </c>
      <c r="B481" s="341">
        <v>31</v>
      </c>
      <c r="C481" s="309">
        <v>46081</v>
      </c>
      <c r="D481" s="309" t="s">
        <v>210</v>
      </c>
      <c r="E481" s="342">
        <v>375</v>
      </c>
      <c r="F481" s="342"/>
      <c r="G481" s="344">
        <f t="shared" si="4"/>
        <v>7871.7299999999886</v>
      </c>
      <c r="H481" s="345"/>
      <c r="I481" s="346"/>
      <c r="J481" s="347"/>
      <c r="K481" s="312"/>
      <c r="L481" s="347"/>
      <c r="M481" s="312"/>
      <c r="N481" s="347"/>
      <c r="O481" s="312"/>
      <c r="P481" s="347"/>
      <c r="Q481" s="312"/>
      <c r="R481" s="347"/>
      <c r="S481" s="312"/>
      <c r="T481" s="347"/>
    </row>
    <row r="482" spans="1:20" ht="12" customHeight="1" x14ac:dyDescent="0.3">
      <c r="A482" s="340" t="s">
        <v>286</v>
      </c>
      <c r="B482" s="341">
        <v>32</v>
      </c>
      <c r="C482" s="309">
        <v>46081</v>
      </c>
      <c r="D482" s="309" t="s">
        <v>211</v>
      </c>
      <c r="E482" s="342">
        <v>100</v>
      </c>
      <c r="F482" s="342"/>
      <c r="G482" s="344">
        <f t="shared" si="4"/>
        <v>8246.7299999999886</v>
      </c>
      <c r="H482" s="345"/>
      <c r="I482" s="346"/>
      <c r="J482" s="347"/>
      <c r="K482" s="312"/>
      <c r="L482" s="347"/>
      <c r="M482" s="312"/>
      <c r="N482" s="347"/>
      <c r="O482" s="312"/>
      <c r="P482" s="347"/>
      <c r="Q482" s="312"/>
      <c r="R482" s="347"/>
      <c r="S482" s="312"/>
      <c r="T482" s="347"/>
    </row>
    <row r="483" spans="1:20" ht="12" customHeight="1" x14ac:dyDescent="0.3">
      <c r="A483" s="340" t="s">
        <v>286</v>
      </c>
      <c r="B483" s="341">
        <v>33</v>
      </c>
      <c r="C483" s="309">
        <v>46081</v>
      </c>
      <c r="D483" s="309" t="s">
        <v>212</v>
      </c>
      <c r="E483" s="342">
        <v>85</v>
      </c>
      <c r="F483" s="342"/>
      <c r="G483" s="344">
        <f t="shared" si="4"/>
        <v>8346.7299999999886</v>
      </c>
      <c r="H483" s="345"/>
      <c r="I483" s="346"/>
      <c r="J483" s="347"/>
      <c r="K483" s="312"/>
      <c r="L483" s="347"/>
      <c r="M483" s="312"/>
      <c r="N483" s="347"/>
      <c r="O483" s="312"/>
      <c r="P483" s="347"/>
      <c r="Q483" s="312"/>
      <c r="R483" s="347"/>
      <c r="S483" s="312"/>
      <c r="T483" s="347"/>
    </row>
    <row r="484" spans="1:20" ht="12" customHeight="1" x14ac:dyDescent="0.3">
      <c r="A484" s="340" t="s">
        <v>286</v>
      </c>
      <c r="B484" s="341">
        <v>34</v>
      </c>
      <c r="C484" s="309">
        <v>46081</v>
      </c>
      <c r="D484" s="309" t="s">
        <v>213</v>
      </c>
      <c r="E484" s="342">
        <v>230</v>
      </c>
      <c r="F484" s="342"/>
      <c r="G484" s="344">
        <f t="shared" si="4"/>
        <v>8431.7299999999886</v>
      </c>
      <c r="H484" s="345"/>
      <c r="I484" s="346"/>
      <c r="J484" s="347"/>
      <c r="K484" s="312"/>
      <c r="L484" s="347"/>
      <c r="M484" s="312"/>
      <c r="N484" s="347"/>
      <c r="O484" s="312"/>
      <c r="P484" s="347"/>
      <c r="Q484" s="312"/>
      <c r="R484" s="347"/>
      <c r="S484" s="312"/>
      <c r="T484" s="347"/>
    </row>
    <row r="485" spans="1:20" ht="12" customHeight="1" x14ac:dyDescent="0.3">
      <c r="A485" s="340" t="s">
        <v>286</v>
      </c>
      <c r="B485" s="341">
        <v>35</v>
      </c>
      <c r="C485" s="309">
        <v>46081</v>
      </c>
      <c r="D485" s="309" t="s">
        <v>214</v>
      </c>
      <c r="E485" s="342">
        <v>45</v>
      </c>
      <c r="F485" s="342"/>
      <c r="G485" s="344">
        <f t="shared" si="4"/>
        <v>8661.7299999999886</v>
      </c>
      <c r="H485" s="345"/>
      <c r="I485" s="346"/>
      <c r="J485" s="347"/>
      <c r="K485" s="312"/>
      <c r="L485" s="347"/>
      <c r="M485" s="312"/>
      <c r="N485" s="347"/>
      <c r="O485" s="312"/>
      <c r="P485" s="347"/>
      <c r="Q485" s="312"/>
      <c r="R485" s="347"/>
      <c r="S485" s="312"/>
      <c r="T485" s="347"/>
    </row>
    <row r="486" spans="1:20" ht="12" customHeight="1" x14ac:dyDescent="0.3">
      <c r="A486" s="340" t="s">
        <v>294</v>
      </c>
      <c r="B486" s="341">
        <v>42</v>
      </c>
      <c r="C486" s="309">
        <v>46081</v>
      </c>
      <c r="D486" s="309" t="s">
        <v>200</v>
      </c>
      <c r="E486" s="342">
        <v>51.19</v>
      </c>
      <c r="F486" s="342"/>
      <c r="G486" s="344">
        <f t="shared" si="4"/>
        <v>8706.7299999999886</v>
      </c>
      <c r="H486" s="345"/>
      <c r="I486" s="346"/>
      <c r="J486" s="347"/>
      <c r="K486" s="312"/>
      <c r="L486" s="347"/>
      <c r="M486" s="312"/>
      <c r="N486" s="347"/>
      <c r="O486" s="312"/>
      <c r="P486" s="347"/>
      <c r="Q486" s="312"/>
      <c r="R486" s="347"/>
      <c r="S486" s="312"/>
      <c r="T486" s="347"/>
    </row>
    <row r="487" spans="1:20" ht="12" customHeight="1" x14ac:dyDescent="0.3">
      <c r="A487" s="340" t="s">
        <v>294</v>
      </c>
      <c r="B487" s="341">
        <v>43</v>
      </c>
      <c r="C487" s="309">
        <v>46081</v>
      </c>
      <c r="D487" s="309" t="s">
        <v>201</v>
      </c>
      <c r="E487" s="342">
        <v>37.17</v>
      </c>
      <c r="F487" s="342"/>
      <c r="G487" s="344">
        <f t="shared" si="4"/>
        <v>8757.9199999999892</v>
      </c>
      <c r="H487" s="345"/>
      <c r="I487" s="346"/>
      <c r="J487" s="347"/>
      <c r="K487" s="312"/>
      <c r="L487" s="347"/>
      <c r="M487" s="312"/>
      <c r="N487" s="347"/>
      <c r="O487" s="312"/>
      <c r="P487" s="347"/>
      <c r="Q487" s="312"/>
      <c r="R487" s="347"/>
      <c r="S487" s="312"/>
      <c r="T487" s="347"/>
    </row>
    <row r="488" spans="1:20" ht="12" customHeight="1" x14ac:dyDescent="0.3">
      <c r="A488" s="340" t="s">
        <v>294</v>
      </c>
      <c r="B488" s="341">
        <v>10</v>
      </c>
      <c r="C488" s="309">
        <v>46081</v>
      </c>
      <c r="D488" s="309" t="s">
        <v>176</v>
      </c>
      <c r="E488" s="342">
        <v>17.899999999999999</v>
      </c>
      <c r="F488" s="342"/>
      <c r="G488" s="344">
        <f t="shared" si="4"/>
        <v>8795.0899999999892</v>
      </c>
      <c r="H488" s="345"/>
      <c r="I488" s="346"/>
      <c r="J488" s="347"/>
      <c r="K488" s="312"/>
      <c r="L488" s="347"/>
      <c r="M488" s="312"/>
      <c r="N488" s="347"/>
      <c r="O488" s="312"/>
      <c r="P488" s="347"/>
      <c r="Q488" s="312"/>
      <c r="R488" s="347"/>
      <c r="S488" s="312"/>
      <c r="T488" s="347"/>
    </row>
    <row r="489" spans="1:20" ht="12" customHeight="1" x14ac:dyDescent="0.3">
      <c r="A489" s="340" t="s">
        <v>289</v>
      </c>
      <c r="B489" s="341">
        <v>2</v>
      </c>
      <c r="C489" s="309">
        <v>46080</v>
      </c>
      <c r="D489" s="309" t="s">
        <v>362</v>
      </c>
      <c r="E489" s="342">
        <v>11.17</v>
      </c>
      <c r="F489" s="342"/>
      <c r="G489" s="344">
        <f t="shared" si="4"/>
        <v>8812.9899999999889</v>
      </c>
      <c r="H489" s="345"/>
      <c r="I489" s="346"/>
      <c r="J489" s="347"/>
      <c r="K489" s="312"/>
      <c r="L489" s="347"/>
      <c r="M489" s="312"/>
      <c r="N489" s="347"/>
      <c r="O489" s="312"/>
      <c r="P489" s="347"/>
      <c r="Q489" s="312"/>
      <c r="R489" s="347"/>
      <c r="S489" s="312"/>
      <c r="T489" s="347"/>
    </row>
    <row r="490" spans="1:20" ht="12" customHeight="1" x14ac:dyDescent="0.3">
      <c r="A490" s="340" t="s">
        <v>289</v>
      </c>
      <c r="B490" s="341">
        <v>2</v>
      </c>
      <c r="C490" s="309">
        <v>46080</v>
      </c>
      <c r="D490" s="310" t="s">
        <v>433</v>
      </c>
      <c r="E490" s="342">
        <v>25</v>
      </c>
      <c r="F490" s="342"/>
      <c r="G490" s="344">
        <f t="shared" si="4"/>
        <v>8824.1599999999889</v>
      </c>
      <c r="H490" s="345"/>
      <c r="I490" s="346"/>
      <c r="J490" s="347"/>
      <c r="K490" s="312"/>
      <c r="L490" s="347"/>
      <c r="M490" s="312"/>
      <c r="N490" s="347"/>
      <c r="O490" s="312"/>
      <c r="P490" s="347"/>
      <c r="Q490" s="312"/>
      <c r="R490" s="347"/>
      <c r="S490" s="312"/>
      <c r="T490" s="347"/>
    </row>
    <row r="491" spans="1:20" ht="12" customHeight="1" x14ac:dyDescent="0.3">
      <c r="A491" s="340" t="s">
        <v>289</v>
      </c>
      <c r="B491" s="341">
        <v>2</v>
      </c>
      <c r="C491" s="309">
        <v>46080</v>
      </c>
      <c r="D491" s="310" t="s">
        <v>362</v>
      </c>
      <c r="E491" s="342">
        <v>22.84</v>
      </c>
      <c r="F491" s="342"/>
      <c r="G491" s="344">
        <f t="shared" si="4"/>
        <v>8849.1599999999889</v>
      </c>
      <c r="H491" s="345"/>
      <c r="I491" s="346"/>
      <c r="J491" s="347"/>
      <c r="K491" s="312"/>
      <c r="L491" s="347"/>
      <c r="M491" s="312"/>
      <c r="N491" s="347"/>
      <c r="O491" s="312"/>
      <c r="P491" s="347"/>
      <c r="Q491" s="312"/>
      <c r="R491" s="347"/>
      <c r="S491" s="312"/>
      <c r="T491" s="347"/>
    </row>
    <row r="492" spans="1:20" ht="12" customHeight="1" x14ac:dyDescent="0.3">
      <c r="A492" s="340" t="s">
        <v>289</v>
      </c>
      <c r="B492" s="341">
        <v>6</v>
      </c>
      <c r="C492" s="309">
        <v>46080</v>
      </c>
      <c r="D492" s="310" t="s">
        <v>434</v>
      </c>
      <c r="E492" s="342">
        <v>-88</v>
      </c>
      <c r="F492" s="342"/>
      <c r="G492" s="344">
        <f t="shared" si="4"/>
        <v>8871.9999999999891</v>
      </c>
      <c r="H492" s="345"/>
      <c r="I492" s="346"/>
      <c r="J492" s="347"/>
      <c r="K492" s="312"/>
      <c r="L492" s="347"/>
      <c r="M492" s="312"/>
      <c r="N492" s="347"/>
      <c r="O492" s="312"/>
      <c r="P492" s="347"/>
      <c r="Q492" s="312"/>
      <c r="R492" s="347"/>
      <c r="S492" s="312"/>
      <c r="T492" s="347"/>
    </row>
    <row r="493" spans="1:20" ht="12" customHeight="1" x14ac:dyDescent="0.3">
      <c r="A493" s="340" t="s">
        <v>291</v>
      </c>
      <c r="B493" s="341">
        <v>38</v>
      </c>
      <c r="C493" s="309">
        <v>46080</v>
      </c>
      <c r="D493" s="310" t="s">
        <v>293</v>
      </c>
      <c r="E493" s="342"/>
      <c r="F493" s="342">
        <v>4278.1499999999996</v>
      </c>
      <c r="G493" s="344">
        <f t="shared" si="4"/>
        <v>8783.9999999999891</v>
      </c>
      <c r="H493" s="345"/>
      <c r="I493" s="346"/>
      <c r="J493" s="347"/>
      <c r="K493" s="312"/>
      <c r="L493" s="347"/>
      <c r="M493" s="312"/>
      <c r="N493" s="347"/>
      <c r="O493" s="312"/>
      <c r="P493" s="347"/>
      <c r="Q493" s="312"/>
      <c r="R493" s="347"/>
      <c r="S493" s="312"/>
      <c r="T493" s="347"/>
    </row>
    <row r="494" spans="1:20" ht="12" customHeight="1" x14ac:dyDescent="0.3">
      <c r="A494" s="340" t="s">
        <v>289</v>
      </c>
      <c r="B494" s="341">
        <v>6</v>
      </c>
      <c r="C494" s="309">
        <v>46080</v>
      </c>
      <c r="D494" s="310" t="s">
        <v>435</v>
      </c>
      <c r="E494" s="342">
        <v>25.93</v>
      </c>
      <c r="F494" s="342"/>
      <c r="G494" s="344">
        <f t="shared" si="4"/>
        <v>4505.8499999999904</v>
      </c>
      <c r="H494" s="345"/>
      <c r="I494" s="346"/>
      <c r="J494" s="347"/>
      <c r="K494" s="312"/>
      <c r="L494" s="347"/>
      <c r="M494" s="312"/>
      <c r="N494" s="347"/>
      <c r="O494" s="312"/>
      <c r="P494" s="347"/>
      <c r="Q494" s="312"/>
      <c r="R494" s="347"/>
      <c r="S494" s="312"/>
      <c r="T494" s="347"/>
    </row>
    <row r="495" spans="1:20" ht="12" customHeight="1" x14ac:dyDescent="0.3">
      <c r="A495" s="340" t="s">
        <v>289</v>
      </c>
      <c r="B495" s="341">
        <v>4</v>
      </c>
      <c r="C495" s="309">
        <v>46079</v>
      </c>
      <c r="D495" s="310" t="s">
        <v>311</v>
      </c>
      <c r="E495" s="342">
        <v>29.84</v>
      </c>
      <c r="F495" s="342"/>
      <c r="G495" s="344">
        <f t="shared" si="4"/>
        <v>4531.7799999999907</v>
      </c>
      <c r="H495" s="345"/>
      <c r="I495" s="346"/>
      <c r="J495" s="347"/>
      <c r="K495" s="312"/>
      <c r="L495" s="347"/>
      <c r="M495" s="312"/>
      <c r="N495" s="347"/>
      <c r="O495" s="312"/>
      <c r="P495" s="347"/>
      <c r="Q495" s="312"/>
      <c r="R495" s="347"/>
      <c r="S495" s="312"/>
      <c r="T495" s="347"/>
    </row>
    <row r="496" spans="1:20" ht="12" customHeight="1" x14ac:dyDescent="0.3">
      <c r="A496" s="340" t="s">
        <v>289</v>
      </c>
      <c r="B496" s="341">
        <v>5</v>
      </c>
      <c r="C496" s="309">
        <v>46079</v>
      </c>
      <c r="D496" s="310" t="s">
        <v>436</v>
      </c>
      <c r="E496" s="342">
        <v>103.25</v>
      </c>
      <c r="F496" s="342"/>
      <c r="G496" s="344">
        <f t="shared" si="4"/>
        <v>4561.6199999999908</v>
      </c>
      <c r="H496" s="345"/>
      <c r="I496" s="346"/>
      <c r="J496" s="347"/>
      <c r="K496" s="312"/>
      <c r="L496" s="347"/>
      <c r="M496" s="312"/>
      <c r="N496" s="347"/>
      <c r="O496" s="312"/>
      <c r="P496" s="347"/>
      <c r="Q496" s="312"/>
      <c r="R496" s="347"/>
      <c r="S496" s="312"/>
      <c r="T496" s="347"/>
    </row>
    <row r="497" spans="1:20" ht="12" customHeight="1" x14ac:dyDescent="0.3">
      <c r="A497" s="340" t="s">
        <v>289</v>
      </c>
      <c r="B497" s="341">
        <v>8</v>
      </c>
      <c r="C497" s="309">
        <v>46079</v>
      </c>
      <c r="D497" s="310" t="s">
        <v>361</v>
      </c>
      <c r="E497" s="342">
        <v>26.02</v>
      </c>
      <c r="F497" s="342"/>
      <c r="G497" s="344">
        <f t="shared" si="4"/>
        <v>4664.8699999999908</v>
      </c>
      <c r="H497" s="345"/>
      <c r="I497" s="346"/>
      <c r="J497" s="347"/>
      <c r="K497" s="312"/>
      <c r="L497" s="347"/>
      <c r="M497" s="312"/>
      <c r="N497" s="347"/>
      <c r="O497" s="312"/>
      <c r="P497" s="347"/>
      <c r="Q497" s="312"/>
      <c r="R497" s="347"/>
      <c r="S497" s="312"/>
      <c r="T497" s="347"/>
    </row>
    <row r="498" spans="1:20" ht="12" customHeight="1" x14ac:dyDescent="0.3">
      <c r="A498" s="340" t="s">
        <v>294</v>
      </c>
      <c r="B498" s="341">
        <v>24</v>
      </c>
      <c r="C498" s="309">
        <v>46079</v>
      </c>
      <c r="D498" s="310" t="s">
        <v>437</v>
      </c>
      <c r="E498" s="342">
        <v>84.83</v>
      </c>
      <c r="F498" s="342"/>
      <c r="G498" s="344">
        <f t="shared" si="4"/>
        <v>4690.8899999999912</v>
      </c>
      <c r="H498" s="345"/>
      <c r="I498" s="346"/>
      <c r="J498" s="347"/>
      <c r="K498" s="312"/>
      <c r="L498" s="347"/>
      <c r="M498" s="312"/>
      <c r="N498" s="347"/>
      <c r="O498" s="312"/>
      <c r="P498" s="347"/>
      <c r="Q498" s="312"/>
      <c r="R498" s="347"/>
      <c r="S498" s="312"/>
      <c r="T498" s="347"/>
    </row>
    <row r="499" spans="1:20" ht="12" customHeight="1" x14ac:dyDescent="0.3">
      <c r="A499" s="340" t="s">
        <v>289</v>
      </c>
      <c r="B499" s="341">
        <v>2</v>
      </c>
      <c r="C499" s="309">
        <v>46079</v>
      </c>
      <c r="D499" s="310" t="s">
        <v>296</v>
      </c>
      <c r="E499" s="342">
        <v>17.87</v>
      </c>
      <c r="F499" s="342"/>
      <c r="G499" s="344">
        <f t="shared" si="4"/>
        <v>4775.7199999999912</v>
      </c>
      <c r="H499" s="345"/>
      <c r="I499" s="346"/>
      <c r="J499" s="347"/>
      <c r="K499" s="312"/>
      <c r="L499" s="347"/>
      <c r="M499" s="312"/>
      <c r="N499" s="347"/>
      <c r="O499" s="312"/>
      <c r="P499" s="347"/>
      <c r="Q499" s="312"/>
      <c r="R499" s="347"/>
      <c r="S499" s="312"/>
      <c r="T499" s="347"/>
    </row>
    <row r="500" spans="1:20" ht="12" customHeight="1" x14ac:dyDescent="0.3">
      <c r="A500" s="340" t="s">
        <v>289</v>
      </c>
      <c r="B500" s="341">
        <v>5</v>
      </c>
      <c r="C500" s="309">
        <v>46079</v>
      </c>
      <c r="D500" s="310" t="s">
        <v>438</v>
      </c>
      <c r="E500" s="342">
        <v>123.64</v>
      </c>
      <c r="F500" s="342"/>
      <c r="G500" s="344">
        <f t="shared" si="4"/>
        <v>4793.5899999999911</v>
      </c>
      <c r="H500" s="345"/>
      <c r="I500" s="346"/>
      <c r="J500" s="347"/>
      <c r="K500" s="312"/>
      <c r="L500" s="347"/>
      <c r="M500" s="312"/>
      <c r="N500" s="347"/>
      <c r="O500" s="312"/>
      <c r="P500" s="347"/>
      <c r="Q500" s="312"/>
      <c r="R500" s="347"/>
      <c r="S500" s="312"/>
      <c r="T500" s="347"/>
    </row>
    <row r="501" spans="1:20" ht="12" customHeight="1" x14ac:dyDescent="0.3">
      <c r="A501" s="340" t="s">
        <v>289</v>
      </c>
      <c r="B501" s="341">
        <v>8</v>
      </c>
      <c r="C501" s="309">
        <v>46078</v>
      </c>
      <c r="D501" s="310" t="s">
        <v>321</v>
      </c>
      <c r="E501" s="342">
        <v>18.5</v>
      </c>
      <c r="F501" s="342"/>
      <c r="G501" s="344">
        <f t="shared" si="4"/>
        <v>4917.2299999999914</v>
      </c>
      <c r="H501" s="345"/>
      <c r="I501" s="346"/>
      <c r="J501" s="347"/>
      <c r="K501" s="312"/>
      <c r="L501" s="347"/>
      <c r="M501" s="312"/>
      <c r="N501" s="347"/>
      <c r="O501" s="312"/>
      <c r="P501" s="347"/>
      <c r="Q501" s="312"/>
      <c r="R501" s="347"/>
      <c r="S501" s="312"/>
      <c r="T501" s="347"/>
    </row>
    <row r="502" spans="1:20" ht="12" customHeight="1" x14ac:dyDescent="0.3">
      <c r="A502" s="340" t="s">
        <v>289</v>
      </c>
      <c r="B502" s="341">
        <v>4</v>
      </c>
      <c r="C502" s="309">
        <v>46078</v>
      </c>
      <c r="D502" s="310" t="s">
        <v>296</v>
      </c>
      <c r="E502" s="342">
        <v>50.96</v>
      </c>
      <c r="F502" s="342"/>
      <c r="G502" s="344">
        <f t="shared" si="4"/>
        <v>4935.7299999999914</v>
      </c>
      <c r="H502" s="345"/>
      <c r="I502" s="346"/>
      <c r="J502" s="347"/>
      <c r="K502" s="312"/>
      <c r="L502" s="347"/>
      <c r="M502" s="312"/>
      <c r="N502" s="347"/>
      <c r="O502" s="312"/>
      <c r="P502" s="347"/>
      <c r="Q502" s="312"/>
      <c r="R502" s="347"/>
      <c r="S502" s="312"/>
      <c r="T502" s="347"/>
    </row>
    <row r="503" spans="1:20" ht="12" customHeight="1" x14ac:dyDescent="0.3">
      <c r="A503" s="340" t="s">
        <v>289</v>
      </c>
      <c r="B503" s="341">
        <v>8</v>
      </c>
      <c r="C503" s="309">
        <v>46078</v>
      </c>
      <c r="D503" s="310" t="s">
        <v>296</v>
      </c>
      <c r="E503" s="342">
        <v>11.28</v>
      </c>
      <c r="F503" s="342"/>
      <c r="G503" s="344">
        <f t="shared" si="4"/>
        <v>4986.6899999999914</v>
      </c>
      <c r="H503" s="345"/>
      <c r="I503" s="346"/>
      <c r="J503" s="347"/>
      <c r="K503" s="312"/>
      <c r="L503" s="347"/>
      <c r="M503" s="312"/>
      <c r="N503" s="347"/>
      <c r="O503" s="312"/>
      <c r="P503" s="347"/>
      <c r="Q503" s="312"/>
      <c r="R503" s="347"/>
      <c r="S503" s="312"/>
      <c r="T503" s="347"/>
    </row>
    <row r="504" spans="1:20" ht="12" customHeight="1" x14ac:dyDescent="0.3">
      <c r="A504" s="340" t="s">
        <v>294</v>
      </c>
      <c r="B504" s="341">
        <v>12</v>
      </c>
      <c r="C504" s="309">
        <v>46078</v>
      </c>
      <c r="D504" s="310" t="s">
        <v>315</v>
      </c>
      <c r="E504" s="342">
        <v>204.47</v>
      </c>
      <c r="F504" s="342"/>
      <c r="G504" s="344">
        <f t="shared" si="4"/>
        <v>4997.9699999999912</v>
      </c>
      <c r="H504" s="345"/>
      <c r="I504" s="346"/>
      <c r="J504" s="347"/>
      <c r="K504" s="312"/>
      <c r="L504" s="347"/>
      <c r="M504" s="312"/>
      <c r="N504" s="347"/>
      <c r="O504" s="312"/>
      <c r="P504" s="347"/>
      <c r="Q504" s="312"/>
      <c r="R504" s="347"/>
      <c r="S504" s="312"/>
      <c r="T504" s="347"/>
    </row>
    <row r="505" spans="1:20" ht="12" customHeight="1" x14ac:dyDescent="0.3">
      <c r="A505" s="340" t="s">
        <v>289</v>
      </c>
      <c r="B505" s="341">
        <v>8</v>
      </c>
      <c r="C505" s="309">
        <v>46078</v>
      </c>
      <c r="D505" s="310" t="s">
        <v>309</v>
      </c>
      <c r="E505" s="342">
        <v>47.99</v>
      </c>
      <c r="F505" s="342"/>
      <c r="G505" s="344">
        <f t="shared" si="4"/>
        <v>5202.4399999999914</v>
      </c>
      <c r="H505" s="345"/>
      <c r="I505" s="346"/>
      <c r="J505" s="347"/>
      <c r="K505" s="312"/>
      <c r="L505" s="347"/>
      <c r="M505" s="312"/>
      <c r="N505" s="347"/>
      <c r="O505" s="312"/>
      <c r="P505" s="347"/>
      <c r="Q505" s="312"/>
      <c r="R505" s="347"/>
      <c r="S505" s="312"/>
      <c r="T505" s="347"/>
    </row>
    <row r="506" spans="1:20" ht="12" customHeight="1" x14ac:dyDescent="0.3">
      <c r="A506" s="340" t="s">
        <v>289</v>
      </c>
      <c r="B506" s="341">
        <v>1</v>
      </c>
      <c r="C506" s="309">
        <v>46078</v>
      </c>
      <c r="D506" s="310" t="s">
        <v>304</v>
      </c>
      <c r="E506" s="342">
        <v>19.09</v>
      </c>
      <c r="F506" s="342"/>
      <c r="G506" s="344">
        <f t="shared" si="4"/>
        <v>5250.4299999999912</v>
      </c>
      <c r="H506" s="345"/>
      <c r="I506" s="346"/>
      <c r="J506" s="347"/>
      <c r="K506" s="312"/>
      <c r="L506" s="347"/>
      <c r="M506" s="312"/>
      <c r="N506" s="347"/>
      <c r="O506" s="312"/>
      <c r="P506" s="347"/>
      <c r="Q506" s="312"/>
      <c r="R506" s="347"/>
      <c r="S506" s="312"/>
      <c r="T506" s="347"/>
    </row>
    <row r="507" spans="1:20" ht="12" customHeight="1" x14ac:dyDescent="0.3">
      <c r="A507" s="340" t="s">
        <v>294</v>
      </c>
      <c r="B507" s="341">
        <v>23</v>
      </c>
      <c r="C507" s="309">
        <v>46076</v>
      </c>
      <c r="D507" s="310" t="s">
        <v>67</v>
      </c>
      <c r="E507" s="342">
        <v>650.88</v>
      </c>
      <c r="F507" s="342"/>
      <c r="G507" s="344">
        <f t="shared" si="4"/>
        <v>5269.5199999999913</v>
      </c>
      <c r="H507" s="345"/>
      <c r="I507" s="346"/>
      <c r="J507" s="347"/>
      <c r="K507" s="312"/>
      <c r="L507" s="347"/>
      <c r="M507" s="312"/>
      <c r="N507" s="347"/>
      <c r="O507" s="312"/>
      <c r="P507" s="347"/>
      <c r="Q507" s="312"/>
      <c r="R507" s="347"/>
      <c r="S507" s="312"/>
      <c r="T507" s="347"/>
    </row>
    <row r="508" spans="1:20" ht="12" customHeight="1" x14ac:dyDescent="0.3">
      <c r="A508" s="340" t="s">
        <v>289</v>
      </c>
      <c r="B508" s="341">
        <v>6</v>
      </c>
      <c r="C508" s="309">
        <v>46076</v>
      </c>
      <c r="D508" s="310" t="s">
        <v>355</v>
      </c>
      <c r="E508" s="342">
        <v>35</v>
      </c>
      <c r="F508" s="342"/>
      <c r="G508" s="344">
        <f t="shared" si="4"/>
        <v>5920.3999999999915</v>
      </c>
      <c r="H508" s="345"/>
      <c r="I508" s="346"/>
      <c r="J508" s="347"/>
      <c r="K508" s="312"/>
      <c r="L508" s="347"/>
      <c r="M508" s="312"/>
      <c r="N508" s="347"/>
      <c r="O508" s="312"/>
      <c r="P508" s="347"/>
      <c r="Q508" s="312"/>
      <c r="R508" s="347"/>
      <c r="S508" s="312"/>
      <c r="T508" s="347"/>
    </row>
    <row r="509" spans="1:20" ht="12" customHeight="1" x14ac:dyDescent="0.3">
      <c r="A509" s="340" t="s">
        <v>289</v>
      </c>
      <c r="B509" s="341">
        <v>1</v>
      </c>
      <c r="C509" s="309">
        <v>46076</v>
      </c>
      <c r="D509" s="310" t="s">
        <v>307</v>
      </c>
      <c r="E509" s="342">
        <v>128.97999999999999</v>
      </c>
      <c r="F509" s="342"/>
      <c r="G509" s="344">
        <f t="shared" si="4"/>
        <v>5955.3999999999915</v>
      </c>
      <c r="H509" s="345"/>
      <c r="I509" s="346"/>
      <c r="J509" s="347"/>
      <c r="K509" s="312"/>
      <c r="L509" s="347"/>
      <c r="M509" s="312"/>
      <c r="N509" s="347"/>
      <c r="O509" s="312"/>
      <c r="P509" s="347"/>
      <c r="Q509" s="312"/>
      <c r="R509" s="347"/>
      <c r="S509" s="312"/>
      <c r="T509" s="347"/>
    </row>
    <row r="510" spans="1:20" ht="12" customHeight="1" x14ac:dyDescent="0.3">
      <c r="A510" s="340" t="s">
        <v>289</v>
      </c>
      <c r="B510" s="341">
        <v>1</v>
      </c>
      <c r="C510" s="309">
        <v>46076</v>
      </c>
      <c r="D510" s="310" t="s">
        <v>322</v>
      </c>
      <c r="E510" s="342">
        <v>52.55</v>
      </c>
      <c r="F510" s="342"/>
      <c r="G510" s="344">
        <f t="shared" si="4"/>
        <v>6084.379999999991</v>
      </c>
      <c r="H510" s="345"/>
      <c r="I510" s="346"/>
      <c r="J510" s="347"/>
      <c r="K510" s="312"/>
      <c r="L510" s="347"/>
      <c r="M510" s="312"/>
      <c r="N510" s="347"/>
      <c r="O510" s="312"/>
      <c r="P510" s="347"/>
      <c r="Q510" s="312"/>
      <c r="R510" s="347"/>
      <c r="S510" s="312"/>
      <c r="T510" s="347"/>
    </row>
    <row r="511" spans="1:20" ht="12" customHeight="1" x14ac:dyDescent="0.3">
      <c r="A511" s="340" t="s">
        <v>289</v>
      </c>
      <c r="B511" s="341">
        <v>3</v>
      </c>
      <c r="C511" s="309">
        <v>46075</v>
      </c>
      <c r="D511" s="310" t="s">
        <v>352</v>
      </c>
      <c r="E511" s="342">
        <v>13.76</v>
      </c>
      <c r="F511" s="342"/>
      <c r="G511" s="344">
        <f t="shared" si="4"/>
        <v>6136.9299999999912</v>
      </c>
      <c r="H511" s="345"/>
      <c r="I511" s="346"/>
      <c r="J511" s="347"/>
      <c r="K511" s="312"/>
      <c r="L511" s="347"/>
      <c r="M511" s="312"/>
      <c r="N511" s="347"/>
      <c r="O511" s="312"/>
      <c r="P511" s="347"/>
      <c r="Q511" s="312"/>
      <c r="R511" s="347"/>
      <c r="S511" s="312"/>
      <c r="T511" s="347"/>
    </row>
    <row r="512" spans="1:20" ht="12" customHeight="1" x14ac:dyDescent="0.3">
      <c r="A512" s="340" t="s">
        <v>289</v>
      </c>
      <c r="B512" s="341">
        <v>1</v>
      </c>
      <c r="C512" s="309">
        <v>46075</v>
      </c>
      <c r="D512" s="310" t="s">
        <v>312</v>
      </c>
      <c r="E512" s="342">
        <v>187.64</v>
      </c>
      <c r="F512" s="342"/>
      <c r="G512" s="344">
        <f t="shared" si="4"/>
        <v>6150.6899999999914</v>
      </c>
      <c r="H512" s="345"/>
      <c r="I512" s="346"/>
      <c r="J512" s="347"/>
      <c r="K512" s="312"/>
      <c r="L512" s="347"/>
      <c r="M512" s="312"/>
      <c r="N512" s="347"/>
      <c r="O512" s="312"/>
      <c r="P512" s="347"/>
      <c r="Q512" s="312"/>
      <c r="R512" s="347"/>
      <c r="S512" s="312"/>
      <c r="T512" s="347"/>
    </row>
    <row r="513" spans="1:20" ht="12" customHeight="1" x14ac:dyDescent="0.3">
      <c r="A513" s="340" t="s">
        <v>289</v>
      </c>
      <c r="B513" s="341">
        <v>1</v>
      </c>
      <c r="C513" s="309">
        <v>46074</v>
      </c>
      <c r="D513" s="310" t="s">
        <v>397</v>
      </c>
      <c r="E513" s="342">
        <v>75.78</v>
      </c>
      <c r="F513" s="342"/>
      <c r="G513" s="344">
        <f t="shared" si="4"/>
        <v>6338.3299999999917</v>
      </c>
      <c r="H513" s="345"/>
      <c r="I513" s="346"/>
      <c r="J513" s="347"/>
      <c r="K513" s="312"/>
      <c r="L513" s="347"/>
      <c r="M513" s="312"/>
      <c r="N513" s="347"/>
      <c r="O513" s="312"/>
      <c r="P513" s="347"/>
      <c r="Q513" s="312"/>
      <c r="R513" s="347"/>
      <c r="S513" s="312"/>
      <c r="T513" s="347"/>
    </row>
    <row r="514" spans="1:20" ht="12" customHeight="1" x14ac:dyDescent="0.3">
      <c r="A514" s="340" t="s">
        <v>289</v>
      </c>
      <c r="B514" s="341">
        <v>2</v>
      </c>
      <c r="C514" s="309">
        <v>46074</v>
      </c>
      <c r="D514" s="310" t="s">
        <v>396</v>
      </c>
      <c r="E514" s="342">
        <v>27.41</v>
      </c>
      <c r="F514" s="342"/>
      <c r="G514" s="344">
        <f t="shared" si="4"/>
        <v>6414.1099999999915</v>
      </c>
      <c r="H514" s="345"/>
      <c r="I514" s="346"/>
      <c r="J514" s="347"/>
      <c r="K514" s="312"/>
      <c r="L514" s="347"/>
      <c r="M514" s="312"/>
      <c r="N514" s="347"/>
      <c r="O514" s="312"/>
      <c r="P514" s="347"/>
      <c r="Q514" s="312"/>
      <c r="R514" s="347"/>
      <c r="S514" s="312"/>
      <c r="T514" s="347"/>
    </row>
    <row r="515" spans="1:20" ht="12" customHeight="1" x14ac:dyDescent="0.3">
      <c r="A515" s="340" t="s">
        <v>289</v>
      </c>
      <c r="B515" s="341">
        <v>4</v>
      </c>
      <c r="C515" s="309">
        <v>46074</v>
      </c>
      <c r="D515" s="310" t="s">
        <v>439</v>
      </c>
      <c r="E515" s="342">
        <v>32.049999999999997</v>
      </c>
      <c r="F515" s="342"/>
      <c r="G515" s="344">
        <f t="shared" si="4"/>
        <v>6441.5199999999913</v>
      </c>
      <c r="H515" s="345"/>
      <c r="I515" s="346"/>
      <c r="J515" s="347"/>
      <c r="K515" s="312"/>
      <c r="L515" s="347"/>
      <c r="M515" s="312"/>
      <c r="N515" s="347"/>
      <c r="O515" s="312"/>
      <c r="P515" s="347"/>
      <c r="Q515" s="312"/>
      <c r="R515" s="347"/>
      <c r="S515" s="312"/>
      <c r="T515" s="347"/>
    </row>
    <row r="516" spans="1:20" ht="12" customHeight="1" x14ac:dyDescent="0.3">
      <c r="A516" s="340" t="s">
        <v>289</v>
      </c>
      <c r="B516" s="341">
        <v>2</v>
      </c>
      <c r="C516" s="309">
        <v>46074</v>
      </c>
      <c r="D516" s="310" t="s">
        <v>362</v>
      </c>
      <c r="E516" s="342">
        <v>9.4700000000000006</v>
      </c>
      <c r="F516" s="342"/>
      <c r="G516" s="344">
        <f t="shared" si="4"/>
        <v>6473.5699999999915</v>
      </c>
      <c r="H516" s="345"/>
      <c r="I516" s="346"/>
      <c r="J516" s="347"/>
      <c r="K516" s="312"/>
      <c r="L516" s="347"/>
      <c r="M516" s="312"/>
      <c r="N516" s="347"/>
      <c r="O516" s="312"/>
      <c r="P516" s="347"/>
      <c r="Q516" s="312"/>
      <c r="R516" s="347"/>
      <c r="S516" s="312"/>
      <c r="T516" s="347"/>
    </row>
    <row r="517" spans="1:20" ht="12" customHeight="1" x14ac:dyDescent="0.3">
      <c r="A517" s="340" t="s">
        <v>289</v>
      </c>
      <c r="B517" s="341">
        <v>2</v>
      </c>
      <c r="C517" s="309">
        <v>46073</v>
      </c>
      <c r="D517" s="310" t="s">
        <v>296</v>
      </c>
      <c r="E517" s="342">
        <v>14.47</v>
      </c>
      <c r="F517" s="342"/>
      <c r="G517" s="344">
        <f t="shared" si="4"/>
        <v>6483.0399999999918</v>
      </c>
      <c r="H517" s="345"/>
      <c r="I517" s="346"/>
      <c r="J517" s="347"/>
      <c r="K517" s="312"/>
      <c r="L517" s="347"/>
      <c r="M517" s="312"/>
      <c r="N517" s="347"/>
      <c r="O517" s="312"/>
      <c r="P517" s="347"/>
      <c r="Q517" s="312"/>
      <c r="R517" s="347"/>
      <c r="S517" s="312"/>
      <c r="T517" s="347"/>
    </row>
    <row r="518" spans="1:20" ht="12" customHeight="1" x14ac:dyDescent="0.3">
      <c r="A518" s="340" t="s">
        <v>289</v>
      </c>
      <c r="B518" s="341">
        <v>3</v>
      </c>
      <c r="C518" s="309">
        <v>46073</v>
      </c>
      <c r="D518" s="310" t="s">
        <v>359</v>
      </c>
      <c r="E518" s="342">
        <v>11.97</v>
      </c>
      <c r="F518" s="342"/>
      <c r="G518" s="344">
        <f t="shared" si="4"/>
        <v>6497.509999999992</v>
      </c>
      <c r="H518" s="345"/>
      <c r="I518" s="346"/>
      <c r="J518" s="347"/>
      <c r="K518" s="312"/>
      <c r="L518" s="347"/>
      <c r="M518" s="312"/>
      <c r="N518" s="347"/>
      <c r="O518" s="312"/>
      <c r="P518" s="347"/>
      <c r="Q518" s="312"/>
      <c r="R518" s="347"/>
      <c r="S518" s="312"/>
      <c r="T518" s="347"/>
    </row>
    <row r="519" spans="1:20" ht="12" customHeight="1" x14ac:dyDescent="0.3">
      <c r="A519" s="340" t="s">
        <v>289</v>
      </c>
      <c r="B519" s="341">
        <v>4</v>
      </c>
      <c r="C519" s="309">
        <v>46073</v>
      </c>
      <c r="D519" s="310" t="s">
        <v>359</v>
      </c>
      <c r="E519" s="342">
        <v>59.88</v>
      </c>
      <c r="F519" s="342"/>
      <c r="G519" s="344">
        <f t="shared" si="4"/>
        <v>6509.4799999999923</v>
      </c>
      <c r="H519" s="345"/>
      <c r="I519" s="346"/>
      <c r="J519" s="347"/>
      <c r="K519" s="312"/>
      <c r="L519" s="347"/>
      <c r="M519" s="312"/>
      <c r="N519" s="347"/>
      <c r="O519" s="312"/>
      <c r="P519" s="347"/>
      <c r="Q519" s="312"/>
      <c r="R519" s="347"/>
      <c r="S519" s="312"/>
      <c r="T519" s="347"/>
    </row>
    <row r="520" spans="1:20" ht="12" customHeight="1" x14ac:dyDescent="0.3">
      <c r="A520" s="340" t="s">
        <v>289</v>
      </c>
      <c r="B520" s="341">
        <v>2</v>
      </c>
      <c r="C520" s="309">
        <v>46073</v>
      </c>
      <c r="D520" s="310" t="s">
        <v>425</v>
      </c>
      <c r="E520" s="342">
        <v>19.57</v>
      </c>
      <c r="F520" s="342"/>
      <c r="G520" s="344">
        <f t="shared" si="4"/>
        <v>6569.3599999999924</v>
      </c>
      <c r="H520" s="345"/>
      <c r="I520" s="346"/>
      <c r="J520" s="347"/>
      <c r="K520" s="312"/>
      <c r="L520" s="347"/>
      <c r="M520" s="312"/>
      <c r="N520" s="347"/>
      <c r="O520" s="312"/>
      <c r="P520" s="347"/>
      <c r="Q520" s="312"/>
      <c r="R520" s="347"/>
      <c r="S520" s="312"/>
      <c r="T520" s="347"/>
    </row>
    <row r="521" spans="1:20" ht="12" customHeight="1" x14ac:dyDescent="0.3">
      <c r="A521" s="340" t="s">
        <v>294</v>
      </c>
      <c r="B521" s="341">
        <v>22</v>
      </c>
      <c r="C521" s="309">
        <v>46073</v>
      </c>
      <c r="D521" s="310" t="s">
        <v>325</v>
      </c>
      <c r="E521" s="342">
        <v>20.22</v>
      </c>
      <c r="F521" s="342"/>
      <c r="G521" s="344">
        <f t="shared" si="4"/>
        <v>6588.9299999999921</v>
      </c>
      <c r="H521" s="345"/>
      <c r="I521" s="346"/>
      <c r="J521" s="347"/>
      <c r="K521" s="312"/>
      <c r="L521" s="347"/>
      <c r="M521" s="312"/>
      <c r="N521" s="347"/>
      <c r="O521" s="312"/>
      <c r="P521" s="347"/>
      <c r="Q521" s="312"/>
      <c r="R521" s="347"/>
      <c r="S521" s="312"/>
      <c r="T521" s="347"/>
    </row>
    <row r="522" spans="1:20" ht="12" customHeight="1" x14ac:dyDescent="0.3">
      <c r="A522" s="340" t="s">
        <v>289</v>
      </c>
      <c r="B522" s="341">
        <v>2</v>
      </c>
      <c r="C522" s="309">
        <v>46073</v>
      </c>
      <c r="D522" s="310" t="s">
        <v>362</v>
      </c>
      <c r="E522" s="342">
        <v>5.3</v>
      </c>
      <c r="F522" s="342"/>
      <c r="G522" s="344">
        <f t="shared" si="4"/>
        <v>6609.1499999999924</v>
      </c>
      <c r="H522" s="345"/>
      <c r="I522" s="346"/>
      <c r="J522" s="347"/>
      <c r="K522" s="312"/>
      <c r="L522" s="347"/>
      <c r="M522" s="312"/>
      <c r="N522" s="347"/>
      <c r="O522" s="312"/>
      <c r="P522" s="347"/>
      <c r="Q522" s="312"/>
      <c r="R522" s="347"/>
      <c r="S522" s="312"/>
      <c r="T522" s="347"/>
    </row>
    <row r="523" spans="1:20" ht="12" customHeight="1" x14ac:dyDescent="0.3">
      <c r="A523" s="340" t="s">
        <v>289</v>
      </c>
      <c r="B523" s="341">
        <v>3</v>
      </c>
      <c r="C523" s="309">
        <v>46073</v>
      </c>
      <c r="D523" s="310" t="s">
        <v>327</v>
      </c>
      <c r="E523" s="342">
        <v>8.1300000000000008</v>
      </c>
      <c r="F523" s="342"/>
      <c r="G523" s="344">
        <f t="shared" si="4"/>
        <v>6614.4499999999925</v>
      </c>
      <c r="H523" s="345"/>
      <c r="I523" s="346"/>
      <c r="J523" s="347"/>
      <c r="K523" s="312"/>
      <c r="L523" s="347"/>
      <c r="M523" s="312"/>
      <c r="N523" s="347"/>
      <c r="O523" s="312"/>
      <c r="P523" s="347"/>
      <c r="Q523" s="312"/>
      <c r="R523" s="347"/>
      <c r="S523" s="312"/>
      <c r="T523" s="347"/>
    </row>
    <row r="524" spans="1:20" ht="12" customHeight="1" x14ac:dyDescent="0.3">
      <c r="A524" s="340" t="s">
        <v>289</v>
      </c>
      <c r="B524" s="341">
        <v>4</v>
      </c>
      <c r="C524" s="309">
        <v>46073</v>
      </c>
      <c r="D524" s="310" t="s">
        <v>311</v>
      </c>
      <c r="E524" s="342">
        <v>32.43</v>
      </c>
      <c r="F524" s="342"/>
      <c r="G524" s="344">
        <f t="shared" si="4"/>
        <v>6622.5799999999927</v>
      </c>
      <c r="H524" s="345"/>
      <c r="I524" s="346"/>
      <c r="J524" s="347"/>
      <c r="K524" s="312"/>
      <c r="L524" s="347"/>
      <c r="M524" s="312"/>
      <c r="N524" s="347"/>
      <c r="O524" s="312"/>
      <c r="P524" s="347"/>
      <c r="Q524" s="312"/>
      <c r="R524" s="347"/>
      <c r="S524" s="312"/>
      <c r="T524" s="347"/>
    </row>
    <row r="525" spans="1:20" ht="12" customHeight="1" x14ac:dyDescent="0.3">
      <c r="A525" s="340" t="s">
        <v>289</v>
      </c>
      <c r="B525" s="341">
        <v>8</v>
      </c>
      <c r="C525" s="309">
        <v>46073</v>
      </c>
      <c r="D525" s="310" t="s">
        <v>440</v>
      </c>
      <c r="E525" s="342">
        <v>98.65</v>
      </c>
      <c r="F525" s="342"/>
      <c r="G525" s="344">
        <f t="shared" si="4"/>
        <v>6655.0099999999929</v>
      </c>
      <c r="H525" s="345"/>
      <c r="I525" s="346"/>
      <c r="J525" s="347"/>
      <c r="K525" s="312"/>
      <c r="L525" s="347"/>
      <c r="M525" s="312"/>
      <c r="N525" s="347"/>
      <c r="O525" s="312"/>
      <c r="P525" s="347"/>
      <c r="Q525" s="312"/>
      <c r="R525" s="347"/>
      <c r="S525" s="312"/>
      <c r="T525" s="347"/>
    </row>
    <row r="526" spans="1:20" ht="12" customHeight="1" x14ac:dyDescent="0.3">
      <c r="A526" s="340" t="s">
        <v>289</v>
      </c>
      <c r="B526" s="341">
        <v>6</v>
      </c>
      <c r="C526" s="309">
        <v>46072</v>
      </c>
      <c r="D526" s="310" t="s">
        <v>300</v>
      </c>
      <c r="E526" s="342">
        <v>30.87</v>
      </c>
      <c r="F526" s="342"/>
      <c r="G526" s="344">
        <f t="shared" si="4"/>
        <v>6753.6599999999926</v>
      </c>
      <c r="H526" s="345"/>
      <c r="I526" s="346"/>
      <c r="J526" s="347"/>
      <c r="K526" s="312"/>
      <c r="L526" s="347"/>
      <c r="M526" s="312"/>
      <c r="N526" s="347"/>
      <c r="O526" s="312"/>
      <c r="P526" s="347"/>
      <c r="Q526" s="312"/>
      <c r="R526" s="347"/>
      <c r="S526" s="312"/>
      <c r="T526" s="347"/>
    </row>
    <row r="527" spans="1:20" ht="12" customHeight="1" x14ac:dyDescent="0.3">
      <c r="A527" s="340" t="s">
        <v>289</v>
      </c>
      <c r="B527" s="341">
        <v>6</v>
      </c>
      <c r="C527" s="309">
        <v>46072</v>
      </c>
      <c r="D527" s="310" t="s">
        <v>300</v>
      </c>
      <c r="E527" s="342">
        <v>15.96</v>
      </c>
      <c r="F527" s="342"/>
      <c r="G527" s="344">
        <f t="shared" si="4"/>
        <v>6784.5299999999925</v>
      </c>
      <c r="H527" s="345"/>
      <c r="I527" s="346"/>
      <c r="J527" s="347"/>
      <c r="K527" s="312"/>
      <c r="L527" s="347"/>
      <c r="M527" s="312"/>
      <c r="N527" s="347"/>
      <c r="O527" s="312"/>
      <c r="P527" s="347"/>
      <c r="Q527" s="312"/>
      <c r="R527" s="347"/>
      <c r="S527" s="312"/>
      <c r="T527" s="347"/>
    </row>
    <row r="528" spans="1:20" ht="12" customHeight="1" x14ac:dyDescent="0.3">
      <c r="A528" s="340" t="s">
        <v>289</v>
      </c>
      <c r="B528" s="341">
        <v>2</v>
      </c>
      <c r="C528" s="309">
        <v>46072</v>
      </c>
      <c r="D528" s="310" t="s">
        <v>296</v>
      </c>
      <c r="E528" s="342">
        <v>17.36</v>
      </c>
      <c r="F528" s="342"/>
      <c r="G528" s="344">
        <f t="shared" si="4"/>
        <v>6800.4899999999925</v>
      </c>
      <c r="H528" s="345"/>
      <c r="I528" s="346"/>
      <c r="J528" s="347"/>
      <c r="K528" s="312"/>
      <c r="L528" s="347"/>
      <c r="M528" s="312"/>
      <c r="N528" s="347"/>
      <c r="O528" s="312"/>
      <c r="P528" s="347"/>
      <c r="Q528" s="312"/>
      <c r="R528" s="347"/>
      <c r="S528" s="312"/>
      <c r="T528" s="347"/>
    </row>
    <row r="529" spans="1:20" ht="12" customHeight="1" x14ac:dyDescent="0.3">
      <c r="A529" s="340" t="s">
        <v>294</v>
      </c>
      <c r="B529" s="341">
        <v>22</v>
      </c>
      <c r="C529" s="309">
        <v>46072</v>
      </c>
      <c r="D529" s="310" t="s">
        <v>406</v>
      </c>
      <c r="E529" s="342">
        <v>7.46</v>
      </c>
      <c r="F529" s="342"/>
      <c r="G529" s="344">
        <f t="shared" si="4"/>
        <v>6817.8499999999922</v>
      </c>
      <c r="H529" s="345"/>
      <c r="I529" s="346"/>
      <c r="J529" s="347"/>
      <c r="K529" s="312"/>
      <c r="L529" s="347"/>
      <c r="M529" s="312"/>
      <c r="N529" s="347"/>
      <c r="O529" s="312"/>
      <c r="P529" s="347"/>
      <c r="Q529" s="312"/>
      <c r="R529" s="347"/>
      <c r="S529" s="312"/>
      <c r="T529" s="347"/>
    </row>
    <row r="530" spans="1:20" ht="12" customHeight="1" x14ac:dyDescent="0.3">
      <c r="A530" s="340" t="s">
        <v>291</v>
      </c>
      <c r="B530" s="341">
        <v>39</v>
      </c>
      <c r="C530" s="309">
        <v>46072</v>
      </c>
      <c r="D530" s="310" t="s">
        <v>292</v>
      </c>
      <c r="E530" s="342"/>
      <c r="F530" s="342">
        <v>2763.77</v>
      </c>
      <c r="G530" s="344">
        <f t="shared" si="4"/>
        <v>6825.3099999999922</v>
      </c>
      <c r="H530" s="345"/>
      <c r="I530" s="346"/>
      <c r="J530" s="347"/>
      <c r="K530" s="312"/>
      <c r="L530" s="347"/>
      <c r="M530" s="312"/>
      <c r="N530" s="347"/>
      <c r="O530" s="312"/>
      <c r="P530" s="347"/>
      <c r="Q530" s="312"/>
      <c r="R530" s="347"/>
      <c r="S530" s="312"/>
      <c r="T530" s="347"/>
    </row>
    <row r="531" spans="1:20" ht="12" customHeight="1" x14ac:dyDescent="0.3">
      <c r="A531" s="340" t="s">
        <v>339</v>
      </c>
      <c r="B531" s="341" t="s">
        <v>339</v>
      </c>
      <c r="C531" s="309">
        <v>46071</v>
      </c>
      <c r="D531" s="310" t="s">
        <v>340</v>
      </c>
      <c r="E531" s="342">
        <v>182.55</v>
      </c>
      <c r="F531" s="342"/>
      <c r="G531" s="344">
        <f t="shared" si="4"/>
        <v>4061.5399999999927</v>
      </c>
      <c r="H531" s="345"/>
      <c r="I531" s="346"/>
      <c r="J531" s="347"/>
      <c r="K531" s="312"/>
      <c r="L531" s="347"/>
      <c r="M531" s="312"/>
      <c r="N531" s="347"/>
      <c r="O531" s="312"/>
      <c r="P531" s="347"/>
      <c r="Q531" s="312"/>
      <c r="R531" s="347"/>
      <c r="S531" s="312"/>
      <c r="T531" s="347"/>
    </row>
    <row r="532" spans="1:20" ht="12" customHeight="1" x14ac:dyDescent="0.3">
      <c r="A532" s="340" t="s">
        <v>294</v>
      </c>
      <c r="B532" s="341">
        <v>15</v>
      </c>
      <c r="C532" s="309">
        <v>46071</v>
      </c>
      <c r="D532" s="310" t="s">
        <v>185</v>
      </c>
      <c r="E532" s="342">
        <v>188.16</v>
      </c>
      <c r="F532" s="342"/>
      <c r="G532" s="344">
        <f t="shared" si="4"/>
        <v>4244.0899999999929</v>
      </c>
      <c r="H532" s="345"/>
      <c r="I532" s="346"/>
      <c r="J532" s="347"/>
      <c r="K532" s="312"/>
      <c r="L532" s="347"/>
      <c r="M532" s="312"/>
      <c r="N532" s="347"/>
      <c r="O532" s="312"/>
      <c r="P532" s="347"/>
      <c r="Q532" s="312"/>
      <c r="R532" s="347"/>
      <c r="S532" s="312"/>
      <c r="T532" s="347"/>
    </row>
    <row r="533" spans="1:20" ht="12" customHeight="1" x14ac:dyDescent="0.3">
      <c r="A533" s="340" t="s">
        <v>291</v>
      </c>
      <c r="B533" s="341">
        <v>40</v>
      </c>
      <c r="C533" s="309">
        <v>46071</v>
      </c>
      <c r="D533" s="310" t="s">
        <v>318</v>
      </c>
      <c r="E533" s="342"/>
      <c r="F533" s="342">
        <v>1281.58</v>
      </c>
      <c r="G533" s="344">
        <f t="shared" si="4"/>
        <v>4432.2499999999927</v>
      </c>
      <c r="H533" s="345"/>
      <c r="I533" s="346"/>
      <c r="J533" s="347"/>
      <c r="K533" s="312"/>
      <c r="L533" s="347"/>
      <c r="M533" s="312"/>
      <c r="N533" s="347"/>
      <c r="O533" s="312"/>
      <c r="P533" s="347"/>
      <c r="Q533" s="312"/>
      <c r="R533" s="347"/>
      <c r="S533" s="312"/>
      <c r="T533" s="347"/>
    </row>
    <row r="534" spans="1:20" ht="12" customHeight="1" x14ac:dyDescent="0.3">
      <c r="A534" s="340" t="s">
        <v>289</v>
      </c>
      <c r="B534" s="341">
        <v>6</v>
      </c>
      <c r="C534" s="309">
        <v>46071</v>
      </c>
      <c r="D534" s="310" t="s">
        <v>441</v>
      </c>
      <c r="E534" s="342">
        <v>-146</v>
      </c>
      <c r="F534" s="342"/>
      <c r="G534" s="344">
        <f t="shared" si="4"/>
        <v>3150.6699999999933</v>
      </c>
      <c r="H534" s="345"/>
      <c r="I534" s="346"/>
      <c r="J534" s="347"/>
      <c r="K534" s="312"/>
      <c r="L534" s="347"/>
      <c r="M534" s="312"/>
      <c r="N534" s="347"/>
      <c r="O534" s="312"/>
      <c r="P534" s="347"/>
      <c r="Q534" s="312"/>
      <c r="R534" s="347"/>
      <c r="S534" s="312"/>
      <c r="T534" s="347"/>
    </row>
    <row r="535" spans="1:20" ht="12" customHeight="1" x14ac:dyDescent="0.3">
      <c r="A535" s="340" t="s">
        <v>289</v>
      </c>
      <c r="B535" s="341">
        <v>2</v>
      </c>
      <c r="C535" s="309">
        <v>46071</v>
      </c>
      <c r="D535" s="310" t="s">
        <v>442</v>
      </c>
      <c r="E535" s="342">
        <v>-13</v>
      </c>
      <c r="F535" s="342"/>
      <c r="G535" s="344">
        <f t="shared" si="4"/>
        <v>3004.6699999999933</v>
      </c>
      <c r="H535" s="345"/>
      <c r="I535" s="346"/>
      <c r="J535" s="347"/>
      <c r="K535" s="312"/>
      <c r="L535" s="347"/>
      <c r="M535" s="312"/>
      <c r="N535" s="347"/>
      <c r="O535" s="312"/>
      <c r="P535" s="347"/>
      <c r="Q535" s="312"/>
      <c r="R535" s="347"/>
      <c r="S535" s="312"/>
      <c r="T535" s="347"/>
    </row>
    <row r="536" spans="1:20" ht="12" customHeight="1" x14ac:dyDescent="0.3">
      <c r="A536" s="340" t="s">
        <v>339</v>
      </c>
      <c r="B536" s="341" t="s">
        <v>339</v>
      </c>
      <c r="C536" s="309">
        <v>46071</v>
      </c>
      <c r="D536" s="310" t="s">
        <v>469</v>
      </c>
      <c r="E536" s="342"/>
      <c r="F536" s="342">
        <v>191</v>
      </c>
      <c r="G536" s="344">
        <f t="shared" si="4"/>
        <v>2991.6699999999933</v>
      </c>
      <c r="H536" s="345"/>
      <c r="I536" s="346"/>
      <c r="J536" s="347"/>
      <c r="K536" s="312"/>
      <c r="L536" s="347"/>
      <c r="M536" s="312"/>
      <c r="N536" s="347"/>
      <c r="O536" s="312"/>
      <c r="P536" s="347"/>
      <c r="Q536" s="312"/>
      <c r="R536" s="347"/>
      <c r="S536" s="312"/>
      <c r="T536" s="347"/>
    </row>
    <row r="537" spans="1:20" ht="12" customHeight="1" x14ac:dyDescent="0.3">
      <c r="A537" s="340" t="s">
        <v>289</v>
      </c>
      <c r="B537" s="341">
        <v>6</v>
      </c>
      <c r="C537" s="309">
        <v>46071</v>
      </c>
      <c r="D537" s="310" t="s">
        <v>300</v>
      </c>
      <c r="E537" s="342">
        <v>43.63</v>
      </c>
      <c r="F537" s="342"/>
      <c r="G537" s="344">
        <f t="shared" si="4"/>
        <v>2800.6699999999933</v>
      </c>
      <c r="H537" s="345"/>
      <c r="I537" s="346"/>
      <c r="J537" s="347"/>
      <c r="K537" s="312"/>
      <c r="L537" s="347"/>
      <c r="M537" s="312"/>
      <c r="N537" s="347"/>
      <c r="O537" s="312"/>
      <c r="P537" s="347"/>
      <c r="Q537" s="312"/>
      <c r="R537" s="347"/>
      <c r="S537" s="312"/>
      <c r="T537" s="347"/>
    </row>
    <row r="538" spans="1:20" ht="12" customHeight="1" x14ac:dyDescent="0.3">
      <c r="A538" s="340" t="s">
        <v>289</v>
      </c>
      <c r="B538" s="341">
        <v>6</v>
      </c>
      <c r="C538" s="309">
        <v>46071</v>
      </c>
      <c r="D538" s="310" t="s">
        <v>300</v>
      </c>
      <c r="E538" s="342">
        <v>10.64</v>
      </c>
      <c r="F538" s="342"/>
      <c r="G538" s="344">
        <f t="shared" si="4"/>
        <v>2844.2999999999934</v>
      </c>
      <c r="H538" s="345"/>
      <c r="I538" s="346"/>
      <c r="J538" s="347"/>
      <c r="K538" s="312"/>
      <c r="L538" s="347"/>
      <c r="M538" s="312"/>
      <c r="N538" s="347"/>
      <c r="O538" s="312"/>
      <c r="P538" s="347"/>
      <c r="Q538" s="312"/>
      <c r="R538" s="347"/>
      <c r="S538" s="312"/>
      <c r="T538" s="347"/>
    </row>
    <row r="539" spans="1:20" ht="12" customHeight="1" x14ac:dyDescent="0.3">
      <c r="A539" s="340" t="s">
        <v>289</v>
      </c>
      <c r="B539" s="341">
        <v>8</v>
      </c>
      <c r="C539" s="309">
        <v>46071</v>
      </c>
      <c r="D539" s="310" t="s">
        <v>296</v>
      </c>
      <c r="E539" s="342">
        <v>14.87</v>
      </c>
      <c r="F539" s="342"/>
      <c r="G539" s="344">
        <f t="shared" si="4"/>
        <v>2854.9399999999932</v>
      </c>
      <c r="H539" s="345"/>
      <c r="I539" s="346"/>
      <c r="J539" s="347"/>
      <c r="K539" s="312"/>
      <c r="L539" s="347"/>
      <c r="M539" s="312"/>
      <c r="N539" s="347"/>
      <c r="O539" s="312"/>
      <c r="P539" s="347"/>
      <c r="Q539" s="312"/>
      <c r="R539" s="347"/>
      <c r="S539" s="312"/>
      <c r="T539" s="347"/>
    </row>
    <row r="540" spans="1:20" ht="12" customHeight="1" x14ac:dyDescent="0.3">
      <c r="A540" s="340" t="s">
        <v>289</v>
      </c>
      <c r="B540" s="341">
        <v>2</v>
      </c>
      <c r="C540" s="309">
        <v>46071</v>
      </c>
      <c r="D540" s="310" t="s">
        <v>295</v>
      </c>
      <c r="E540" s="342">
        <v>12.99</v>
      </c>
      <c r="F540" s="342"/>
      <c r="G540" s="344">
        <f t="shared" si="4"/>
        <v>2869.8099999999931</v>
      </c>
      <c r="H540" s="345"/>
      <c r="I540" s="346"/>
      <c r="J540" s="347"/>
      <c r="K540" s="312"/>
      <c r="L540" s="347"/>
      <c r="M540" s="312"/>
      <c r="N540" s="347"/>
      <c r="O540" s="312"/>
      <c r="P540" s="347"/>
      <c r="Q540" s="312"/>
      <c r="R540" s="347"/>
      <c r="S540" s="312"/>
      <c r="T540" s="347"/>
    </row>
    <row r="541" spans="1:20" ht="12" customHeight="1" x14ac:dyDescent="0.3">
      <c r="A541" s="340" t="s">
        <v>289</v>
      </c>
      <c r="B541" s="341">
        <v>4</v>
      </c>
      <c r="C541" s="309">
        <v>46071</v>
      </c>
      <c r="D541" s="310" t="s">
        <v>295</v>
      </c>
      <c r="E541" s="342">
        <v>29.47</v>
      </c>
      <c r="F541" s="342"/>
      <c r="G541" s="344">
        <f t="shared" si="4"/>
        <v>2882.7999999999929</v>
      </c>
      <c r="H541" s="345"/>
      <c r="I541" s="346"/>
      <c r="J541" s="347"/>
      <c r="K541" s="312"/>
      <c r="L541" s="347"/>
      <c r="M541" s="312"/>
      <c r="N541" s="347"/>
      <c r="O541" s="312"/>
      <c r="P541" s="347"/>
      <c r="Q541" s="312"/>
      <c r="R541" s="347"/>
      <c r="S541" s="312"/>
      <c r="T541" s="347"/>
    </row>
    <row r="542" spans="1:20" ht="12" customHeight="1" x14ac:dyDescent="0.3">
      <c r="A542" s="340" t="s">
        <v>294</v>
      </c>
      <c r="B542" s="341">
        <v>22</v>
      </c>
      <c r="C542" s="309">
        <v>46071</v>
      </c>
      <c r="D542" s="310" t="s">
        <v>408</v>
      </c>
      <c r="E542" s="342">
        <v>13.84</v>
      </c>
      <c r="F542" s="342"/>
      <c r="G542" s="344">
        <f t="shared" si="4"/>
        <v>2912.2699999999927</v>
      </c>
      <c r="H542" s="345"/>
      <c r="I542" s="346"/>
      <c r="J542" s="347"/>
      <c r="K542" s="312"/>
      <c r="L542" s="347"/>
      <c r="M542" s="312"/>
      <c r="N542" s="347"/>
      <c r="O542" s="312"/>
      <c r="P542" s="347"/>
      <c r="Q542" s="312"/>
      <c r="R542" s="347"/>
      <c r="S542" s="312"/>
      <c r="T542" s="347"/>
    </row>
    <row r="543" spans="1:20" ht="12" customHeight="1" x14ac:dyDescent="0.3">
      <c r="A543" s="340" t="s">
        <v>289</v>
      </c>
      <c r="B543" s="341">
        <v>2</v>
      </c>
      <c r="C543" s="309">
        <v>46071</v>
      </c>
      <c r="D543" s="310" t="s">
        <v>443</v>
      </c>
      <c r="E543" s="342">
        <v>64.569999999999993</v>
      </c>
      <c r="F543" s="342"/>
      <c r="G543" s="344">
        <f t="shared" si="4"/>
        <v>2926.1099999999929</v>
      </c>
      <c r="H543" s="345"/>
      <c r="I543" s="346"/>
      <c r="J543" s="347"/>
      <c r="K543" s="312"/>
      <c r="L543" s="347"/>
      <c r="M543" s="312"/>
      <c r="N543" s="347"/>
      <c r="O543" s="312"/>
      <c r="P543" s="347"/>
      <c r="Q543" s="312"/>
      <c r="R543" s="347"/>
      <c r="S543" s="312"/>
      <c r="T543" s="347"/>
    </row>
    <row r="544" spans="1:20" ht="12" customHeight="1" x14ac:dyDescent="0.3">
      <c r="A544" s="340" t="s">
        <v>294</v>
      </c>
      <c r="B544" s="341">
        <v>21</v>
      </c>
      <c r="C544" s="309">
        <v>46070</v>
      </c>
      <c r="D544" s="310" t="s">
        <v>194</v>
      </c>
      <c r="E544" s="342">
        <v>81</v>
      </c>
      <c r="F544" s="342"/>
      <c r="G544" s="344">
        <f t="shared" si="4"/>
        <v>2990.679999999993</v>
      </c>
      <c r="H544" s="345"/>
      <c r="I544" s="346"/>
      <c r="J544" s="347"/>
      <c r="K544" s="312"/>
      <c r="L544" s="347"/>
      <c r="M544" s="312"/>
      <c r="N544" s="347"/>
      <c r="O544" s="312"/>
      <c r="P544" s="347"/>
      <c r="Q544" s="312"/>
      <c r="R544" s="347"/>
      <c r="S544" s="312"/>
      <c r="T544" s="347"/>
    </row>
    <row r="545" spans="1:20" ht="12" customHeight="1" x14ac:dyDescent="0.3">
      <c r="A545" s="340" t="s">
        <v>289</v>
      </c>
      <c r="B545" s="341">
        <v>2</v>
      </c>
      <c r="C545" s="309">
        <v>46070</v>
      </c>
      <c r="D545" s="310" t="s">
        <v>388</v>
      </c>
      <c r="E545" s="342">
        <v>81.41</v>
      </c>
      <c r="F545" s="342"/>
      <c r="G545" s="344">
        <f t="shared" si="4"/>
        <v>3071.679999999993</v>
      </c>
      <c r="H545" s="345"/>
      <c r="I545" s="346"/>
      <c r="J545" s="347"/>
      <c r="K545" s="312"/>
      <c r="L545" s="347"/>
      <c r="M545" s="312"/>
      <c r="N545" s="347"/>
      <c r="O545" s="312"/>
      <c r="P545" s="347"/>
      <c r="Q545" s="312"/>
      <c r="R545" s="347"/>
      <c r="S545" s="312"/>
      <c r="T545" s="347"/>
    </row>
    <row r="546" spans="1:20" ht="12" customHeight="1" x14ac:dyDescent="0.3">
      <c r="A546" s="340" t="s">
        <v>289</v>
      </c>
      <c r="B546" s="341">
        <v>6</v>
      </c>
      <c r="C546" s="309">
        <v>46070</v>
      </c>
      <c r="D546" s="310" t="s">
        <v>300</v>
      </c>
      <c r="E546" s="342">
        <v>113.74</v>
      </c>
      <c r="F546" s="342"/>
      <c r="G546" s="344">
        <f t="shared" si="4"/>
        <v>3153.0899999999929</v>
      </c>
      <c r="H546" s="345"/>
      <c r="I546" s="346"/>
      <c r="J546" s="347"/>
      <c r="K546" s="312"/>
      <c r="L546" s="347"/>
      <c r="M546" s="312"/>
      <c r="N546" s="347"/>
      <c r="O546" s="312"/>
      <c r="P546" s="347"/>
      <c r="Q546" s="312"/>
      <c r="R546" s="347"/>
      <c r="S546" s="312"/>
      <c r="T546" s="347"/>
    </row>
    <row r="547" spans="1:20" ht="12" customHeight="1" x14ac:dyDescent="0.3">
      <c r="A547" s="340" t="s">
        <v>294</v>
      </c>
      <c r="B547" s="341">
        <v>43</v>
      </c>
      <c r="C547" s="309">
        <v>46070</v>
      </c>
      <c r="D547" s="310" t="s">
        <v>337</v>
      </c>
      <c r="E547" s="342">
        <v>29.8</v>
      </c>
      <c r="F547" s="342"/>
      <c r="G547" s="344">
        <f t="shared" si="4"/>
        <v>3266.8299999999927</v>
      </c>
      <c r="H547" s="345"/>
      <c r="I547" s="346"/>
      <c r="J547" s="347"/>
      <c r="K547" s="312"/>
      <c r="L547" s="347"/>
      <c r="M547" s="312"/>
      <c r="N547" s="347"/>
      <c r="O547" s="312"/>
      <c r="P547" s="347"/>
      <c r="Q547" s="312"/>
      <c r="R547" s="347"/>
      <c r="S547" s="312"/>
      <c r="T547" s="347"/>
    </row>
    <row r="548" spans="1:20" ht="12" customHeight="1" x14ac:dyDescent="0.3">
      <c r="A548" s="340" t="s">
        <v>294</v>
      </c>
      <c r="B548" s="341">
        <v>42</v>
      </c>
      <c r="C548" s="309">
        <v>46070</v>
      </c>
      <c r="D548" s="310" t="s">
        <v>337</v>
      </c>
      <c r="E548" s="342">
        <v>37.25</v>
      </c>
      <c r="F548" s="342"/>
      <c r="G548" s="344">
        <f t="shared" si="4"/>
        <v>3296.6299999999928</v>
      </c>
      <c r="H548" s="345"/>
      <c r="I548" s="346"/>
      <c r="J548" s="347"/>
      <c r="K548" s="312"/>
      <c r="L548" s="347"/>
      <c r="M548" s="312"/>
      <c r="N548" s="347"/>
      <c r="O548" s="312"/>
      <c r="P548" s="347"/>
      <c r="Q548" s="312"/>
      <c r="R548" s="347"/>
      <c r="S548" s="312"/>
      <c r="T548" s="347"/>
    </row>
    <row r="549" spans="1:20" ht="12" customHeight="1" x14ac:dyDescent="0.3">
      <c r="A549" s="340" t="s">
        <v>289</v>
      </c>
      <c r="B549" s="341">
        <v>2</v>
      </c>
      <c r="C549" s="309">
        <v>46070</v>
      </c>
      <c r="D549" s="310" t="s">
        <v>431</v>
      </c>
      <c r="E549" s="342">
        <v>7.97</v>
      </c>
      <c r="F549" s="342"/>
      <c r="G549" s="344">
        <f t="shared" si="4"/>
        <v>3333.8799999999928</v>
      </c>
      <c r="H549" s="345"/>
      <c r="I549" s="346"/>
      <c r="J549" s="347"/>
      <c r="K549" s="312"/>
      <c r="L549" s="347"/>
      <c r="M549" s="312"/>
      <c r="N549" s="347"/>
      <c r="O549" s="312"/>
      <c r="P549" s="347"/>
      <c r="Q549" s="312"/>
      <c r="R549" s="347"/>
      <c r="S549" s="312"/>
      <c r="T549" s="347"/>
    </row>
    <row r="550" spans="1:20" ht="12" customHeight="1" x14ac:dyDescent="0.3">
      <c r="A550" s="340" t="s">
        <v>294</v>
      </c>
      <c r="B550" s="341">
        <v>17</v>
      </c>
      <c r="C550" s="309">
        <v>46070</v>
      </c>
      <c r="D550" s="310" t="s">
        <v>188</v>
      </c>
      <c r="E550" s="342">
        <v>42.65</v>
      </c>
      <c r="F550" s="342"/>
      <c r="G550" s="344">
        <f t="shared" si="4"/>
        <v>3341.8499999999926</v>
      </c>
      <c r="H550" s="345"/>
      <c r="I550" s="346"/>
      <c r="J550" s="347"/>
      <c r="K550" s="312"/>
      <c r="L550" s="347"/>
      <c r="M550" s="312"/>
      <c r="N550" s="347"/>
      <c r="O550" s="312"/>
      <c r="P550" s="347"/>
      <c r="Q550" s="312"/>
      <c r="R550" s="347"/>
      <c r="S550" s="312"/>
      <c r="T550" s="347"/>
    </row>
    <row r="551" spans="1:20" ht="12" customHeight="1" x14ac:dyDescent="0.3">
      <c r="A551" s="340" t="s">
        <v>289</v>
      </c>
      <c r="B551" s="341">
        <v>6</v>
      </c>
      <c r="C551" s="309">
        <v>46070</v>
      </c>
      <c r="D551" s="310" t="s">
        <v>444</v>
      </c>
      <c r="E551" s="342">
        <v>40</v>
      </c>
      <c r="F551" s="342"/>
      <c r="G551" s="344">
        <f t="shared" si="4"/>
        <v>3384.4999999999927</v>
      </c>
      <c r="H551" s="345"/>
      <c r="I551" s="346"/>
      <c r="J551" s="347"/>
      <c r="K551" s="312"/>
      <c r="L551" s="347"/>
      <c r="M551" s="312"/>
      <c r="N551" s="347"/>
      <c r="O551" s="312"/>
      <c r="P551" s="347"/>
      <c r="Q551" s="312"/>
      <c r="R551" s="347"/>
      <c r="S551" s="312"/>
      <c r="T551" s="347"/>
    </row>
    <row r="552" spans="1:20" ht="12" customHeight="1" x14ac:dyDescent="0.3">
      <c r="A552" s="340" t="s">
        <v>294</v>
      </c>
      <c r="B552" s="341">
        <v>11</v>
      </c>
      <c r="C552" s="309">
        <v>46070</v>
      </c>
      <c r="D552" s="310" t="s">
        <v>178</v>
      </c>
      <c r="E552" s="342">
        <v>480.91</v>
      </c>
      <c r="F552" s="342"/>
      <c r="G552" s="344">
        <f t="shared" si="4"/>
        <v>3424.4999999999927</v>
      </c>
      <c r="H552" s="345"/>
      <c r="I552" s="346"/>
      <c r="J552" s="347"/>
      <c r="K552" s="312"/>
      <c r="L552" s="347"/>
      <c r="M552" s="312"/>
      <c r="N552" s="347"/>
      <c r="O552" s="312"/>
      <c r="P552" s="347"/>
      <c r="Q552" s="312"/>
      <c r="R552" s="347"/>
      <c r="S552" s="312"/>
      <c r="T552" s="347"/>
    </row>
    <row r="553" spans="1:20" ht="12" customHeight="1" x14ac:dyDescent="0.3">
      <c r="A553" s="340" t="s">
        <v>294</v>
      </c>
      <c r="B553" s="341">
        <v>23</v>
      </c>
      <c r="C553" s="309">
        <v>46070</v>
      </c>
      <c r="D553" s="310" t="s">
        <v>63</v>
      </c>
      <c r="E553" s="342">
        <v>529.46</v>
      </c>
      <c r="F553" s="342"/>
      <c r="G553" s="344">
        <f t="shared" si="4"/>
        <v>3905.4099999999926</v>
      </c>
      <c r="H553" s="345"/>
      <c r="I553" s="346"/>
      <c r="J553" s="347"/>
      <c r="K553" s="312"/>
      <c r="L553" s="347"/>
      <c r="M553" s="312"/>
      <c r="N553" s="347"/>
      <c r="O553" s="312"/>
      <c r="P553" s="347"/>
      <c r="Q553" s="312"/>
      <c r="R553" s="347"/>
      <c r="S553" s="312"/>
      <c r="T553" s="347"/>
    </row>
    <row r="554" spans="1:20" ht="12" customHeight="1" x14ac:dyDescent="0.3">
      <c r="A554" s="340" t="s">
        <v>289</v>
      </c>
      <c r="B554" s="341">
        <v>2</v>
      </c>
      <c r="C554" s="309">
        <v>46069</v>
      </c>
      <c r="D554" s="310" t="s">
        <v>327</v>
      </c>
      <c r="E554" s="342">
        <v>16.079999999999998</v>
      </c>
      <c r="F554" s="342"/>
      <c r="G554" s="344">
        <f t="shared" si="4"/>
        <v>4434.8699999999926</v>
      </c>
      <c r="H554" s="345"/>
      <c r="I554" s="346"/>
      <c r="J554" s="347"/>
      <c r="K554" s="312"/>
      <c r="L554" s="347"/>
      <c r="M554" s="312"/>
      <c r="N554" s="347"/>
      <c r="O554" s="312"/>
      <c r="P554" s="347"/>
      <c r="Q554" s="312"/>
      <c r="R554" s="347"/>
      <c r="S554" s="312"/>
      <c r="T554" s="347"/>
    </row>
    <row r="555" spans="1:20" ht="12" customHeight="1" x14ac:dyDescent="0.3">
      <c r="A555" s="340" t="s">
        <v>289</v>
      </c>
      <c r="B555" s="341">
        <v>6</v>
      </c>
      <c r="C555" s="309">
        <v>46069</v>
      </c>
      <c r="D555" s="310" t="s">
        <v>300</v>
      </c>
      <c r="E555" s="342">
        <v>21.17</v>
      </c>
      <c r="F555" s="342"/>
      <c r="G555" s="344">
        <f t="shared" si="4"/>
        <v>4450.9499999999925</v>
      </c>
      <c r="H555" s="345"/>
      <c r="I555" s="346"/>
      <c r="J555" s="347"/>
      <c r="K555" s="312"/>
      <c r="L555" s="347"/>
      <c r="M555" s="312"/>
      <c r="N555" s="347"/>
      <c r="O555" s="312"/>
      <c r="P555" s="347"/>
      <c r="Q555" s="312"/>
      <c r="R555" s="347"/>
      <c r="S555" s="312"/>
      <c r="T555" s="347"/>
    </row>
    <row r="556" spans="1:20" ht="12" customHeight="1" x14ac:dyDescent="0.3">
      <c r="A556" s="340" t="s">
        <v>289</v>
      </c>
      <c r="B556" s="341">
        <v>6</v>
      </c>
      <c r="C556" s="309">
        <v>46069</v>
      </c>
      <c r="D556" s="310" t="s">
        <v>300</v>
      </c>
      <c r="E556" s="342">
        <v>17.03</v>
      </c>
      <c r="F556" s="342"/>
      <c r="G556" s="344">
        <f t="shared" si="4"/>
        <v>4472.1199999999926</v>
      </c>
      <c r="H556" s="345"/>
      <c r="I556" s="346"/>
      <c r="J556" s="347"/>
      <c r="K556" s="312"/>
      <c r="L556" s="347"/>
      <c r="M556" s="312"/>
      <c r="N556" s="347"/>
      <c r="O556" s="312"/>
      <c r="P556" s="347"/>
      <c r="Q556" s="312"/>
      <c r="R556" s="347"/>
      <c r="S556" s="312"/>
      <c r="T556" s="347"/>
    </row>
    <row r="557" spans="1:20" ht="12" customHeight="1" x14ac:dyDescent="0.3">
      <c r="A557" s="340" t="s">
        <v>289</v>
      </c>
      <c r="B557" s="341">
        <v>2</v>
      </c>
      <c r="C557" s="309">
        <v>46069</v>
      </c>
      <c r="D557" s="310" t="s">
        <v>296</v>
      </c>
      <c r="E557" s="342">
        <v>18.309999999999999</v>
      </c>
      <c r="F557" s="342"/>
      <c r="G557" s="344">
        <f t="shared" si="4"/>
        <v>4489.1499999999924</v>
      </c>
      <c r="H557" s="345"/>
      <c r="I557" s="346"/>
      <c r="J557" s="347"/>
      <c r="K557" s="312"/>
      <c r="L557" s="347"/>
      <c r="M557" s="312"/>
      <c r="N557" s="347"/>
      <c r="O557" s="312"/>
      <c r="P557" s="347"/>
      <c r="Q557" s="312"/>
      <c r="R557" s="347"/>
      <c r="S557" s="312"/>
      <c r="T557" s="347"/>
    </row>
    <row r="558" spans="1:20" ht="12" customHeight="1" x14ac:dyDescent="0.3">
      <c r="A558" s="340" t="s">
        <v>289</v>
      </c>
      <c r="B558" s="341">
        <v>2</v>
      </c>
      <c r="C558" s="309">
        <v>46069</v>
      </c>
      <c r="D558" s="310" t="s">
        <v>301</v>
      </c>
      <c r="E558" s="342">
        <v>19.3</v>
      </c>
      <c r="F558" s="342"/>
      <c r="G558" s="344">
        <f t="shared" si="4"/>
        <v>4507.4599999999928</v>
      </c>
      <c r="H558" s="345"/>
      <c r="I558" s="346"/>
      <c r="J558" s="347"/>
      <c r="K558" s="312"/>
      <c r="L558" s="347"/>
      <c r="M558" s="312"/>
      <c r="N558" s="347"/>
      <c r="O558" s="312"/>
      <c r="P558" s="347"/>
      <c r="Q558" s="312"/>
      <c r="R558" s="347"/>
      <c r="S558" s="312"/>
      <c r="T558" s="347"/>
    </row>
    <row r="559" spans="1:20" ht="12" customHeight="1" x14ac:dyDescent="0.3">
      <c r="A559" s="340" t="s">
        <v>289</v>
      </c>
      <c r="B559" s="341">
        <v>6</v>
      </c>
      <c r="C559" s="309">
        <v>46069</v>
      </c>
      <c r="D559" s="310" t="s">
        <v>402</v>
      </c>
      <c r="E559" s="342">
        <v>24.67</v>
      </c>
      <c r="F559" s="342"/>
      <c r="G559" s="344">
        <f t="shared" si="4"/>
        <v>4526.7599999999929</v>
      </c>
      <c r="H559" s="345"/>
      <c r="I559" s="346"/>
      <c r="J559" s="347"/>
      <c r="K559" s="312"/>
      <c r="L559" s="347"/>
      <c r="M559" s="312"/>
      <c r="N559" s="347"/>
      <c r="O559" s="312"/>
      <c r="P559" s="347"/>
      <c r="Q559" s="312"/>
      <c r="R559" s="347"/>
      <c r="S559" s="312"/>
      <c r="T559" s="347"/>
    </row>
    <row r="560" spans="1:20" ht="12" customHeight="1" x14ac:dyDescent="0.3">
      <c r="A560" s="340" t="s">
        <v>287</v>
      </c>
      <c r="B560" s="341" t="s">
        <v>287</v>
      </c>
      <c r="C560" s="309">
        <v>46069</v>
      </c>
      <c r="D560" s="310" t="s">
        <v>402</v>
      </c>
      <c r="E560" s="342">
        <v>152.41999999999999</v>
      </c>
      <c r="F560" s="342">
        <v>152.41999999999999</v>
      </c>
      <c r="G560" s="344">
        <f t="shared" si="4"/>
        <v>4551.429999999993</v>
      </c>
      <c r="H560" s="345"/>
      <c r="I560" s="346"/>
      <c r="J560" s="347"/>
      <c r="K560" s="312"/>
      <c r="L560" s="347"/>
      <c r="M560" s="312"/>
      <c r="N560" s="347"/>
      <c r="O560" s="312"/>
      <c r="P560" s="347"/>
      <c r="Q560" s="312"/>
      <c r="R560" s="347"/>
      <c r="S560" s="312"/>
      <c r="T560" s="347"/>
    </row>
    <row r="561" spans="1:20" ht="12" customHeight="1" x14ac:dyDescent="0.3">
      <c r="A561" s="340" t="s">
        <v>289</v>
      </c>
      <c r="B561" s="341">
        <v>6</v>
      </c>
      <c r="C561" s="309">
        <v>46068</v>
      </c>
      <c r="D561" s="310" t="s">
        <v>445</v>
      </c>
      <c r="E561" s="342">
        <v>233.83</v>
      </c>
      <c r="F561" s="342"/>
      <c r="G561" s="344">
        <f t="shared" si="4"/>
        <v>4551.429999999993</v>
      </c>
      <c r="H561" s="345"/>
      <c r="I561" s="346"/>
      <c r="J561" s="347"/>
      <c r="K561" s="312"/>
      <c r="L561" s="347"/>
      <c r="M561" s="312"/>
      <c r="N561" s="347"/>
      <c r="O561" s="312"/>
      <c r="P561" s="347"/>
      <c r="Q561" s="312"/>
      <c r="R561" s="347"/>
      <c r="S561" s="312"/>
      <c r="T561" s="347"/>
    </row>
    <row r="562" spans="1:20" ht="12" customHeight="1" x14ac:dyDescent="0.3">
      <c r="A562" s="340" t="s">
        <v>289</v>
      </c>
      <c r="B562" s="341">
        <v>2</v>
      </c>
      <c r="C562" s="309">
        <v>46068</v>
      </c>
      <c r="D562" s="310" t="s">
        <v>329</v>
      </c>
      <c r="E562" s="342">
        <v>50.87</v>
      </c>
      <c r="F562" s="342"/>
      <c r="G562" s="344">
        <f t="shared" si="4"/>
        <v>4785.2599999999929</v>
      </c>
      <c r="H562" s="345"/>
      <c r="I562" s="346"/>
      <c r="J562" s="347"/>
      <c r="K562" s="312"/>
      <c r="L562" s="347"/>
      <c r="M562" s="312"/>
      <c r="N562" s="347"/>
      <c r="O562" s="312"/>
      <c r="P562" s="347"/>
      <c r="Q562" s="312"/>
      <c r="R562" s="347"/>
      <c r="S562" s="312"/>
      <c r="T562" s="347"/>
    </row>
    <row r="563" spans="1:20" ht="12" customHeight="1" x14ac:dyDescent="0.3">
      <c r="A563" s="340" t="s">
        <v>289</v>
      </c>
      <c r="B563" s="341">
        <v>2</v>
      </c>
      <c r="C563" s="309">
        <v>46068</v>
      </c>
      <c r="D563" s="310" t="s">
        <v>446</v>
      </c>
      <c r="E563" s="342">
        <v>16</v>
      </c>
      <c r="F563" s="342"/>
      <c r="G563" s="344">
        <f t="shared" si="4"/>
        <v>4836.1299999999928</v>
      </c>
      <c r="H563" s="345"/>
      <c r="I563" s="346"/>
      <c r="J563" s="347"/>
      <c r="K563" s="312"/>
      <c r="L563" s="347"/>
      <c r="M563" s="312"/>
      <c r="N563" s="347"/>
      <c r="O563" s="312"/>
      <c r="P563" s="347"/>
      <c r="Q563" s="312"/>
      <c r="R563" s="347"/>
      <c r="S563" s="312"/>
      <c r="T563" s="347"/>
    </row>
    <row r="564" spans="1:20" ht="12" customHeight="1" x14ac:dyDescent="0.3">
      <c r="A564" s="340" t="s">
        <v>289</v>
      </c>
      <c r="B564" s="341">
        <v>2</v>
      </c>
      <c r="C564" s="309">
        <v>46068</v>
      </c>
      <c r="D564" s="310" t="s">
        <v>357</v>
      </c>
      <c r="E564" s="342">
        <v>30</v>
      </c>
      <c r="F564" s="342"/>
      <c r="G564" s="344">
        <f t="shared" si="4"/>
        <v>4852.1299999999928</v>
      </c>
      <c r="H564" s="345"/>
      <c r="I564" s="346"/>
      <c r="J564" s="347"/>
      <c r="K564" s="312"/>
      <c r="L564" s="347"/>
      <c r="M564" s="312"/>
      <c r="N564" s="347"/>
      <c r="O564" s="312"/>
      <c r="P564" s="347"/>
      <c r="Q564" s="312"/>
      <c r="R564" s="347"/>
      <c r="S564" s="312"/>
      <c r="T564" s="347"/>
    </row>
    <row r="565" spans="1:20" ht="12" customHeight="1" x14ac:dyDescent="0.3">
      <c r="A565" s="340" t="s">
        <v>289</v>
      </c>
      <c r="B565" s="341">
        <v>6</v>
      </c>
      <c r="C565" s="309">
        <v>46068</v>
      </c>
      <c r="D565" s="310" t="s">
        <v>307</v>
      </c>
      <c r="E565" s="342">
        <v>76</v>
      </c>
      <c r="F565" s="342"/>
      <c r="G565" s="344">
        <f t="shared" si="4"/>
        <v>4882.1299999999928</v>
      </c>
      <c r="H565" s="345"/>
      <c r="I565" s="346"/>
      <c r="J565" s="347"/>
      <c r="K565" s="312"/>
      <c r="L565" s="347"/>
      <c r="M565" s="312"/>
      <c r="N565" s="347"/>
      <c r="O565" s="312"/>
      <c r="P565" s="347"/>
      <c r="Q565" s="312"/>
      <c r="R565" s="347"/>
      <c r="S565" s="312"/>
      <c r="T565" s="347"/>
    </row>
    <row r="566" spans="1:20" ht="12" customHeight="1" x14ac:dyDescent="0.3">
      <c r="A566" s="340" t="s">
        <v>289</v>
      </c>
      <c r="B566" s="341">
        <v>3</v>
      </c>
      <c r="C566" s="309">
        <v>46068</v>
      </c>
      <c r="D566" s="310" t="s">
        <v>352</v>
      </c>
      <c r="E566" s="342">
        <v>3.59</v>
      </c>
      <c r="F566" s="342"/>
      <c r="G566" s="344">
        <f t="shared" si="4"/>
        <v>4958.1299999999928</v>
      </c>
      <c r="H566" s="345"/>
      <c r="I566" s="346"/>
      <c r="J566" s="347"/>
      <c r="K566" s="312"/>
      <c r="L566" s="347"/>
      <c r="M566" s="312"/>
      <c r="N566" s="347"/>
      <c r="O566" s="312"/>
      <c r="P566" s="347"/>
      <c r="Q566" s="312"/>
      <c r="R566" s="347"/>
      <c r="S566" s="312"/>
      <c r="T566" s="347"/>
    </row>
    <row r="567" spans="1:20" ht="12" customHeight="1" x14ac:dyDescent="0.3">
      <c r="A567" s="340" t="s">
        <v>289</v>
      </c>
      <c r="B567" s="341">
        <v>6</v>
      </c>
      <c r="C567" s="309">
        <v>46068</v>
      </c>
      <c r="D567" s="310" t="s">
        <v>447</v>
      </c>
      <c r="E567" s="342">
        <v>70</v>
      </c>
      <c r="F567" s="342"/>
      <c r="G567" s="344">
        <f t="shared" si="4"/>
        <v>4961.719999999993</v>
      </c>
      <c r="H567" s="345"/>
      <c r="I567" s="346"/>
      <c r="J567" s="347"/>
      <c r="K567" s="312"/>
      <c r="L567" s="347"/>
      <c r="M567" s="312"/>
      <c r="N567" s="347"/>
      <c r="O567" s="312"/>
      <c r="P567" s="347"/>
      <c r="Q567" s="312"/>
      <c r="R567" s="347"/>
      <c r="S567" s="312"/>
      <c r="T567" s="347"/>
    </row>
    <row r="568" spans="1:20" ht="12" customHeight="1" x14ac:dyDescent="0.3">
      <c r="A568" s="340" t="s">
        <v>289</v>
      </c>
      <c r="B568" s="341">
        <v>8</v>
      </c>
      <c r="C568" s="309">
        <v>46068</v>
      </c>
      <c r="D568" s="310" t="s">
        <v>448</v>
      </c>
      <c r="E568" s="342">
        <v>175</v>
      </c>
      <c r="F568" s="342"/>
      <c r="G568" s="344">
        <f t="shared" si="4"/>
        <v>5031.719999999993</v>
      </c>
      <c r="H568" s="345" t="s">
        <v>298</v>
      </c>
      <c r="I568" s="346"/>
      <c r="J568" s="347"/>
      <c r="K568" s="312"/>
      <c r="L568" s="347"/>
      <c r="M568" s="312"/>
      <c r="N568" s="347"/>
      <c r="O568" s="312"/>
      <c r="P568" s="347"/>
      <c r="Q568" s="312"/>
      <c r="R568" s="347"/>
      <c r="S568" s="312"/>
      <c r="T568" s="347"/>
    </row>
    <row r="569" spans="1:20" ht="12" customHeight="1" x14ac:dyDescent="0.3">
      <c r="A569" s="340" t="s">
        <v>289</v>
      </c>
      <c r="B569" s="341">
        <v>8</v>
      </c>
      <c r="C569" s="309">
        <v>46067</v>
      </c>
      <c r="D569" s="310" t="s">
        <v>321</v>
      </c>
      <c r="E569" s="342">
        <v>13.09</v>
      </c>
      <c r="F569" s="342"/>
      <c r="G569" s="344">
        <f t="shared" si="4"/>
        <v>5206.719999999993</v>
      </c>
      <c r="H569" s="345"/>
      <c r="I569" s="346"/>
      <c r="J569" s="347"/>
      <c r="K569" s="312"/>
      <c r="L569" s="347"/>
      <c r="M569" s="312"/>
      <c r="N569" s="347"/>
      <c r="O569" s="312"/>
      <c r="P569" s="347"/>
      <c r="Q569" s="312"/>
      <c r="R569" s="347"/>
      <c r="S569" s="312"/>
      <c r="T569" s="347"/>
    </row>
    <row r="570" spans="1:20" ht="12" customHeight="1" x14ac:dyDescent="0.3">
      <c r="A570" s="340" t="s">
        <v>289</v>
      </c>
      <c r="B570" s="341">
        <v>3</v>
      </c>
      <c r="C570" s="309">
        <v>46067</v>
      </c>
      <c r="D570" s="310" t="s">
        <v>296</v>
      </c>
      <c r="E570" s="342">
        <v>7.56</v>
      </c>
      <c r="F570" s="342"/>
      <c r="G570" s="344">
        <f t="shared" si="4"/>
        <v>5219.8099999999931</v>
      </c>
      <c r="H570" s="345"/>
      <c r="I570" s="346"/>
      <c r="J570" s="347"/>
      <c r="K570" s="312"/>
      <c r="L570" s="347"/>
      <c r="M570" s="312"/>
      <c r="N570" s="347"/>
      <c r="O570" s="312"/>
      <c r="P570" s="347"/>
      <c r="Q570" s="312"/>
      <c r="R570" s="347"/>
      <c r="S570" s="312"/>
      <c r="T570" s="347"/>
    </row>
    <row r="571" spans="1:20" ht="12" customHeight="1" x14ac:dyDescent="0.3">
      <c r="A571" s="340" t="s">
        <v>289</v>
      </c>
      <c r="B571" s="341">
        <v>4</v>
      </c>
      <c r="C571" s="309">
        <v>46067</v>
      </c>
      <c r="D571" s="310" t="s">
        <v>296</v>
      </c>
      <c r="E571" s="342">
        <v>32.409999999999997</v>
      </c>
      <c r="F571" s="342"/>
      <c r="G571" s="344">
        <f t="shared" si="4"/>
        <v>5227.3699999999935</v>
      </c>
      <c r="H571" s="345"/>
      <c r="I571" s="346"/>
      <c r="J571" s="347"/>
      <c r="K571" s="312"/>
      <c r="L571" s="347"/>
      <c r="M571" s="312"/>
      <c r="N571" s="347"/>
      <c r="O571" s="312"/>
      <c r="P571" s="347"/>
      <c r="Q571" s="312"/>
      <c r="R571" s="347"/>
      <c r="S571" s="312"/>
      <c r="T571" s="347"/>
    </row>
    <row r="572" spans="1:20" ht="12" customHeight="1" x14ac:dyDescent="0.3">
      <c r="A572" s="340" t="s">
        <v>289</v>
      </c>
      <c r="B572" s="341">
        <v>5</v>
      </c>
      <c r="C572" s="309">
        <v>46067</v>
      </c>
      <c r="D572" s="310" t="s">
        <v>449</v>
      </c>
      <c r="E572" s="342">
        <v>400</v>
      </c>
      <c r="F572" s="342"/>
      <c r="G572" s="344">
        <f t="shared" si="4"/>
        <v>5259.7799999999934</v>
      </c>
      <c r="H572" s="345"/>
      <c r="I572" s="346"/>
      <c r="J572" s="347"/>
      <c r="K572" s="312"/>
      <c r="L572" s="347"/>
      <c r="M572" s="312"/>
      <c r="N572" s="347"/>
      <c r="O572" s="312"/>
      <c r="P572" s="347"/>
      <c r="Q572" s="312"/>
      <c r="R572" s="347"/>
      <c r="S572" s="312"/>
      <c r="T572" s="347"/>
    </row>
    <row r="573" spans="1:20" ht="12" customHeight="1" x14ac:dyDescent="0.3">
      <c r="A573" s="340" t="s">
        <v>289</v>
      </c>
      <c r="B573" s="341">
        <v>8</v>
      </c>
      <c r="C573" s="309">
        <v>46066</v>
      </c>
      <c r="D573" s="310" t="s">
        <v>321</v>
      </c>
      <c r="E573" s="342">
        <v>41.51</v>
      </c>
      <c r="F573" s="342"/>
      <c r="G573" s="344">
        <f t="shared" si="4"/>
        <v>5659.7799999999934</v>
      </c>
      <c r="H573" s="345"/>
      <c r="I573" s="346"/>
      <c r="J573" s="347"/>
      <c r="K573" s="312"/>
      <c r="L573" s="347"/>
      <c r="M573" s="312"/>
      <c r="N573" s="347"/>
      <c r="O573" s="312"/>
      <c r="P573" s="347"/>
      <c r="Q573" s="312"/>
      <c r="R573" s="347"/>
      <c r="S573" s="312"/>
      <c r="T573" s="347"/>
    </row>
    <row r="574" spans="1:20" ht="12" customHeight="1" x14ac:dyDescent="0.3">
      <c r="A574" s="340" t="s">
        <v>289</v>
      </c>
      <c r="B574" s="341">
        <v>4</v>
      </c>
      <c r="C574" s="309">
        <v>46066</v>
      </c>
      <c r="D574" s="310" t="s">
        <v>296</v>
      </c>
      <c r="E574" s="342">
        <v>21.55</v>
      </c>
      <c r="F574" s="342"/>
      <c r="G574" s="344">
        <f t="shared" si="4"/>
        <v>5701.2899999999936</v>
      </c>
      <c r="H574" s="345"/>
      <c r="I574" s="346"/>
      <c r="J574" s="347"/>
      <c r="K574" s="312"/>
      <c r="L574" s="347"/>
      <c r="M574" s="312"/>
      <c r="N574" s="347"/>
      <c r="O574" s="312"/>
      <c r="P574" s="347"/>
      <c r="Q574" s="312"/>
      <c r="R574" s="347"/>
      <c r="S574" s="312"/>
      <c r="T574" s="347"/>
    </row>
    <row r="575" spans="1:20" ht="12" customHeight="1" x14ac:dyDescent="0.3">
      <c r="A575" s="340" t="s">
        <v>289</v>
      </c>
      <c r="B575" s="341">
        <v>2</v>
      </c>
      <c r="C575" s="309">
        <v>46066</v>
      </c>
      <c r="D575" s="310" t="s">
        <v>362</v>
      </c>
      <c r="E575" s="342">
        <v>12.45</v>
      </c>
      <c r="F575" s="342"/>
      <c r="G575" s="344">
        <f t="shared" si="4"/>
        <v>5722.8399999999938</v>
      </c>
      <c r="H575" s="345"/>
      <c r="I575" s="346"/>
      <c r="J575" s="347"/>
      <c r="K575" s="312"/>
      <c r="L575" s="347"/>
      <c r="M575" s="312"/>
      <c r="N575" s="347"/>
      <c r="O575" s="312"/>
      <c r="P575" s="347"/>
      <c r="Q575" s="312"/>
      <c r="R575" s="347"/>
      <c r="S575" s="312"/>
      <c r="T575" s="347"/>
    </row>
    <row r="576" spans="1:20" ht="12" customHeight="1" x14ac:dyDescent="0.3">
      <c r="A576" s="340" t="s">
        <v>287</v>
      </c>
      <c r="B576" s="341" t="s">
        <v>287</v>
      </c>
      <c r="C576" s="309">
        <v>46066</v>
      </c>
      <c r="D576" s="310" t="s">
        <v>402</v>
      </c>
      <c r="E576" s="342">
        <v>91.38</v>
      </c>
      <c r="F576" s="342">
        <v>91.38</v>
      </c>
      <c r="G576" s="344">
        <f t="shared" si="4"/>
        <v>5735.2899999999936</v>
      </c>
      <c r="H576" s="345"/>
      <c r="I576" s="346"/>
      <c r="J576" s="347"/>
      <c r="K576" s="312"/>
      <c r="L576" s="347"/>
      <c r="M576" s="312"/>
      <c r="N576" s="347"/>
      <c r="O576" s="312"/>
      <c r="P576" s="347"/>
      <c r="Q576" s="312"/>
      <c r="R576" s="347"/>
      <c r="S576" s="312"/>
      <c r="T576" s="347"/>
    </row>
    <row r="577" spans="1:20" ht="12" customHeight="1" x14ac:dyDescent="0.3">
      <c r="A577" s="340" t="s">
        <v>289</v>
      </c>
      <c r="B577" s="341">
        <v>1</v>
      </c>
      <c r="C577" s="309">
        <v>46066</v>
      </c>
      <c r="D577" s="310" t="s">
        <v>312</v>
      </c>
      <c r="E577" s="342">
        <v>16.48</v>
      </c>
      <c r="F577" s="342"/>
      <c r="G577" s="344">
        <f t="shared" si="4"/>
        <v>5735.2899999999936</v>
      </c>
      <c r="H577" s="345"/>
      <c r="I577" s="346"/>
      <c r="J577" s="347"/>
      <c r="K577" s="312"/>
      <c r="L577" s="347"/>
      <c r="M577" s="312"/>
      <c r="N577" s="347"/>
      <c r="O577" s="312"/>
      <c r="P577" s="347"/>
      <c r="Q577" s="312"/>
      <c r="R577" s="347"/>
      <c r="S577" s="312"/>
      <c r="T577" s="347"/>
    </row>
    <row r="578" spans="1:20" ht="12" customHeight="1" x14ac:dyDescent="0.3">
      <c r="A578" s="340" t="s">
        <v>289</v>
      </c>
      <c r="B578" s="341">
        <v>1</v>
      </c>
      <c r="C578" s="309">
        <v>46066</v>
      </c>
      <c r="D578" s="310" t="s">
        <v>435</v>
      </c>
      <c r="E578" s="342">
        <v>12.76</v>
      </c>
      <c r="F578" s="342"/>
      <c r="G578" s="344">
        <f t="shared" si="4"/>
        <v>5751.7699999999932</v>
      </c>
      <c r="H578" s="345"/>
      <c r="I578" s="346"/>
      <c r="J578" s="347"/>
      <c r="K578" s="312"/>
      <c r="L578" s="347"/>
      <c r="M578" s="312"/>
      <c r="N578" s="347"/>
      <c r="O578" s="312"/>
      <c r="P578" s="347"/>
      <c r="Q578" s="312"/>
      <c r="R578" s="347"/>
      <c r="S578" s="312"/>
      <c r="T578" s="347"/>
    </row>
    <row r="579" spans="1:20" ht="12" customHeight="1" x14ac:dyDescent="0.3">
      <c r="A579" s="340" t="s">
        <v>289</v>
      </c>
      <c r="B579" s="341">
        <v>4</v>
      </c>
      <c r="C579" s="309">
        <v>46066</v>
      </c>
      <c r="D579" s="310" t="s">
        <v>332</v>
      </c>
      <c r="E579" s="342">
        <v>37.9</v>
      </c>
      <c r="F579" s="342"/>
      <c r="G579" s="344">
        <f t="shared" si="4"/>
        <v>5764.5299999999934</v>
      </c>
      <c r="H579" s="345"/>
      <c r="I579" s="346"/>
      <c r="J579" s="347"/>
      <c r="K579" s="312"/>
      <c r="L579" s="347"/>
      <c r="M579" s="312"/>
      <c r="N579" s="347"/>
      <c r="O579" s="312"/>
      <c r="P579" s="347"/>
      <c r="Q579" s="312"/>
      <c r="R579" s="347"/>
      <c r="S579" s="312"/>
      <c r="T579" s="347"/>
    </row>
    <row r="580" spans="1:20" ht="12" customHeight="1" x14ac:dyDescent="0.3">
      <c r="A580" s="340" t="s">
        <v>291</v>
      </c>
      <c r="B580" s="341">
        <v>40</v>
      </c>
      <c r="C580" s="309">
        <v>46066</v>
      </c>
      <c r="D580" s="310" t="s">
        <v>318</v>
      </c>
      <c r="E580" s="342"/>
      <c r="F580" s="342">
        <v>427.18</v>
      </c>
      <c r="G580" s="344">
        <f t="shared" si="4"/>
        <v>5802.429999999993</v>
      </c>
      <c r="H580" s="345"/>
      <c r="I580" s="346"/>
      <c r="J580" s="347"/>
      <c r="K580" s="312"/>
      <c r="L580" s="347"/>
      <c r="M580" s="312"/>
      <c r="N580" s="347"/>
      <c r="O580" s="312"/>
      <c r="P580" s="347"/>
      <c r="Q580" s="312"/>
      <c r="R580" s="347"/>
      <c r="S580" s="312"/>
      <c r="T580" s="347"/>
    </row>
    <row r="581" spans="1:20" ht="12" customHeight="1" x14ac:dyDescent="0.3">
      <c r="A581" s="340" t="s">
        <v>291</v>
      </c>
      <c r="B581" s="341">
        <v>38</v>
      </c>
      <c r="C581" s="309">
        <v>46066</v>
      </c>
      <c r="D581" s="310" t="s">
        <v>293</v>
      </c>
      <c r="E581" s="342"/>
      <c r="F581" s="342">
        <v>4278.16</v>
      </c>
      <c r="G581" s="344">
        <f t="shared" si="4"/>
        <v>5375.2499999999927</v>
      </c>
      <c r="H581" s="345"/>
      <c r="I581" s="346"/>
      <c r="J581" s="347"/>
      <c r="K581" s="312"/>
      <c r="L581" s="347"/>
      <c r="M581" s="312"/>
      <c r="N581" s="347"/>
      <c r="O581" s="312"/>
      <c r="P581" s="347"/>
      <c r="Q581" s="312"/>
      <c r="R581" s="347"/>
      <c r="S581" s="312"/>
      <c r="T581" s="347"/>
    </row>
    <row r="582" spans="1:20" ht="12" customHeight="1" x14ac:dyDescent="0.3">
      <c r="A582" s="340" t="s">
        <v>289</v>
      </c>
      <c r="B582" s="341">
        <v>8</v>
      </c>
      <c r="C582" s="309">
        <v>46065</v>
      </c>
      <c r="D582" s="310" t="s">
        <v>361</v>
      </c>
      <c r="E582" s="342">
        <v>111.36</v>
      </c>
      <c r="F582" s="342"/>
      <c r="G582" s="344">
        <f t="shared" si="4"/>
        <v>1097.0899999999931</v>
      </c>
      <c r="H582" s="345"/>
      <c r="I582" s="346"/>
      <c r="J582" s="347"/>
      <c r="K582" s="312"/>
      <c r="L582" s="347"/>
      <c r="M582" s="312"/>
      <c r="N582" s="347"/>
      <c r="O582" s="312"/>
      <c r="P582" s="347"/>
      <c r="Q582" s="312"/>
      <c r="R582" s="347"/>
      <c r="S582" s="312"/>
      <c r="T582" s="347"/>
    </row>
    <row r="583" spans="1:20" ht="12" customHeight="1" x14ac:dyDescent="0.3">
      <c r="A583" s="340" t="s">
        <v>289</v>
      </c>
      <c r="B583" s="341">
        <v>6</v>
      </c>
      <c r="C583" s="309">
        <v>46065</v>
      </c>
      <c r="D583" s="310" t="s">
        <v>450</v>
      </c>
      <c r="E583" s="342">
        <v>16</v>
      </c>
      <c r="F583" s="342"/>
      <c r="G583" s="344">
        <f t="shared" si="4"/>
        <v>1208.449999999993</v>
      </c>
      <c r="H583" s="345"/>
      <c r="I583" s="346"/>
      <c r="J583" s="347"/>
      <c r="K583" s="312"/>
      <c r="L583" s="347"/>
      <c r="M583" s="312"/>
      <c r="N583" s="347"/>
      <c r="O583" s="312"/>
      <c r="P583" s="347"/>
      <c r="Q583" s="312"/>
      <c r="R583" s="347"/>
      <c r="S583" s="312"/>
      <c r="T583" s="347"/>
    </row>
    <row r="584" spans="1:20" ht="12" customHeight="1" x14ac:dyDescent="0.3">
      <c r="A584" s="340" t="s">
        <v>289</v>
      </c>
      <c r="B584" s="341">
        <v>6</v>
      </c>
      <c r="C584" s="309">
        <v>46065</v>
      </c>
      <c r="D584" s="310" t="s">
        <v>300</v>
      </c>
      <c r="E584" s="342">
        <v>29.81</v>
      </c>
      <c r="F584" s="342"/>
      <c r="G584" s="344">
        <f t="shared" si="4"/>
        <v>1224.449999999993</v>
      </c>
      <c r="H584" s="345"/>
      <c r="I584" s="346"/>
      <c r="J584" s="347"/>
      <c r="K584" s="312"/>
      <c r="L584" s="347"/>
      <c r="M584" s="312"/>
      <c r="N584" s="347"/>
      <c r="O584" s="312"/>
      <c r="P584" s="347"/>
      <c r="Q584" s="312"/>
      <c r="R584" s="347"/>
      <c r="S584" s="312"/>
      <c r="T584" s="347"/>
    </row>
    <row r="585" spans="1:20" ht="12" customHeight="1" x14ac:dyDescent="0.3">
      <c r="A585" s="340" t="s">
        <v>294</v>
      </c>
      <c r="B585" s="341">
        <v>19</v>
      </c>
      <c r="C585" s="309">
        <v>46065</v>
      </c>
      <c r="D585" s="310" t="s">
        <v>191</v>
      </c>
      <c r="E585" s="342">
        <v>200</v>
      </c>
      <c r="F585" s="342"/>
      <c r="G585" s="344">
        <f t="shared" si="4"/>
        <v>1254.2599999999929</v>
      </c>
      <c r="H585" s="345"/>
      <c r="I585" s="346"/>
      <c r="J585" s="347"/>
      <c r="K585" s="312"/>
      <c r="L585" s="347"/>
      <c r="M585" s="312"/>
      <c r="N585" s="347"/>
      <c r="O585" s="312"/>
      <c r="P585" s="347"/>
      <c r="Q585" s="312"/>
      <c r="R585" s="347"/>
      <c r="S585" s="312"/>
      <c r="T585" s="347"/>
    </row>
    <row r="586" spans="1:20" ht="12" customHeight="1" x14ac:dyDescent="0.3">
      <c r="A586" s="340" t="s">
        <v>289</v>
      </c>
      <c r="B586" s="341">
        <v>2</v>
      </c>
      <c r="C586" s="309">
        <v>46065</v>
      </c>
      <c r="D586" s="310" t="s">
        <v>296</v>
      </c>
      <c r="E586" s="342">
        <v>7.56</v>
      </c>
      <c r="F586" s="342"/>
      <c r="G586" s="344">
        <f t="shared" si="4"/>
        <v>1454.2599999999929</v>
      </c>
      <c r="H586" s="345"/>
      <c r="I586" s="346"/>
      <c r="J586" s="347"/>
      <c r="K586" s="312"/>
      <c r="L586" s="347"/>
      <c r="M586" s="312"/>
      <c r="N586" s="347"/>
      <c r="O586" s="312"/>
      <c r="P586" s="347"/>
      <c r="Q586" s="312"/>
      <c r="R586" s="347"/>
      <c r="S586" s="312"/>
      <c r="T586" s="347"/>
    </row>
    <row r="587" spans="1:20" ht="12" customHeight="1" x14ac:dyDescent="0.3">
      <c r="A587" s="340" t="s">
        <v>289</v>
      </c>
      <c r="B587" s="341">
        <v>4</v>
      </c>
      <c r="C587" s="309">
        <v>46065</v>
      </c>
      <c r="D587" s="310" t="s">
        <v>296</v>
      </c>
      <c r="E587" s="342">
        <v>65.78</v>
      </c>
      <c r="F587" s="342"/>
      <c r="G587" s="344">
        <f t="shared" si="4"/>
        <v>1461.8199999999929</v>
      </c>
      <c r="H587" s="345"/>
      <c r="I587" s="346"/>
      <c r="J587" s="347"/>
      <c r="K587" s="312"/>
      <c r="L587" s="347"/>
      <c r="M587" s="312"/>
      <c r="N587" s="347"/>
      <c r="O587" s="312"/>
      <c r="P587" s="347"/>
      <c r="Q587" s="312"/>
      <c r="R587" s="347"/>
      <c r="S587" s="312"/>
      <c r="T587" s="347"/>
    </row>
    <row r="588" spans="1:20" ht="12" customHeight="1" x14ac:dyDescent="0.3">
      <c r="A588" s="340" t="s">
        <v>289</v>
      </c>
      <c r="B588" s="341">
        <v>3</v>
      </c>
      <c r="C588" s="309">
        <v>46065</v>
      </c>
      <c r="D588" s="310" t="s">
        <v>296</v>
      </c>
      <c r="E588" s="342">
        <v>3.93</v>
      </c>
      <c r="F588" s="342"/>
      <c r="G588" s="344">
        <f t="shared" si="4"/>
        <v>1527.5999999999929</v>
      </c>
      <c r="H588" s="345"/>
      <c r="I588" s="346"/>
      <c r="J588" s="347"/>
      <c r="K588" s="312"/>
      <c r="L588" s="347"/>
      <c r="M588" s="312"/>
      <c r="N588" s="347"/>
      <c r="O588" s="312"/>
      <c r="P588" s="347"/>
      <c r="Q588" s="312"/>
      <c r="R588" s="347"/>
      <c r="S588" s="312"/>
      <c r="T588" s="347"/>
    </row>
    <row r="589" spans="1:20" ht="12" customHeight="1" x14ac:dyDescent="0.3">
      <c r="A589" s="340" t="s">
        <v>289</v>
      </c>
      <c r="B589" s="341">
        <v>7</v>
      </c>
      <c r="C589" s="309">
        <v>46065</v>
      </c>
      <c r="D589" s="310" t="s">
        <v>451</v>
      </c>
      <c r="E589" s="342">
        <v>564.83000000000004</v>
      </c>
      <c r="F589" s="342"/>
      <c r="G589" s="344">
        <f t="shared" si="4"/>
        <v>1531.5299999999929</v>
      </c>
      <c r="H589" s="345"/>
      <c r="I589" s="346"/>
      <c r="J589" s="347"/>
      <c r="K589" s="312"/>
      <c r="L589" s="347"/>
      <c r="M589" s="312"/>
      <c r="N589" s="347"/>
      <c r="O589" s="312"/>
      <c r="P589" s="347"/>
      <c r="Q589" s="312"/>
      <c r="R589" s="347"/>
      <c r="S589" s="312"/>
      <c r="T589" s="347"/>
    </row>
    <row r="590" spans="1:20" ht="12" customHeight="1" x14ac:dyDescent="0.3">
      <c r="A590" s="340" t="s">
        <v>289</v>
      </c>
      <c r="B590" s="341">
        <v>7</v>
      </c>
      <c r="C590" s="309">
        <v>46065</v>
      </c>
      <c r="D590" s="310" t="s">
        <v>452</v>
      </c>
      <c r="E590" s="342">
        <v>70.180000000000007</v>
      </c>
      <c r="F590" s="342"/>
      <c r="G590" s="344">
        <f t="shared" si="4"/>
        <v>2096.3599999999929</v>
      </c>
      <c r="H590" s="345"/>
      <c r="I590" s="346"/>
      <c r="J590" s="347"/>
      <c r="K590" s="312"/>
      <c r="L590" s="347"/>
      <c r="M590" s="312"/>
      <c r="N590" s="347"/>
      <c r="O590" s="312"/>
      <c r="P590" s="347"/>
      <c r="Q590" s="312"/>
      <c r="R590" s="347"/>
      <c r="S590" s="312"/>
      <c r="T590" s="347"/>
    </row>
    <row r="591" spans="1:20" ht="12" customHeight="1" x14ac:dyDescent="0.3">
      <c r="A591" s="340" t="s">
        <v>289</v>
      </c>
      <c r="B591" s="341">
        <v>6</v>
      </c>
      <c r="C591" s="309">
        <v>46065</v>
      </c>
      <c r="D591" s="310" t="s">
        <v>453</v>
      </c>
      <c r="E591" s="342">
        <v>2.66</v>
      </c>
      <c r="F591" s="342"/>
      <c r="G591" s="344">
        <f t="shared" si="4"/>
        <v>2166.5399999999927</v>
      </c>
      <c r="H591" s="345"/>
      <c r="I591" s="346"/>
      <c r="J591" s="347"/>
      <c r="K591" s="312"/>
      <c r="L591" s="347"/>
      <c r="M591" s="312"/>
      <c r="N591" s="347"/>
      <c r="O591" s="312"/>
      <c r="P591" s="347"/>
      <c r="Q591" s="312"/>
      <c r="R591" s="347"/>
      <c r="S591" s="312"/>
      <c r="T591" s="347"/>
    </row>
    <row r="592" spans="1:20" ht="12" customHeight="1" x14ac:dyDescent="0.3">
      <c r="A592" s="340" t="s">
        <v>289</v>
      </c>
      <c r="B592" s="341">
        <v>5</v>
      </c>
      <c r="C592" s="309">
        <v>46064</v>
      </c>
      <c r="D592" s="310" t="s">
        <v>436</v>
      </c>
      <c r="E592" s="342">
        <v>103.25</v>
      </c>
      <c r="F592" s="342"/>
      <c r="G592" s="344">
        <f t="shared" si="4"/>
        <v>2169.1999999999925</v>
      </c>
      <c r="H592" s="345"/>
      <c r="I592" s="346"/>
      <c r="J592" s="347"/>
      <c r="K592" s="312"/>
      <c r="L592" s="347"/>
      <c r="M592" s="312"/>
      <c r="N592" s="347"/>
      <c r="O592" s="312"/>
      <c r="P592" s="347"/>
      <c r="Q592" s="312"/>
      <c r="R592" s="347"/>
      <c r="S592" s="312"/>
      <c r="T592" s="347"/>
    </row>
    <row r="593" spans="1:20" ht="12" customHeight="1" x14ac:dyDescent="0.3">
      <c r="A593" s="340" t="s">
        <v>289</v>
      </c>
      <c r="B593" s="341">
        <v>4</v>
      </c>
      <c r="C593" s="309">
        <v>46064</v>
      </c>
      <c r="D593" s="310" t="s">
        <v>367</v>
      </c>
      <c r="E593" s="342">
        <v>30.39</v>
      </c>
      <c r="F593" s="342"/>
      <c r="G593" s="344">
        <f t="shared" si="4"/>
        <v>2272.4499999999925</v>
      </c>
      <c r="H593" s="345"/>
      <c r="I593" s="346"/>
      <c r="J593" s="347"/>
      <c r="K593" s="312"/>
      <c r="L593" s="347"/>
      <c r="M593" s="312"/>
      <c r="N593" s="347"/>
      <c r="O593" s="312"/>
      <c r="P593" s="347"/>
      <c r="Q593" s="312"/>
      <c r="R593" s="347"/>
      <c r="S593" s="312"/>
      <c r="T593" s="347"/>
    </row>
    <row r="594" spans="1:20" ht="12" customHeight="1" x14ac:dyDescent="0.3">
      <c r="A594" s="340" t="s">
        <v>289</v>
      </c>
      <c r="B594" s="341">
        <v>2</v>
      </c>
      <c r="C594" s="309">
        <v>46064</v>
      </c>
      <c r="D594" s="310" t="s">
        <v>296</v>
      </c>
      <c r="E594" s="342">
        <v>9.92</v>
      </c>
      <c r="F594" s="342"/>
      <c r="G594" s="344">
        <f t="shared" si="4"/>
        <v>2302.8399999999924</v>
      </c>
      <c r="H594" s="345"/>
      <c r="I594" s="346"/>
      <c r="J594" s="347"/>
      <c r="K594" s="312"/>
      <c r="L594" s="347"/>
      <c r="M594" s="312"/>
      <c r="N594" s="347"/>
      <c r="O594" s="312"/>
      <c r="P594" s="347"/>
      <c r="Q594" s="312"/>
      <c r="R594" s="347"/>
      <c r="S594" s="312"/>
      <c r="T594" s="347"/>
    </row>
    <row r="595" spans="1:20" ht="12" customHeight="1" x14ac:dyDescent="0.3">
      <c r="A595" s="340" t="s">
        <v>289</v>
      </c>
      <c r="B595" s="341">
        <v>3</v>
      </c>
      <c r="C595" s="309">
        <v>46064</v>
      </c>
      <c r="D595" s="310" t="s">
        <v>295</v>
      </c>
      <c r="E595" s="342">
        <v>3.49</v>
      </c>
      <c r="F595" s="342"/>
      <c r="G595" s="344">
        <f t="shared" si="4"/>
        <v>2312.7599999999925</v>
      </c>
      <c r="H595" s="345"/>
      <c r="I595" s="346"/>
      <c r="J595" s="347"/>
      <c r="K595" s="312"/>
      <c r="L595" s="347"/>
      <c r="M595" s="312"/>
      <c r="N595" s="347"/>
      <c r="O595" s="312"/>
      <c r="P595" s="347"/>
      <c r="Q595" s="312"/>
      <c r="R595" s="347"/>
      <c r="S595" s="312"/>
      <c r="T595" s="347"/>
    </row>
    <row r="596" spans="1:20" ht="12" customHeight="1" x14ac:dyDescent="0.3">
      <c r="A596" s="340" t="s">
        <v>294</v>
      </c>
      <c r="B596" s="341">
        <v>22</v>
      </c>
      <c r="C596" s="309">
        <v>46064</v>
      </c>
      <c r="D596" s="310" t="s">
        <v>356</v>
      </c>
      <c r="E596" s="342">
        <v>19.16</v>
      </c>
      <c r="F596" s="342"/>
      <c r="G596" s="344">
        <f t="shared" si="4"/>
        <v>2316.2499999999923</v>
      </c>
      <c r="H596" s="345"/>
      <c r="I596" s="346"/>
      <c r="J596" s="347"/>
      <c r="K596" s="312"/>
      <c r="L596" s="347"/>
      <c r="M596" s="312"/>
      <c r="N596" s="347"/>
      <c r="O596" s="312"/>
      <c r="P596" s="347"/>
      <c r="Q596" s="312"/>
      <c r="R596" s="347"/>
      <c r="S596" s="312"/>
      <c r="T596" s="347"/>
    </row>
    <row r="597" spans="1:20" ht="12" customHeight="1" x14ac:dyDescent="0.3">
      <c r="A597" s="340" t="s">
        <v>289</v>
      </c>
      <c r="B597" s="341">
        <v>6</v>
      </c>
      <c r="C597" s="309">
        <v>46063</v>
      </c>
      <c r="D597" s="310" t="s">
        <v>419</v>
      </c>
      <c r="E597" s="342">
        <v>-8</v>
      </c>
      <c r="F597" s="342"/>
      <c r="G597" s="344">
        <f t="shared" si="4"/>
        <v>2335.4099999999921</v>
      </c>
      <c r="H597" s="345"/>
      <c r="I597" s="346"/>
      <c r="J597" s="347"/>
      <c r="K597" s="312"/>
      <c r="L597" s="347"/>
      <c r="M597" s="312"/>
      <c r="N597" s="347"/>
      <c r="O597" s="312"/>
      <c r="P597" s="347"/>
      <c r="Q597" s="312"/>
      <c r="R597" s="347"/>
      <c r="S597" s="312"/>
      <c r="T597" s="347"/>
    </row>
    <row r="598" spans="1:20" ht="12" customHeight="1" x14ac:dyDescent="0.3">
      <c r="A598" s="340" t="s">
        <v>289</v>
      </c>
      <c r="B598" s="341">
        <v>6</v>
      </c>
      <c r="C598" s="309">
        <v>46063</v>
      </c>
      <c r="D598" s="310" t="s">
        <v>454</v>
      </c>
      <c r="E598" s="342">
        <v>-0.04</v>
      </c>
      <c r="F598" s="342"/>
      <c r="G598" s="344">
        <f t="shared" si="4"/>
        <v>2327.4099999999921</v>
      </c>
      <c r="H598" s="345"/>
      <c r="I598" s="346"/>
      <c r="J598" s="347"/>
      <c r="K598" s="312"/>
      <c r="L598" s="347"/>
      <c r="M598" s="312"/>
      <c r="N598" s="347"/>
      <c r="O598" s="312"/>
      <c r="P598" s="347"/>
      <c r="Q598" s="312"/>
      <c r="R598" s="347"/>
      <c r="S598" s="312"/>
      <c r="T598" s="347"/>
    </row>
    <row r="599" spans="1:20" ht="12" customHeight="1" x14ac:dyDescent="0.3">
      <c r="A599" s="340" t="s">
        <v>339</v>
      </c>
      <c r="B599" s="341" t="s">
        <v>339</v>
      </c>
      <c r="C599" s="309">
        <v>46063</v>
      </c>
      <c r="D599" s="310" t="s">
        <v>455</v>
      </c>
      <c r="E599" s="342">
        <v>65.78</v>
      </c>
      <c r="F599" s="342"/>
      <c r="G599" s="344">
        <f t="shared" si="4"/>
        <v>2327.3699999999922</v>
      </c>
      <c r="H599" s="345"/>
      <c r="I599" s="346"/>
      <c r="J599" s="347"/>
      <c r="K599" s="312"/>
      <c r="L599" s="347"/>
      <c r="M599" s="312"/>
      <c r="N599" s="347"/>
      <c r="O599" s="312"/>
      <c r="P599" s="347"/>
      <c r="Q599" s="312"/>
      <c r="R599" s="347"/>
      <c r="S599" s="312"/>
      <c r="T599" s="347"/>
    </row>
    <row r="600" spans="1:20" ht="12" customHeight="1" x14ac:dyDescent="0.3">
      <c r="A600" s="340" t="s">
        <v>294</v>
      </c>
      <c r="B600" s="341">
        <v>13</v>
      </c>
      <c r="C600" s="309">
        <v>46063</v>
      </c>
      <c r="D600" s="310" t="s">
        <v>456</v>
      </c>
      <c r="E600" s="342">
        <v>159.35</v>
      </c>
      <c r="F600" s="342"/>
      <c r="G600" s="344">
        <f t="shared" si="4"/>
        <v>2393.1499999999924</v>
      </c>
      <c r="H600" s="345"/>
      <c r="I600" s="346"/>
      <c r="J600" s="347"/>
      <c r="K600" s="312"/>
      <c r="L600" s="347"/>
      <c r="M600" s="312"/>
      <c r="N600" s="347"/>
      <c r="O600" s="312"/>
      <c r="P600" s="347"/>
      <c r="Q600" s="312"/>
      <c r="R600" s="347"/>
      <c r="S600" s="312"/>
      <c r="T600" s="347"/>
    </row>
    <row r="601" spans="1:20" ht="12" customHeight="1" x14ac:dyDescent="0.3">
      <c r="A601" s="340" t="s">
        <v>289</v>
      </c>
      <c r="B601" s="341">
        <v>2</v>
      </c>
      <c r="C601" s="309">
        <v>46063</v>
      </c>
      <c r="D601" s="310" t="s">
        <v>296</v>
      </c>
      <c r="E601" s="342">
        <v>16.29</v>
      </c>
      <c r="F601" s="342"/>
      <c r="G601" s="344">
        <f t="shared" si="4"/>
        <v>2552.4999999999923</v>
      </c>
      <c r="H601" s="345"/>
      <c r="I601" s="346"/>
      <c r="J601" s="347"/>
      <c r="K601" s="312"/>
      <c r="L601" s="347"/>
      <c r="M601" s="312"/>
      <c r="N601" s="347"/>
      <c r="O601" s="312"/>
      <c r="P601" s="347"/>
      <c r="Q601" s="312"/>
      <c r="R601" s="347"/>
      <c r="S601" s="312"/>
      <c r="T601" s="347"/>
    </row>
    <row r="602" spans="1:20" ht="12" customHeight="1" x14ac:dyDescent="0.3">
      <c r="A602" s="340" t="s">
        <v>289</v>
      </c>
      <c r="B602" s="341">
        <v>1</v>
      </c>
      <c r="C602" s="309">
        <v>46063</v>
      </c>
      <c r="D602" s="310" t="s">
        <v>312</v>
      </c>
      <c r="E602" s="342">
        <v>19.329999999999998</v>
      </c>
      <c r="F602" s="342"/>
      <c r="G602" s="344">
        <f t="shared" si="4"/>
        <v>2568.7899999999922</v>
      </c>
      <c r="H602" s="345"/>
      <c r="I602" s="346"/>
      <c r="J602" s="347"/>
      <c r="K602" s="312"/>
      <c r="L602" s="347"/>
      <c r="M602" s="312"/>
      <c r="N602" s="347"/>
      <c r="O602" s="312"/>
      <c r="P602" s="347"/>
      <c r="Q602" s="312"/>
      <c r="R602" s="347"/>
      <c r="S602" s="312"/>
      <c r="T602" s="347"/>
    </row>
    <row r="603" spans="1:20" ht="12" customHeight="1" x14ac:dyDescent="0.3">
      <c r="A603" s="340" t="s">
        <v>289</v>
      </c>
      <c r="B603" s="341">
        <v>3</v>
      </c>
      <c r="C603" s="309">
        <v>46062</v>
      </c>
      <c r="D603" s="310" t="s">
        <v>457</v>
      </c>
      <c r="E603" s="342">
        <v>8.61</v>
      </c>
      <c r="F603" s="342"/>
      <c r="G603" s="344">
        <f t="shared" ref="G603:G848" si="5">G604-E603+F603</f>
        <v>2588.1199999999922</v>
      </c>
      <c r="H603" s="345"/>
      <c r="I603" s="346"/>
      <c r="J603" s="347"/>
      <c r="K603" s="312"/>
      <c r="L603" s="347"/>
      <c r="M603" s="312"/>
      <c r="N603" s="347"/>
      <c r="O603" s="312"/>
      <c r="P603" s="347"/>
      <c r="Q603" s="312"/>
      <c r="R603" s="347"/>
      <c r="S603" s="312"/>
      <c r="T603" s="347"/>
    </row>
    <row r="604" spans="1:20" ht="12" customHeight="1" x14ac:dyDescent="0.3">
      <c r="A604" s="340" t="s">
        <v>289</v>
      </c>
      <c r="B604" s="341">
        <v>2</v>
      </c>
      <c r="C604" s="309">
        <v>46062</v>
      </c>
      <c r="D604" s="310" t="s">
        <v>296</v>
      </c>
      <c r="E604" s="342">
        <v>13.41</v>
      </c>
      <c r="F604" s="342"/>
      <c r="G604" s="344">
        <f t="shared" si="5"/>
        <v>2596.7299999999923</v>
      </c>
      <c r="H604" s="345"/>
      <c r="I604" s="346"/>
      <c r="J604" s="347"/>
      <c r="K604" s="312"/>
      <c r="L604" s="347"/>
      <c r="M604" s="312"/>
      <c r="N604" s="347"/>
      <c r="O604" s="312"/>
      <c r="P604" s="347"/>
      <c r="Q604" s="312"/>
      <c r="R604" s="347"/>
      <c r="S604" s="312"/>
      <c r="T604" s="347"/>
    </row>
    <row r="605" spans="1:20" ht="12" customHeight="1" x14ac:dyDescent="0.3">
      <c r="A605" s="340" t="s">
        <v>294</v>
      </c>
      <c r="B605" s="341">
        <v>18</v>
      </c>
      <c r="C605" s="309">
        <v>46062</v>
      </c>
      <c r="D605" s="310" t="s">
        <v>365</v>
      </c>
      <c r="E605" s="342">
        <v>400</v>
      </c>
      <c r="F605" s="342"/>
      <c r="G605" s="344">
        <f t="shared" si="5"/>
        <v>2610.1399999999921</v>
      </c>
      <c r="H605" s="345"/>
      <c r="I605" s="346"/>
      <c r="J605" s="347"/>
      <c r="K605" s="312"/>
      <c r="L605" s="347"/>
      <c r="M605" s="312"/>
      <c r="N605" s="347"/>
      <c r="O605" s="312"/>
      <c r="P605" s="347"/>
      <c r="Q605" s="312"/>
      <c r="R605" s="347"/>
      <c r="S605" s="312"/>
      <c r="T605" s="347"/>
    </row>
    <row r="606" spans="1:20" ht="12" customHeight="1" x14ac:dyDescent="0.3">
      <c r="A606" s="340" t="s">
        <v>294</v>
      </c>
      <c r="B606" s="341">
        <v>9</v>
      </c>
      <c r="C606" s="309">
        <v>46062</v>
      </c>
      <c r="D606" s="310" t="s">
        <v>58</v>
      </c>
      <c r="E606" s="342">
        <v>1281.53</v>
      </c>
      <c r="F606" s="342"/>
      <c r="G606" s="344">
        <f t="shared" si="5"/>
        <v>3010.1399999999921</v>
      </c>
      <c r="H606" s="345"/>
      <c r="I606" s="346"/>
      <c r="J606" s="347"/>
      <c r="K606" s="312"/>
      <c r="L606" s="347"/>
      <c r="M606" s="312"/>
      <c r="N606" s="347"/>
      <c r="O606" s="312"/>
      <c r="P606" s="347"/>
      <c r="Q606" s="312"/>
      <c r="R606" s="347"/>
      <c r="S606" s="312"/>
      <c r="T606" s="347"/>
    </row>
    <row r="607" spans="1:20" ht="12" customHeight="1" x14ac:dyDescent="0.3">
      <c r="A607" s="340" t="s">
        <v>289</v>
      </c>
      <c r="B607" s="341">
        <v>5</v>
      </c>
      <c r="C607" s="309">
        <v>46062</v>
      </c>
      <c r="D607" s="310" t="s">
        <v>458</v>
      </c>
      <c r="E607" s="342">
        <v>50</v>
      </c>
      <c r="F607" s="342"/>
      <c r="G607" s="344">
        <f t="shared" si="5"/>
        <v>4291.6699999999919</v>
      </c>
      <c r="H607" s="345"/>
      <c r="I607" s="346"/>
      <c r="J607" s="347"/>
      <c r="K607" s="312"/>
      <c r="L607" s="347"/>
      <c r="M607" s="312"/>
      <c r="N607" s="347"/>
      <c r="O607" s="312"/>
      <c r="P607" s="347"/>
      <c r="Q607" s="312"/>
      <c r="R607" s="347"/>
      <c r="S607" s="312"/>
      <c r="T607" s="347"/>
    </row>
    <row r="608" spans="1:20" ht="12" customHeight="1" x14ac:dyDescent="0.3">
      <c r="A608" s="340" t="s">
        <v>289</v>
      </c>
      <c r="B608" s="341">
        <v>2</v>
      </c>
      <c r="C608" s="309">
        <v>46062</v>
      </c>
      <c r="D608" s="310" t="s">
        <v>459</v>
      </c>
      <c r="E608" s="342">
        <v>12.1</v>
      </c>
      <c r="F608" s="342"/>
      <c r="G608" s="344">
        <f t="shared" si="5"/>
        <v>4341.6699999999919</v>
      </c>
      <c r="H608" s="345"/>
      <c r="I608" s="346"/>
      <c r="J608" s="347"/>
      <c r="K608" s="312"/>
      <c r="L608" s="347"/>
      <c r="M608" s="312"/>
      <c r="N608" s="347"/>
      <c r="O608" s="312"/>
      <c r="P608" s="347"/>
      <c r="Q608" s="312"/>
      <c r="R608" s="347"/>
      <c r="S608" s="312"/>
      <c r="T608" s="347"/>
    </row>
    <row r="609" spans="1:20" ht="12" customHeight="1" x14ac:dyDescent="0.3">
      <c r="A609" s="340" t="s">
        <v>289</v>
      </c>
      <c r="B609" s="341">
        <v>1</v>
      </c>
      <c r="C609" s="309">
        <v>46061</v>
      </c>
      <c r="D609" s="310" t="s">
        <v>307</v>
      </c>
      <c r="E609" s="342">
        <v>72.099999999999994</v>
      </c>
      <c r="F609" s="342"/>
      <c r="G609" s="344">
        <f t="shared" si="5"/>
        <v>4353.7699999999923</v>
      </c>
      <c r="H609" s="345"/>
      <c r="I609" s="346"/>
      <c r="J609" s="347"/>
      <c r="K609" s="312"/>
      <c r="L609" s="347"/>
      <c r="M609" s="312"/>
      <c r="N609" s="347"/>
      <c r="O609" s="312"/>
      <c r="P609" s="347"/>
      <c r="Q609" s="312"/>
      <c r="R609" s="347"/>
      <c r="S609" s="312"/>
      <c r="T609" s="347"/>
    </row>
    <row r="610" spans="1:20" ht="12" customHeight="1" x14ac:dyDescent="0.3">
      <c r="A610" s="340" t="s">
        <v>289</v>
      </c>
      <c r="B610" s="341">
        <v>8</v>
      </c>
      <c r="C610" s="309">
        <v>46061</v>
      </c>
      <c r="D610" s="310" t="s">
        <v>321</v>
      </c>
      <c r="E610" s="342">
        <v>30.25</v>
      </c>
      <c r="F610" s="342"/>
      <c r="G610" s="344">
        <f t="shared" si="5"/>
        <v>4425.8699999999926</v>
      </c>
      <c r="H610" s="345"/>
      <c r="I610" s="346"/>
      <c r="J610" s="347"/>
      <c r="K610" s="312"/>
      <c r="L610" s="347"/>
      <c r="M610" s="312"/>
      <c r="N610" s="347"/>
      <c r="O610" s="312"/>
      <c r="P610" s="347"/>
      <c r="Q610" s="312"/>
      <c r="R610" s="347"/>
      <c r="S610" s="312"/>
      <c r="T610" s="347"/>
    </row>
    <row r="611" spans="1:20" ht="12" customHeight="1" x14ac:dyDescent="0.3">
      <c r="A611" s="340" t="s">
        <v>289</v>
      </c>
      <c r="B611" s="341">
        <v>3</v>
      </c>
      <c r="C611" s="309">
        <v>46061</v>
      </c>
      <c r="D611" s="310" t="s">
        <v>296</v>
      </c>
      <c r="E611" s="342">
        <v>3.72</v>
      </c>
      <c r="F611" s="342"/>
      <c r="G611" s="344">
        <f t="shared" si="5"/>
        <v>4456.1199999999926</v>
      </c>
      <c r="H611" s="345"/>
      <c r="I611" s="346"/>
      <c r="J611" s="347"/>
      <c r="K611" s="312"/>
      <c r="L611" s="347"/>
      <c r="M611" s="312"/>
      <c r="N611" s="347"/>
      <c r="O611" s="312"/>
      <c r="P611" s="347"/>
      <c r="Q611" s="312"/>
      <c r="R611" s="347"/>
      <c r="S611" s="312"/>
      <c r="T611" s="347"/>
    </row>
    <row r="612" spans="1:20" ht="12" customHeight="1" x14ac:dyDescent="0.3">
      <c r="A612" s="340" t="s">
        <v>289</v>
      </c>
      <c r="B612" s="341">
        <v>4</v>
      </c>
      <c r="C612" s="309">
        <v>46061</v>
      </c>
      <c r="D612" s="310" t="s">
        <v>296</v>
      </c>
      <c r="E612" s="342">
        <v>41.6</v>
      </c>
      <c r="F612" s="342"/>
      <c r="G612" s="344">
        <f t="shared" si="5"/>
        <v>4459.8399999999929</v>
      </c>
      <c r="H612" s="345"/>
      <c r="I612" s="346"/>
      <c r="J612" s="347"/>
      <c r="K612" s="312"/>
      <c r="L612" s="347"/>
      <c r="M612" s="312"/>
      <c r="N612" s="347"/>
      <c r="O612" s="312"/>
      <c r="P612" s="347"/>
      <c r="Q612" s="312"/>
      <c r="R612" s="347"/>
      <c r="S612" s="312"/>
      <c r="T612" s="347"/>
    </row>
    <row r="613" spans="1:20" ht="12" customHeight="1" x14ac:dyDescent="0.3">
      <c r="A613" s="340" t="s">
        <v>289</v>
      </c>
      <c r="B613" s="341">
        <v>3</v>
      </c>
      <c r="C613" s="309">
        <v>46061</v>
      </c>
      <c r="D613" s="310" t="s">
        <v>460</v>
      </c>
      <c r="E613" s="342">
        <v>1</v>
      </c>
      <c r="F613" s="342"/>
      <c r="G613" s="344">
        <f t="shared" si="5"/>
        <v>4501.4399999999932</v>
      </c>
      <c r="H613" s="345"/>
      <c r="I613" s="346"/>
      <c r="J613" s="347"/>
      <c r="K613" s="312"/>
      <c r="L613" s="347"/>
      <c r="M613" s="312"/>
      <c r="N613" s="347"/>
      <c r="O613" s="312"/>
      <c r="P613" s="347"/>
      <c r="Q613" s="312"/>
      <c r="R613" s="347"/>
      <c r="S613" s="312"/>
      <c r="T613" s="347"/>
    </row>
    <row r="614" spans="1:20" ht="12" customHeight="1" x14ac:dyDescent="0.3">
      <c r="A614" s="340" t="s">
        <v>289</v>
      </c>
      <c r="B614" s="341">
        <v>2</v>
      </c>
      <c r="C614" s="309">
        <v>46061</v>
      </c>
      <c r="D614" s="310" t="s">
        <v>362</v>
      </c>
      <c r="E614" s="342">
        <v>10.17</v>
      </c>
      <c r="F614" s="342"/>
      <c r="G614" s="344">
        <f t="shared" si="5"/>
        <v>4502.4399999999932</v>
      </c>
      <c r="H614" s="345"/>
      <c r="I614" s="346"/>
      <c r="J614" s="347"/>
      <c r="K614" s="312"/>
      <c r="L614" s="347"/>
      <c r="M614" s="312"/>
      <c r="N614" s="347"/>
      <c r="O614" s="312"/>
      <c r="P614" s="347"/>
      <c r="Q614" s="312"/>
      <c r="R614" s="347"/>
      <c r="S614" s="312"/>
      <c r="T614" s="347"/>
    </row>
    <row r="615" spans="1:20" ht="12" customHeight="1" x14ac:dyDescent="0.3">
      <c r="A615" s="340" t="s">
        <v>287</v>
      </c>
      <c r="B615" s="341" t="s">
        <v>287</v>
      </c>
      <c r="C615" s="309">
        <v>46060</v>
      </c>
      <c r="D615" s="310" t="s">
        <v>461</v>
      </c>
      <c r="E615" s="342">
        <v>367.77</v>
      </c>
      <c r="F615" s="342">
        <v>367.77</v>
      </c>
      <c r="G615" s="344">
        <f t="shared" si="5"/>
        <v>4512.6099999999933</v>
      </c>
      <c r="H615" s="345"/>
      <c r="I615" s="346"/>
      <c r="J615" s="347"/>
      <c r="K615" s="312"/>
      <c r="L615" s="347"/>
      <c r="M615" s="312"/>
      <c r="N615" s="347"/>
      <c r="O615" s="312"/>
      <c r="P615" s="347"/>
      <c r="Q615" s="312"/>
      <c r="R615" s="347"/>
      <c r="S615" s="312"/>
      <c r="T615" s="347"/>
    </row>
    <row r="616" spans="1:20" ht="12" customHeight="1" x14ac:dyDescent="0.3">
      <c r="A616" s="340" t="s">
        <v>289</v>
      </c>
      <c r="B616" s="341">
        <v>4</v>
      </c>
      <c r="C616" s="309">
        <v>46060</v>
      </c>
      <c r="D616" s="310" t="s">
        <v>311</v>
      </c>
      <c r="E616" s="342">
        <v>32.36</v>
      </c>
      <c r="F616" s="342"/>
      <c r="G616" s="344">
        <f t="shared" si="5"/>
        <v>4512.6099999999933</v>
      </c>
      <c r="H616" s="345"/>
      <c r="I616" s="346"/>
      <c r="J616" s="347"/>
      <c r="K616" s="312"/>
      <c r="L616" s="347"/>
      <c r="M616" s="312"/>
      <c r="N616" s="347"/>
      <c r="O616" s="312"/>
      <c r="P616" s="347"/>
      <c r="Q616" s="312"/>
      <c r="R616" s="347"/>
      <c r="S616" s="312"/>
      <c r="T616" s="347"/>
    </row>
    <row r="617" spans="1:20" ht="12" customHeight="1" x14ac:dyDescent="0.3">
      <c r="A617" s="340" t="s">
        <v>289</v>
      </c>
      <c r="B617" s="341">
        <v>6</v>
      </c>
      <c r="C617" s="309">
        <v>46060</v>
      </c>
      <c r="D617" s="310" t="s">
        <v>462</v>
      </c>
      <c r="E617" s="342">
        <v>41.39</v>
      </c>
      <c r="F617" s="342"/>
      <c r="G617" s="344">
        <f t="shared" si="5"/>
        <v>4544.969999999993</v>
      </c>
      <c r="H617" s="345"/>
      <c r="I617" s="346"/>
      <c r="J617" s="347"/>
      <c r="K617" s="312"/>
      <c r="L617" s="347"/>
      <c r="M617" s="312"/>
      <c r="N617" s="347"/>
      <c r="O617" s="312"/>
      <c r="P617" s="347"/>
      <c r="Q617" s="312"/>
      <c r="R617" s="347"/>
      <c r="S617" s="312"/>
      <c r="T617" s="347"/>
    </row>
    <row r="618" spans="1:20" ht="12" customHeight="1" x14ac:dyDescent="0.3">
      <c r="A618" s="340" t="s">
        <v>289</v>
      </c>
      <c r="B618" s="341">
        <v>1</v>
      </c>
      <c r="C618" s="309">
        <v>46060</v>
      </c>
      <c r="D618" s="310" t="s">
        <v>453</v>
      </c>
      <c r="E618" s="342">
        <v>35.770000000000003</v>
      </c>
      <c r="F618" s="342"/>
      <c r="G618" s="344">
        <f t="shared" si="5"/>
        <v>4586.3599999999933</v>
      </c>
      <c r="H618" s="345"/>
      <c r="I618" s="346"/>
      <c r="J618" s="347"/>
      <c r="K618" s="312"/>
      <c r="L618" s="347"/>
      <c r="M618" s="312"/>
      <c r="N618" s="347"/>
      <c r="O618" s="312"/>
      <c r="P618" s="347"/>
      <c r="Q618" s="312"/>
      <c r="R618" s="347"/>
      <c r="S618" s="312"/>
      <c r="T618" s="347"/>
    </row>
    <row r="619" spans="1:20" ht="12" customHeight="1" x14ac:dyDescent="0.3">
      <c r="A619" s="340" t="s">
        <v>289</v>
      </c>
      <c r="B619" s="341">
        <v>3</v>
      </c>
      <c r="C619" s="309">
        <v>46060</v>
      </c>
      <c r="D619" s="310" t="s">
        <v>352</v>
      </c>
      <c r="E619" s="342">
        <v>25</v>
      </c>
      <c r="F619" s="342"/>
      <c r="G619" s="344">
        <f t="shared" si="5"/>
        <v>4622.1299999999937</v>
      </c>
      <c r="H619" s="345"/>
      <c r="I619" s="346"/>
      <c r="J619" s="347"/>
      <c r="K619" s="312"/>
      <c r="L619" s="347"/>
      <c r="M619" s="312"/>
      <c r="N619" s="347"/>
      <c r="O619" s="312"/>
      <c r="P619" s="347"/>
      <c r="Q619" s="312"/>
      <c r="R619" s="347"/>
      <c r="S619" s="312"/>
      <c r="T619" s="347"/>
    </row>
    <row r="620" spans="1:20" ht="12" customHeight="1" x14ac:dyDescent="0.3">
      <c r="A620" s="340" t="s">
        <v>289</v>
      </c>
      <c r="B620" s="341">
        <v>8</v>
      </c>
      <c r="C620" s="309">
        <v>46060</v>
      </c>
      <c r="D620" s="310" t="s">
        <v>296</v>
      </c>
      <c r="E620" s="342">
        <v>6.69</v>
      </c>
      <c r="F620" s="342"/>
      <c r="G620" s="344">
        <f t="shared" si="5"/>
        <v>4647.1299999999937</v>
      </c>
      <c r="H620" s="345"/>
      <c r="I620" s="346"/>
      <c r="J620" s="347"/>
      <c r="K620" s="312"/>
      <c r="L620" s="347"/>
      <c r="M620" s="312"/>
      <c r="N620" s="347"/>
      <c r="O620" s="312"/>
      <c r="P620" s="347"/>
      <c r="Q620" s="312"/>
      <c r="R620" s="347"/>
      <c r="S620" s="312"/>
      <c r="T620" s="347"/>
    </row>
    <row r="621" spans="1:20" ht="12" customHeight="1" x14ac:dyDescent="0.3">
      <c r="A621" s="340" t="s">
        <v>289</v>
      </c>
      <c r="B621" s="341">
        <v>4</v>
      </c>
      <c r="C621" s="309">
        <v>46060</v>
      </c>
      <c r="D621" s="310" t="s">
        <v>296</v>
      </c>
      <c r="E621" s="342">
        <v>47.85</v>
      </c>
      <c r="F621" s="342"/>
      <c r="G621" s="344">
        <f t="shared" si="5"/>
        <v>4653.8199999999933</v>
      </c>
      <c r="H621" s="345"/>
      <c r="I621" s="346"/>
      <c r="J621" s="347"/>
      <c r="K621" s="312"/>
      <c r="L621" s="347"/>
      <c r="M621" s="312"/>
      <c r="N621" s="347"/>
      <c r="O621" s="312"/>
      <c r="P621" s="347"/>
      <c r="Q621" s="312"/>
      <c r="R621" s="347"/>
      <c r="S621" s="312"/>
      <c r="T621" s="347"/>
    </row>
    <row r="622" spans="1:20" ht="12" customHeight="1" x14ac:dyDescent="0.3">
      <c r="A622" s="340" t="s">
        <v>289</v>
      </c>
      <c r="B622" s="341">
        <v>2</v>
      </c>
      <c r="C622" s="309">
        <v>46059</v>
      </c>
      <c r="D622" s="310" t="s">
        <v>301</v>
      </c>
      <c r="E622" s="342">
        <v>20</v>
      </c>
      <c r="F622" s="342"/>
      <c r="G622" s="344">
        <f t="shared" si="5"/>
        <v>4701.6699999999937</v>
      </c>
      <c r="H622" s="345"/>
      <c r="I622" s="346"/>
      <c r="J622" s="347"/>
      <c r="K622" s="312"/>
      <c r="L622" s="347"/>
      <c r="M622" s="312"/>
      <c r="N622" s="347"/>
      <c r="O622" s="312"/>
      <c r="P622" s="347"/>
      <c r="Q622" s="312"/>
      <c r="R622" s="347"/>
      <c r="S622" s="312"/>
      <c r="T622" s="347"/>
    </row>
    <row r="623" spans="1:20" ht="12" customHeight="1" x14ac:dyDescent="0.3">
      <c r="A623" s="340" t="s">
        <v>291</v>
      </c>
      <c r="B623" s="341">
        <v>40</v>
      </c>
      <c r="C623" s="309">
        <v>46059</v>
      </c>
      <c r="D623" s="310" t="s">
        <v>318</v>
      </c>
      <c r="E623" s="342"/>
      <c r="F623" s="342">
        <v>822.99</v>
      </c>
      <c r="G623" s="344">
        <f t="shared" si="5"/>
        <v>4721.6699999999937</v>
      </c>
      <c r="H623" s="345"/>
      <c r="I623" s="346"/>
      <c r="J623" s="347"/>
      <c r="K623" s="312"/>
      <c r="L623" s="347"/>
      <c r="M623" s="312"/>
      <c r="N623" s="347"/>
      <c r="O623" s="312"/>
      <c r="P623" s="347"/>
      <c r="Q623" s="312"/>
      <c r="R623" s="347"/>
      <c r="S623" s="312"/>
      <c r="T623" s="347"/>
    </row>
    <row r="624" spans="1:20" ht="12" customHeight="1" x14ac:dyDescent="0.3">
      <c r="A624" s="340" t="s">
        <v>294</v>
      </c>
      <c r="B624" s="341">
        <v>14</v>
      </c>
      <c r="C624" s="309">
        <v>46059</v>
      </c>
      <c r="D624" s="310" t="s">
        <v>370</v>
      </c>
      <c r="E624" s="342">
        <v>66.67</v>
      </c>
      <c r="F624" s="342"/>
      <c r="G624" s="344">
        <f t="shared" si="5"/>
        <v>3898.6799999999935</v>
      </c>
      <c r="H624" s="345"/>
      <c r="I624" s="346"/>
      <c r="J624" s="347"/>
      <c r="K624" s="312"/>
      <c r="L624" s="347"/>
      <c r="M624" s="312"/>
      <c r="N624" s="347"/>
      <c r="O624" s="312"/>
      <c r="P624" s="347"/>
      <c r="Q624" s="312"/>
      <c r="R624" s="347"/>
      <c r="S624" s="312"/>
      <c r="T624" s="347"/>
    </row>
    <row r="625" spans="1:20" ht="12" customHeight="1" x14ac:dyDescent="0.3">
      <c r="A625" s="340" t="s">
        <v>289</v>
      </c>
      <c r="B625" s="341">
        <v>2</v>
      </c>
      <c r="C625" s="309">
        <v>46059</v>
      </c>
      <c r="D625" s="310" t="s">
        <v>296</v>
      </c>
      <c r="E625" s="342">
        <v>9.35</v>
      </c>
      <c r="F625" s="342"/>
      <c r="G625" s="344">
        <f t="shared" si="5"/>
        <v>3965.3499999999935</v>
      </c>
      <c r="H625" s="345"/>
      <c r="I625" s="346"/>
      <c r="J625" s="347"/>
      <c r="K625" s="312"/>
      <c r="L625" s="347"/>
      <c r="M625" s="312"/>
      <c r="N625" s="347"/>
      <c r="O625" s="312"/>
      <c r="P625" s="347"/>
      <c r="Q625" s="312"/>
      <c r="R625" s="347"/>
      <c r="S625" s="312"/>
      <c r="T625" s="347"/>
    </row>
    <row r="626" spans="1:20" ht="12" customHeight="1" x14ac:dyDescent="0.3">
      <c r="A626" s="340" t="s">
        <v>289</v>
      </c>
      <c r="B626" s="341">
        <v>4</v>
      </c>
      <c r="C626" s="309">
        <v>46059</v>
      </c>
      <c r="D626" s="310" t="s">
        <v>296</v>
      </c>
      <c r="E626" s="342">
        <v>45.81</v>
      </c>
      <c r="F626" s="342"/>
      <c r="G626" s="344">
        <f t="shared" si="5"/>
        <v>3974.6999999999935</v>
      </c>
      <c r="H626" s="345"/>
      <c r="I626" s="346"/>
      <c r="J626" s="347"/>
      <c r="K626" s="312"/>
      <c r="L626" s="347"/>
      <c r="M626" s="312"/>
      <c r="N626" s="347"/>
      <c r="O626" s="312"/>
      <c r="P626" s="347"/>
      <c r="Q626" s="312"/>
      <c r="R626" s="347"/>
      <c r="S626" s="312"/>
      <c r="T626" s="347"/>
    </row>
    <row r="627" spans="1:20" ht="12" customHeight="1" x14ac:dyDescent="0.3">
      <c r="A627" s="340" t="s">
        <v>289</v>
      </c>
      <c r="B627" s="341">
        <v>2</v>
      </c>
      <c r="C627" s="309">
        <v>46059</v>
      </c>
      <c r="D627" s="310" t="s">
        <v>357</v>
      </c>
      <c r="E627" s="342">
        <v>22.98</v>
      </c>
      <c r="F627" s="342"/>
      <c r="G627" s="344">
        <f t="shared" si="5"/>
        <v>4020.5099999999934</v>
      </c>
      <c r="H627" s="345"/>
      <c r="I627" s="346"/>
      <c r="J627" s="347"/>
      <c r="K627" s="312"/>
      <c r="L627" s="347"/>
      <c r="M627" s="312"/>
      <c r="N627" s="347"/>
      <c r="O627" s="312"/>
      <c r="P627" s="347"/>
      <c r="Q627" s="312"/>
      <c r="R627" s="347"/>
      <c r="S627" s="312"/>
      <c r="T627" s="347"/>
    </row>
    <row r="628" spans="1:20" ht="12" customHeight="1" x14ac:dyDescent="0.3">
      <c r="A628" s="340" t="s">
        <v>289</v>
      </c>
      <c r="B628" s="341">
        <v>2</v>
      </c>
      <c r="C628" s="309">
        <v>46059</v>
      </c>
      <c r="D628" s="310" t="s">
        <v>301</v>
      </c>
      <c r="E628" s="342">
        <v>46.5</v>
      </c>
      <c r="F628" s="342"/>
      <c r="G628" s="344">
        <f t="shared" si="5"/>
        <v>4043.4899999999934</v>
      </c>
      <c r="H628" s="345"/>
      <c r="I628" s="346"/>
      <c r="J628" s="347"/>
      <c r="K628" s="312"/>
      <c r="L628" s="347"/>
      <c r="M628" s="312"/>
      <c r="N628" s="347"/>
      <c r="O628" s="312"/>
      <c r="P628" s="347"/>
      <c r="Q628" s="312"/>
      <c r="R628" s="347"/>
      <c r="S628" s="312"/>
      <c r="T628" s="347"/>
    </row>
    <row r="629" spans="1:20" ht="12" customHeight="1" x14ac:dyDescent="0.3">
      <c r="A629" s="340" t="s">
        <v>289</v>
      </c>
      <c r="B629" s="341">
        <v>2</v>
      </c>
      <c r="C629" s="309">
        <v>46059</v>
      </c>
      <c r="D629" s="310" t="s">
        <v>362</v>
      </c>
      <c r="E629" s="342">
        <v>10.17</v>
      </c>
      <c r="F629" s="342"/>
      <c r="G629" s="344">
        <f t="shared" si="5"/>
        <v>4089.9899999999934</v>
      </c>
      <c r="H629" s="345"/>
      <c r="I629" s="346"/>
      <c r="J629" s="347"/>
      <c r="K629" s="312"/>
      <c r="L629" s="347"/>
      <c r="M629" s="312"/>
      <c r="N629" s="347"/>
      <c r="O629" s="312"/>
      <c r="P629" s="347"/>
      <c r="Q629" s="312"/>
      <c r="R629" s="347"/>
      <c r="S629" s="312"/>
      <c r="T629" s="347"/>
    </row>
    <row r="630" spans="1:20" ht="12" customHeight="1" x14ac:dyDescent="0.3">
      <c r="A630" s="340" t="s">
        <v>289</v>
      </c>
      <c r="B630" s="341">
        <v>8</v>
      </c>
      <c r="C630" s="309">
        <v>46059</v>
      </c>
      <c r="D630" s="310" t="s">
        <v>443</v>
      </c>
      <c r="E630" s="342">
        <v>81.2</v>
      </c>
      <c r="F630" s="342"/>
      <c r="G630" s="344">
        <f t="shared" si="5"/>
        <v>4100.1599999999935</v>
      </c>
      <c r="H630" s="345"/>
      <c r="I630" s="346"/>
      <c r="J630" s="347"/>
      <c r="K630" s="312"/>
      <c r="L630" s="347"/>
      <c r="M630" s="312"/>
      <c r="N630" s="347"/>
      <c r="O630" s="312"/>
      <c r="P630" s="347"/>
      <c r="Q630" s="312"/>
      <c r="R630" s="347"/>
      <c r="S630" s="312"/>
      <c r="T630" s="347"/>
    </row>
    <row r="631" spans="1:20" ht="12" customHeight="1" x14ac:dyDescent="0.3">
      <c r="A631" s="340" t="s">
        <v>289</v>
      </c>
      <c r="B631" s="341">
        <v>2</v>
      </c>
      <c r="C631" s="309">
        <v>46058</v>
      </c>
      <c r="D631" s="310" t="s">
        <v>301</v>
      </c>
      <c r="E631" s="342">
        <v>21</v>
      </c>
      <c r="F631" s="342"/>
      <c r="G631" s="344">
        <f t="shared" si="5"/>
        <v>4181.3599999999933</v>
      </c>
      <c r="H631" s="345"/>
      <c r="I631" s="346"/>
      <c r="J631" s="347"/>
      <c r="K631" s="312"/>
      <c r="L631" s="347"/>
      <c r="M631" s="312"/>
      <c r="N631" s="347"/>
      <c r="O631" s="312"/>
      <c r="P631" s="347"/>
      <c r="Q631" s="312"/>
      <c r="R631" s="347"/>
      <c r="S631" s="312"/>
      <c r="T631" s="347"/>
    </row>
    <row r="632" spans="1:20" ht="12" customHeight="1" x14ac:dyDescent="0.3">
      <c r="A632" s="340" t="s">
        <v>291</v>
      </c>
      <c r="B632" s="341">
        <v>39</v>
      </c>
      <c r="C632" s="309">
        <v>46058</v>
      </c>
      <c r="D632" s="310" t="s">
        <v>292</v>
      </c>
      <c r="E632" s="342"/>
      <c r="F632" s="342">
        <v>2763.79</v>
      </c>
      <c r="G632" s="344">
        <f t="shared" si="5"/>
        <v>4202.3599999999933</v>
      </c>
      <c r="H632" s="345"/>
      <c r="I632" s="346"/>
      <c r="J632" s="347"/>
      <c r="K632" s="312"/>
      <c r="L632" s="347"/>
      <c r="M632" s="312"/>
      <c r="N632" s="347"/>
      <c r="O632" s="312"/>
      <c r="P632" s="347"/>
      <c r="Q632" s="312"/>
      <c r="R632" s="347"/>
      <c r="S632" s="312"/>
      <c r="T632" s="347"/>
    </row>
    <row r="633" spans="1:20" ht="12" customHeight="1" x14ac:dyDescent="0.3">
      <c r="A633" s="340" t="s">
        <v>289</v>
      </c>
      <c r="B633" s="341">
        <v>8</v>
      </c>
      <c r="C633" s="309">
        <v>46058</v>
      </c>
      <c r="D633" s="310" t="s">
        <v>361</v>
      </c>
      <c r="E633" s="342">
        <v>95.35</v>
      </c>
      <c r="F633" s="342"/>
      <c r="G633" s="344">
        <f t="shared" si="5"/>
        <v>1438.5699999999933</v>
      </c>
      <c r="H633" s="345"/>
      <c r="I633" s="346"/>
      <c r="J633" s="347"/>
      <c r="K633" s="312"/>
      <c r="L633" s="347"/>
      <c r="M633" s="312"/>
      <c r="N633" s="347"/>
      <c r="O633" s="312"/>
      <c r="P633" s="347"/>
      <c r="Q633" s="312"/>
      <c r="R633" s="347"/>
      <c r="S633" s="312"/>
      <c r="T633" s="347"/>
    </row>
    <row r="634" spans="1:20" ht="12" customHeight="1" x14ac:dyDescent="0.3">
      <c r="A634" s="340" t="s">
        <v>289</v>
      </c>
      <c r="B634" s="341">
        <v>2</v>
      </c>
      <c r="C634" s="309">
        <v>46058</v>
      </c>
      <c r="D634" s="310" t="s">
        <v>357</v>
      </c>
      <c r="E634" s="342">
        <v>14.99</v>
      </c>
      <c r="F634" s="342"/>
      <c r="G634" s="344">
        <f t="shared" si="5"/>
        <v>1533.9199999999933</v>
      </c>
      <c r="H634" s="345"/>
      <c r="I634" s="346"/>
      <c r="J634" s="347"/>
      <c r="K634" s="312"/>
      <c r="L634" s="347"/>
      <c r="M634" s="312"/>
      <c r="N634" s="347"/>
      <c r="O634" s="312"/>
      <c r="P634" s="347"/>
      <c r="Q634" s="312"/>
      <c r="R634" s="347"/>
      <c r="S634" s="312"/>
      <c r="T634" s="347"/>
    </row>
    <row r="635" spans="1:20" ht="12" customHeight="1" x14ac:dyDescent="0.3">
      <c r="A635" s="340" t="s">
        <v>287</v>
      </c>
      <c r="B635" s="341" t="s">
        <v>287</v>
      </c>
      <c r="C635" s="309">
        <v>46058</v>
      </c>
      <c r="D635" s="310" t="s">
        <v>461</v>
      </c>
      <c r="E635" s="342">
        <v>77.569999999999993</v>
      </c>
      <c r="F635" s="342">
        <v>77.569999999999993</v>
      </c>
      <c r="G635" s="344">
        <f t="shared" si="5"/>
        <v>1548.9099999999933</v>
      </c>
      <c r="H635" s="345"/>
      <c r="I635" s="346"/>
      <c r="J635" s="347"/>
      <c r="K635" s="312"/>
      <c r="L635" s="347"/>
      <c r="M635" s="312"/>
      <c r="N635" s="347"/>
      <c r="O635" s="312"/>
      <c r="P635" s="347"/>
      <c r="Q635" s="312"/>
      <c r="R635" s="347"/>
      <c r="S635" s="312"/>
      <c r="T635" s="347"/>
    </row>
    <row r="636" spans="1:20" ht="12" customHeight="1" x14ac:dyDescent="0.3">
      <c r="A636" s="340" t="s">
        <v>289</v>
      </c>
      <c r="B636" s="341">
        <v>6</v>
      </c>
      <c r="C636" s="309">
        <v>46057</v>
      </c>
      <c r="D636" s="310" t="s">
        <v>348</v>
      </c>
      <c r="E636" s="342">
        <v>50</v>
      </c>
      <c r="F636" s="342"/>
      <c r="G636" s="344">
        <f t="shared" si="5"/>
        <v>1548.9099999999933</v>
      </c>
      <c r="H636" s="345"/>
      <c r="I636" s="346"/>
      <c r="J636" s="347"/>
      <c r="K636" s="312"/>
      <c r="L636" s="347"/>
      <c r="M636" s="312"/>
      <c r="N636" s="347"/>
      <c r="O636" s="312"/>
      <c r="P636" s="347"/>
      <c r="Q636" s="312"/>
      <c r="R636" s="347"/>
      <c r="S636" s="312"/>
      <c r="T636" s="347"/>
    </row>
    <row r="637" spans="1:20" ht="12" customHeight="1" x14ac:dyDescent="0.3">
      <c r="A637" s="340" t="s">
        <v>289</v>
      </c>
      <c r="B637" s="341">
        <v>1</v>
      </c>
      <c r="C637" s="309">
        <v>46057</v>
      </c>
      <c r="D637" s="310" t="s">
        <v>307</v>
      </c>
      <c r="E637" s="342">
        <v>62.03</v>
      </c>
      <c r="F637" s="342"/>
      <c r="G637" s="344">
        <f t="shared" si="5"/>
        <v>1598.9099999999933</v>
      </c>
      <c r="H637" s="345"/>
      <c r="I637" s="346"/>
      <c r="J637" s="347"/>
      <c r="K637" s="312"/>
      <c r="L637" s="347"/>
      <c r="M637" s="312"/>
      <c r="N637" s="347"/>
      <c r="O637" s="312"/>
      <c r="P637" s="347"/>
      <c r="Q637" s="312"/>
      <c r="R637" s="347"/>
      <c r="S637" s="312"/>
      <c r="T637" s="347"/>
    </row>
    <row r="638" spans="1:20" ht="12" customHeight="1" x14ac:dyDescent="0.3">
      <c r="A638" s="340" t="s">
        <v>289</v>
      </c>
      <c r="B638" s="341">
        <v>2</v>
      </c>
      <c r="C638" s="309">
        <v>46057</v>
      </c>
      <c r="D638" s="310" t="s">
        <v>296</v>
      </c>
      <c r="E638" s="342">
        <v>14.91</v>
      </c>
      <c r="F638" s="342"/>
      <c r="G638" s="344">
        <f t="shared" si="5"/>
        <v>1660.9399999999932</v>
      </c>
      <c r="H638" s="345"/>
      <c r="I638" s="346"/>
      <c r="J638" s="347"/>
      <c r="K638" s="312"/>
      <c r="L638" s="347"/>
      <c r="M638" s="312"/>
      <c r="N638" s="347"/>
      <c r="O638" s="312"/>
      <c r="P638" s="347"/>
      <c r="Q638" s="312"/>
      <c r="R638" s="347"/>
      <c r="S638" s="312"/>
      <c r="T638" s="347"/>
    </row>
    <row r="639" spans="1:20" ht="12" customHeight="1" x14ac:dyDescent="0.3">
      <c r="A639" s="340" t="s">
        <v>289</v>
      </c>
      <c r="B639" s="341">
        <v>4</v>
      </c>
      <c r="C639" s="309">
        <v>46057</v>
      </c>
      <c r="D639" s="310" t="s">
        <v>311</v>
      </c>
      <c r="E639" s="342">
        <v>63.38</v>
      </c>
      <c r="F639" s="342"/>
      <c r="G639" s="344">
        <f t="shared" si="5"/>
        <v>1675.8499999999933</v>
      </c>
      <c r="H639" s="345"/>
      <c r="I639" s="346"/>
      <c r="J639" s="347"/>
      <c r="K639" s="312"/>
      <c r="L639" s="347"/>
      <c r="M639" s="312"/>
      <c r="N639" s="347"/>
      <c r="O639" s="312"/>
      <c r="P639" s="347"/>
      <c r="Q639" s="312"/>
      <c r="R639" s="347"/>
      <c r="S639" s="312"/>
      <c r="T639" s="347"/>
    </row>
    <row r="640" spans="1:20" ht="12" customHeight="1" x14ac:dyDescent="0.3">
      <c r="A640" s="340" t="s">
        <v>287</v>
      </c>
      <c r="B640" s="341" t="s">
        <v>287</v>
      </c>
      <c r="C640" s="309">
        <v>46057</v>
      </c>
      <c r="D640" s="310" t="s">
        <v>463</v>
      </c>
      <c r="E640" s="342">
        <v>192.78</v>
      </c>
      <c r="F640" s="342">
        <v>192.78</v>
      </c>
      <c r="G640" s="344">
        <f t="shared" si="5"/>
        <v>1739.2299999999934</v>
      </c>
      <c r="H640" s="345"/>
      <c r="I640" s="346"/>
      <c r="J640" s="347"/>
      <c r="K640" s="312"/>
      <c r="L640" s="347"/>
      <c r="M640" s="312"/>
      <c r="N640" s="347"/>
      <c r="O640" s="312"/>
      <c r="P640" s="347"/>
      <c r="Q640" s="312"/>
      <c r="R640" s="347"/>
      <c r="S640" s="312"/>
      <c r="T640" s="347"/>
    </row>
    <row r="641" spans="1:20" ht="12" customHeight="1" x14ac:dyDescent="0.3">
      <c r="A641" s="340" t="s">
        <v>294</v>
      </c>
      <c r="B641" s="341">
        <v>14</v>
      </c>
      <c r="C641" s="309">
        <v>46057</v>
      </c>
      <c r="D641" s="310" t="s">
        <v>371</v>
      </c>
      <c r="E641" s="342">
        <v>68.739999999999995</v>
      </c>
      <c r="F641" s="342"/>
      <c r="G641" s="344">
        <f t="shared" si="5"/>
        <v>1739.2299999999934</v>
      </c>
      <c r="H641" s="345"/>
      <c r="I641" s="346"/>
      <c r="J641" s="347"/>
      <c r="K641" s="312"/>
      <c r="L641" s="347"/>
      <c r="M641" s="312"/>
      <c r="N641" s="347"/>
      <c r="O641" s="312"/>
      <c r="P641" s="347"/>
      <c r="Q641" s="312"/>
      <c r="R641" s="347"/>
      <c r="S641" s="312"/>
      <c r="T641" s="347"/>
    </row>
    <row r="642" spans="1:20" ht="12" customHeight="1" x14ac:dyDescent="0.3">
      <c r="A642" s="340" t="s">
        <v>289</v>
      </c>
      <c r="B642" s="341">
        <v>6</v>
      </c>
      <c r="C642" s="309">
        <v>46057</v>
      </c>
      <c r="D642" s="310" t="s">
        <v>300</v>
      </c>
      <c r="E642" s="342">
        <v>-42.58</v>
      </c>
      <c r="F642" s="342"/>
      <c r="G642" s="344">
        <f t="shared" si="5"/>
        <v>1807.9699999999934</v>
      </c>
      <c r="H642" s="345"/>
      <c r="I642" s="346"/>
      <c r="J642" s="347"/>
      <c r="K642" s="312"/>
      <c r="L642" s="347"/>
      <c r="M642" s="312"/>
      <c r="N642" s="347"/>
      <c r="O642" s="312"/>
      <c r="P642" s="347"/>
      <c r="Q642" s="312"/>
      <c r="R642" s="347"/>
      <c r="S642" s="312"/>
      <c r="T642" s="347"/>
    </row>
    <row r="643" spans="1:20" ht="12" customHeight="1" x14ac:dyDescent="0.3">
      <c r="A643" s="340" t="s">
        <v>289</v>
      </c>
      <c r="B643" s="341">
        <v>1</v>
      </c>
      <c r="C643" s="309">
        <v>46057</v>
      </c>
      <c r="D643" s="310" t="s">
        <v>375</v>
      </c>
      <c r="E643" s="342">
        <v>31.36</v>
      </c>
      <c r="F643" s="342"/>
      <c r="G643" s="344">
        <f t="shared" si="5"/>
        <v>1765.3899999999935</v>
      </c>
      <c r="H643" s="345"/>
      <c r="I643" s="346"/>
      <c r="J643" s="347"/>
      <c r="K643" s="312"/>
      <c r="L643" s="347"/>
      <c r="M643" s="312"/>
      <c r="N643" s="347"/>
      <c r="O643" s="312"/>
      <c r="P643" s="347"/>
      <c r="Q643" s="312"/>
      <c r="R643" s="347"/>
      <c r="S643" s="312"/>
      <c r="T643" s="347"/>
    </row>
    <row r="644" spans="1:20" ht="12" customHeight="1" x14ac:dyDescent="0.3">
      <c r="A644" s="340" t="s">
        <v>294</v>
      </c>
      <c r="B644" s="341">
        <v>17</v>
      </c>
      <c r="C644" s="309">
        <v>46057</v>
      </c>
      <c r="D644" s="310" t="s">
        <v>374</v>
      </c>
      <c r="E644" s="342">
        <v>99</v>
      </c>
      <c r="F644" s="342"/>
      <c r="G644" s="344">
        <f t="shared" si="5"/>
        <v>1796.7499999999934</v>
      </c>
      <c r="H644" s="345"/>
      <c r="I644" s="346"/>
      <c r="J644" s="347"/>
      <c r="K644" s="312"/>
      <c r="L644" s="347"/>
      <c r="M644" s="312"/>
      <c r="N644" s="347"/>
      <c r="O644" s="312"/>
      <c r="P644" s="347"/>
      <c r="Q644" s="312"/>
      <c r="R644" s="347"/>
      <c r="S644" s="312"/>
      <c r="T644" s="347"/>
    </row>
    <row r="645" spans="1:20" ht="12" customHeight="1" x14ac:dyDescent="0.3">
      <c r="A645" s="340" t="s">
        <v>284</v>
      </c>
      <c r="B645" s="341">
        <v>36</v>
      </c>
      <c r="C645" s="309">
        <v>46056</v>
      </c>
      <c r="D645" s="310" t="s">
        <v>378</v>
      </c>
      <c r="E645" s="342">
        <v>50</v>
      </c>
      <c r="F645" s="342"/>
      <c r="G645" s="344">
        <f t="shared" si="5"/>
        <v>1895.7499999999934</v>
      </c>
      <c r="H645" s="345"/>
      <c r="I645" s="346"/>
      <c r="J645" s="347"/>
      <c r="K645" s="312"/>
      <c r="L645" s="347"/>
      <c r="M645" s="312"/>
      <c r="N645" s="347"/>
      <c r="O645" s="312"/>
      <c r="P645" s="347"/>
      <c r="Q645" s="312"/>
      <c r="R645" s="347"/>
      <c r="S645" s="312"/>
      <c r="T645" s="347"/>
    </row>
    <row r="646" spans="1:20" ht="12" customHeight="1" x14ac:dyDescent="0.3">
      <c r="A646" s="340" t="s">
        <v>289</v>
      </c>
      <c r="B646" s="341">
        <v>8</v>
      </c>
      <c r="C646" s="309">
        <v>46056</v>
      </c>
      <c r="D646" s="310" t="s">
        <v>321</v>
      </c>
      <c r="E646" s="342">
        <v>7.92</v>
      </c>
      <c r="F646" s="342"/>
      <c r="G646" s="344">
        <f t="shared" si="5"/>
        <v>1945.7499999999934</v>
      </c>
      <c r="H646" s="345"/>
      <c r="I646" s="346"/>
      <c r="J646" s="347"/>
      <c r="K646" s="312"/>
      <c r="L646" s="347"/>
      <c r="M646" s="312"/>
      <c r="N646" s="347"/>
      <c r="O646" s="312"/>
      <c r="P646" s="347"/>
      <c r="Q646" s="312"/>
      <c r="R646" s="347"/>
      <c r="S646" s="312"/>
      <c r="T646" s="347"/>
    </row>
    <row r="647" spans="1:20" ht="12" customHeight="1" x14ac:dyDescent="0.3">
      <c r="A647" s="340" t="s">
        <v>294</v>
      </c>
      <c r="B647" s="341">
        <v>24</v>
      </c>
      <c r="C647" s="309">
        <v>46056</v>
      </c>
      <c r="D647" s="310" t="s">
        <v>437</v>
      </c>
      <c r="E647" s="342">
        <v>83.58</v>
      </c>
      <c r="F647" s="342"/>
      <c r="G647" s="344">
        <f t="shared" si="5"/>
        <v>1953.6699999999935</v>
      </c>
      <c r="H647" s="345"/>
      <c r="I647" s="346"/>
      <c r="J647" s="347"/>
      <c r="K647" s="312"/>
      <c r="L647" s="347"/>
      <c r="M647" s="312"/>
      <c r="N647" s="347"/>
      <c r="O647" s="312"/>
      <c r="P647" s="347"/>
      <c r="Q647" s="312"/>
      <c r="R647" s="347"/>
      <c r="S647" s="312"/>
      <c r="T647" s="347"/>
    </row>
    <row r="648" spans="1:20" ht="12" customHeight="1" x14ac:dyDescent="0.3">
      <c r="A648" s="340" t="s">
        <v>289</v>
      </c>
      <c r="B648" s="341">
        <v>4</v>
      </c>
      <c r="C648" s="309">
        <v>46056</v>
      </c>
      <c r="D648" s="310" t="s">
        <v>464</v>
      </c>
      <c r="E648" s="342">
        <v>28.64</v>
      </c>
      <c r="F648" s="342"/>
      <c r="G648" s="344">
        <f t="shared" si="5"/>
        <v>2037.2499999999934</v>
      </c>
      <c r="H648" s="345"/>
      <c r="I648" s="346"/>
      <c r="J648" s="347"/>
      <c r="K648" s="312"/>
      <c r="L648" s="347"/>
      <c r="M648" s="312"/>
      <c r="N648" s="347"/>
      <c r="O648" s="312"/>
      <c r="P648" s="347"/>
      <c r="Q648" s="312"/>
      <c r="R648" s="347"/>
      <c r="S648" s="312"/>
      <c r="T648" s="347"/>
    </row>
    <row r="649" spans="1:20" ht="12" customHeight="1" x14ac:dyDescent="0.3">
      <c r="A649" s="340" t="s">
        <v>289</v>
      </c>
      <c r="B649" s="341">
        <v>2</v>
      </c>
      <c r="C649" s="309">
        <v>46056</v>
      </c>
      <c r="D649" s="310" t="s">
        <v>362</v>
      </c>
      <c r="E649" s="342">
        <v>9.4700000000000006</v>
      </c>
      <c r="F649" s="342"/>
      <c r="G649" s="344">
        <f t="shared" si="5"/>
        <v>2065.8899999999935</v>
      </c>
      <c r="H649" s="345"/>
      <c r="I649" s="346"/>
      <c r="J649" s="347"/>
      <c r="K649" s="312"/>
      <c r="L649" s="347"/>
      <c r="M649" s="312"/>
      <c r="N649" s="347"/>
      <c r="O649" s="312"/>
      <c r="P649" s="347"/>
      <c r="Q649" s="312"/>
      <c r="R649" s="347"/>
      <c r="S649" s="312"/>
      <c r="T649" s="347"/>
    </row>
    <row r="650" spans="1:20" ht="12" customHeight="1" x14ac:dyDescent="0.3">
      <c r="A650" s="340" t="s">
        <v>289</v>
      </c>
      <c r="B650" s="341">
        <v>6</v>
      </c>
      <c r="C650" s="309">
        <v>46055</v>
      </c>
      <c r="D650" s="310" t="s">
        <v>465</v>
      </c>
      <c r="E650" s="342">
        <v>20</v>
      </c>
      <c r="F650" s="342"/>
      <c r="G650" s="344">
        <f t="shared" si="5"/>
        <v>2075.3599999999933</v>
      </c>
      <c r="H650" s="345"/>
      <c r="I650" s="346"/>
      <c r="J650" s="347"/>
      <c r="K650" s="312"/>
      <c r="L650" s="347"/>
      <c r="M650" s="312"/>
      <c r="N650" s="347"/>
      <c r="O650" s="312"/>
      <c r="P650" s="347"/>
      <c r="Q650" s="312"/>
      <c r="R650" s="347"/>
      <c r="S650" s="312"/>
      <c r="T650" s="347"/>
    </row>
    <row r="651" spans="1:20" ht="12" customHeight="1" x14ac:dyDescent="0.3">
      <c r="A651" s="340" t="s">
        <v>294</v>
      </c>
      <c r="B651" s="341">
        <v>17</v>
      </c>
      <c r="C651" s="309">
        <v>46055</v>
      </c>
      <c r="D651" s="310" t="s">
        <v>188</v>
      </c>
      <c r="E651" s="342">
        <v>41.54</v>
      </c>
      <c r="F651" s="342"/>
      <c r="G651" s="344">
        <f t="shared" si="5"/>
        <v>2095.3599999999933</v>
      </c>
      <c r="H651" s="345"/>
      <c r="I651" s="346"/>
      <c r="J651" s="347"/>
      <c r="K651" s="312"/>
      <c r="L651" s="347"/>
      <c r="M651" s="312"/>
      <c r="N651" s="347"/>
      <c r="O651" s="312"/>
      <c r="P651" s="347"/>
      <c r="Q651" s="312"/>
      <c r="R651" s="347"/>
      <c r="S651" s="312"/>
      <c r="T651" s="347"/>
    </row>
    <row r="652" spans="1:20" ht="12" customHeight="1" x14ac:dyDescent="0.3">
      <c r="A652" s="340" t="s">
        <v>289</v>
      </c>
      <c r="B652" s="341">
        <v>2</v>
      </c>
      <c r="C652" s="309">
        <v>46055</v>
      </c>
      <c r="D652" s="310" t="s">
        <v>296</v>
      </c>
      <c r="E652" s="342">
        <v>9.92</v>
      </c>
      <c r="F652" s="342"/>
      <c r="G652" s="344">
        <f t="shared" si="5"/>
        <v>2136.8999999999933</v>
      </c>
      <c r="H652" s="345"/>
      <c r="I652" s="346"/>
      <c r="J652" s="347"/>
      <c r="K652" s="312"/>
      <c r="L652" s="347"/>
      <c r="M652" s="312"/>
      <c r="N652" s="347"/>
      <c r="O652" s="312"/>
      <c r="P652" s="347"/>
      <c r="Q652" s="312"/>
      <c r="R652" s="347"/>
      <c r="S652" s="312"/>
      <c r="T652" s="347"/>
    </row>
    <row r="653" spans="1:20" ht="12" customHeight="1" x14ac:dyDescent="0.3">
      <c r="A653" s="340" t="s">
        <v>289</v>
      </c>
      <c r="B653" s="341">
        <v>8</v>
      </c>
      <c r="C653" s="309">
        <v>46055</v>
      </c>
      <c r="D653" s="310" t="s">
        <v>466</v>
      </c>
      <c r="E653" s="342">
        <v>155.38</v>
      </c>
      <c r="F653" s="342"/>
      <c r="G653" s="344">
        <f t="shared" si="5"/>
        <v>2146.8199999999933</v>
      </c>
      <c r="H653" s="345"/>
      <c r="I653" s="346"/>
      <c r="J653" s="347"/>
      <c r="K653" s="312"/>
      <c r="L653" s="347"/>
      <c r="M653" s="312"/>
      <c r="N653" s="347"/>
      <c r="O653" s="312"/>
      <c r="P653" s="347"/>
      <c r="Q653" s="312"/>
      <c r="R653" s="347"/>
      <c r="S653" s="312"/>
      <c r="T653" s="347"/>
    </row>
    <row r="654" spans="1:20" ht="12" customHeight="1" x14ac:dyDescent="0.3">
      <c r="A654" s="340" t="s">
        <v>294</v>
      </c>
      <c r="B654" s="341">
        <v>21</v>
      </c>
      <c r="C654" s="309">
        <v>46055</v>
      </c>
      <c r="D654" s="310" t="s">
        <v>194</v>
      </c>
      <c r="E654" s="342">
        <v>27.35</v>
      </c>
      <c r="F654" s="342"/>
      <c r="G654" s="344">
        <f t="shared" si="5"/>
        <v>2302.1999999999935</v>
      </c>
      <c r="H654" s="345"/>
      <c r="I654" s="346"/>
      <c r="J654" s="347"/>
      <c r="K654" s="312"/>
      <c r="L654" s="347"/>
      <c r="M654" s="312"/>
      <c r="N654" s="347"/>
      <c r="O654" s="312"/>
      <c r="P654" s="347"/>
      <c r="Q654" s="312"/>
      <c r="R654" s="347"/>
      <c r="S654" s="312"/>
      <c r="T654" s="347"/>
    </row>
    <row r="655" spans="1:20" ht="12" customHeight="1" x14ac:dyDescent="0.3">
      <c r="A655" s="340" t="s">
        <v>289</v>
      </c>
      <c r="B655" s="341">
        <v>6</v>
      </c>
      <c r="C655" s="309">
        <v>46054</v>
      </c>
      <c r="D655" s="310" t="s">
        <v>300</v>
      </c>
      <c r="E655" s="342">
        <v>59.37</v>
      </c>
      <c r="F655" s="342"/>
      <c r="G655" s="344">
        <f t="shared" si="5"/>
        <v>2329.5499999999934</v>
      </c>
      <c r="H655" s="345"/>
      <c r="I655" s="346"/>
      <c r="J655" s="347"/>
      <c r="K655" s="312"/>
      <c r="L655" s="347"/>
      <c r="M655" s="312"/>
      <c r="N655" s="347"/>
      <c r="O655" s="312"/>
      <c r="P655" s="347"/>
      <c r="Q655" s="312"/>
      <c r="R655" s="347"/>
      <c r="S655" s="312"/>
      <c r="T655" s="347"/>
    </row>
    <row r="656" spans="1:20" ht="12" customHeight="1" x14ac:dyDescent="0.3">
      <c r="A656" s="340" t="s">
        <v>294</v>
      </c>
      <c r="B656" s="341">
        <v>22</v>
      </c>
      <c r="C656" s="309">
        <v>46054</v>
      </c>
      <c r="D656" s="310" t="s">
        <v>379</v>
      </c>
      <c r="E656" s="342">
        <v>6.37</v>
      </c>
      <c r="F656" s="342"/>
      <c r="G656" s="344">
        <f t="shared" si="5"/>
        <v>2388.9199999999933</v>
      </c>
      <c r="H656" s="345"/>
      <c r="I656" s="346"/>
      <c r="J656" s="347"/>
      <c r="K656" s="312"/>
      <c r="L656" s="347"/>
      <c r="M656" s="312"/>
      <c r="N656" s="347"/>
      <c r="O656" s="312"/>
      <c r="P656" s="347"/>
      <c r="Q656" s="312"/>
      <c r="R656" s="347"/>
      <c r="S656" s="312"/>
      <c r="T656" s="347"/>
    </row>
    <row r="657" spans="1:20" ht="12" customHeight="1" x14ac:dyDescent="0.3">
      <c r="A657" s="340" t="s">
        <v>289</v>
      </c>
      <c r="B657" s="341">
        <v>8</v>
      </c>
      <c r="C657" s="309">
        <v>46054</v>
      </c>
      <c r="D657" s="310" t="s">
        <v>467</v>
      </c>
      <c r="E657" s="342">
        <v>44.65</v>
      </c>
      <c r="F657" s="342"/>
      <c r="G657" s="344">
        <f t="shared" si="5"/>
        <v>2395.2899999999931</v>
      </c>
      <c r="H657" s="345"/>
      <c r="I657" s="346"/>
      <c r="J657" s="347"/>
      <c r="K657" s="312"/>
      <c r="L657" s="347"/>
      <c r="M657" s="312"/>
      <c r="N657" s="347"/>
      <c r="O657" s="312"/>
      <c r="P657" s="347"/>
      <c r="Q657" s="312"/>
      <c r="R657" s="347"/>
      <c r="S657" s="312"/>
      <c r="T657" s="347"/>
    </row>
    <row r="658" spans="1:20" ht="12" customHeight="1" x14ac:dyDescent="0.3">
      <c r="A658" s="340" t="s">
        <v>289</v>
      </c>
      <c r="B658" s="341">
        <v>7</v>
      </c>
      <c r="C658" s="309">
        <v>46054</v>
      </c>
      <c r="D658" s="310" t="s">
        <v>342</v>
      </c>
      <c r="E658" s="342">
        <v>35.17</v>
      </c>
      <c r="F658" s="342"/>
      <c r="G658" s="344">
        <f t="shared" si="5"/>
        <v>2439.9399999999932</v>
      </c>
      <c r="H658" s="345"/>
      <c r="I658" s="346"/>
      <c r="J658" s="347"/>
      <c r="K658" s="312"/>
      <c r="L658" s="347"/>
      <c r="M658" s="312"/>
      <c r="N658" s="347"/>
      <c r="O658" s="312"/>
      <c r="P658" s="347"/>
      <c r="Q658" s="312"/>
      <c r="R658" s="347"/>
      <c r="S658" s="312"/>
      <c r="T658" s="347"/>
    </row>
    <row r="659" spans="1:20" ht="12" customHeight="1" x14ac:dyDescent="0.3">
      <c r="A659" s="340" t="s">
        <v>289</v>
      </c>
      <c r="B659" s="341">
        <v>4</v>
      </c>
      <c r="C659" s="309">
        <v>46054</v>
      </c>
      <c r="D659" s="310" t="s">
        <v>311</v>
      </c>
      <c r="E659" s="342">
        <v>28.48</v>
      </c>
      <c r="F659" s="342"/>
      <c r="G659" s="344">
        <f t="shared" si="5"/>
        <v>2475.1099999999933</v>
      </c>
      <c r="H659" s="345"/>
      <c r="I659" s="346"/>
      <c r="J659" s="347"/>
      <c r="K659" s="312"/>
      <c r="L659" s="347"/>
      <c r="M659" s="312"/>
      <c r="N659" s="347"/>
      <c r="O659" s="312"/>
      <c r="P659" s="347"/>
      <c r="Q659" s="312"/>
      <c r="R659" s="347"/>
      <c r="S659" s="312"/>
      <c r="T659" s="347"/>
    </row>
    <row r="660" spans="1:20" ht="12" customHeight="1" x14ac:dyDescent="0.3">
      <c r="A660" s="340" t="s">
        <v>289</v>
      </c>
      <c r="B660" s="341">
        <v>1</v>
      </c>
      <c r="C660" s="309">
        <v>46054</v>
      </c>
      <c r="D660" s="310" t="s">
        <v>312</v>
      </c>
      <c r="E660" s="342">
        <v>125.07</v>
      </c>
      <c r="F660" s="342"/>
      <c r="G660" s="344">
        <f t="shared" si="5"/>
        <v>2503.5899999999933</v>
      </c>
      <c r="H660" s="345"/>
      <c r="I660" s="346"/>
      <c r="J660" s="347"/>
      <c r="K660" s="312"/>
      <c r="L660" s="347"/>
      <c r="M660" s="312"/>
      <c r="N660" s="347"/>
      <c r="O660" s="312"/>
      <c r="P660" s="347"/>
      <c r="Q660" s="312"/>
      <c r="R660" s="347"/>
      <c r="S660" s="312"/>
      <c r="T660" s="347"/>
    </row>
    <row r="661" spans="1:20" ht="12" customHeight="1" x14ac:dyDescent="0.3">
      <c r="A661" s="340" t="s">
        <v>289</v>
      </c>
      <c r="B661" s="341">
        <v>2</v>
      </c>
      <c r="C661" s="309">
        <v>46054</v>
      </c>
      <c r="D661" s="310" t="s">
        <v>467</v>
      </c>
      <c r="E661" s="342">
        <v>100</v>
      </c>
      <c r="F661" s="342"/>
      <c r="G661" s="344">
        <f t="shared" si="5"/>
        <v>2628.6599999999935</v>
      </c>
      <c r="H661" s="345"/>
      <c r="I661" s="346"/>
      <c r="J661" s="347"/>
      <c r="K661" s="312"/>
      <c r="L661" s="347"/>
      <c r="M661" s="312"/>
      <c r="N661" s="347"/>
      <c r="O661" s="312"/>
      <c r="P661" s="347"/>
      <c r="Q661" s="312"/>
      <c r="R661" s="347"/>
      <c r="S661" s="312"/>
      <c r="T661" s="347"/>
    </row>
    <row r="662" spans="1:20" ht="12" customHeight="1" x14ac:dyDescent="0.3">
      <c r="A662" s="340" t="s">
        <v>289</v>
      </c>
      <c r="B662" s="341">
        <v>1</v>
      </c>
      <c r="C662" s="309">
        <v>46054</v>
      </c>
      <c r="D662" s="310" t="s">
        <v>332</v>
      </c>
      <c r="E662" s="342">
        <v>194.96</v>
      </c>
      <c r="F662" s="342"/>
      <c r="G662" s="344">
        <f t="shared" si="5"/>
        <v>2728.6599999999935</v>
      </c>
      <c r="H662" s="345"/>
      <c r="I662" s="346"/>
      <c r="J662" s="347"/>
      <c r="K662" s="312"/>
      <c r="L662" s="347"/>
      <c r="M662" s="312"/>
      <c r="N662" s="347"/>
      <c r="O662" s="312"/>
      <c r="P662" s="347"/>
      <c r="Q662" s="312"/>
      <c r="R662" s="347"/>
      <c r="S662" s="312"/>
      <c r="T662" s="347"/>
    </row>
    <row r="663" spans="1:20" ht="12" customHeight="1" x14ac:dyDescent="0.3">
      <c r="A663" s="340" t="s">
        <v>289</v>
      </c>
      <c r="B663" s="341">
        <v>2</v>
      </c>
      <c r="C663" s="309">
        <v>46054</v>
      </c>
      <c r="D663" s="310" t="s">
        <v>417</v>
      </c>
      <c r="E663" s="342">
        <v>75.53</v>
      </c>
      <c r="F663" s="342"/>
      <c r="G663" s="344">
        <f t="shared" si="5"/>
        <v>2923.6199999999935</v>
      </c>
      <c r="H663" s="345"/>
      <c r="I663" s="346"/>
      <c r="J663" s="347"/>
      <c r="K663" s="312"/>
      <c r="L663" s="347"/>
      <c r="M663" s="312"/>
      <c r="N663" s="347"/>
      <c r="O663" s="312"/>
      <c r="P663" s="347"/>
      <c r="Q663" s="312"/>
      <c r="R663" s="347"/>
      <c r="S663" s="312"/>
      <c r="T663" s="347"/>
    </row>
    <row r="664" spans="1:20" ht="12" customHeight="1" x14ac:dyDescent="0.3">
      <c r="A664" s="340" t="s">
        <v>284</v>
      </c>
      <c r="B664" s="341">
        <v>37</v>
      </c>
      <c r="C664" s="309">
        <v>46053</v>
      </c>
      <c r="D664" s="310" t="s">
        <v>468</v>
      </c>
      <c r="E664" s="342">
        <v>3194.64</v>
      </c>
      <c r="F664" s="342"/>
      <c r="G664" s="344">
        <f t="shared" si="5"/>
        <v>2999.1499999999937</v>
      </c>
      <c r="H664" s="345"/>
      <c r="I664" s="346"/>
      <c r="J664" s="347"/>
      <c r="K664" s="312"/>
      <c r="L664" s="347"/>
      <c r="M664" s="312"/>
      <c r="N664" s="347"/>
      <c r="O664" s="312"/>
      <c r="P664" s="347"/>
      <c r="Q664" s="312"/>
      <c r="R664" s="347"/>
      <c r="S664" s="312"/>
      <c r="T664" s="347"/>
    </row>
    <row r="665" spans="1:20" ht="12" customHeight="1" x14ac:dyDescent="0.3">
      <c r="A665" s="340" t="s">
        <v>286</v>
      </c>
      <c r="B665" s="341">
        <v>25</v>
      </c>
      <c r="C665" s="309">
        <v>46053</v>
      </c>
      <c r="D665" s="309" t="s">
        <v>204</v>
      </c>
      <c r="E665" s="342">
        <v>350</v>
      </c>
      <c r="F665" s="342"/>
      <c r="G665" s="344">
        <f t="shared" si="5"/>
        <v>6193.7899999999936</v>
      </c>
      <c r="H665" s="345"/>
      <c r="I665" s="346"/>
      <c r="J665" s="347"/>
      <c r="K665" s="312"/>
      <c r="L665" s="347"/>
      <c r="M665" s="312"/>
      <c r="N665" s="347"/>
      <c r="O665" s="312"/>
      <c r="P665" s="347"/>
      <c r="Q665" s="312"/>
      <c r="R665" s="347"/>
      <c r="S665" s="312"/>
      <c r="T665" s="347"/>
    </row>
    <row r="666" spans="1:20" ht="12" customHeight="1" x14ac:dyDescent="0.3">
      <c r="A666" s="340" t="s">
        <v>286</v>
      </c>
      <c r="B666" s="341">
        <v>26</v>
      </c>
      <c r="C666" s="309">
        <v>46053</v>
      </c>
      <c r="D666" s="309" t="s">
        <v>205</v>
      </c>
      <c r="E666" s="342">
        <v>320</v>
      </c>
      <c r="F666" s="342"/>
      <c r="G666" s="344">
        <f t="shared" si="5"/>
        <v>6543.7899999999936</v>
      </c>
      <c r="H666" s="345"/>
      <c r="I666" s="346"/>
      <c r="J666" s="347"/>
      <c r="K666" s="312"/>
      <c r="L666" s="347"/>
      <c r="M666" s="312"/>
      <c r="N666" s="347"/>
      <c r="O666" s="312"/>
      <c r="P666" s="347"/>
      <c r="Q666" s="312"/>
      <c r="R666" s="347"/>
      <c r="S666" s="312"/>
      <c r="T666" s="347"/>
    </row>
    <row r="667" spans="1:20" ht="12" customHeight="1" x14ac:dyDescent="0.3">
      <c r="A667" s="340" t="s">
        <v>286</v>
      </c>
      <c r="B667" s="341">
        <v>27</v>
      </c>
      <c r="C667" s="309">
        <v>46053</v>
      </c>
      <c r="D667" s="309" t="s">
        <v>206</v>
      </c>
      <c r="E667" s="342">
        <v>25</v>
      </c>
      <c r="F667" s="342"/>
      <c r="G667" s="344">
        <f t="shared" si="5"/>
        <v>6863.7899999999936</v>
      </c>
      <c r="H667" s="345"/>
      <c r="I667" s="346"/>
      <c r="J667" s="347"/>
      <c r="K667" s="312"/>
      <c r="L667" s="347"/>
      <c r="M667" s="312"/>
      <c r="N667" s="347"/>
      <c r="O667" s="312"/>
      <c r="P667" s="347"/>
      <c r="Q667" s="312"/>
      <c r="R667" s="347"/>
      <c r="S667" s="312"/>
      <c r="T667" s="347"/>
    </row>
    <row r="668" spans="1:20" ht="12" customHeight="1" x14ac:dyDescent="0.3">
      <c r="A668" s="340" t="s">
        <v>286</v>
      </c>
      <c r="B668" s="341">
        <v>28</v>
      </c>
      <c r="C668" s="309">
        <v>46053</v>
      </c>
      <c r="D668" s="309" t="s">
        <v>207</v>
      </c>
      <c r="E668" s="342">
        <v>25</v>
      </c>
      <c r="F668" s="342"/>
      <c r="G668" s="344">
        <f t="shared" si="5"/>
        <v>6888.7899999999936</v>
      </c>
      <c r="H668" s="345"/>
      <c r="I668" s="346"/>
      <c r="J668" s="347"/>
      <c r="K668" s="312"/>
      <c r="L668" s="347"/>
      <c r="M668" s="312"/>
      <c r="N668" s="347"/>
      <c r="O668" s="312"/>
      <c r="P668" s="347"/>
      <c r="Q668" s="312"/>
      <c r="R668" s="347"/>
      <c r="S668" s="312"/>
      <c r="T668" s="347"/>
    </row>
    <row r="669" spans="1:20" ht="12" customHeight="1" x14ac:dyDescent="0.3">
      <c r="A669" s="340" t="s">
        <v>286</v>
      </c>
      <c r="B669" s="341">
        <v>29</v>
      </c>
      <c r="C669" s="309">
        <v>46053</v>
      </c>
      <c r="D669" s="309" t="s">
        <v>208</v>
      </c>
      <c r="E669" s="342">
        <v>45</v>
      </c>
      <c r="F669" s="342"/>
      <c r="G669" s="344">
        <f t="shared" si="5"/>
        <v>6913.7899999999936</v>
      </c>
      <c r="H669" s="345"/>
      <c r="I669" s="346"/>
      <c r="J669" s="347"/>
      <c r="K669" s="312"/>
      <c r="L669" s="347"/>
      <c r="M669" s="312"/>
      <c r="N669" s="347"/>
      <c r="O669" s="312"/>
      <c r="P669" s="347"/>
      <c r="Q669" s="312"/>
      <c r="R669" s="347"/>
      <c r="S669" s="312"/>
      <c r="T669" s="347"/>
    </row>
    <row r="670" spans="1:20" ht="12" customHeight="1" x14ac:dyDescent="0.3">
      <c r="A670" s="340" t="s">
        <v>286</v>
      </c>
      <c r="B670" s="341">
        <v>30</v>
      </c>
      <c r="C670" s="309">
        <v>46053</v>
      </c>
      <c r="D670" s="309" t="s">
        <v>209</v>
      </c>
      <c r="E670" s="342">
        <v>400</v>
      </c>
      <c r="F670" s="342"/>
      <c r="G670" s="344">
        <f t="shared" si="5"/>
        <v>6958.7899999999936</v>
      </c>
      <c r="H670" s="345"/>
      <c r="I670" s="346"/>
      <c r="J670" s="347"/>
      <c r="K670" s="312"/>
      <c r="L670" s="347"/>
      <c r="M670" s="312"/>
      <c r="N670" s="347"/>
      <c r="O670" s="312"/>
      <c r="P670" s="347"/>
      <c r="Q670" s="312"/>
      <c r="R670" s="347"/>
      <c r="S670" s="312"/>
      <c r="T670" s="347"/>
    </row>
    <row r="671" spans="1:20" ht="12" customHeight="1" x14ac:dyDescent="0.3">
      <c r="A671" s="340" t="s">
        <v>286</v>
      </c>
      <c r="B671" s="341">
        <v>31</v>
      </c>
      <c r="C671" s="309">
        <v>46053</v>
      </c>
      <c r="D671" s="309" t="s">
        <v>210</v>
      </c>
      <c r="E671" s="342">
        <v>375</v>
      </c>
      <c r="F671" s="342"/>
      <c r="G671" s="344">
        <f t="shared" si="5"/>
        <v>7358.7899999999936</v>
      </c>
      <c r="H671" s="345"/>
      <c r="I671" s="346"/>
      <c r="J671" s="347"/>
      <c r="K671" s="312"/>
      <c r="L671" s="347"/>
      <c r="M671" s="312"/>
      <c r="N671" s="347"/>
      <c r="O671" s="312"/>
      <c r="P671" s="347"/>
      <c r="Q671" s="312"/>
      <c r="R671" s="347"/>
      <c r="S671" s="312"/>
      <c r="T671" s="347"/>
    </row>
    <row r="672" spans="1:20" ht="12" customHeight="1" x14ac:dyDescent="0.3">
      <c r="A672" s="340" t="s">
        <v>286</v>
      </c>
      <c r="B672" s="341">
        <v>32</v>
      </c>
      <c r="C672" s="309">
        <v>46053</v>
      </c>
      <c r="D672" s="309" t="s">
        <v>211</v>
      </c>
      <c r="E672" s="342">
        <v>100</v>
      </c>
      <c r="F672" s="342"/>
      <c r="G672" s="344">
        <f t="shared" si="5"/>
        <v>7733.7899999999936</v>
      </c>
      <c r="H672" s="345"/>
      <c r="I672" s="346"/>
      <c r="J672" s="347"/>
      <c r="K672" s="312"/>
      <c r="L672" s="347"/>
      <c r="M672" s="312"/>
      <c r="N672" s="347"/>
      <c r="O672" s="312"/>
      <c r="P672" s="347"/>
      <c r="Q672" s="312"/>
      <c r="R672" s="347"/>
      <c r="S672" s="312"/>
      <c r="T672" s="347"/>
    </row>
    <row r="673" spans="1:20" ht="12" customHeight="1" x14ac:dyDescent="0.3">
      <c r="A673" s="340" t="s">
        <v>286</v>
      </c>
      <c r="B673" s="341">
        <v>33</v>
      </c>
      <c r="C673" s="309">
        <v>46053</v>
      </c>
      <c r="D673" s="309" t="s">
        <v>212</v>
      </c>
      <c r="E673" s="342">
        <v>85</v>
      </c>
      <c r="F673" s="342"/>
      <c r="G673" s="344">
        <f t="shared" si="5"/>
        <v>7833.7899999999936</v>
      </c>
      <c r="H673" s="345"/>
      <c r="I673" s="346"/>
      <c r="J673" s="347"/>
      <c r="K673" s="312"/>
      <c r="L673" s="347"/>
      <c r="M673" s="312"/>
      <c r="N673" s="347"/>
      <c r="O673" s="312"/>
      <c r="P673" s="347"/>
      <c r="Q673" s="312"/>
      <c r="R673" s="347"/>
      <c r="S673" s="312"/>
      <c r="T673" s="347"/>
    </row>
    <row r="674" spans="1:20" ht="12" customHeight="1" x14ac:dyDescent="0.3">
      <c r="A674" s="340" t="s">
        <v>286</v>
      </c>
      <c r="B674" s="341">
        <v>34</v>
      </c>
      <c r="C674" s="309">
        <v>46053</v>
      </c>
      <c r="D674" s="309" t="s">
        <v>213</v>
      </c>
      <c r="E674" s="342">
        <v>230</v>
      </c>
      <c r="F674" s="342"/>
      <c r="G674" s="344">
        <f t="shared" si="5"/>
        <v>7918.7899999999936</v>
      </c>
      <c r="H674" s="345"/>
      <c r="I674" s="346"/>
      <c r="J674" s="347"/>
      <c r="K674" s="312"/>
      <c r="L674" s="347"/>
      <c r="M674" s="312"/>
      <c r="N674" s="347"/>
      <c r="O674" s="312"/>
      <c r="P674" s="347"/>
      <c r="Q674" s="312"/>
      <c r="R674" s="347"/>
      <c r="S674" s="312"/>
      <c r="T674" s="347"/>
    </row>
    <row r="675" spans="1:20" ht="12" customHeight="1" x14ac:dyDescent="0.3">
      <c r="A675" s="340" t="s">
        <v>286</v>
      </c>
      <c r="B675" s="341">
        <v>35</v>
      </c>
      <c r="C675" s="309">
        <v>46053</v>
      </c>
      <c r="D675" s="309" t="s">
        <v>214</v>
      </c>
      <c r="E675" s="342">
        <v>45</v>
      </c>
      <c r="F675" s="342"/>
      <c r="G675" s="344">
        <f t="shared" si="5"/>
        <v>8148.7899999999936</v>
      </c>
      <c r="H675" s="345"/>
      <c r="I675" s="346"/>
      <c r="J675" s="347"/>
      <c r="K675" s="312"/>
      <c r="L675" s="347"/>
      <c r="M675" s="312"/>
      <c r="N675" s="347"/>
      <c r="O675" s="312"/>
      <c r="P675" s="347"/>
      <c r="Q675" s="312"/>
      <c r="R675" s="347"/>
      <c r="S675" s="312"/>
      <c r="T675" s="347"/>
    </row>
    <row r="676" spans="1:20" ht="12" customHeight="1" x14ac:dyDescent="0.3">
      <c r="A676" s="340" t="s">
        <v>289</v>
      </c>
      <c r="B676" s="341">
        <v>8</v>
      </c>
      <c r="C676" s="309">
        <v>46053</v>
      </c>
      <c r="D676" s="309" t="s">
        <v>321</v>
      </c>
      <c r="E676" s="342">
        <v>31.03</v>
      </c>
      <c r="F676" s="342"/>
      <c r="G676" s="344">
        <f t="shared" si="5"/>
        <v>8193.7899999999936</v>
      </c>
      <c r="H676" s="345"/>
      <c r="I676" s="346"/>
      <c r="J676" s="347"/>
      <c r="K676" s="312"/>
      <c r="L676" s="347"/>
      <c r="M676" s="312"/>
      <c r="N676" s="347"/>
      <c r="O676" s="312"/>
      <c r="P676" s="347"/>
      <c r="Q676" s="312"/>
      <c r="R676" s="347"/>
      <c r="S676" s="312"/>
      <c r="T676" s="347"/>
    </row>
    <row r="677" spans="1:20" ht="12" customHeight="1" x14ac:dyDescent="0.3">
      <c r="A677" s="340" t="s">
        <v>294</v>
      </c>
      <c r="B677" s="341">
        <v>10</v>
      </c>
      <c r="C677" s="309">
        <v>46053</v>
      </c>
      <c r="D677" s="309" t="s">
        <v>176</v>
      </c>
      <c r="E677" s="342">
        <v>17.899999999999999</v>
      </c>
      <c r="F677" s="342"/>
      <c r="G677" s="344">
        <f t="shared" si="5"/>
        <v>8224.8199999999943</v>
      </c>
      <c r="H677" s="345"/>
      <c r="I677" s="346"/>
      <c r="J677" s="347"/>
      <c r="K677" s="312"/>
      <c r="L677" s="347"/>
      <c r="M677" s="312"/>
      <c r="N677" s="347"/>
      <c r="O677" s="312"/>
      <c r="P677" s="347"/>
      <c r="Q677" s="312"/>
      <c r="R677" s="347"/>
      <c r="S677" s="312"/>
      <c r="T677" s="347"/>
    </row>
    <row r="678" spans="1:20" ht="12" customHeight="1" x14ac:dyDescent="0.3">
      <c r="A678" s="340" t="s">
        <v>289</v>
      </c>
      <c r="B678" s="341">
        <v>3</v>
      </c>
      <c r="C678" s="309">
        <v>46053</v>
      </c>
      <c r="D678" s="309" t="s">
        <v>352</v>
      </c>
      <c r="E678" s="342">
        <v>18.84</v>
      </c>
      <c r="F678" s="342"/>
      <c r="G678" s="344">
        <f t="shared" si="5"/>
        <v>8242.7199999999939</v>
      </c>
      <c r="H678" s="345"/>
      <c r="I678" s="346"/>
      <c r="J678" s="347"/>
      <c r="K678" s="312"/>
      <c r="L678" s="347"/>
      <c r="M678" s="312"/>
      <c r="N678" s="347"/>
      <c r="O678" s="312"/>
      <c r="P678" s="347"/>
      <c r="Q678" s="312"/>
      <c r="R678" s="347"/>
      <c r="S678" s="312"/>
      <c r="T678" s="347"/>
    </row>
    <row r="679" spans="1:20" ht="12" customHeight="1" x14ac:dyDescent="0.3">
      <c r="A679" s="340" t="s">
        <v>289</v>
      </c>
      <c r="B679" s="341">
        <v>8</v>
      </c>
      <c r="C679" s="309">
        <v>46053</v>
      </c>
      <c r="D679" s="309" t="s">
        <v>321</v>
      </c>
      <c r="E679" s="342">
        <v>25.54</v>
      </c>
      <c r="F679" s="342"/>
      <c r="G679" s="344">
        <f t="shared" si="5"/>
        <v>8261.559999999994</v>
      </c>
      <c r="H679" s="345"/>
      <c r="I679" s="346"/>
      <c r="J679" s="347"/>
      <c r="K679" s="312"/>
      <c r="L679" s="347"/>
      <c r="M679" s="312"/>
      <c r="N679" s="347"/>
      <c r="O679" s="312"/>
      <c r="P679" s="347"/>
      <c r="Q679" s="312"/>
      <c r="R679" s="347"/>
      <c r="S679" s="312"/>
      <c r="T679" s="347"/>
    </row>
    <row r="680" spans="1:20" ht="12" customHeight="1" x14ac:dyDescent="0.3">
      <c r="A680" s="340" t="s">
        <v>289</v>
      </c>
      <c r="B680" s="341">
        <v>8</v>
      </c>
      <c r="C680" s="309">
        <v>46053</v>
      </c>
      <c r="D680" s="309" t="s">
        <v>309</v>
      </c>
      <c r="E680" s="342">
        <v>52.59</v>
      </c>
      <c r="F680" s="342"/>
      <c r="G680" s="344">
        <f t="shared" si="5"/>
        <v>8287.0999999999949</v>
      </c>
      <c r="H680" s="345"/>
      <c r="I680" s="346"/>
      <c r="J680" s="347"/>
      <c r="K680" s="312"/>
      <c r="L680" s="347"/>
      <c r="M680" s="312"/>
      <c r="N680" s="347"/>
      <c r="O680" s="312"/>
      <c r="P680" s="347"/>
      <c r="Q680" s="312"/>
      <c r="R680" s="347"/>
      <c r="S680" s="312"/>
      <c r="T680" s="347"/>
    </row>
    <row r="681" spans="1:20" ht="12" customHeight="1" x14ac:dyDescent="0.3">
      <c r="A681" s="340" t="s">
        <v>339</v>
      </c>
      <c r="B681" s="341" t="s">
        <v>339</v>
      </c>
      <c r="C681" s="309">
        <v>46052</v>
      </c>
      <c r="D681" s="310" t="s">
        <v>469</v>
      </c>
      <c r="E681" s="342"/>
      <c r="F681" s="342">
        <v>422</v>
      </c>
      <c r="G681" s="344">
        <f t="shared" si="5"/>
        <v>8339.6899999999951</v>
      </c>
      <c r="H681" s="345"/>
      <c r="I681" s="346"/>
      <c r="J681" s="347"/>
      <c r="K681" s="312"/>
      <c r="L681" s="347"/>
      <c r="M681" s="312"/>
      <c r="N681" s="347"/>
      <c r="O681" s="312"/>
      <c r="P681" s="347"/>
      <c r="Q681" s="312"/>
      <c r="R681" s="347"/>
      <c r="S681" s="312"/>
      <c r="T681" s="347"/>
    </row>
    <row r="682" spans="1:20" ht="12" customHeight="1" x14ac:dyDescent="0.3">
      <c r="A682" s="340" t="s">
        <v>289</v>
      </c>
      <c r="B682" s="341">
        <v>5</v>
      </c>
      <c r="C682" s="309">
        <v>46052</v>
      </c>
      <c r="D682" s="310" t="s">
        <v>470</v>
      </c>
      <c r="E682" s="342">
        <v>200</v>
      </c>
      <c r="F682" s="342"/>
      <c r="G682" s="344">
        <f t="shared" si="5"/>
        <v>7917.6899999999951</v>
      </c>
      <c r="H682" s="345"/>
      <c r="I682" s="346"/>
      <c r="J682" s="347"/>
      <c r="K682" s="312"/>
      <c r="L682" s="347"/>
      <c r="M682" s="312"/>
      <c r="N682" s="347"/>
      <c r="O682" s="312"/>
      <c r="P682" s="347"/>
      <c r="Q682" s="312"/>
      <c r="R682" s="347"/>
      <c r="S682" s="312"/>
      <c r="T682" s="347"/>
    </row>
    <row r="683" spans="1:20" ht="12" customHeight="1" x14ac:dyDescent="0.3">
      <c r="A683" s="340" t="s">
        <v>289</v>
      </c>
      <c r="B683" s="341">
        <v>2</v>
      </c>
      <c r="C683" s="309">
        <v>46052</v>
      </c>
      <c r="D683" s="310" t="s">
        <v>296</v>
      </c>
      <c r="E683" s="342">
        <v>8.52</v>
      </c>
      <c r="F683" s="342"/>
      <c r="G683" s="344">
        <f t="shared" si="5"/>
        <v>8117.6899999999951</v>
      </c>
      <c r="H683" s="345"/>
      <c r="I683" s="346"/>
      <c r="J683" s="347"/>
      <c r="K683" s="312"/>
      <c r="L683" s="347"/>
      <c r="M683" s="312"/>
      <c r="N683" s="347"/>
      <c r="O683" s="312"/>
      <c r="P683" s="347"/>
      <c r="Q683" s="312"/>
      <c r="R683" s="347"/>
      <c r="S683" s="312"/>
      <c r="T683" s="347"/>
    </row>
    <row r="684" spans="1:20" ht="12" customHeight="1" x14ac:dyDescent="0.3">
      <c r="A684" s="340" t="s">
        <v>287</v>
      </c>
      <c r="B684" s="341" t="s">
        <v>287</v>
      </c>
      <c r="C684" s="309">
        <v>46052</v>
      </c>
      <c r="D684" s="310" t="s">
        <v>471</v>
      </c>
      <c r="E684" s="342">
        <v>831.92</v>
      </c>
      <c r="F684" s="342">
        <v>831.92</v>
      </c>
      <c r="G684" s="344">
        <f t="shared" si="5"/>
        <v>8126.2099999999955</v>
      </c>
      <c r="H684" s="345"/>
      <c r="I684" s="346"/>
      <c r="J684" s="347"/>
      <c r="K684" s="312"/>
      <c r="L684" s="347"/>
      <c r="M684" s="312"/>
      <c r="N684" s="347"/>
      <c r="O684" s="312"/>
      <c r="P684" s="347"/>
      <c r="Q684" s="312"/>
      <c r="R684" s="347"/>
      <c r="S684" s="312"/>
      <c r="T684" s="347"/>
    </row>
    <row r="685" spans="1:20" ht="12" customHeight="1" x14ac:dyDescent="0.3">
      <c r="A685" s="340" t="s">
        <v>289</v>
      </c>
      <c r="B685" s="341">
        <v>5</v>
      </c>
      <c r="C685" s="309">
        <v>46052</v>
      </c>
      <c r="D685" s="310" t="s">
        <v>449</v>
      </c>
      <c r="E685" s="342">
        <v>200</v>
      </c>
      <c r="F685" s="342"/>
      <c r="G685" s="344">
        <f t="shared" si="5"/>
        <v>8126.2099999999955</v>
      </c>
      <c r="H685" s="345"/>
      <c r="I685" s="346"/>
      <c r="J685" s="347"/>
      <c r="K685" s="312"/>
      <c r="L685" s="347"/>
      <c r="M685" s="312"/>
      <c r="N685" s="347"/>
      <c r="O685" s="312"/>
      <c r="P685" s="347"/>
      <c r="Q685" s="312"/>
      <c r="R685" s="347"/>
      <c r="S685" s="312"/>
      <c r="T685" s="347"/>
    </row>
    <row r="686" spans="1:20" ht="12" customHeight="1" x14ac:dyDescent="0.3">
      <c r="A686" s="340" t="s">
        <v>289</v>
      </c>
      <c r="B686" s="341">
        <v>2</v>
      </c>
      <c r="C686" s="309">
        <v>46052</v>
      </c>
      <c r="D686" s="310" t="s">
        <v>327</v>
      </c>
      <c r="E686" s="342">
        <v>11.04</v>
      </c>
      <c r="F686" s="342"/>
      <c r="G686" s="344">
        <f t="shared" si="5"/>
        <v>8326.2099999999955</v>
      </c>
      <c r="H686" s="345"/>
      <c r="I686" s="346"/>
      <c r="J686" s="347"/>
      <c r="K686" s="312"/>
      <c r="L686" s="347"/>
      <c r="M686" s="312"/>
      <c r="N686" s="347"/>
      <c r="O686" s="312"/>
      <c r="P686" s="347"/>
      <c r="Q686" s="312"/>
      <c r="R686" s="347"/>
      <c r="S686" s="312"/>
      <c r="T686" s="347"/>
    </row>
    <row r="687" spans="1:20" ht="12" customHeight="1" x14ac:dyDescent="0.3">
      <c r="A687" s="340" t="s">
        <v>291</v>
      </c>
      <c r="B687" s="341">
        <v>38</v>
      </c>
      <c r="C687" s="309">
        <v>46051</v>
      </c>
      <c r="D687" s="310" t="s">
        <v>293</v>
      </c>
      <c r="E687" s="342"/>
      <c r="F687" s="342">
        <v>4365.6499999999996</v>
      </c>
      <c r="G687" s="344">
        <f t="shared" si="5"/>
        <v>8337.2499999999964</v>
      </c>
      <c r="H687" s="345"/>
      <c r="I687" s="346"/>
      <c r="J687" s="347"/>
      <c r="K687" s="312"/>
      <c r="L687" s="347"/>
      <c r="M687" s="312"/>
      <c r="N687" s="347"/>
      <c r="O687" s="312"/>
      <c r="P687" s="347"/>
      <c r="Q687" s="312"/>
      <c r="R687" s="347"/>
      <c r="S687" s="312"/>
      <c r="T687" s="347"/>
    </row>
    <row r="688" spans="1:20" ht="12" customHeight="1" x14ac:dyDescent="0.3">
      <c r="A688" s="340" t="s">
        <v>289</v>
      </c>
      <c r="B688" s="341">
        <v>2</v>
      </c>
      <c r="C688" s="309">
        <v>46051</v>
      </c>
      <c r="D688" s="310" t="s">
        <v>296</v>
      </c>
      <c r="E688" s="342">
        <v>18.28</v>
      </c>
      <c r="F688" s="342"/>
      <c r="G688" s="344">
        <f t="shared" si="5"/>
        <v>3971.5999999999976</v>
      </c>
      <c r="H688" s="345"/>
      <c r="I688" s="346"/>
      <c r="J688" s="347"/>
      <c r="K688" s="312"/>
      <c r="L688" s="347"/>
      <c r="M688" s="312"/>
      <c r="N688" s="347"/>
      <c r="O688" s="312"/>
      <c r="P688" s="347"/>
      <c r="Q688" s="312"/>
      <c r="R688" s="347"/>
      <c r="S688" s="312"/>
      <c r="T688" s="347"/>
    </row>
    <row r="689" spans="1:20" ht="12" customHeight="1" x14ac:dyDescent="0.3">
      <c r="A689" s="340" t="s">
        <v>289</v>
      </c>
      <c r="B689" s="341">
        <v>4</v>
      </c>
      <c r="C689" s="309">
        <v>46051</v>
      </c>
      <c r="D689" s="310" t="s">
        <v>295</v>
      </c>
      <c r="E689" s="342">
        <v>57.06</v>
      </c>
      <c r="F689" s="342"/>
      <c r="G689" s="344">
        <f t="shared" si="5"/>
        <v>3989.8799999999978</v>
      </c>
      <c r="H689" s="345"/>
      <c r="I689" s="346"/>
      <c r="J689" s="347"/>
      <c r="K689" s="312"/>
      <c r="L689" s="347"/>
      <c r="M689" s="312"/>
      <c r="N689" s="347"/>
      <c r="O689" s="312"/>
      <c r="P689" s="347"/>
      <c r="Q689" s="312"/>
      <c r="R689" s="347"/>
      <c r="S689" s="312"/>
      <c r="T689" s="347"/>
    </row>
    <row r="690" spans="1:20" ht="12" customHeight="1" x14ac:dyDescent="0.3">
      <c r="A690" s="340" t="s">
        <v>287</v>
      </c>
      <c r="B690" s="341" t="s">
        <v>287</v>
      </c>
      <c r="C690" s="309">
        <v>46051</v>
      </c>
      <c r="D690" s="310" t="s">
        <v>472</v>
      </c>
      <c r="E690" s="342">
        <v>89.42</v>
      </c>
      <c r="F690" s="342">
        <v>89.42</v>
      </c>
      <c r="G690" s="344">
        <f t="shared" si="5"/>
        <v>4046.9399999999978</v>
      </c>
      <c r="H690" s="345"/>
      <c r="I690" s="346"/>
      <c r="J690" s="347"/>
      <c r="K690" s="312"/>
      <c r="L690" s="347"/>
      <c r="M690" s="312"/>
      <c r="N690" s="347"/>
      <c r="O690" s="312"/>
      <c r="P690" s="347"/>
      <c r="Q690" s="312"/>
      <c r="R690" s="347"/>
      <c r="S690" s="312"/>
      <c r="T690" s="347"/>
    </row>
    <row r="691" spans="1:20" ht="12" customHeight="1" x14ac:dyDescent="0.3">
      <c r="A691" s="340" t="s">
        <v>289</v>
      </c>
      <c r="B691" s="341">
        <v>8</v>
      </c>
      <c r="C691" s="309">
        <v>46051</v>
      </c>
      <c r="D691" s="310" t="s">
        <v>473</v>
      </c>
      <c r="E691" s="342">
        <v>59</v>
      </c>
      <c r="F691" s="342"/>
      <c r="G691" s="344">
        <f t="shared" si="5"/>
        <v>4046.9399999999978</v>
      </c>
      <c r="H691" s="345"/>
      <c r="I691" s="346"/>
      <c r="J691" s="347"/>
      <c r="K691" s="312"/>
      <c r="L691" s="347"/>
      <c r="M691" s="312"/>
      <c r="N691" s="347"/>
      <c r="O691" s="312"/>
      <c r="P691" s="347"/>
      <c r="Q691" s="312"/>
      <c r="R691" s="347"/>
      <c r="S691" s="312"/>
      <c r="T691" s="347"/>
    </row>
    <row r="692" spans="1:20" ht="12" customHeight="1" x14ac:dyDescent="0.3">
      <c r="A692" s="340" t="s">
        <v>289</v>
      </c>
      <c r="B692" s="341">
        <v>2</v>
      </c>
      <c r="C692" s="309">
        <v>46051</v>
      </c>
      <c r="D692" s="310" t="s">
        <v>375</v>
      </c>
      <c r="E692" s="342">
        <v>19.899999999999999</v>
      </c>
      <c r="F692" s="342"/>
      <c r="G692" s="344">
        <f t="shared" si="5"/>
        <v>4105.9399999999978</v>
      </c>
      <c r="H692" s="345"/>
      <c r="I692" s="346"/>
      <c r="J692" s="347"/>
      <c r="K692" s="312"/>
      <c r="L692" s="347"/>
      <c r="M692" s="312"/>
      <c r="N692" s="347"/>
      <c r="O692" s="312"/>
      <c r="P692" s="347"/>
      <c r="Q692" s="312"/>
      <c r="R692" s="347"/>
      <c r="S692" s="312"/>
      <c r="T692" s="347"/>
    </row>
    <row r="693" spans="1:20" ht="12" customHeight="1" x14ac:dyDescent="0.3">
      <c r="A693" s="340" t="s">
        <v>289</v>
      </c>
      <c r="B693" s="341">
        <v>2</v>
      </c>
      <c r="C693" s="309">
        <v>46050</v>
      </c>
      <c r="D693" s="310" t="s">
        <v>357</v>
      </c>
      <c r="E693" s="342">
        <v>14.99</v>
      </c>
      <c r="F693" s="342"/>
      <c r="G693" s="344">
        <f t="shared" si="5"/>
        <v>4125.8399999999974</v>
      </c>
      <c r="H693" s="345"/>
      <c r="I693" s="346"/>
      <c r="J693" s="347"/>
      <c r="K693" s="312"/>
      <c r="L693" s="347"/>
      <c r="M693" s="312"/>
      <c r="N693" s="347"/>
      <c r="O693" s="312"/>
      <c r="P693" s="347"/>
      <c r="Q693" s="312"/>
      <c r="R693" s="347"/>
      <c r="S693" s="312"/>
      <c r="T693" s="347"/>
    </row>
    <row r="694" spans="1:20" ht="12" customHeight="1" x14ac:dyDescent="0.3">
      <c r="A694" s="340" t="s">
        <v>289</v>
      </c>
      <c r="B694" s="341">
        <v>6</v>
      </c>
      <c r="C694" s="309">
        <v>46050</v>
      </c>
      <c r="D694" s="310" t="s">
        <v>474</v>
      </c>
      <c r="E694" s="342">
        <v>25</v>
      </c>
      <c r="F694" s="342"/>
      <c r="G694" s="344">
        <f t="shared" si="5"/>
        <v>4140.8299999999972</v>
      </c>
      <c r="H694" s="345"/>
      <c r="I694" s="346"/>
      <c r="J694" s="347"/>
      <c r="K694" s="312"/>
      <c r="L694" s="347"/>
      <c r="M694" s="312"/>
      <c r="N694" s="347"/>
      <c r="O694" s="312"/>
      <c r="P694" s="347"/>
      <c r="Q694" s="312"/>
      <c r="R694" s="347"/>
      <c r="S694" s="312"/>
      <c r="T694" s="347"/>
    </row>
    <row r="695" spans="1:20" ht="12" customHeight="1" x14ac:dyDescent="0.3">
      <c r="A695" s="340" t="s">
        <v>289</v>
      </c>
      <c r="B695" s="341">
        <v>3</v>
      </c>
      <c r="C695" s="309">
        <v>46050</v>
      </c>
      <c r="D695" s="310" t="s">
        <v>475</v>
      </c>
      <c r="E695" s="342">
        <v>6</v>
      </c>
      <c r="F695" s="342"/>
      <c r="G695" s="344">
        <f t="shared" si="5"/>
        <v>4165.8299999999972</v>
      </c>
      <c r="H695" s="345"/>
      <c r="I695" s="346"/>
      <c r="J695" s="347"/>
      <c r="K695" s="312"/>
      <c r="L695" s="347"/>
      <c r="M695" s="312"/>
      <c r="N695" s="347"/>
      <c r="O695" s="312"/>
      <c r="P695" s="347"/>
      <c r="Q695" s="312"/>
      <c r="R695" s="347"/>
      <c r="S695" s="312"/>
      <c r="T695" s="347"/>
    </row>
    <row r="696" spans="1:20" ht="12" customHeight="1" x14ac:dyDescent="0.3">
      <c r="A696" s="340" t="s">
        <v>289</v>
      </c>
      <c r="B696" s="341">
        <v>2</v>
      </c>
      <c r="C696" s="309">
        <v>46050</v>
      </c>
      <c r="D696" s="310" t="s">
        <v>476</v>
      </c>
      <c r="E696" s="342">
        <v>15</v>
      </c>
      <c r="F696" s="342"/>
      <c r="G696" s="344">
        <f t="shared" si="5"/>
        <v>4171.8299999999972</v>
      </c>
      <c r="H696" s="345"/>
      <c r="I696" s="346"/>
      <c r="J696" s="347"/>
      <c r="K696" s="312"/>
      <c r="L696" s="347"/>
      <c r="M696" s="312"/>
      <c r="N696" s="347"/>
      <c r="O696" s="312"/>
      <c r="P696" s="347"/>
      <c r="Q696" s="312"/>
      <c r="R696" s="347"/>
      <c r="S696" s="312"/>
      <c r="T696" s="347"/>
    </row>
    <row r="697" spans="1:20" ht="12" customHeight="1" x14ac:dyDescent="0.3">
      <c r="A697" s="340" t="s">
        <v>289</v>
      </c>
      <c r="B697" s="341">
        <v>2</v>
      </c>
      <c r="C697" s="309">
        <v>46050</v>
      </c>
      <c r="D697" s="310" t="s">
        <v>296</v>
      </c>
      <c r="E697" s="342">
        <v>12.71</v>
      </c>
      <c r="F697" s="342"/>
      <c r="G697" s="344">
        <f t="shared" si="5"/>
        <v>4186.8299999999972</v>
      </c>
      <c r="H697" s="345"/>
      <c r="I697" s="346"/>
      <c r="J697" s="347"/>
      <c r="K697" s="312"/>
      <c r="L697" s="347"/>
      <c r="M697" s="312"/>
      <c r="N697" s="347"/>
      <c r="O697" s="312"/>
      <c r="P697" s="347"/>
      <c r="Q697" s="312"/>
      <c r="R697" s="347"/>
      <c r="S697" s="312"/>
      <c r="T697" s="347"/>
    </row>
    <row r="698" spans="1:20" ht="12" customHeight="1" x14ac:dyDescent="0.3">
      <c r="A698" s="340" t="s">
        <v>287</v>
      </c>
      <c r="B698" s="341" t="s">
        <v>287</v>
      </c>
      <c r="C698" s="309">
        <v>46050</v>
      </c>
      <c r="D698" s="310" t="s">
        <v>461</v>
      </c>
      <c r="E698" s="342">
        <v>1475.9</v>
      </c>
      <c r="F698" s="342">
        <v>1475.9</v>
      </c>
      <c r="G698" s="344">
        <f t="shared" si="5"/>
        <v>4199.5399999999972</v>
      </c>
      <c r="H698" s="345"/>
      <c r="I698" s="346"/>
      <c r="J698" s="347"/>
      <c r="K698" s="312"/>
      <c r="L698" s="347"/>
      <c r="M698" s="312"/>
      <c r="N698" s="347"/>
      <c r="O698" s="312"/>
      <c r="P698" s="347"/>
      <c r="Q698" s="312"/>
      <c r="R698" s="347"/>
      <c r="S698" s="312"/>
      <c r="T698" s="347"/>
    </row>
    <row r="699" spans="1:20" ht="12" customHeight="1" x14ac:dyDescent="0.3">
      <c r="A699" s="340" t="s">
        <v>289</v>
      </c>
      <c r="B699" s="341">
        <v>8</v>
      </c>
      <c r="C699" s="309">
        <v>46050</v>
      </c>
      <c r="D699" s="310" t="s">
        <v>321</v>
      </c>
      <c r="E699" s="342">
        <v>28.52</v>
      </c>
      <c r="F699" s="342"/>
      <c r="G699" s="344">
        <f t="shared" si="5"/>
        <v>4199.5399999999972</v>
      </c>
      <c r="H699" s="345"/>
      <c r="I699" s="346"/>
      <c r="J699" s="347"/>
      <c r="K699" s="312"/>
      <c r="L699" s="347"/>
      <c r="M699" s="312"/>
      <c r="N699" s="347"/>
      <c r="O699" s="312"/>
      <c r="P699" s="347"/>
      <c r="Q699" s="312"/>
      <c r="R699" s="347"/>
      <c r="S699" s="312"/>
      <c r="T699" s="347"/>
    </row>
    <row r="700" spans="1:20" ht="12" customHeight="1" x14ac:dyDescent="0.3">
      <c r="A700" s="340" t="s">
        <v>289</v>
      </c>
      <c r="B700" s="341">
        <v>2</v>
      </c>
      <c r="C700" s="309">
        <v>46050</v>
      </c>
      <c r="D700" s="310" t="s">
        <v>477</v>
      </c>
      <c r="E700" s="342">
        <v>66.94</v>
      </c>
      <c r="F700" s="342"/>
      <c r="G700" s="344">
        <f t="shared" si="5"/>
        <v>4228.0599999999977</v>
      </c>
      <c r="H700" s="345"/>
      <c r="I700" s="346"/>
      <c r="J700" s="347"/>
      <c r="K700" s="312"/>
      <c r="L700" s="347"/>
      <c r="M700" s="312"/>
      <c r="N700" s="347"/>
      <c r="O700" s="312"/>
      <c r="P700" s="347"/>
      <c r="Q700" s="312"/>
      <c r="R700" s="347"/>
      <c r="S700" s="312"/>
      <c r="T700" s="347"/>
    </row>
    <row r="701" spans="1:20" ht="12" customHeight="1" x14ac:dyDescent="0.3">
      <c r="A701" s="340" t="s">
        <v>289</v>
      </c>
      <c r="B701" s="341">
        <v>8</v>
      </c>
      <c r="C701" s="309">
        <v>46049</v>
      </c>
      <c r="D701" s="310" t="s">
        <v>309</v>
      </c>
      <c r="E701" s="342">
        <v>47.99</v>
      </c>
      <c r="F701" s="342"/>
      <c r="G701" s="344">
        <f t="shared" si="5"/>
        <v>4294.9999999999973</v>
      </c>
      <c r="H701" s="345"/>
      <c r="I701" s="346"/>
      <c r="J701" s="347"/>
      <c r="K701" s="312"/>
      <c r="L701" s="347"/>
      <c r="M701" s="312"/>
      <c r="N701" s="347"/>
      <c r="O701" s="312"/>
      <c r="P701" s="347"/>
      <c r="Q701" s="312"/>
      <c r="R701" s="347"/>
      <c r="S701" s="312"/>
      <c r="T701" s="347"/>
    </row>
    <row r="702" spans="1:20" ht="12" customHeight="1" x14ac:dyDescent="0.3">
      <c r="A702" s="340" t="s">
        <v>287</v>
      </c>
      <c r="B702" s="341" t="s">
        <v>287</v>
      </c>
      <c r="C702" s="309">
        <v>46048</v>
      </c>
      <c r="D702" s="310" t="s">
        <v>478</v>
      </c>
      <c r="E702" s="342"/>
      <c r="F702" s="342">
        <v>425</v>
      </c>
      <c r="G702" s="344">
        <f t="shared" si="5"/>
        <v>4342.9899999999971</v>
      </c>
      <c r="H702" s="345" t="s">
        <v>298</v>
      </c>
      <c r="I702" s="346"/>
      <c r="J702" s="347"/>
      <c r="K702" s="312"/>
      <c r="L702" s="347"/>
      <c r="M702" s="312"/>
      <c r="N702" s="347"/>
      <c r="O702" s="312"/>
      <c r="P702" s="347"/>
      <c r="Q702" s="312"/>
      <c r="R702" s="347"/>
      <c r="S702" s="312"/>
      <c r="T702" s="347"/>
    </row>
    <row r="703" spans="1:20" ht="12" customHeight="1" x14ac:dyDescent="0.3">
      <c r="A703" s="340" t="s">
        <v>287</v>
      </c>
      <c r="B703" s="341" t="s">
        <v>287</v>
      </c>
      <c r="C703" s="309">
        <v>46048</v>
      </c>
      <c r="D703" s="310" t="s">
        <v>478</v>
      </c>
      <c r="E703" s="342">
        <v>425</v>
      </c>
      <c r="F703" s="342"/>
      <c r="G703" s="344">
        <f t="shared" si="5"/>
        <v>3917.9899999999971</v>
      </c>
      <c r="H703" s="345"/>
      <c r="I703" s="346"/>
      <c r="J703" s="347"/>
      <c r="K703" s="312"/>
      <c r="L703" s="347"/>
      <c r="M703" s="312"/>
      <c r="N703" s="347"/>
      <c r="O703" s="312"/>
      <c r="P703" s="347"/>
      <c r="Q703" s="312"/>
      <c r="R703" s="347"/>
      <c r="S703" s="312"/>
      <c r="T703" s="347"/>
    </row>
    <row r="704" spans="1:20" ht="12" customHeight="1" x14ac:dyDescent="0.3">
      <c r="A704" s="340" t="s">
        <v>289</v>
      </c>
      <c r="B704" s="341">
        <v>2</v>
      </c>
      <c r="C704" s="309">
        <v>46048</v>
      </c>
      <c r="D704" s="310" t="s">
        <v>479</v>
      </c>
      <c r="E704" s="342">
        <v>20.12</v>
      </c>
      <c r="F704" s="342"/>
      <c r="G704" s="344">
        <f t="shared" si="5"/>
        <v>4342.9899999999971</v>
      </c>
      <c r="H704" s="345"/>
      <c r="I704" s="346"/>
      <c r="J704" s="347"/>
      <c r="K704" s="312"/>
      <c r="L704" s="347"/>
      <c r="M704" s="312"/>
      <c r="N704" s="347"/>
      <c r="O704" s="312"/>
      <c r="P704" s="347"/>
      <c r="Q704" s="312"/>
      <c r="R704" s="347"/>
      <c r="S704" s="312"/>
      <c r="T704" s="347"/>
    </row>
    <row r="705" spans="1:20" ht="12" customHeight="1" x14ac:dyDescent="0.3">
      <c r="A705" s="340" t="s">
        <v>294</v>
      </c>
      <c r="B705" s="341">
        <v>17</v>
      </c>
      <c r="C705" s="309">
        <v>46048</v>
      </c>
      <c r="D705" s="310" t="s">
        <v>480</v>
      </c>
      <c r="E705" s="342">
        <v>42.68</v>
      </c>
      <c r="F705" s="342"/>
      <c r="G705" s="344">
        <f t="shared" si="5"/>
        <v>4363.1099999999969</v>
      </c>
      <c r="H705" s="345"/>
      <c r="I705" s="346"/>
      <c r="J705" s="347"/>
      <c r="K705" s="312"/>
      <c r="L705" s="347"/>
      <c r="M705" s="312"/>
      <c r="N705" s="347"/>
      <c r="O705" s="312"/>
      <c r="P705" s="347"/>
      <c r="Q705" s="312"/>
      <c r="R705" s="347"/>
      <c r="S705" s="312"/>
      <c r="T705" s="347"/>
    </row>
    <row r="706" spans="1:20" ht="12" customHeight="1" x14ac:dyDescent="0.3">
      <c r="A706" s="340" t="s">
        <v>289</v>
      </c>
      <c r="B706" s="341">
        <v>6</v>
      </c>
      <c r="C706" s="309">
        <v>46048</v>
      </c>
      <c r="D706" s="310" t="s">
        <v>402</v>
      </c>
      <c r="E706" s="342">
        <v>47.9</v>
      </c>
      <c r="F706" s="342"/>
      <c r="G706" s="344">
        <f t="shared" si="5"/>
        <v>4405.7899999999972</v>
      </c>
      <c r="H706" s="345"/>
      <c r="I706" s="346"/>
      <c r="J706" s="347"/>
      <c r="K706" s="312"/>
      <c r="L706" s="347"/>
      <c r="M706" s="312"/>
      <c r="N706" s="347"/>
      <c r="O706" s="312"/>
      <c r="P706" s="347"/>
      <c r="Q706" s="312"/>
      <c r="R706" s="347"/>
      <c r="S706" s="312"/>
      <c r="T706" s="347"/>
    </row>
    <row r="707" spans="1:20" ht="12" customHeight="1" x14ac:dyDescent="0.3">
      <c r="A707" s="340" t="s">
        <v>289</v>
      </c>
      <c r="B707" s="341">
        <v>1</v>
      </c>
      <c r="C707" s="309">
        <v>46047</v>
      </c>
      <c r="D707" s="310" t="s">
        <v>466</v>
      </c>
      <c r="E707" s="342">
        <v>105.79</v>
      </c>
      <c r="F707" s="342"/>
      <c r="G707" s="344">
        <f t="shared" si="5"/>
        <v>4453.6899999999969</v>
      </c>
      <c r="H707" s="345"/>
      <c r="I707" s="346"/>
      <c r="J707" s="347"/>
      <c r="K707" s="312"/>
      <c r="L707" s="347"/>
      <c r="M707" s="312"/>
      <c r="N707" s="347"/>
      <c r="O707" s="312"/>
      <c r="P707" s="347"/>
      <c r="Q707" s="312"/>
      <c r="R707" s="347"/>
      <c r="S707" s="312"/>
      <c r="T707" s="347"/>
    </row>
    <row r="708" spans="1:20" ht="12" customHeight="1" x14ac:dyDescent="0.3">
      <c r="A708" s="340" t="s">
        <v>294</v>
      </c>
      <c r="B708" s="341">
        <v>12</v>
      </c>
      <c r="C708" s="309">
        <v>46047</v>
      </c>
      <c r="D708" s="310" t="s">
        <v>315</v>
      </c>
      <c r="E708" s="342">
        <v>204.83</v>
      </c>
      <c r="F708" s="342"/>
      <c r="G708" s="344">
        <f t="shared" si="5"/>
        <v>4559.4799999999968</v>
      </c>
      <c r="H708" s="345"/>
      <c r="I708" s="346"/>
      <c r="J708" s="347"/>
      <c r="K708" s="312"/>
      <c r="L708" s="347"/>
      <c r="M708" s="312"/>
      <c r="N708" s="347"/>
      <c r="O708" s="312"/>
      <c r="P708" s="347"/>
      <c r="Q708" s="312"/>
      <c r="R708" s="347"/>
      <c r="S708" s="312"/>
      <c r="T708" s="347"/>
    </row>
    <row r="709" spans="1:20" ht="12" customHeight="1" x14ac:dyDescent="0.3">
      <c r="A709" s="340" t="s">
        <v>289</v>
      </c>
      <c r="B709" s="341">
        <v>3</v>
      </c>
      <c r="C709" s="309">
        <v>46047</v>
      </c>
      <c r="D709" s="310" t="s">
        <v>352</v>
      </c>
      <c r="E709" s="342">
        <v>8.51</v>
      </c>
      <c r="F709" s="342"/>
      <c r="G709" s="344">
        <f t="shared" si="5"/>
        <v>4764.3099999999968</v>
      </c>
      <c r="H709" s="345"/>
      <c r="I709" s="346"/>
      <c r="J709" s="347"/>
      <c r="K709" s="312"/>
      <c r="L709" s="347"/>
      <c r="M709" s="312"/>
      <c r="N709" s="347"/>
      <c r="O709" s="312"/>
      <c r="P709" s="347"/>
      <c r="Q709" s="312"/>
      <c r="R709" s="347"/>
      <c r="S709" s="312"/>
      <c r="T709" s="347"/>
    </row>
    <row r="710" spans="1:20" ht="12" customHeight="1" x14ac:dyDescent="0.3">
      <c r="A710" s="340" t="s">
        <v>289</v>
      </c>
      <c r="B710" s="341">
        <v>4</v>
      </c>
      <c r="C710" s="309">
        <v>46046</v>
      </c>
      <c r="D710" s="310" t="s">
        <v>296</v>
      </c>
      <c r="E710" s="342">
        <v>92.96</v>
      </c>
      <c r="F710" s="342"/>
      <c r="G710" s="344">
        <f t="shared" si="5"/>
        <v>4772.819999999997</v>
      </c>
      <c r="H710" s="345"/>
      <c r="I710" s="346"/>
      <c r="J710" s="347"/>
      <c r="K710" s="312"/>
      <c r="L710" s="347"/>
      <c r="M710" s="312"/>
      <c r="N710" s="347"/>
      <c r="O710" s="312"/>
      <c r="P710" s="347"/>
      <c r="Q710" s="312"/>
      <c r="R710" s="347"/>
      <c r="S710" s="312"/>
      <c r="T710" s="347"/>
    </row>
    <row r="711" spans="1:20" ht="12" customHeight="1" x14ac:dyDescent="0.3">
      <c r="A711" s="340" t="s">
        <v>289</v>
      </c>
      <c r="B711" s="341">
        <v>4</v>
      </c>
      <c r="C711" s="309">
        <v>46046</v>
      </c>
      <c r="D711" s="310" t="s">
        <v>338</v>
      </c>
      <c r="E711" s="342">
        <v>30.77</v>
      </c>
      <c r="F711" s="342"/>
      <c r="G711" s="344">
        <f t="shared" si="5"/>
        <v>4865.779999999997</v>
      </c>
      <c r="H711" s="345"/>
      <c r="I711" s="346"/>
      <c r="J711" s="347"/>
      <c r="K711" s="312"/>
      <c r="L711" s="347"/>
      <c r="M711" s="312"/>
      <c r="N711" s="347"/>
      <c r="O711" s="312"/>
      <c r="P711" s="347"/>
      <c r="Q711" s="312"/>
      <c r="R711" s="347"/>
      <c r="S711" s="312"/>
      <c r="T711" s="347"/>
    </row>
    <row r="712" spans="1:20" ht="12" customHeight="1" x14ac:dyDescent="0.3">
      <c r="A712" s="340" t="s">
        <v>289</v>
      </c>
      <c r="B712" s="341">
        <v>2</v>
      </c>
      <c r="C712" s="309">
        <v>46046</v>
      </c>
      <c r="D712" s="310" t="s">
        <v>362</v>
      </c>
      <c r="E712" s="342">
        <v>9.4700000000000006</v>
      </c>
      <c r="F712" s="342"/>
      <c r="G712" s="344">
        <f t="shared" si="5"/>
        <v>4896.5499999999975</v>
      </c>
      <c r="H712" s="345"/>
      <c r="I712" s="346"/>
      <c r="J712" s="347"/>
      <c r="K712" s="312"/>
      <c r="L712" s="347"/>
      <c r="M712" s="312"/>
      <c r="N712" s="347"/>
      <c r="O712" s="312"/>
      <c r="P712" s="347"/>
      <c r="Q712" s="312"/>
      <c r="R712" s="347"/>
      <c r="S712" s="312"/>
      <c r="T712" s="347"/>
    </row>
    <row r="713" spans="1:20" ht="12" customHeight="1" x14ac:dyDescent="0.3">
      <c r="A713" s="340" t="s">
        <v>289</v>
      </c>
      <c r="B713" s="341">
        <v>6</v>
      </c>
      <c r="C713" s="309">
        <v>46046</v>
      </c>
      <c r="D713" s="310" t="s">
        <v>402</v>
      </c>
      <c r="E713" s="342">
        <v>53.59</v>
      </c>
      <c r="F713" s="342"/>
      <c r="G713" s="344">
        <f t="shared" si="5"/>
        <v>4906.0199999999977</v>
      </c>
      <c r="H713" s="345"/>
      <c r="I713" s="346"/>
      <c r="J713" s="347"/>
      <c r="K713" s="312"/>
      <c r="L713" s="347"/>
      <c r="M713" s="312"/>
      <c r="N713" s="347"/>
      <c r="O713" s="312"/>
      <c r="P713" s="347"/>
      <c r="Q713" s="312"/>
      <c r="R713" s="347"/>
      <c r="S713" s="312"/>
      <c r="T713" s="347"/>
    </row>
    <row r="714" spans="1:20" ht="12" customHeight="1" x14ac:dyDescent="0.3">
      <c r="A714" s="340" t="s">
        <v>289</v>
      </c>
      <c r="B714" s="341">
        <v>1</v>
      </c>
      <c r="C714" s="309">
        <v>46046</v>
      </c>
      <c r="D714" s="310" t="s">
        <v>312</v>
      </c>
      <c r="E714" s="342">
        <v>61.64</v>
      </c>
      <c r="F714" s="342"/>
      <c r="G714" s="344">
        <f t="shared" si="5"/>
        <v>4959.6099999999979</v>
      </c>
      <c r="H714" s="345"/>
      <c r="I714" s="346"/>
      <c r="J714" s="347"/>
      <c r="K714" s="312"/>
      <c r="L714" s="347"/>
      <c r="M714" s="312"/>
      <c r="N714" s="347"/>
      <c r="O714" s="312"/>
      <c r="P714" s="347"/>
      <c r="Q714" s="312"/>
      <c r="R714" s="347"/>
      <c r="S714" s="312"/>
      <c r="T714" s="347"/>
    </row>
    <row r="715" spans="1:20" ht="12" customHeight="1" x14ac:dyDescent="0.3">
      <c r="A715" s="340" t="s">
        <v>289</v>
      </c>
      <c r="B715" s="341">
        <v>1</v>
      </c>
      <c r="C715" s="309">
        <v>46045</v>
      </c>
      <c r="D715" s="310" t="s">
        <v>304</v>
      </c>
      <c r="E715" s="342">
        <v>23.17</v>
      </c>
      <c r="F715" s="342"/>
      <c r="G715" s="344">
        <f t="shared" si="5"/>
        <v>5021.2499999999982</v>
      </c>
      <c r="H715" s="345"/>
      <c r="I715" s="346"/>
      <c r="J715" s="347"/>
      <c r="K715" s="312"/>
      <c r="L715" s="347"/>
      <c r="M715" s="312"/>
      <c r="N715" s="347"/>
      <c r="O715" s="312"/>
      <c r="P715" s="347"/>
      <c r="Q715" s="312"/>
      <c r="R715" s="347"/>
      <c r="S715" s="312"/>
      <c r="T715" s="347"/>
    </row>
    <row r="716" spans="1:20" ht="12" customHeight="1" x14ac:dyDescent="0.3">
      <c r="A716" s="340" t="s">
        <v>289</v>
      </c>
      <c r="B716" s="341">
        <v>4</v>
      </c>
      <c r="C716" s="309">
        <v>46045</v>
      </c>
      <c r="D716" s="310" t="s">
        <v>296</v>
      </c>
      <c r="E716" s="342">
        <v>62.77</v>
      </c>
      <c r="F716" s="342"/>
      <c r="G716" s="344">
        <f t="shared" si="5"/>
        <v>5044.4199999999983</v>
      </c>
      <c r="H716" s="345"/>
      <c r="I716" s="346"/>
      <c r="J716" s="347"/>
      <c r="K716" s="312"/>
      <c r="L716" s="347"/>
      <c r="M716" s="312"/>
      <c r="N716" s="347"/>
      <c r="O716" s="312"/>
      <c r="P716" s="347"/>
      <c r="Q716" s="312"/>
      <c r="R716" s="347"/>
      <c r="S716" s="312"/>
      <c r="T716" s="347"/>
    </row>
    <row r="717" spans="1:20" ht="12" customHeight="1" x14ac:dyDescent="0.3">
      <c r="A717" s="340" t="s">
        <v>289</v>
      </c>
      <c r="B717" s="341">
        <v>6</v>
      </c>
      <c r="C717" s="309">
        <v>46045</v>
      </c>
      <c r="D717" s="310" t="s">
        <v>481</v>
      </c>
      <c r="E717" s="342">
        <v>105.51</v>
      </c>
      <c r="F717" s="342"/>
      <c r="G717" s="344">
        <f t="shared" si="5"/>
        <v>5107.1899999999987</v>
      </c>
      <c r="H717" s="345"/>
      <c r="I717" s="346"/>
      <c r="J717" s="347"/>
      <c r="K717" s="312"/>
      <c r="L717" s="347"/>
      <c r="M717" s="312"/>
      <c r="N717" s="347"/>
      <c r="O717" s="312"/>
      <c r="P717" s="347"/>
      <c r="Q717" s="312"/>
      <c r="R717" s="347"/>
      <c r="S717" s="312"/>
      <c r="T717" s="347"/>
    </row>
    <row r="718" spans="1:20" ht="12" customHeight="1" x14ac:dyDescent="0.3">
      <c r="A718" s="340" t="s">
        <v>289</v>
      </c>
      <c r="B718" s="341">
        <v>3</v>
      </c>
      <c r="C718" s="309">
        <v>46045</v>
      </c>
      <c r="D718" s="310" t="s">
        <v>338</v>
      </c>
      <c r="E718" s="342">
        <v>9.9499999999999993</v>
      </c>
      <c r="F718" s="342"/>
      <c r="G718" s="344">
        <f t="shared" si="5"/>
        <v>5212.6999999999989</v>
      </c>
      <c r="H718" s="345"/>
      <c r="I718" s="346"/>
      <c r="J718" s="347"/>
      <c r="K718" s="312"/>
      <c r="L718" s="347"/>
      <c r="M718" s="312"/>
      <c r="N718" s="347"/>
      <c r="O718" s="312"/>
      <c r="P718" s="347"/>
      <c r="Q718" s="312"/>
      <c r="R718" s="347"/>
      <c r="S718" s="312"/>
      <c r="T718" s="347"/>
    </row>
    <row r="719" spans="1:20" ht="12" customHeight="1" x14ac:dyDescent="0.3">
      <c r="A719" s="340" t="s">
        <v>289</v>
      </c>
      <c r="B719" s="341">
        <v>2</v>
      </c>
      <c r="C719" s="309">
        <v>46045</v>
      </c>
      <c r="D719" s="310" t="s">
        <v>362</v>
      </c>
      <c r="E719" s="342">
        <v>10.17</v>
      </c>
      <c r="F719" s="342"/>
      <c r="G719" s="344">
        <f t="shared" si="5"/>
        <v>5222.6499999999987</v>
      </c>
      <c r="H719" s="345"/>
      <c r="I719" s="346"/>
      <c r="J719" s="347"/>
      <c r="K719" s="312"/>
      <c r="L719" s="347"/>
      <c r="M719" s="312"/>
      <c r="N719" s="347"/>
      <c r="O719" s="312"/>
      <c r="P719" s="347"/>
      <c r="Q719" s="312"/>
      <c r="R719" s="347"/>
      <c r="S719" s="312"/>
      <c r="T719" s="347"/>
    </row>
    <row r="720" spans="1:20" ht="12" customHeight="1" x14ac:dyDescent="0.3">
      <c r="A720" s="340" t="s">
        <v>289</v>
      </c>
      <c r="B720" s="341">
        <v>2</v>
      </c>
      <c r="C720" s="309">
        <v>46045</v>
      </c>
      <c r="D720" s="310" t="s">
        <v>301</v>
      </c>
      <c r="E720" s="342">
        <v>32.200000000000003</v>
      </c>
      <c r="F720" s="342"/>
      <c r="G720" s="344">
        <f t="shared" si="5"/>
        <v>5232.8199999999988</v>
      </c>
      <c r="H720" s="345"/>
      <c r="I720" s="346"/>
      <c r="J720" s="347"/>
      <c r="K720" s="312"/>
      <c r="L720" s="347"/>
      <c r="M720" s="312"/>
      <c r="N720" s="347"/>
      <c r="O720" s="312"/>
      <c r="P720" s="347"/>
      <c r="Q720" s="312"/>
      <c r="R720" s="347"/>
      <c r="S720" s="312"/>
      <c r="T720" s="347"/>
    </row>
    <row r="721" spans="1:20" ht="12" customHeight="1" x14ac:dyDescent="0.3">
      <c r="A721" s="340" t="s">
        <v>294</v>
      </c>
      <c r="B721" s="341">
        <v>22</v>
      </c>
      <c r="C721" s="309">
        <v>46045</v>
      </c>
      <c r="D721" s="310" t="s">
        <v>482</v>
      </c>
      <c r="E721" s="342">
        <v>5.31</v>
      </c>
      <c r="F721" s="342"/>
      <c r="G721" s="344">
        <f t="shared" si="5"/>
        <v>5265.0199999999986</v>
      </c>
      <c r="H721" s="345"/>
      <c r="I721" s="346"/>
      <c r="J721" s="347"/>
      <c r="K721" s="312"/>
      <c r="L721" s="347"/>
      <c r="M721" s="312"/>
      <c r="N721" s="347"/>
      <c r="O721" s="312"/>
      <c r="P721" s="347"/>
      <c r="Q721" s="312"/>
      <c r="R721" s="347"/>
      <c r="S721" s="312"/>
      <c r="T721" s="347"/>
    </row>
    <row r="722" spans="1:20" ht="12" customHeight="1" x14ac:dyDescent="0.3">
      <c r="A722" s="340" t="s">
        <v>289</v>
      </c>
      <c r="B722" s="341">
        <v>8</v>
      </c>
      <c r="C722" s="309">
        <v>46044</v>
      </c>
      <c r="D722" s="310" t="s">
        <v>443</v>
      </c>
      <c r="E722" s="342">
        <v>73.95</v>
      </c>
      <c r="F722" s="342"/>
      <c r="G722" s="344">
        <f t="shared" si="5"/>
        <v>5270.329999999999</v>
      </c>
      <c r="H722" s="345"/>
      <c r="I722" s="346"/>
      <c r="J722" s="347"/>
      <c r="K722" s="312"/>
      <c r="L722" s="347"/>
      <c r="M722" s="312"/>
      <c r="N722" s="347"/>
      <c r="O722" s="312"/>
      <c r="P722" s="347"/>
      <c r="Q722" s="312"/>
      <c r="R722" s="347"/>
      <c r="S722" s="312"/>
      <c r="T722" s="347"/>
    </row>
    <row r="723" spans="1:20" ht="12" customHeight="1" x14ac:dyDescent="0.3">
      <c r="A723" s="340" t="s">
        <v>289</v>
      </c>
      <c r="B723" s="341">
        <v>2</v>
      </c>
      <c r="C723" s="309">
        <v>46044</v>
      </c>
      <c r="D723" s="310" t="s">
        <v>483</v>
      </c>
      <c r="E723" s="342">
        <v>28.68</v>
      </c>
      <c r="F723" s="342"/>
      <c r="G723" s="344">
        <f t="shared" si="5"/>
        <v>5344.2799999999988</v>
      </c>
      <c r="H723" s="345"/>
      <c r="I723" s="346"/>
      <c r="J723" s="347"/>
      <c r="K723" s="312"/>
      <c r="L723" s="347"/>
      <c r="M723" s="312"/>
      <c r="N723" s="347"/>
      <c r="O723" s="312"/>
      <c r="P723" s="347"/>
      <c r="Q723" s="312"/>
      <c r="R723" s="347"/>
      <c r="S723" s="312"/>
      <c r="T723" s="347"/>
    </row>
    <row r="724" spans="1:20" ht="12" customHeight="1" x14ac:dyDescent="0.3">
      <c r="A724" s="340" t="s">
        <v>289</v>
      </c>
      <c r="B724" s="341">
        <v>8</v>
      </c>
      <c r="C724" s="309">
        <v>46044</v>
      </c>
      <c r="D724" s="310" t="s">
        <v>361</v>
      </c>
      <c r="E724" s="342">
        <v>57.38</v>
      </c>
      <c r="F724" s="342"/>
      <c r="G724" s="344">
        <f t="shared" si="5"/>
        <v>5372.9599999999991</v>
      </c>
      <c r="H724" s="345"/>
      <c r="I724" s="346"/>
      <c r="J724" s="347"/>
      <c r="K724" s="312"/>
      <c r="L724" s="347"/>
      <c r="M724" s="312"/>
      <c r="N724" s="347"/>
      <c r="O724" s="312"/>
      <c r="P724" s="347"/>
      <c r="Q724" s="312"/>
      <c r="R724" s="347"/>
      <c r="S724" s="312"/>
      <c r="T724" s="347"/>
    </row>
    <row r="725" spans="1:20" ht="12" customHeight="1" x14ac:dyDescent="0.3">
      <c r="A725" s="340" t="s">
        <v>289</v>
      </c>
      <c r="B725" s="341">
        <v>2</v>
      </c>
      <c r="C725" s="309">
        <v>46044</v>
      </c>
      <c r="D725" s="310" t="s">
        <v>362</v>
      </c>
      <c r="E725" s="342">
        <v>9.4700000000000006</v>
      </c>
      <c r="F725" s="342"/>
      <c r="G725" s="344">
        <f t="shared" si="5"/>
        <v>5430.3399999999992</v>
      </c>
      <c r="H725" s="345"/>
      <c r="I725" s="346"/>
      <c r="J725" s="347"/>
      <c r="K725" s="312"/>
      <c r="L725" s="347"/>
      <c r="M725" s="312"/>
      <c r="N725" s="347"/>
      <c r="O725" s="312"/>
      <c r="P725" s="347"/>
      <c r="Q725" s="312"/>
      <c r="R725" s="347"/>
      <c r="S725" s="312"/>
      <c r="T725" s="347"/>
    </row>
    <row r="726" spans="1:20" ht="12" customHeight="1" x14ac:dyDescent="0.3">
      <c r="A726" s="340" t="s">
        <v>289</v>
      </c>
      <c r="B726" s="341">
        <v>2</v>
      </c>
      <c r="C726" s="309">
        <v>46044</v>
      </c>
      <c r="D726" s="310" t="s">
        <v>362</v>
      </c>
      <c r="E726" s="342">
        <v>7.18</v>
      </c>
      <c r="F726" s="342"/>
      <c r="G726" s="344">
        <f t="shared" si="5"/>
        <v>5439.8099999999995</v>
      </c>
      <c r="H726" s="345"/>
      <c r="I726" s="346"/>
      <c r="J726" s="347"/>
      <c r="K726" s="312"/>
      <c r="L726" s="347"/>
      <c r="M726" s="312"/>
      <c r="N726" s="347"/>
      <c r="O726" s="312"/>
      <c r="P726" s="347"/>
      <c r="Q726" s="312"/>
      <c r="R726" s="347"/>
      <c r="S726" s="312"/>
      <c r="T726" s="347"/>
    </row>
    <row r="727" spans="1:20" ht="12" customHeight="1" x14ac:dyDescent="0.3">
      <c r="A727" s="340" t="s">
        <v>287</v>
      </c>
      <c r="B727" s="341" t="s">
        <v>287</v>
      </c>
      <c r="C727" s="309">
        <v>46044</v>
      </c>
      <c r="D727" s="310" t="s">
        <v>316</v>
      </c>
      <c r="E727" s="342">
        <v>126.24</v>
      </c>
      <c r="F727" s="342">
        <v>126.24</v>
      </c>
      <c r="G727" s="344">
        <f t="shared" si="5"/>
        <v>5446.99</v>
      </c>
      <c r="H727" s="345"/>
      <c r="I727" s="346"/>
      <c r="J727" s="347"/>
      <c r="K727" s="312"/>
      <c r="L727" s="347"/>
      <c r="M727" s="312"/>
      <c r="N727" s="347"/>
      <c r="O727" s="312"/>
      <c r="P727" s="347"/>
      <c r="Q727" s="312"/>
      <c r="R727" s="347"/>
      <c r="S727" s="312"/>
      <c r="T727" s="347"/>
    </row>
    <row r="728" spans="1:20" ht="12" customHeight="1" x14ac:dyDescent="0.3">
      <c r="A728" s="340" t="s">
        <v>289</v>
      </c>
      <c r="B728" s="341">
        <v>8</v>
      </c>
      <c r="C728" s="309">
        <v>46043</v>
      </c>
      <c r="D728" s="310" t="s">
        <v>484</v>
      </c>
      <c r="E728" s="342">
        <v>17</v>
      </c>
      <c r="F728" s="342"/>
      <c r="G728" s="344">
        <f t="shared" si="5"/>
        <v>5446.99</v>
      </c>
      <c r="H728" s="345"/>
      <c r="I728" s="346"/>
      <c r="J728" s="347"/>
      <c r="K728" s="312"/>
      <c r="L728" s="347"/>
      <c r="M728" s="312"/>
      <c r="N728" s="347"/>
      <c r="O728" s="312"/>
      <c r="P728" s="347"/>
      <c r="Q728" s="312"/>
      <c r="R728" s="347"/>
      <c r="S728" s="312"/>
      <c r="T728" s="347"/>
    </row>
    <row r="729" spans="1:20" ht="12" customHeight="1" x14ac:dyDescent="0.3">
      <c r="A729" s="340" t="s">
        <v>289</v>
      </c>
      <c r="B729" s="341">
        <v>1</v>
      </c>
      <c r="C729" s="309">
        <v>46043</v>
      </c>
      <c r="D729" s="310" t="s">
        <v>332</v>
      </c>
      <c r="E729" s="342">
        <v>24.75</v>
      </c>
      <c r="F729" s="342"/>
      <c r="G729" s="344">
        <f t="shared" si="5"/>
        <v>5463.99</v>
      </c>
      <c r="H729" s="345"/>
      <c r="I729" s="346"/>
      <c r="J729" s="347"/>
      <c r="K729" s="312"/>
      <c r="L729" s="347"/>
      <c r="M729" s="312"/>
      <c r="N729" s="347"/>
      <c r="O729" s="312"/>
      <c r="P729" s="347"/>
      <c r="Q729" s="312"/>
      <c r="R729" s="347"/>
      <c r="S729" s="312"/>
      <c r="T729" s="347"/>
    </row>
    <row r="730" spans="1:20" ht="12" customHeight="1" x14ac:dyDescent="0.3">
      <c r="A730" s="340" t="s">
        <v>291</v>
      </c>
      <c r="B730" s="341">
        <v>39</v>
      </c>
      <c r="C730" s="309">
        <v>46043</v>
      </c>
      <c r="D730" s="310" t="s">
        <v>292</v>
      </c>
      <c r="E730" s="342"/>
      <c r="F730" s="342">
        <v>3378.82</v>
      </c>
      <c r="G730" s="344">
        <f t="shared" si="5"/>
        <v>5488.74</v>
      </c>
      <c r="H730" s="345"/>
      <c r="I730" s="346"/>
      <c r="J730" s="347"/>
      <c r="K730" s="312"/>
      <c r="L730" s="347"/>
      <c r="M730" s="312"/>
      <c r="N730" s="347"/>
      <c r="O730" s="312"/>
      <c r="P730" s="347"/>
      <c r="Q730" s="312"/>
      <c r="R730" s="347"/>
      <c r="S730" s="312"/>
      <c r="T730" s="347"/>
    </row>
    <row r="731" spans="1:20" ht="12" customHeight="1" x14ac:dyDescent="0.3">
      <c r="A731" s="340" t="s">
        <v>294</v>
      </c>
      <c r="B731" s="341">
        <v>23</v>
      </c>
      <c r="C731" s="309">
        <v>46043</v>
      </c>
      <c r="D731" s="310" t="s">
        <v>67</v>
      </c>
      <c r="E731" s="342">
        <v>650.88</v>
      </c>
      <c r="F731" s="342"/>
      <c r="G731" s="344">
        <f t="shared" si="5"/>
        <v>2109.9199999999992</v>
      </c>
      <c r="H731" s="345"/>
      <c r="I731" s="346"/>
      <c r="J731" s="347"/>
      <c r="K731" s="312"/>
      <c r="L731" s="347"/>
      <c r="M731" s="312"/>
      <c r="N731" s="347"/>
      <c r="O731" s="312"/>
      <c r="P731" s="347"/>
      <c r="Q731" s="312"/>
      <c r="R731" s="347"/>
      <c r="S731" s="312"/>
      <c r="T731" s="347"/>
    </row>
    <row r="732" spans="1:20" ht="12" customHeight="1" x14ac:dyDescent="0.3">
      <c r="A732" s="340" t="s">
        <v>287</v>
      </c>
      <c r="B732" s="341" t="s">
        <v>287</v>
      </c>
      <c r="C732" s="309">
        <v>46043</v>
      </c>
      <c r="D732" s="310" t="s">
        <v>485</v>
      </c>
      <c r="E732" s="342">
        <v>100</v>
      </c>
      <c r="F732" s="342">
        <v>100</v>
      </c>
      <c r="G732" s="344">
        <f t="shared" si="5"/>
        <v>2760.7999999999993</v>
      </c>
      <c r="H732" s="345"/>
      <c r="I732" s="346"/>
      <c r="J732" s="347"/>
      <c r="K732" s="312"/>
      <c r="L732" s="347"/>
      <c r="M732" s="312"/>
      <c r="N732" s="347"/>
      <c r="O732" s="312"/>
      <c r="P732" s="347"/>
      <c r="Q732" s="312"/>
      <c r="R732" s="347"/>
      <c r="S732" s="312"/>
      <c r="T732" s="347"/>
    </row>
    <row r="733" spans="1:20" ht="12" customHeight="1" x14ac:dyDescent="0.3">
      <c r="A733" s="340" t="s">
        <v>289</v>
      </c>
      <c r="B733" s="341">
        <v>2</v>
      </c>
      <c r="C733" s="309">
        <v>46043</v>
      </c>
      <c r="D733" s="310" t="s">
        <v>301</v>
      </c>
      <c r="E733" s="342">
        <v>20</v>
      </c>
      <c r="F733" s="342"/>
      <c r="G733" s="344">
        <f t="shared" si="5"/>
        <v>2760.7999999999993</v>
      </c>
      <c r="H733" s="345"/>
      <c r="I733" s="346"/>
      <c r="J733" s="347"/>
      <c r="K733" s="312"/>
      <c r="L733" s="347"/>
      <c r="M733" s="312"/>
      <c r="N733" s="347"/>
      <c r="O733" s="312"/>
      <c r="P733" s="347"/>
      <c r="Q733" s="312"/>
      <c r="R733" s="347"/>
      <c r="S733" s="312"/>
      <c r="T733" s="347"/>
    </row>
    <row r="734" spans="1:20" ht="12" customHeight="1" x14ac:dyDescent="0.3">
      <c r="A734" s="340" t="s">
        <v>289</v>
      </c>
      <c r="B734" s="341">
        <v>8</v>
      </c>
      <c r="C734" s="309">
        <v>46043</v>
      </c>
      <c r="D734" s="310" t="s">
        <v>295</v>
      </c>
      <c r="E734" s="342">
        <v>6.38</v>
      </c>
      <c r="F734" s="342"/>
      <c r="G734" s="344">
        <f t="shared" si="5"/>
        <v>2780.7999999999993</v>
      </c>
      <c r="H734" s="345"/>
      <c r="I734" s="346"/>
      <c r="J734" s="347"/>
      <c r="K734" s="312"/>
      <c r="L734" s="347"/>
      <c r="M734" s="312"/>
      <c r="N734" s="347"/>
      <c r="O734" s="312"/>
      <c r="P734" s="347"/>
      <c r="Q734" s="312"/>
      <c r="R734" s="347"/>
      <c r="S734" s="312"/>
      <c r="T734" s="347"/>
    </row>
    <row r="735" spans="1:20" ht="12" customHeight="1" x14ac:dyDescent="0.3">
      <c r="A735" s="340" t="s">
        <v>289</v>
      </c>
      <c r="B735" s="341">
        <v>2</v>
      </c>
      <c r="C735" s="309">
        <v>46043</v>
      </c>
      <c r="D735" s="310" t="s">
        <v>295</v>
      </c>
      <c r="E735" s="342">
        <v>17.29</v>
      </c>
      <c r="F735" s="342"/>
      <c r="G735" s="344">
        <f t="shared" si="5"/>
        <v>2787.1799999999994</v>
      </c>
      <c r="H735" s="345"/>
      <c r="I735" s="346"/>
      <c r="J735" s="347"/>
      <c r="K735" s="312"/>
      <c r="L735" s="347"/>
      <c r="M735" s="312"/>
      <c r="N735" s="347"/>
      <c r="O735" s="312"/>
      <c r="P735" s="347"/>
      <c r="Q735" s="312"/>
      <c r="R735" s="347"/>
      <c r="S735" s="312"/>
      <c r="T735" s="347"/>
    </row>
    <row r="736" spans="1:20" ht="12" customHeight="1" x14ac:dyDescent="0.3">
      <c r="A736" s="340" t="s">
        <v>289</v>
      </c>
      <c r="B736" s="341">
        <v>2</v>
      </c>
      <c r="C736" s="309">
        <v>46043</v>
      </c>
      <c r="D736" s="310" t="s">
        <v>362</v>
      </c>
      <c r="E736" s="342">
        <v>14.86</v>
      </c>
      <c r="F736" s="342"/>
      <c r="G736" s="344">
        <f t="shared" si="5"/>
        <v>2804.4699999999993</v>
      </c>
      <c r="H736" s="345"/>
      <c r="I736" s="346"/>
      <c r="J736" s="347"/>
      <c r="K736" s="312"/>
      <c r="L736" s="347"/>
      <c r="M736" s="312"/>
      <c r="N736" s="347"/>
      <c r="O736" s="312"/>
      <c r="P736" s="347"/>
      <c r="Q736" s="312"/>
      <c r="R736" s="347"/>
      <c r="S736" s="312"/>
      <c r="T736" s="347"/>
    </row>
    <row r="737" spans="1:20" ht="12" customHeight="1" x14ac:dyDescent="0.3">
      <c r="A737" s="340" t="s">
        <v>289</v>
      </c>
      <c r="B737" s="341">
        <v>2</v>
      </c>
      <c r="C737" s="309">
        <v>46042</v>
      </c>
      <c r="D737" s="310" t="s">
        <v>375</v>
      </c>
      <c r="E737" s="342">
        <v>13.4</v>
      </c>
      <c r="F737" s="342"/>
      <c r="G737" s="344">
        <f t="shared" si="5"/>
        <v>2819.3299999999995</v>
      </c>
      <c r="H737" s="345"/>
      <c r="I737" s="346"/>
      <c r="J737" s="347"/>
      <c r="K737" s="312"/>
      <c r="L737" s="347"/>
      <c r="M737" s="312"/>
      <c r="N737" s="347"/>
      <c r="O737" s="312"/>
      <c r="P737" s="347"/>
      <c r="Q737" s="312"/>
      <c r="R737" s="347"/>
      <c r="S737" s="312"/>
      <c r="T737" s="347"/>
    </row>
    <row r="738" spans="1:20" ht="12" customHeight="1" x14ac:dyDescent="0.3">
      <c r="A738" s="340" t="s">
        <v>289</v>
      </c>
      <c r="B738" s="341">
        <v>2</v>
      </c>
      <c r="C738" s="309">
        <v>46042</v>
      </c>
      <c r="D738" s="310" t="s">
        <v>375</v>
      </c>
      <c r="E738" s="342">
        <v>5.97</v>
      </c>
      <c r="F738" s="342"/>
      <c r="G738" s="344">
        <f t="shared" si="5"/>
        <v>2832.7299999999996</v>
      </c>
      <c r="H738" s="345"/>
      <c r="I738" s="346"/>
      <c r="J738" s="347"/>
      <c r="K738" s="312"/>
      <c r="L738" s="347"/>
      <c r="M738" s="312"/>
      <c r="N738" s="347"/>
      <c r="O738" s="312"/>
      <c r="P738" s="347"/>
      <c r="Q738" s="312"/>
      <c r="R738" s="347"/>
      <c r="S738" s="312"/>
      <c r="T738" s="347"/>
    </row>
    <row r="739" spans="1:20" ht="12" customHeight="1" x14ac:dyDescent="0.3">
      <c r="A739" s="340" t="s">
        <v>294</v>
      </c>
      <c r="B739" s="341">
        <v>22</v>
      </c>
      <c r="C739" s="309">
        <v>46042</v>
      </c>
      <c r="D739" s="310" t="s">
        <v>325</v>
      </c>
      <c r="E739" s="342">
        <v>18.09</v>
      </c>
      <c r="F739" s="342"/>
      <c r="G739" s="344">
        <f t="shared" si="5"/>
        <v>2838.6999999999994</v>
      </c>
      <c r="H739" s="345"/>
      <c r="I739" s="346"/>
      <c r="J739" s="347"/>
      <c r="K739" s="312"/>
      <c r="L739" s="347"/>
      <c r="M739" s="312"/>
      <c r="N739" s="347"/>
      <c r="O739" s="312"/>
      <c r="P739" s="347"/>
      <c r="Q739" s="312"/>
      <c r="R739" s="347"/>
      <c r="S739" s="312"/>
      <c r="T739" s="347"/>
    </row>
    <row r="740" spans="1:20" ht="12" customHeight="1" x14ac:dyDescent="0.3">
      <c r="A740" s="340" t="s">
        <v>294</v>
      </c>
      <c r="B740" s="341">
        <v>17</v>
      </c>
      <c r="C740" s="309">
        <v>46042</v>
      </c>
      <c r="D740" s="310" t="s">
        <v>188</v>
      </c>
      <c r="E740" s="342">
        <v>42.65</v>
      </c>
      <c r="F740" s="342"/>
      <c r="G740" s="344">
        <f t="shared" si="5"/>
        <v>2856.7899999999995</v>
      </c>
      <c r="H740" s="345"/>
      <c r="I740" s="346"/>
      <c r="J740" s="347"/>
      <c r="K740" s="312"/>
      <c r="L740" s="347"/>
      <c r="M740" s="312"/>
      <c r="N740" s="347"/>
      <c r="O740" s="312"/>
      <c r="P740" s="347"/>
      <c r="Q740" s="312"/>
      <c r="R740" s="347"/>
      <c r="S740" s="312"/>
      <c r="T740" s="347"/>
    </row>
    <row r="741" spans="1:20" ht="12" customHeight="1" x14ac:dyDescent="0.3">
      <c r="A741" s="340" t="s">
        <v>339</v>
      </c>
      <c r="B741" s="341" t="s">
        <v>339</v>
      </c>
      <c r="C741" s="309">
        <v>46042</v>
      </c>
      <c r="D741" s="310" t="s">
        <v>340</v>
      </c>
      <c r="E741" s="342">
        <v>130.51</v>
      </c>
      <c r="F741" s="342"/>
      <c r="G741" s="344">
        <f t="shared" si="5"/>
        <v>2899.4399999999996</v>
      </c>
      <c r="H741" s="345"/>
      <c r="I741" s="346"/>
      <c r="J741" s="347"/>
      <c r="K741" s="312"/>
      <c r="L741" s="347"/>
      <c r="M741" s="312"/>
      <c r="N741" s="347"/>
      <c r="O741" s="312"/>
      <c r="P741" s="347"/>
      <c r="Q741" s="312"/>
      <c r="R741" s="347"/>
      <c r="S741" s="312"/>
      <c r="T741" s="347"/>
    </row>
    <row r="742" spans="1:20" ht="12" customHeight="1" x14ac:dyDescent="0.3">
      <c r="A742" s="340" t="s">
        <v>294</v>
      </c>
      <c r="B742" s="341">
        <v>15</v>
      </c>
      <c r="C742" s="309">
        <v>46042</v>
      </c>
      <c r="D742" s="310" t="s">
        <v>185</v>
      </c>
      <c r="E742" s="342">
        <v>132.4</v>
      </c>
      <c r="F742" s="342"/>
      <c r="G742" s="344">
        <f t="shared" si="5"/>
        <v>3029.9499999999994</v>
      </c>
      <c r="H742" s="345"/>
      <c r="I742" s="346"/>
      <c r="J742" s="347"/>
      <c r="K742" s="312"/>
      <c r="L742" s="347"/>
      <c r="M742" s="312"/>
      <c r="N742" s="347"/>
      <c r="O742" s="312"/>
      <c r="P742" s="347"/>
      <c r="Q742" s="312"/>
      <c r="R742" s="347"/>
      <c r="S742" s="312"/>
      <c r="T742" s="347"/>
    </row>
    <row r="743" spans="1:20" ht="12" customHeight="1" x14ac:dyDescent="0.3">
      <c r="A743" s="340" t="s">
        <v>294</v>
      </c>
      <c r="B743" s="341">
        <v>23</v>
      </c>
      <c r="C743" s="309">
        <v>46042</v>
      </c>
      <c r="D743" s="310" t="s">
        <v>63</v>
      </c>
      <c r="E743" s="342">
        <v>529.46</v>
      </c>
      <c r="F743" s="342"/>
      <c r="G743" s="344">
        <f t="shared" si="5"/>
        <v>3162.3499999999995</v>
      </c>
      <c r="H743" s="345"/>
      <c r="I743" s="346"/>
      <c r="J743" s="347"/>
      <c r="K743" s="312"/>
      <c r="L743" s="347"/>
      <c r="M743" s="312"/>
      <c r="N743" s="347"/>
      <c r="O743" s="312"/>
      <c r="P743" s="347"/>
      <c r="Q743" s="312"/>
      <c r="R743" s="347"/>
      <c r="S743" s="312"/>
      <c r="T743" s="347"/>
    </row>
    <row r="744" spans="1:20" ht="12" customHeight="1" x14ac:dyDescent="0.3">
      <c r="A744" s="340" t="s">
        <v>289</v>
      </c>
      <c r="B744" s="341">
        <v>6</v>
      </c>
      <c r="C744" s="309">
        <v>46042</v>
      </c>
      <c r="D744" s="310" t="s">
        <v>300</v>
      </c>
      <c r="E744" s="342">
        <v>51.63</v>
      </c>
      <c r="F744" s="342"/>
      <c r="G744" s="344">
        <f t="shared" si="5"/>
        <v>3691.8099999999995</v>
      </c>
      <c r="H744" s="345"/>
      <c r="I744" s="346"/>
      <c r="J744" s="347"/>
      <c r="K744" s="312"/>
      <c r="L744" s="347"/>
      <c r="M744" s="312"/>
      <c r="N744" s="347"/>
      <c r="O744" s="312"/>
      <c r="P744" s="347"/>
      <c r="Q744" s="312"/>
      <c r="R744" s="347"/>
      <c r="S744" s="312"/>
      <c r="T744" s="347"/>
    </row>
    <row r="745" spans="1:20" ht="12" customHeight="1" x14ac:dyDescent="0.3">
      <c r="A745" s="340" t="s">
        <v>289</v>
      </c>
      <c r="B745" s="341">
        <v>2</v>
      </c>
      <c r="C745" s="309">
        <v>46042</v>
      </c>
      <c r="D745" s="310" t="s">
        <v>296</v>
      </c>
      <c r="E745" s="342">
        <v>11.17</v>
      </c>
      <c r="F745" s="342"/>
      <c r="G745" s="344">
        <f t="shared" si="5"/>
        <v>3743.4399999999996</v>
      </c>
      <c r="H745" s="345"/>
      <c r="I745" s="346"/>
      <c r="J745" s="347"/>
      <c r="K745" s="312"/>
      <c r="L745" s="347"/>
      <c r="M745" s="312"/>
      <c r="N745" s="347"/>
      <c r="O745" s="312"/>
      <c r="P745" s="347"/>
      <c r="Q745" s="312"/>
      <c r="R745" s="347"/>
      <c r="S745" s="312"/>
      <c r="T745" s="347"/>
    </row>
    <row r="746" spans="1:20" ht="12" customHeight="1" x14ac:dyDescent="0.3">
      <c r="A746" s="340" t="s">
        <v>289</v>
      </c>
      <c r="B746" s="341">
        <v>4</v>
      </c>
      <c r="C746" s="309">
        <v>46042</v>
      </c>
      <c r="D746" s="310" t="s">
        <v>296</v>
      </c>
      <c r="E746" s="342">
        <v>57.37</v>
      </c>
      <c r="F746" s="342"/>
      <c r="G746" s="344">
        <f t="shared" si="5"/>
        <v>3754.6099999999997</v>
      </c>
      <c r="H746" s="345"/>
      <c r="I746" s="346"/>
      <c r="J746" s="347"/>
      <c r="K746" s="312"/>
      <c r="L746" s="347"/>
      <c r="M746" s="312"/>
      <c r="N746" s="347"/>
      <c r="O746" s="312"/>
      <c r="P746" s="347"/>
      <c r="Q746" s="312"/>
      <c r="R746" s="347"/>
      <c r="S746" s="312"/>
      <c r="T746" s="347"/>
    </row>
    <row r="747" spans="1:20" ht="12" customHeight="1" x14ac:dyDescent="0.3">
      <c r="A747" s="340" t="s">
        <v>294</v>
      </c>
      <c r="B747" s="341">
        <v>22</v>
      </c>
      <c r="C747" s="309">
        <v>46042</v>
      </c>
      <c r="D747" s="310" t="s">
        <v>331</v>
      </c>
      <c r="E747" s="342">
        <v>7.46</v>
      </c>
      <c r="F747" s="342"/>
      <c r="G747" s="344">
        <f t="shared" si="5"/>
        <v>3811.9799999999996</v>
      </c>
      <c r="H747" s="345"/>
      <c r="I747" s="346"/>
      <c r="J747" s="347"/>
      <c r="K747" s="312"/>
      <c r="L747" s="347"/>
      <c r="M747" s="312"/>
      <c r="N747" s="347"/>
      <c r="O747" s="312"/>
      <c r="P747" s="347"/>
      <c r="Q747" s="312"/>
      <c r="R747" s="347"/>
      <c r="S747" s="312"/>
      <c r="T747" s="347"/>
    </row>
    <row r="748" spans="1:20" ht="12" customHeight="1" x14ac:dyDescent="0.3">
      <c r="A748" s="340" t="s">
        <v>289</v>
      </c>
      <c r="B748" s="341">
        <v>4</v>
      </c>
      <c r="C748" s="309">
        <v>46042</v>
      </c>
      <c r="D748" s="310" t="s">
        <v>311</v>
      </c>
      <c r="E748" s="342">
        <v>28.91</v>
      </c>
      <c r="F748" s="342"/>
      <c r="G748" s="344">
        <f t="shared" si="5"/>
        <v>3819.4399999999996</v>
      </c>
      <c r="H748" s="345"/>
      <c r="I748" s="346"/>
      <c r="J748" s="347"/>
      <c r="K748" s="312"/>
      <c r="L748" s="347"/>
      <c r="M748" s="312"/>
      <c r="N748" s="347"/>
      <c r="O748" s="312"/>
      <c r="P748" s="347"/>
      <c r="Q748" s="312"/>
      <c r="R748" s="347"/>
      <c r="S748" s="312"/>
      <c r="T748" s="347"/>
    </row>
    <row r="749" spans="1:20" ht="12" customHeight="1" x14ac:dyDescent="0.3">
      <c r="A749" s="340" t="s">
        <v>289</v>
      </c>
      <c r="B749" s="341">
        <v>6</v>
      </c>
      <c r="C749" s="309">
        <v>46040</v>
      </c>
      <c r="D749" s="310" t="s">
        <v>300</v>
      </c>
      <c r="E749" s="342">
        <v>31.35</v>
      </c>
      <c r="F749" s="342"/>
      <c r="G749" s="344">
        <f t="shared" si="5"/>
        <v>3848.3499999999995</v>
      </c>
      <c r="H749" s="345"/>
      <c r="I749" s="346"/>
      <c r="J749" s="347"/>
      <c r="K749" s="312"/>
      <c r="L749" s="347"/>
      <c r="M749" s="312"/>
      <c r="N749" s="347"/>
      <c r="O749" s="312"/>
      <c r="P749" s="347"/>
      <c r="Q749" s="312"/>
      <c r="R749" s="347"/>
      <c r="S749" s="312"/>
      <c r="T749" s="347"/>
    </row>
    <row r="750" spans="1:20" ht="12" customHeight="1" x14ac:dyDescent="0.3">
      <c r="A750" s="340" t="s">
        <v>289</v>
      </c>
      <c r="B750" s="341">
        <v>8</v>
      </c>
      <c r="C750" s="309">
        <v>46040</v>
      </c>
      <c r="D750" s="310" t="s">
        <v>486</v>
      </c>
      <c r="E750" s="342">
        <v>124.75</v>
      </c>
      <c r="F750" s="342"/>
      <c r="G750" s="344">
        <f t="shared" si="5"/>
        <v>3879.6999999999994</v>
      </c>
      <c r="H750" s="345"/>
      <c r="I750" s="346"/>
      <c r="J750" s="347"/>
      <c r="K750" s="312"/>
      <c r="L750" s="347"/>
      <c r="M750" s="312"/>
      <c r="N750" s="347"/>
      <c r="O750" s="312"/>
      <c r="P750" s="347"/>
      <c r="Q750" s="312"/>
      <c r="R750" s="347"/>
      <c r="S750" s="312"/>
      <c r="T750" s="347"/>
    </row>
    <row r="751" spans="1:20" ht="12" customHeight="1" x14ac:dyDescent="0.3">
      <c r="A751" s="340" t="s">
        <v>289</v>
      </c>
      <c r="B751" s="341">
        <v>3</v>
      </c>
      <c r="C751" s="309">
        <v>46040</v>
      </c>
      <c r="D751" s="310" t="s">
        <v>322</v>
      </c>
      <c r="E751" s="342">
        <v>11.3</v>
      </c>
      <c r="F751" s="342"/>
      <c r="G751" s="344">
        <f t="shared" si="5"/>
        <v>4004.4499999999994</v>
      </c>
      <c r="H751" s="345"/>
      <c r="I751" s="346"/>
      <c r="J751" s="347"/>
      <c r="K751" s="312"/>
      <c r="L751" s="347"/>
      <c r="M751" s="312"/>
      <c r="N751" s="347"/>
      <c r="O751" s="312"/>
      <c r="P751" s="347"/>
      <c r="Q751" s="312"/>
      <c r="R751" s="347"/>
      <c r="S751" s="312"/>
      <c r="T751" s="347"/>
    </row>
    <row r="752" spans="1:20" ht="12" customHeight="1" x14ac:dyDescent="0.3">
      <c r="A752" s="340" t="s">
        <v>294</v>
      </c>
      <c r="B752" s="341">
        <v>22</v>
      </c>
      <c r="C752" s="309">
        <v>46040</v>
      </c>
      <c r="D752" s="310" t="s">
        <v>408</v>
      </c>
      <c r="E752" s="342">
        <v>13.84</v>
      </c>
      <c r="F752" s="342"/>
      <c r="G752" s="344">
        <f t="shared" si="5"/>
        <v>4015.7499999999995</v>
      </c>
      <c r="H752" s="345"/>
      <c r="I752" s="346"/>
      <c r="J752" s="347"/>
      <c r="K752" s="312"/>
      <c r="L752" s="347"/>
      <c r="M752" s="312"/>
      <c r="N752" s="347"/>
      <c r="O752" s="312"/>
      <c r="P752" s="347"/>
      <c r="Q752" s="312"/>
      <c r="R752" s="347"/>
      <c r="S752" s="312"/>
      <c r="T752" s="347"/>
    </row>
    <row r="753" spans="1:20" ht="12" customHeight="1" x14ac:dyDescent="0.3">
      <c r="A753" s="340" t="s">
        <v>289</v>
      </c>
      <c r="B753" s="341">
        <v>1</v>
      </c>
      <c r="C753" s="309">
        <v>46040</v>
      </c>
      <c r="D753" s="310" t="s">
        <v>307</v>
      </c>
      <c r="E753" s="342">
        <v>92.06</v>
      </c>
      <c r="F753" s="342"/>
      <c r="G753" s="344">
        <f t="shared" si="5"/>
        <v>4029.5899999999997</v>
      </c>
      <c r="H753" s="345"/>
      <c r="I753" s="346"/>
      <c r="J753" s="347"/>
      <c r="K753" s="312"/>
      <c r="L753" s="347"/>
      <c r="M753" s="312"/>
      <c r="N753" s="347"/>
      <c r="O753" s="312"/>
      <c r="P753" s="347"/>
      <c r="Q753" s="312"/>
      <c r="R753" s="347"/>
      <c r="S753" s="312"/>
      <c r="T753" s="347"/>
    </row>
    <row r="754" spans="1:20" ht="12" customHeight="1" x14ac:dyDescent="0.3">
      <c r="A754" s="340" t="s">
        <v>289</v>
      </c>
      <c r="B754" s="341">
        <v>7</v>
      </c>
      <c r="C754" s="309">
        <v>46040</v>
      </c>
      <c r="D754" s="310" t="s">
        <v>342</v>
      </c>
      <c r="E754" s="342">
        <v>78.47</v>
      </c>
      <c r="F754" s="342"/>
      <c r="G754" s="344">
        <f t="shared" si="5"/>
        <v>4121.6499999999996</v>
      </c>
      <c r="H754" s="345"/>
      <c r="I754" s="346"/>
      <c r="J754" s="347"/>
      <c r="K754" s="312"/>
      <c r="L754" s="347"/>
      <c r="M754" s="312"/>
      <c r="N754" s="347"/>
      <c r="O754" s="312"/>
      <c r="P754" s="347"/>
      <c r="Q754" s="312"/>
      <c r="R754" s="347"/>
      <c r="S754" s="312"/>
      <c r="T754" s="347"/>
    </row>
    <row r="755" spans="1:20" ht="12" customHeight="1" x14ac:dyDescent="0.3">
      <c r="A755" s="340" t="s">
        <v>289</v>
      </c>
      <c r="B755" s="341">
        <v>1</v>
      </c>
      <c r="C755" s="309">
        <v>46040</v>
      </c>
      <c r="D755" s="310" t="s">
        <v>397</v>
      </c>
      <c r="E755" s="342">
        <v>28.22</v>
      </c>
      <c r="F755" s="342"/>
      <c r="G755" s="344">
        <f t="shared" si="5"/>
        <v>4200.12</v>
      </c>
      <c r="H755" s="345"/>
      <c r="I755" s="346"/>
      <c r="J755" s="347"/>
      <c r="K755" s="312"/>
      <c r="L755" s="347"/>
      <c r="M755" s="312"/>
      <c r="N755" s="347"/>
      <c r="O755" s="312"/>
      <c r="P755" s="347"/>
      <c r="Q755" s="312"/>
      <c r="R755" s="347"/>
      <c r="S755" s="312"/>
      <c r="T755" s="347"/>
    </row>
    <row r="756" spans="1:20" ht="12" customHeight="1" x14ac:dyDescent="0.3">
      <c r="A756" s="340" t="s">
        <v>289</v>
      </c>
      <c r="B756" s="341">
        <v>2</v>
      </c>
      <c r="C756" s="309">
        <v>46040</v>
      </c>
      <c r="D756" s="310" t="s">
        <v>396</v>
      </c>
      <c r="E756" s="342">
        <v>32.729999999999997</v>
      </c>
      <c r="F756" s="342"/>
      <c r="G756" s="344">
        <f t="shared" si="5"/>
        <v>4228.34</v>
      </c>
      <c r="H756" s="345"/>
      <c r="I756" s="346"/>
      <c r="J756" s="347"/>
      <c r="K756" s="312"/>
      <c r="L756" s="347"/>
      <c r="M756" s="312"/>
      <c r="N756" s="347"/>
      <c r="O756" s="312"/>
      <c r="P756" s="347"/>
      <c r="Q756" s="312"/>
      <c r="R756" s="347"/>
      <c r="S756" s="312"/>
      <c r="T756" s="347"/>
    </row>
    <row r="757" spans="1:20" ht="12" customHeight="1" x14ac:dyDescent="0.3">
      <c r="A757" s="340" t="s">
        <v>294</v>
      </c>
      <c r="B757" s="341">
        <v>42</v>
      </c>
      <c r="C757" s="309">
        <v>46039</v>
      </c>
      <c r="D757" s="310" t="s">
        <v>337</v>
      </c>
      <c r="E757" s="342">
        <v>29.8</v>
      </c>
      <c r="F757" s="342"/>
      <c r="G757" s="344">
        <f t="shared" si="5"/>
        <v>4261.07</v>
      </c>
      <c r="H757" s="345"/>
      <c r="I757" s="346"/>
      <c r="J757" s="347"/>
      <c r="K757" s="312"/>
      <c r="L757" s="347"/>
      <c r="M757" s="312"/>
      <c r="N757" s="347"/>
      <c r="O757" s="312"/>
      <c r="P757" s="347"/>
      <c r="Q757" s="312"/>
      <c r="R757" s="347"/>
      <c r="S757" s="312"/>
      <c r="T757" s="347"/>
    </row>
    <row r="758" spans="1:20" ht="12" customHeight="1" x14ac:dyDescent="0.3">
      <c r="A758" s="340" t="s">
        <v>294</v>
      </c>
      <c r="B758" s="341">
        <v>43</v>
      </c>
      <c r="C758" s="309">
        <v>46039</v>
      </c>
      <c r="D758" s="310" t="s">
        <v>337</v>
      </c>
      <c r="E758" s="342">
        <v>22.35</v>
      </c>
      <c r="F758" s="342"/>
      <c r="G758" s="344">
        <f t="shared" si="5"/>
        <v>4290.87</v>
      </c>
      <c r="H758" s="345"/>
      <c r="I758" s="346"/>
      <c r="J758" s="347"/>
      <c r="K758" s="312"/>
      <c r="L758" s="347"/>
      <c r="M758" s="312"/>
      <c r="N758" s="347"/>
      <c r="O758" s="312"/>
      <c r="P758" s="347"/>
      <c r="Q758" s="312"/>
      <c r="R758" s="347"/>
      <c r="S758" s="312"/>
      <c r="T758" s="347"/>
    </row>
    <row r="759" spans="1:20" ht="12" customHeight="1" x14ac:dyDescent="0.3">
      <c r="A759" s="340" t="s">
        <v>289</v>
      </c>
      <c r="B759" s="341">
        <v>8</v>
      </c>
      <c r="C759" s="309">
        <v>46039</v>
      </c>
      <c r="D759" s="310" t="s">
        <v>321</v>
      </c>
      <c r="E759" s="342">
        <v>36.92</v>
      </c>
      <c r="F759" s="342"/>
      <c r="G759" s="344">
        <f t="shared" si="5"/>
        <v>4313.22</v>
      </c>
      <c r="H759" s="345"/>
      <c r="I759" s="346"/>
      <c r="J759" s="347"/>
      <c r="K759" s="312"/>
      <c r="L759" s="347"/>
      <c r="M759" s="312"/>
      <c r="N759" s="347"/>
      <c r="O759" s="312"/>
      <c r="P759" s="347"/>
      <c r="Q759" s="312"/>
      <c r="R759" s="347"/>
      <c r="S759" s="312"/>
      <c r="T759" s="347"/>
    </row>
    <row r="760" spans="1:20" ht="12" customHeight="1" x14ac:dyDescent="0.3">
      <c r="A760" s="340" t="s">
        <v>289</v>
      </c>
      <c r="B760" s="341">
        <v>1</v>
      </c>
      <c r="C760" s="309">
        <v>46039</v>
      </c>
      <c r="D760" s="310" t="s">
        <v>312</v>
      </c>
      <c r="E760" s="342">
        <v>117.89</v>
      </c>
      <c r="F760" s="342"/>
      <c r="G760" s="344">
        <f t="shared" si="5"/>
        <v>4350.1400000000003</v>
      </c>
      <c r="H760" s="345"/>
      <c r="I760" s="346"/>
      <c r="J760" s="347"/>
      <c r="K760" s="312"/>
      <c r="L760" s="347"/>
      <c r="M760" s="312"/>
      <c r="N760" s="347"/>
      <c r="O760" s="312"/>
      <c r="P760" s="347"/>
      <c r="Q760" s="312"/>
      <c r="R760" s="347"/>
      <c r="S760" s="312"/>
      <c r="T760" s="347"/>
    </row>
    <row r="761" spans="1:20" ht="12" customHeight="1" x14ac:dyDescent="0.3">
      <c r="A761" s="340" t="s">
        <v>289</v>
      </c>
      <c r="B761" s="341">
        <v>1</v>
      </c>
      <c r="C761" s="309">
        <v>46039</v>
      </c>
      <c r="D761" s="310" t="s">
        <v>332</v>
      </c>
      <c r="E761" s="342">
        <v>196.36</v>
      </c>
      <c r="F761" s="342"/>
      <c r="G761" s="344">
        <f t="shared" si="5"/>
        <v>4468.0300000000007</v>
      </c>
      <c r="H761" s="345"/>
      <c r="I761" s="346"/>
      <c r="J761" s="347"/>
      <c r="K761" s="312"/>
      <c r="L761" s="347"/>
      <c r="M761" s="312"/>
      <c r="N761" s="347"/>
      <c r="O761" s="312"/>
      <c r="P761" s="347"/>
      <c r="Q761" s="312"/>
      <c r="R761" s="347"/>
      <c r="S761" s="312"/>
      <c r="T761" s="347"/>
    </row>
    <row r="762" spans="1:20" ht="12" customHeight="1" x14ac:dyDescent="0.3">
      <c r="A762" s="340" t="s">
        <v>294</v>
      </c>
      <c r="B762" s="341">
        <v>21</v>
      </c>
      <c r="C762" s="309">
        <v>46039</v>
      </c>
      <c r="D762" s="310" t="s">
        <v>194</v>
      </c>
      <c r="E762" s="342">
        <v>70.2</v>
      </c>
      <c r="F762" s="342"/>
      <c r="G762" s="344">
        <f t="shared" si="5"/>
        <v>4664.3900000000003</v>
      </c>
      <c r="H762" s="345"/>
      <c r="I762" s="346"/>
      <c r="J762" s="347"/>
      <c r="K762" s="312"/>
      <c r="L762" s="347"/>
      <c r="M762" s="312"/>
      <c r="N762" s="347"/>
      <c r="O762" s="312"/>
      <c r="P762" s="347"/>
      <c r="Q762" s="312"/>
      <c r="R762" s="347"/>
      <c r="S762" s="312"/>
      <c r="T762" s="347"/>
    </row>
    <row r="763" spans="1:20" ht="12" customHeight="1" x14ac:dyDescent="0.3">
      <c r="A763" s="340" t="s">
        <v>289</v>
      </c>
      <c r="B763" s="341">
        <v>2</v>
      </c>
      <c r="C763" s="309">
        <v>46038</v>
      </c>
      <c r="D763" s="310" t="s">
        <v>327</v>
      </c>
      <c r="E763" s="342">
        <v>13.14</v>
      </c>
      <c r="F763" s="342"/>
      <c r="G763" s="344">
        <f t="shared" si="5"/>
        <v>4734.59</v>
      </c>
      <c r="H763" s="345"/>
      <c r="I763" s="346"/>
      <c r="J763" s="347"/>
      <c r="K763" s="312"/>
      <c r="L763" s="347"/>
      <c r="M763" s="312"/>
      <c r="N763" s="347"/>
      <c r="O763" s="312"/>
      <c r="P763" s="347"/>
      <c r="Q763" s="312"/>
      <c r="R763" s="347"/>
      <c r="S763" s="312"/>
      <c r="T763" s="347"/>
    </row>
    <row r="764" spans="1:20" ht="12" customHeight="1" x14ac:dyDescent="0.3">
      <c r="A764" s="340" t="s">
        <v>289</v>
      </c>
      <c r="B764" s="341">
        <v>2</v>
      </c>
      <c r="C764" s="309">
        <v>46038</v>
      </c>
      <c r="D764" s="310" t="s">
        <v>296</v>
      </c>
      <c r="E764" s="342">
        <v>18.489999999999998</v>
      </c>
      <c r="F764" s="342"/>
      <c r="G764" s="344">
        <f t="shared" si="5"/>
        <v>4747.7300000000005</v>
      </c>
      <c r="H764" s="345"/>
      <c r="I764" s="346"/>
      <c r="J764" s="347"/>
      <c r="K764" s="312"/>
      <c r="L764" s="347"/>
      <c r="M764" s="312"/>
      <c r="N764" s="347"/>
      <c r="O764" s="312"/>
      <c r="P764" s="347"/>
      <c r="Q764" s="312"/>
      <c r="R764" s="347"/>
      <c r="S764" s="312"/>
      <c r="T764" s="347"/>
    </row>
    <row r="765" spans="1:20" ht="12" customHeight="1" x14ac:dyDescent="0.3">
      <c r="A765" s="340" t="s">
        <v>291</v>
      </c>
      <c r="B765" s="341">
        <v>41</v>
      </c>
      <c r="C765" s="309">
        <v>46038</v>
      </c>
      <c r="D765" s="310" t="s">
        <v>487</v>
      </c>
      <c r="E765" s="342"/>
      <c r="F765" s="342">
        <v>800</v>
      </c>
      <c r="G765" s="344">
        <f t="shared" si="5"/>
        <v>4766.22</v>
      </c>
      <c r="H765" s="345" t="s">
        <v>298</v>
      </c>
      <c r="I765" s="346"/>
      <c r="J765" s="347"/>
      <c r="K765" s="312"/>
      <c r="L765" s="347"/>
      <c r="M765" s="312"/>
      <c r="N765" s="347"/>
      <c r="O765" s="312"/>
      <c r="P765" s="347"/>
      <c r="Q765" s="312"/>
      <c r="R765" s="347"/>
      <c r="S765" s="312"/>
      <c r="T765" s="347"/>
    </row>
    <row r="766" spans="1:20" ht="12" customHeight="1" x14ac:dyDescent="0.3">
      <c r="A766" s="340" t="s">
        <v>294</v>
      </c>
      <c r="B766" s="341">
        <v>18</v>
      </c>
      <c r="C766" s="309">
        <v>46038</v>
      </c>
      <c r="D766" s="310" t="s">
        <v>365</v>
      </c>
      <c r="E766" s="342">
        <v>400</v>
      </c>
      <c r="F766" s="342"/>
      <c r="G766" s="344">
        <f t="shared" si="5"/>
        <v>3966.2200000000003</v>
      </c>
      <c r="H766" s="345"/>
      <c r="I766" s="346"/>
      <c r="J766" s="347"/>
      <c r="K766" s="312"/>
      <c r="L766" s="347"/>
      <c r="M766" s="312"/>
      <c r="N766" s="347"/>
      <c r="O766" s="312"/>
      <c r="P766" s="347"/>
      <c r="Q766" s="312"/>
      <c r="R766" s="347"/>
      <c r="S766" s="312"/>
      <c r="T766" s="347"/>
    </row>
    <row r="767" spans="1:20" ht="12" customHeight="1" x14ac:dyDescent="0.3">
      <c r="A767" s="340" t="s">
        <v>294</v>
      </c>
      <c r="B767" s="341">
        <v>19</v>
      </c>
      <c r="C767" s="309">
        <v>46038</v>
      </c>
      <c r="D767" s="310" t="s">
        <v>191</v>
      </c>
      <c r="E767" s="342">
        <v>200</v>
      </c>
      <c r="F767" s="342"/>
      <c r="G767" s="344">
        <f t="shared" si="5"/>
        <v>4366.22</v>
      </c>
      <c r="H767" s="345"/>
      <c r="I767" s="346"/>
      <c r="J767" s="347"/>
      <c r="K767" s="312"/>
      <c r="L767" s="347"/>
      <c r="M767" s="312"/>
      <c r="N767" s="347"/>
      <c r="O767" s="312"/>
      <c r="P767" s="347"/>
      <c r="Q767" s="312"/>
      <c r="R767" s="347"/>
      <c r="S767" s="312"/>
      <c r="T767" s="347"/>
    </row>
    <row r="768" spans="1:20" ht="12" customHeight="1" x14ac:dyDescent="0.3">
      <c r="A768" s="340" t="s">
        <v>294</v>
      </c>
      <c r="B768" s="341">
        <v>11</v>
      </c>
      <c r="C768" s="309">
        <v>46038</v>
      </c>
      <c r="D768" s="310" t="s">
        <v>178</v>
      </c>
      <c r="E768" s="342">
        <v>267.95999999999998</v>
      </c>
      <c r="F768" s="342"/>
      <c r="G768" s="344">
        <f t="shared" si="5"/>
        <v>4566.22</v>
      </c>
      <c r="H768" s="345"/>
      <c r="I768" s="346"/>
      <c r="J768" s="347"/>
      <c r="K768" s="312"/>
      <c r="L768" s="347"/>
      <c r="M768" s="312"/>
      <c r="N768" s="347"/>
      <c r="O768" s="312"/>
      <c r="P768" s="347"/>
      <c r="Q768" s="312"/>
      <c r="R768" s="347"/>
      <c r="S768" s="312"/>
      <c r="T768" s="347"/>
    </row>
    <row r="769" spans="1:20" ht="12" customHeight="1" x14ac:dyDescent="0.3">
      <c r="A769" s="340" t="s">
        <v>289</v>
      </c>
      <c r="B769" s="341">
        <v>8</v>
      </c>
      <c r="C769" s="309">
        <v>46037</v>
      </c>
      <c r="D769" s="310" t="s">
        <v>361</v>
      </c>
      <c r="E769" s="342">
        <v>59.95</v>
      </c>
      <c r="F769" s="342"/>
      <c r="G769" s="344">
        <f t="shared" si="5"/>
        <v>4834.18</v>
      </c>
      <c r="H769" s="345"/>
      <c r="I769" s="346"/>
      <c r="J769" s="347"/>
      <c r="K769" s="312"/>
      <c r="L769" s="347"/>
      <c r="M769" s="312"/>
      <c r="N769" s="347"/>
      <c r="O769" s="312"/>
      <c r="P769" s="347"/>
      <c r="Q769" s="312"/>
      <c r="R769" s="347"/>
      <c r="S769" s="312"/>
      <c r="T769" s="347"/>
    </row>
    <row r="770" spans="1:20" ht="12" customHeight="1" x14ac:dyDescent="0.3">
      <c r="A770" s="340" t="s">
        <v>289</v>
      </c>
      <c r="B770" s="341">
        <v>2</v>
      </c>
      <c r="C770" s="309">
        <v>46037</v>
      </c>
      <c r="D770" s="310" t="s">
        <v>361</v>
      </c>
      <c r="E770" s="342">
        <v>59.96</v>
      </c>
      <c r="F770" s="342"/>
      <c r="G770" s="344">
        <f t="shared" si="5"/>
        <v>4894.13</v>
      </c>
      <c r="H770" s="345"/>
      <c r="I770" s="346"/>
      <c r="J770" s="347"/>
      <c r="K770" s="312"/>
      <c r="L770" s="347"/>
      <c r="M770" s="312"/>
      <c r="N770" s="347"/>
      <c r="O770" s="312"/>
      <c r="P770" s="347"/>
      <c r="Q770" s="312"/>
      <c r="R770" s="347"/>
      <c r="S770" s="312"/>
      <c r="T770" s="347"/>
    </row>
    <row r="771" spans="1:20" ht="12" customHeight="1" x14ac:dyDescent="0.3">
      <c r="A771" s="340" t="s">
        <v>289</v>
      </c>
      <c r="B771" s="341">
        <v>8</v>
      </c>
      <c r="C771" s="309">
        <v>46037</v>
      </c>
      <c r="D771" s="310" t="s">
        <v>321</v>
      </c>
      <c r="E771" s="342">
        <v>12.43</v>
      </c>
      <c r="F771" s="342"/>
      <c r="G771" s="344">
        <f t="shared" si="5"/>
        <v>4954.09</v>
      </c>
      <c r="H771" s="345"/>
      <c r="I771" s="346"/>
      <c r="J771" s="347"/>
      <c r="K771" s="312"/>
      <c r="L771" s="347"/>
      <c r="M771" s="312"/>
      <c r="N771" s="347"/>
      <c r="O771" s="312"/>
      <c r="P771" s="347"/>
      <c r="Q771" s="312"/>
      <c r="R771" s="347"/>
      <c r="S771" s="312"/>
      <c r="T771" s="347"/>
    </row>
    <row r="772" spans="1:20" ht="12" customHeight="1" x14ac:dyDescent="0.3">
      <c r="A772" s="340" t="s">
        <v>289</v>
      </c>
      <c r="B772" s="341">
        <v>2</v>
      </c>
      <c r="C772" s="309">
        <v>46037</v>
      </c>
      <c r="D772" s="310" t="s">
        <v>296</v>
      </c>
      <c r="E772" s="342">
        <v>11.07</v>
      </c>
      <c r="F772" s="342"/>
      <c r="G772" s="344">
        <f t="shared" si="5"/>
        <v>4966.5200000000004</v>
      </c>
      <c r="H772" s="345"/>
      <c r="I772" s="346"/>
      <c r="J772" s="347"/>
      <c r="K772" s="312"/>
      <c r="L772" s="347"/>
      <c r="M772" s="312"/>
      <c r="N772" s="347"/>
      <c r="O772" s="312"/>
      <c r="P772" s="347"/>
      <c r="Q772" s="312"/>
      <c r="R772" s="347"/>
      <c r="S772" s="312"/>
      <c r="T772" s="347"/>
    </row>
    <row r="773" spans="1:20" ht="12" customHeight="1" x14ac:dyDescent="0.3">
      <c r="A773" s="340" t="s">
        <v>289</v>
      </c>
      <c r="B773" s="341">
        <v>4</v>
      </c>
      <c r="C773" s="309">
        <v>46037</v>
      </c>
      <c r="D773" s="310" t="s">
        <v>296</v>
      </c>
      <c r="E773" s="342">
        <v>52.3</v>
      </c>
      <c r="F773" s="342"/>
      <c r="G773" s="344">
        <f t="shared" si="5"/>
        <v>4977.59</v>
      </c>
      <c r="H773" s="345"/>
      <c r="I773" s="346"/>
      <c r="J773" s="347"/>
      <c r="K773" s="312"/>
      <c r="L773" s="347"/>
      <c r="M773" s="312"/>
      <c r="N773" s="347"/>
      <c r="O773" s="312"/>
      <c r="P773" s="347"/>
      <c r="Q773" s="312"/>
      <c r="R773" s="347"/>
      <c r="S773" s="312"/>
      <c r="T773" s="347"/>
    </row>
    <row r="774" spans="1:20" ht="12" customHeight="1" x14ac:dyDescent="0.3">
      <c r="A774" s="340" t="s">
        <v>289</v>
      </c>
      <c r="B774" s="341">
        <v>6</v>
      </c>
      <c r="C774" s="309">
        <v>46037</v>
      </c>
      <c r="D774" s="310" t="s">
        <v>444</v>
      </c>
      <c r="E774" s="342">
        <v>50</v>
      </c>
      <c r="F774" s="342"/>
      <c r="G774" s="344">
        <f t="shared" si="5"/>
        <v>5029.8900000000003</v>
      </c>
      <c r="H774" s="345"/>
      <c r="I774" s="346"/>
      <c r="J774" s="347"/>
      <c r="K774" s="312"/>
      <c r="L774" s="347"/>
      <c r="M774" s="312"/>
      <c r="N774" s="347"/>
      <c r="O774" s="312"/>
      <c r="P774" s="347"/>
      <c r="Q774" s="312"/>
      <c r="R774" s="347"/>
      <c r="S774" s="312"/>
      <c r="T774" s="347"/>
    </row>
    <row r="775" spans="1:20" ht="12" customHeight="1" x14ac:dyDescent="0.3">
      <c r="A775" s="340" t="s">
        <v>291</v>
      </c>
      <c r="B775" s="341">
        <v>38</v>
      </c>
      <c r="C775" s="309">
        <v>46037</v>
      </c>
      <c r="D775" s="310" t="s">
        <v>293</v>
      </c>
      <c r="E775" s="342"/>
      <c r="F775" s="342">
        <v>4365.67</v>
      </c>
      <c r="G775" s="344">
        <f t="shared" si="5"/>
        <v>5079.8900000000003</v>
      </c>
      <c r="H775" s="345"/>
      <c r="I775" s="346"/>
      <c r="J775" s="347"/>
      <c r="K775" s="312"/>
      <c r="L775" s="347"/>
      <c r="M775" s="312"/>
      <c r="N775" s="347"/>
      <c r="O775" s="312"/>
      <c r="P775" s="347"/>
      <c r="Q775" s="312"/>
      <c r="R775" s="347"/>
      <c r="S775" s="312"/>
      <c r="T775" s="347"/>
    </row>
    <row r="776" spans="1:20" ht="12" customHeight="1" x14ac:dyDescent="0.3">
      <c r="A776" s="340" t="s">
        <v>289</v>
      </c>
      <c r="B776" s="341">
        <v>4</v>
      </c>
      <c r="C776" s="309">
        <v>46036</v>
      </c>
      <c r="D776" s="310" t="s">
        <v>295</v>
      </c>
      <c r="E776" s="342">
        <v>30.91</v>
      </c>
      <c r="F776" s="342"/>
      <c r="G776" s="344">
        <f t="shared" si="5"/>
        <v>714.22</v>
      </c>
      <c r="H776" s="345"/>
      <c r="I776" s="346"/>
      <c r="J776" s="347"/>
      <c r="K776" s="312"/>
      <c r="L776" s="347"/>
      <c r="M776" s="312"/>
      <c r="N776" s="347"/>
      <c r="O776" s="312"/>
      <c r="P776" s="347"/>
      <c r="Q776" s="312"/>
      <c r="R776" s="347"/>
      <c r="S776" s="312"/>
      <c r="T776" s="347"/>
    </row>
    <row r="777" spans="1:20" ht="12" customHeight="1" x14ac:dyDescent="0.3">
      <c r="A777" s="340" t="s">
        <v>289</v>
      </c>
      <c r="B777" s="341">
        <v>3</v>
      </c>
      <c r="C777" s="309">
        <v>46036</v>
      </c>
      <c r="D777" s="310" t="s">
        <v>352</v>
      </c>
      <c r="E777" s="342">
        <v>8.67</v>
      </c>
      <c r="F777" s="342"/>
      <c r="G777" s="344">
        <f t="shared" si="5"/>
        <v>745.13</v>
      </c>
      <c r="H777" s="345"/>
      <c r="I777" s="346"/>
      <c r="J777" s="347"/>
      <c r="K777" s="312"/>
      <c r="L777" s="347"/>
      <c r="M777" s="312"/>
      <c r="N777" s="347"/>
      <c r="O777" s="312"/>
      <c r="P777" s="347"/>
      <c r="Q777" s="312"/>
      <c r="R777" s="347"/>
      <c r="S777" s="312"/>
      <c r="T777" s="347"/>
    </row>
    <row r="778" spans="1:20" ht="12" customHeight="1" x14ac:dyDescent="0.3">
      <c r="A778" s="340" t="s">
        <v>289</v>
      </c>
      <c r="B778" s="341">
        <v>3</v>
      </c>
      <c r="C778" s="309">
        <v>46035</v>
      </c>
      <c r="D778" s="310" t="s">
        <v>355</v>
      </c>
      <c r="E778" s="342">
        <v>25.01</v>
      </c>
      <c r="F778" s="342"/>
      <c r="G778" s="344">
        <f t="shared" si="5"/>
        <v>753.8</v>
      </c>
      <c r="H778" s="345"/>
      <c r="I778" s="346"/>
      <c r="J778" s="347"/>
      <c r="K778" s="312"/>
      <c r="L778" s="347"/>
      <c r="M778" s="312"/>
      <c r="N778" s="347"/>
      <c r="O778" s="312"/>
      <c r="P778" s="347"/>
      <c r="Q778" s="312"/>
      <c r="R778" s="347"/>
      <c r="S778" s="312"/>
      <c r="T778" s="347"/>
    </row>
    <row r="779" spans="1:20" ht="12" customHeight="1" x14ac:dyDescent="0.3">
      <c r="A779" s="340" t="s">
        <v>289</v>
      </c>
      <c r="B779" s="341">
        <v>6</v>
      </c>
      <c r="C779" s="309">
        <v>46035</v>
      </c>
      <c r="D779" s="310" t="s">
        <v>419</v>
      </c>
      <c r="E779" s="342">
        <v>-5.9</v>
      </c>
      <c r="F779" s="342"/>
      <c r="G779" s="344">
        <f t="shared" si="5"/>
        <v>778.81</v>
      </c>
      <c r="H779" s="345"/>
      <c r="I779" s="346"/>
      <c r="J779" s="347"/>
      <c r="K779" s="312"/>
      <c r="L779" s="347"/>
      <c r="M779" s="312"/>
      <c r="N779" s="347"/>
      <c r="O779" s="312"/>
      <c r="P779" s="347"/>
      <c r="Q779" s="312"/>
      <c r="R779" s="347"/>
      <c r="S779" s="312"/>
      <c r="T779" s="347"/>
    </row>
    <row r="780" spans="1:20" ht="12" customHeight="1" x14ac:dyDescent="0.3">
      <c r="A780" s="340" t="s">
        <v>289</v>
      </c>
      <c r="B780" s="341">
        <v>6</v>
      </c>
      <c r="C780" s="309">
        <v>46035</v>
      </c>
      <c r="D780" s="310" t="s">
        <v>454</v>
      </c>
      <c r="E780" s="342">
        <v>-0.03</v>
      </c>
      <c r="F780" s="342"/>
      <c r="G780" s="344">
        <f t="shared" si="5"/>
        <v>772.91</v>
      </c>
      <c r="H780" s="345"/>
      <c r="I780" s="346"/>
      <c r="J780" s="347"/>
      <c r="K780" s="312"/>
      <c r="L780" s="347"/>
      <c r="M780" s="312"/>
      <c r="N780" s="347"/>
      <c r="O780" s="312"/>
      <c r="P780" s="347"/>
      <c r="Q780" s="312"/>
      <c r="R780" s="347"/>
      <c r="S780" s="312"/>
      <c r="T780" s="347"/>
    </row>
    <row r="781" spans="1:20" ht="12" customHeight="1" x14ac:dyDescent="0.3">
      <c r="A781" s="340" t="s">
        <v>294</v>
      </c>
      <c r="B781" s="341">
        <v>43</v>
      </c>
      <c r="C781" s="309">
        <v>46035</v>
      </c>
      <c r="D781" s="310" t="s">
        <v>201</v>
      </c>
      <c r="E781" s="342">
        <v>44.18</v>
      </c>
      <c r="F781" s="342"/>
      <c r="G781" s="344">
        <f t="shared" si="5"/>
        <v>772.88</v>
      </c>
      <c r="H781" s="345"/>
      <c r="I781" s="346"/>
      <c r="J781" s="347"/>
      <c r="K781" s="312"/>
      <c r="L781" s="347"/>
      <c r="M781" s="312"/>
      <c r="N781" s="347"/>
      <c r="O781" s="312"/>
      <c r="P781" s="347"/>
      <c r="Q781" s="312"/>
      <c r="R781" s="347"/>
      <c r="S781" s="312"/>
      <c r="T781" s="347"/>
    </row>
    <row r="782" spans="1:20" ht="12" customHeight="1" x14ac:dyDescent="0.3">
      <c r="A782" s="340" t="s">
        <v>294</v>
      </c>
      <c r="B782" s="341">
        <v>42</v>
      </c>
      <c r="C782" s="309">
        <v>46035</v>
      </c>
      <c r="D782" s="310" t="s">
        <v>200</v>
      </c>
      <c r="E782" s="342">
        <v>51.19</v>
      </c>
      <c r="F782" s="342"/>
      <c r="G782" s="344">
        <f t="shared" si="5"/>
        <v>817.06</v>
      </c>
      <c r="H782" s="345"/>
      <c r="I782" s="346"/>
      <c r="J782" s="347"/>
      <c r="K782" s="312"/>
      <c r="L782" s="347"/>
      <c r="M782" s="312"/>
      <c r="N782" s="347"/>
      <c r="O782" s="312"/>
      <c r="P782" s="347"/>
      <c r="Q782" s="312"/>
      <c r="R782" s="347"/>
      <c r="S782" s="312"/>
      <c r="T782" s="347"/>
    </row>
    <row r="783" spans="1:20" ht="12" customHeight="1" x14ac:dyDescent="0.3">
      <c r="A783" s="340" t="s">
        <v>289</v>
      </c>
      <c r="B783" s="341">
        <v>4</v>
      </c>
      <c r="C783" s="309">
        <v>46035</v>
      </c>
      <c r="D783" s="310" t="s">
        <v>295</v>
      </c>
      <c r="E783" s="342">
        <v>28.15</v>
      </c>
      <c r="F783" s="342"/>
      <c r="G783" s="344">
        <f t="shared" si="5"/>
        <v>868.25</v>
      </c>
      <c r="H783" s="345"/>
      <c r="I783" s="346"/>
      <c r="J783" s="347"/>
      <c r="K783" s="312"/>
      <c r="L783" s="347"/>
      <c r="M783" s="312"/>
      <c r="N783" s="347"/>
      <c r="O783" s="312"/>
      <c r="P783" s="347"/>
      <c r="Q783" s="312"/>
      <c r="R783" s="347"/>
      <c r="S783" s="312"/>
      <c r="T783" s="347"/>
    </row>
    <row r="784" spans="1:20" ht="12" customHeight="1" x14ac:dyDescent="0.3">
      <c r="A784" s="340" t="s">
        <v>289</v>
      </c>
      <c r="B784" s="341">
        <v>3</v>
      </c>
      <c r="C784" s="309">
        <v>46035</v>
      </c>
      <c r="D784" s="310" t="s">
        <v>296</v>
      </c>
      <c r="E784" s="342">
        <v>20.85</v>
      </c>
      <c r="F784" s="342"/>
      <c r="G784" s="344">
        <f t="shared" si="5"/>
        <v>896.4</v>
      </c>
      <c r="H784" s="345"/>
      <c r="I784" s="346"/>
      <c r="J784" s="347"/>
      <c r="K784" s="312"/>
      <c r="L784" s="347"/>
      <c r="M784" s="312"/>
      <c r="N784" s="347"/>
      <c r="O784" s="312"/>
      <c r="P784" s="347"/>
      <c r="Q784" s="312"/>
      <c r="R784" s="347"/>
      <c r="S784" s="312"/>
      <c r="T784" s="347"/>
    </row>
    <row r="785" spans="1:20" ht="12" customHeight="1" x14ac:dyDescent="0.3">
      <c r="A785" s="340" t="s">
        <v>289</v>
      </c>
      <c r="B785" s="341">
        <v>1</v>
      </c>
      <c r="C785" s="309">
        <v>46034</v>
      </c>
      <c r="D785" s="310" t="s">
        <v>307</v>
      </c>
      <c r="E785" s="342">
        <v>145.81</v>
      </c>
      <c r="F785" s="342"/>
      <c r="G785" s="344">
        <f t="shared" si="5"/>
        <v>917.25</v>
      </c>
      <c r="H785" s="345"/>
      <c r="I785" s="346"/>
      <c r="J785" s="347"/>
      <c r="K785" s="312"/>
      <c r="L785" s="347"/>
      <c r="M785" s="312"/>
      <c r="N785" s="347"/>
      <c r="O785" s="312"/>
      <c r="P785" s="347"/>
      <c r="Q785" s="312"/>
      <c r="R785" s="347"/>
      <c r="S785" s="312"/>
      <c r="T785" s="347"/>
    </row>
    <row r="786" spans="1:20" ht="12" customHeight="1" x14ac:dyDescent="0.3">
      <c r="A786" s="340" t="s">
        <v>289</v>
      </c>
      <c r="B786" s="341">
        <v>2</v>
      </c>
      <c r="C786" s="309">
        <v>46034</v>
      </c>
      <c r="D786" s="310" t="s">
        <v>431</v>
      </c>
      <c r="E786" s="342">
        <v>25.22</v>
      </c>
      <c r="F786" s="342"/>
      <c r="G786" s="344">
        <f t="shared" si="5"/>
        <v>1063.06</v>
      </c>
      <c r="H786" s="345"/>
      <c r="I786" s="346"/>
      <c r="J786" s="347"/>
      <c r="K786" s="312"/>
      <c r="L786" s="347"/>
      <c r="M786" s="312"/>
      <c r="N786" s="347"/>
      <c r="O786" s="312"/>
      <c r="P786" s="347"/>
      <c r="Q786" s="312"/>
      <c r="R786" s="347"/>
      <c r="S786" s="312"/>
      <c r="T786" s="347"/>
    </row>
    <row r="787" spans="1:20" ht="12" customHeight="1" x14ac:dyDescent="0.3">
      <c r="A787" s="340" t="s">
        <v>289</v>
      </c>
      <c r="B787" s="341">
        <v>2</v>
      </c>
      <c r="C787" s="309">
        <v>46033</v>
      </c>
      <c r="D787" s="310" t="s">
        <v>329</v>
      </c>
      <c r="E787" s="342">
        <v>49.38</v>
      </c>
      <c r="F787" s="342"/>
      <c r="G787" s="344">
        <f t="shared" si="5"/>
        <v>1088.28</v>
      </c>
      <c r="H787" s="345"/>
      <c r="I787" s="346"/>
      <c r="J787" s="347"/>
      <c r="K787" s="312"/>
      <c r="L787" s="347"/>
      <c r="M787" s="312"/>
      <c r="N787" s="347"/>
      <c r="O787" s="312"/>
      <c r="P787" s="347"/>
      <c r="Q787" s="312"/>
      <c r="R787" s="347"/>
      <c r="S787" s="312"/>
      <c r="T787" s="347"/>
    </row>
    <row r="788" spans="1:20" ht="12" customHeight="1" x14ac:dyDescent="0.3">
      <c r="A788" s="340" t="s">
        <v>294</v>
      </c>
      <c r="B788" s="341">
        <v>22</v>
      </c>
      <c r="C788" s="309">
        <v>46033</v>
      </c>
      <c r="D788" s="310" t="s">
        <v>356</v>
      </c>
      <c r="E788" s="342">
        <v>19.16</v>
      </c>
      <c r="F788" s="342"/>
      <c r="G788" s="344">
        <f t="shared" si="5"/>
        <v>1137.6600000000001</v>
      </c>
      <c r="H788" s="345"/>
      <c r="I788" s="346"/>
      <c r="J788" s="347"/>
      <c r="K788" s="312"/>
      <c r="L788" s="347"/>
      <c r="M788" s="312"/>
      <c r="N788" s="347"/>
      <c r="O788" s="312"/>
      <c r="P788" s="347"/>
      <c r="Q788" s="312"/>
      <c r="R788" s="347"/>
      <c r="S788" s="312"/>
      <c r="T788" s="347"/>
    </row>
    <row r="789" spans="1:20" ht="12" customHeight="1" x14ac:dyDescent="0.3">
      <c r="A789" s="340" t="s">
        <v>289</v>
      </c>
      <c r="B789" s="341">
        <v>6</v>
      </c>
      <c r="C789" s="309">
        <v>46033</v>
      </c>
      <c r="D789" s="310" t="s">
        <v>313</v>
      </c>
      <c r="E789" s="342">
        <v>39.86</v>
      </c>
      <c r="F789" s="342"/>
      <c r="G789" s="344">
        <f t="shared" si="5"/>
        <v>1156.8200000000002</v>
      </c>
      <c r="H789" s="345"/>
      <c r="I789" s="346"/>
      <c r="J789" s="347"/>
      <c r="K789" s="312"/>
      <c r="L789" s="347"/>
      <c r="M789" s="312"/>
      <c r="N789" s="347"/>
      <c r="O789" s="312"/>
      <c r="P789" s="347"/>
      <c r="Q789" s="312"/>
      <c r="R789" s="347"/>
      <c r="S789" s="312"/>
      <c r="T789" s="347"/>
    </row>
    <row r="790" spans="1:20" ht="12" customHeight="1" x14ac:dyDescent="0.3">
      <c r="A790" s="340" t="s">
        <v>289</v>
      </c>
      <c r="B790" s="341">
        <v>7</v>
      </c>
      <c r="C790" s="309">
        <v>46033</v>
      </c>
      <c r="D790" s="310" t="s">
        <v>452</v>
      </c>
      <c r="E790" s="342">
        <v>165.05</v>
      </c>
      <c r="F790" s="342"/>
      <c r="G790" s="344">
        <f t="shared" si="5"/>
        <v>1196.68</v>
      </c>
      <c r="H790" s="345"/>
      <c r="I790" s="346"/>
      <c r="J790" s="347"/>
      <c r="K790" s="312"/>
      <c r="L790" s="347"/>
      <c r="M790" s="312"/>
      <c r="N790" s="347"/>
      <c r="O790" s="312"/>
      <c r="P790" s="347"/>
      <c r="Q790" s="312"/>
      <c r="R790" s="347"/>
      <c r="S790" s="312"/>
      <c r="T790" s="347"/>
    </row>
    <row r="791" spans="1:20" ht="12" customHeight="1" x14ac:dyDescent="0.3">
      <c r="A791" s="340" t="s">
        <v>294</v>
      </c>
      <c r="B791" s="341">
        <v>24</v>
      </c>
      <c r="C791" s="309">
        <v>46032</v>
      </c>
      <c r="D791" s="310" t="s">
        <v>437</v>
      </c>
      <c r="E791" s="342">
        <v>83.42</v>
      </c>
      <c r="F791" s="342"/>
      <c r="G791" s="344">
        <f t="shared" si="5"/>
        <v>1361.73</v>
      </c>
      <c r="H791" s="345"/>
      <c r="I791" s="346"/>
      <c r="J791" s="347"/>
      <c r="K791" s="312"/>
      <c r="L791" s="347"/>
      <c r="M791" s="312"/>
      <c r="N791" s="347"/>
      <c r="O791" s="312"/>
      <c r="P791" s="347"/>
      <c r="Q791" s="312"/>
      <c r="R791" s="347"/>
      <c r="S791" s="312"/>
      <c r="T791" s="347"/>
    </row>
    <row r="792" spans="1:20" ht="12" customHeight="1" x14ac:dyDescent="0.3">
      <c r="A792" s="340" t="s">
        <v>289</v>
      </c>
      <c r="B792" s="341">
        <v>4</v>
      </c>
      <c r="C792" s="309">
        <v>46032</v>
      </c>
      <c r="D792" s="310" t="s">
        <v>296</v>
      </c>
      <c r="E792" s="342">
        <v>30.4</v>
      </c>
      <c r="F792" s="342"/>
      <c r="G792" s="344">
        <f t="shared" si="5"/>
        <v>1445.15</v>
      </c>
      <c r="H792" s="345"/>
      <c r="I792" s="346"/>
      <c r="J792" s="347"/>
      <c r="K792" s="312"/>
      <c r="L792" s="347"/>
      <c r="M792" s="312"/>
      <c r="N792" s="347"/>
      <c r="O792" s="312"/>
      <c r="P792" s="347"/>
      <c r="Q792" s="312"/>
      <c r="R792" s="347"/>
      <c r="S792" s="312"/>
      <c r="T792" s="347"/>
    </row>
    <row r="793" spans="1:20" ht="12" customHeight="1" x14ac:dyDescent="0.3">
      <c r="A793" s="340" t="s">
        <v>289</v>
      </c>
      <c r="B793" s="341">
        <v>2</v>
      </c>
      <c r="C793" s="309">
        <v>46032</v>
      </c>
      <c r="D793" s="310" t="s">
        <v>296</v>
      </c>
      <c r="E793" s="342">
        <v>13.83</v>
      </c>
      <c r="F793" s="342"/>
      <c r="G793" s="344">
        <f t="shared" si="5"/>
        <v>1475.5500000000002</v>
      </c>
      <c r="H793" s="345"/>
      <c r="I793" s="346"/>
      <c r="J793" s="347"/>
      <c r="K793" s="312"/>
      <c r="L793" s="347"/>
      <c r="M793" s="312"/>
      <c r="N793" s="347"/>
      <c r="O793" s="312"/>
      <c r="P793" s="347"/>
      <c r="Q793" s="312"/>
      <c r="R793" s="347"/>
      <c r="S793" s="312"/>
      <c r="T793" s="347"/>
    </row>
    <row r="794" spans="1:20" ht="12" customHeight="1" x14ac:dyDescent="0.3">
      <c r="A794" s="340" t="s">
        <v>289</v>
      </c>
      <c r="B794" s="341">
        <v>2</v>
      </c>
      <c r="C794" s="309">
        <v>46032</v>
      </c>
      <c r="D794" s="310" t="s">
        <v>486</v>
      </c>
      <c r="E794" s="342">
        <v>100</v>
      </c>
      <c r="F794" s="342"/>
      <c r="G794" s="344">
        <f t="shared" si="5"/>
        <v>1489.38</v>
      </c>
      <c r="H794" s="345"/>
      <c r="I794" s="346"/>
      <c r="J794" s="347"/>
      <c r="K794" s="312"/>
      <c r="L794" s="347"/>
      <c r="M794" s="312"/>
      <c r="N794" s="347"/>
      <c r="O794" s="312"/>
      <c r="P794" s="347"/>
      <c r="Q794" s="312"/>
      <c r="R794" s="347"/>
      <c r="S794" s="312"/>
      <c r="T794" s="347"/>
    </row>
    <row r="795" spans="1:20" ht="12" customHeight="1" x14ac:dyDescent="0.3">
      <c r="A795" s="340" t="s">
        <v>289</v>
      </c>
      <c r="B795" s="341">
        <v>1</v>
      </c>
      <c r="C795" s="309">
        <v>46032</v>
      </c>
      <c r="D795" s="310" t="s">
        <v>488</v>
      </c>
      <c r="E795" s="342">
        <v>55.68</v>
      </c>
      <c r="F795" s="342"/>
      <c r="G795" s="344">
        <f t="shared" si="5"/>
        <v>1589.38</v>
      </c>
      <c r="H795" s="345"/>
      <c r="I795" s="346"/>
      <c r="J795" s="347"/>
      <c r="K795" s="312"/>
      <c r="L795" s="347"/>
      <c r="M795" s="312"/>
      <c r="N795" s="347"/>
      <c r="O795" s="312"/>
      <c r="P795" s="347"/>
      <c r="Q795" s="312"/>
      <c r="R795" s="347"/>
      <c r="S795" s="312"/>
      <c r="T795" s="347"/>
    </row>
    <row r="796" spans="1:20" ht="12" customHeight="1" x14ac:dyDescent="0.3">
      <c r="A796" s="340" t="s">
        <v>289</v>
      </c>
      <c r="B796" s="341">
        <v>2</v>
      </c>
      <c r="C796" s="309">
        <v>46031</v>
      </c>
      <c r="D796" s="310" t="s">
        <v>362</v>
      </c>
      <c r="E796" s="342">
        <v>9.4700000000000006</v>
      </c>
      <c r="F796" s="342"/>
      <c r="G796" s="344">
        <f t="shared" si="5"/>
        <v>1645.0600000000002</v>
      </c>
      <c r="H796" s="345"/>
      <c r="I796" s="346"/>
      <c r="J796" s="347"/>
      <c r="K796" s="312"/>
      <c r="L796" s="347"/>
      <c r="M796" s="312"/>
      <c r="N796" s="347"/>
      <c r="O796" s="312"/>
      <c r="P796" s="347"/>
      <c r="Q796" s="312"/>
      <c r="R796" s="347"/>
      <c r="S796" s="312"/>
      <c r="T796" s="347"/>
    </row>
    <row r="797" spans="1:20" ht="12" customHeight="1" x14ac:dyDescent="0.3">
      <c r="A797" s="340" t="s">
        <v>289</v>
      </c>
      <c r="B797" s="341">
        <v>5</v>
      </c>
      <c r="C797" s="309">
        <v>46031</v>
      </c>
      <c r="D797" s="310" t="s">
        <v>489</v>
      </c>
      <c r="E797" s="342">
        <v>50</v>
      </c>
      <c r="F797" s="342"/>
      <c r="G797" s="344">
        <f t="shared" si="5"/>
        <v>1654.5300000000002</v>
      </c>
      <c r="H797" s="345"/>
      <c r="I797" s="346"/>
      <c r="J797" s="347"/>
      <c r="K797" s="312"/>
      <c r="L797" s="347"/>
      <c r="M797" s="312"/>
      <c r="N797" s="347"/>
      <c r="O797" s="312"/>
      <c r="P797" s="347"/>
      <c r="Q797" s="312"/>
      <c r="R797" s="347"/>
      <c r="S797" s="312"/>
      <c r="T797" s="347"/>
    </row>
    <row r="798" spans="1:20" ht="12" customHeight="1" x14ac:dyDescent="0.3">
      <c r="A798" s="340" t="s">
        <v>289</v>
      </c>
      <c r="B798" s="341">
        <v>8</v>
      </c>
      <c r="C798" s="309">
        <v>46030</v>
      </c>
      <c r="D798" s="310" t="s">
        <v>490</v>
      </c>
      <c r="E798" s="342">
        <v>32.619999999999997</v>
      </c>
      <c r="F798" s="342"/>
      <c r="G798" s="344">
        <f t="shared" si="5"/>
        <v>1704.5300000000002</v>
      </c>
      <c r="H798" s="345"/>
      <c r="I798" s="346"/>
      <c r="J798" s="347"/>
      <c r="K798" s="312"/>
      <c r="L798" s="347"/>
      <c r="M798" s="312"/>
      <c r="N798" s="347"/>
      <c r="O798" s="312"/>
      <c r="P798" s="347"/>
      <c r="Q798" s="312"/>
      <c r="R798" s="347"/>
      <c r="S798" s="312"/>
      <c r="T798" s="347"/>
    </row>
    <row r="799" spans="1:20" ht="12" customHeight="1" x14ac:dyDescent="0.3">
      <c r="A799" s="340" t="s">
        <v>291</v>
      </c>
      <c r="B799" s="341">
        <v>39</v>
      </c>
      <c r="C799" s="309">
        <v>46030</v>
      </c>
      <c r="D799" s="310" t="s">
        <v>292</v>
      </c>
      <c r="E799" s="342"/>
      <c r="F799" s="342">
        <v>2729.22</v>
      </c>
      <c r="G799" s="344">
        <f t="shared" si="5"/>
        <v>1737.15</v>
      </c>
      <c r="H799" s="345"/>
      <c r="I799" s="346"/>
      <c r="J799" s="347"/>
      <c r="K799" s="312"/>
      <c r="L799" s="347"/>
      <c r="M799" s="312"/>
      <c r="N799" s="347"/>
      <c r="O799" s="312"/>
      <c r="P799" s="347"/>
      <c r="Q799" s="312"/>
      <c r="R799" s="347"/>
      <c r="S799" s="312"/>
      <c r="T799" s="347"/>
    </row>
    <row r="800" spans="1:20" ht="12" customHeight="1" x14ac:dyDescent="0.3">
      <c r="A800" s="340" t="s">
        <v>289</v>
      </c>
      <c r="B800" s="341">
        <v>2</v>
      </c>
      <c r="C800" s="309">
        <v>46030</v>
      </c>
      <c r="D800" s="310" t="s">
        <v>296</v>
      </c>
      <c r="E800" s="342">
        <v>6.37</v>
      </c>
      <c r="F800" s="342"/>
      <c r="G800" s="344">
        <f t="shared" si="5"/>
        <v>-992.06999999999971</v>
      </c>
      <c r="H800" s="345"/>
      <c r="I800" s="346"/>
      <c r="J800" s="347"/>
      <c r="K800" s="312"/>
      <c r="L800" s="347"/>
      <c r="M800" s="312"/>
      <c r="N800" s="347"/>
      <c r="O800" s="312"/>
      <c r="P800" s="347"/>
      <c r="Q800" s="312"/>
      <c r="R800" s="347"/>
      <c r="S800" s="312"/>
      <c r="T800" s="347"/>
    </row>
    <row r="801" spans="1:20" ht="12" customHeight="1" x14ac:dyDescent="0.3">
      <c r="A801" s="340" t="s">
        <v>289</v>
      </c>
      <c r="B801" s="341">
        <v>4</v>
      </c>
      <c r="C801" s="309">
        <v>46030</v>
      </c>
      <c r="D801" s="310" t="s">
        <v>296</v>
      </c>
      <c r="E801" s="342">
        <v>32.119999999999997</v>
      </c>
      <c r="F801" s="342"/>
      <c r="G801" s="344">
        <f t="shared" si="5"/>
        <v>-985.6999999999997</v>
      </c>
      <c r="H801" s="345"/>
      <c r="I801" s="346"/>
      <c r="J801" s="347"/>
      <c r="K801" s="312"/>
      <c r="L801" s="347"/>
      <c r="M801" s="312"/>
      <c r="N801" s="347"/>
      <c r="O801" s="312"/>
      <c r="P801" s="347"/>
      <c r="Q801" s="312"/>
      <c r="R801" s="347"/>
      <c r="S801" s="312"/>
      <c r="T801" s="347"/>
    </row>
    <row r="802" spans="1:20" ht="12" customHeight="1" x14ac:dyDescent="0.3">
      <c r="A802" s="340" t="s">
        <v>289</v>
      </c>
      <c r="B802" s="341">
        <v>2</v>
      </c>
      <c r="C802" s="309">
        <v>46030</v>
      </c>
      <c r="D802" s="310" t="s">
        <v>362</v>
      </c>
      <c r="E802" s="342">
        <v>9.4700000000000006</v>
      </c>
      <c r="F802" s="342"/>
      <c r="G802" s="344">
        <f t="shared" si="5"/>
        <v>-953.5799999999997</v>
      </c>
      <c r="H802" s="345"/>
      <c r="I802" s="346"/>
      <c r="J802" s="347"/>
      <c r="K802" s="312"/>
      <c r="L802" s="347"/>
      <c r="M802" s="312"/>
      <c r="N802" s="347"/>
      <c r="O802" s="312"/>
      <c r="P802" s="347"/>
      <c r="Q802" s="312"/>
      <c r="R802" s="347"/>
      <c r="S802" s="312"/>
      <c r="T802" s="347"/>
    </row>
    <row r="803" spans="1:20" ht="12" customHeight="1" x14ac:dyDescent="0.3">
      <c r="A803" s="340" t="s">
        <v>289</v>
      </c>
      <c r="B803" s="341">
        <v>2</v>
      </c>
      <c r="C803" s="309">
        <v>46030</v>
      </c>
      <c r="D803" s="310" t="s">
        <v>390</v>
      </c>
      <c r="E803" s="342">
        <v>21.18</v>
      </c>
      <c r="F803" s="342"/>
      <c r="G803" s="344">
        <f t="shared" si="5"/>
        <v>-944.10999999999967</v>
      </c>
      <c r="H803" s="345"/>
      <c r="I803" s="346"/>
      <c r="J803" s="347"/>
      <c r="K803" s="312"/>
      <c r="L803" s="347"/>
      <c r="M803" s="312"/>
      <c r="N803" s="347"/>
      <c r="O803" s="312"/>
      <c r="P803" s="347"/>
      <c r="Q803" s="312"/>
      <c r="R803" s="347"/>
      <c r="S803" s="312"/>
      <c r="T803" s="347"/>
    </row>
    <row r="804" spans="1:20" ht="12" customHeight="1" x14ac:dyDescent="0.3">
      <c r="A804" s="340" t="s">
        <v>339</v>
      </c>
      <c r="B804" s="341" t="s">
        <v>339</v>
      </c>
      <c r="C804" s="309">
        <v>46029</v>
      </c>
      <c r="D804" s="310" t="s">
        <v>455</v>
      </c>
      <c r="E804" s="342">
        <v>52.66</v>
      </c>
      <c r="F804" s="342"/>
      <c r="G804" s="344">
        <f t="shared" si="5"/>
        <v>-922.92999999999972</v>
      </c>
      <c r="H804" s="345"/>
      <c r="I804" s="346"/>
      <c r="J804" s="347"/>
      <c r="K804" s="312"/>
      <c r="L804" s="347"/>
      <c r="M804" s="312"/>
      <c r="N804" s="347"/>
      <c r="O804" s="312"/>
      <c r="P804" s="347"/>
      <c r="Q804" s="312"/>
      <c r="R804" s="347"/>
      <c r="S804" s="312"/>
      <c r="T804" s="347"/>
    </row>
    <row r="805" spans="1:20" ht="12" customHeight="1" x14ac:dyDescent="0.3">
      <c r="A805" s="340" t="s">
        <v>294</v>
      </c>
      <c r="B805" s="341">
        <v>13</v>
      </c>
      <c r="C805" s="309">
        <v>46029</v>
      </c>
      <c r="D805" s="310" t="s">
        <v>182</v>
      </c>
      <c r="E805" s="342">
        <v>167.42</v>
      </c>
      <c r="F805" s="342"/>
      <c r="G805" s="344">
        <f t="shared" si="5"/>
        <v>-870.26999999999975</v>
      </c>
      <c r="H805" s="345"/>
      <c r="I805" s="346"/>
      <c r="J805" s="347"/>
      <c r="K805" s="312"/>
      <c r="L805" s="347"/>
      <c r="M805" s="312"/>
      <c r="N805" s="347"/>
      <c r="O805" s="312"/>
      <c r="P805" s="347"/>
      <c r="Q805" s="312"/>
      <c r="R805" s="347"/>
      <c r="S805" s="312"/>
      <c r="T805" s="347"/>
    </row>
    <row r="806" spans="1:20" ht="12" customHeight="1" x14ac:dyDescent="0.3">
      <c r="A806" s="340" t="s">
        <v>289</v>
      </c>
      <c r="B806" s="341">
        <v>4</v>
      </c>
      <c r="C806" s="309">
        <v>46029</v>
      </c>
      <c r="D806" s="310" t="s">
        <v>296</v>
      </c>
      <c r="E806" s="342">
        <v>30.81</v>
      </c>
      <c r="F806" s="342"/>
      <c r="G806" s="344">
        <f t="shared" si="5"/>
        <v>-702.8499999999998</v>
      </c>
      <c r="H806" s="345"/>
      <c r="I806" s="346"/>
      <c r="J806" s="347"/>
      <c r="K806" s="312"/>
      <c r="L806" s="347"/>
      <c r="M806" s="312"/>
      <c r="N806" s="347"/>
      <c r="O806" s="312"/>
      <c r="P806" s="347"/>
      <c r="Q806" s="312"/>
      <c r="R806" s="347"/>
      <c r="S806" s="312"/>
      <c r="T806" s="347"/>
    </row>
    <row r="807" spans="1:20" ht="12" customHeight="1" x14ac:dyDescent="0.3">
      <c r="A807" s="340" t="s">
        <v>289</v>
      </c>
      <c r="B807" s="341">
        <v>2</v>
      </c>
      <c r="C807" s="309">
        <v>46029</v>
      </c>
      <c r="D807" s="310" t="s">
        <v>362</v>
      </c>
      <c r="E807" s="342">
        <v>9.4700000000000006</v>
      </c>
      <c r="F807" s="342"/>
      <c r="G807" s="344">
        <f t="shared" si="5"/>
        <v>-672.03999999999985</v>
      </c>
      <c r="H807" s="345"/>
      <c r="I807" s="346"/>
      <c r="J807" s="347"/>
      <c r="K807" s="312"/>
      <c r="L807" s="347"/>
      <c r="M807" s="312"/>
      <c r="N807" s="347"/>
      <c r="O807" s="312"/>
      <c r="P807" s="347"/>
      <c r="Q807" s="312"/>
      <c r="R807" s="347"/>
      <c r="S807" s="312"/>
      <c r="T807" s="347"/>
    </row>
    <row r="808" spans="1:20" ht="12" customHeight="1" x14ac:dyDescent="0.3">
      <c r="A808" s="340" t="s">
        <v>294</v>
      </c>
      <c r="B808" s="341">
        <v>22</v>
      </c>
      <c r="C808" s="309">
        <v>46029</v>
      </c>
      <c r="D808" s="310" t="s">
        <v>491</v>
      </c>
      <c r="E808" s="342">
        <v>148.04</v>
      </c>
      <c r="F808" s="342"/>
      <c r="G808" s="344">
        <f t="shared" si="5"/>
        <v>-662.56999999999982</v>
      </c>
      <c r="H808" s="345"/>
      <c r="I808" s="346"/>
      <c r="J808" s="347"/>
      <c r="K808" s="312"/>
      <c r="L808" s="347"/>
      <c r="M808" s="312"/>
      <c r="N808" s="347"/>
      <c r="O808" s="312"/>
      <c r="P808" s="347"/>
      <c r="Q808" s="312"/>
      <c r="R808" s="347"/>
      <c r="S808" s="312"/>
      <c r="T808" s="347"/>
    </row>
    <row r="809" spans="1:20" ht="12" customHeight="1" x14ac:dyDescent="0.3">
      <c r="A809" s="340" t="s">
        <v>294</v>
      </c>
      <c r="B809" s="341">
        <v>14</v>
      </c>
      <c r="C809" s="309">
        <v>46028</v>
      </c>
      <c r="D809" s="310" t="s">
        <v>370</v>
      </c>
      <c r="E809" s="342">
        <v>66.67</v>
      </c>
      <c r="F809" s="342"/>
      <c r="G809" s="344">
        <f t="shared" si="5"/>
        <v>-514.52999999999986</v>
      </c>
      <c r="H809" s="345"/>
      <c r="I809" s="346"/>
      <c r="J809" s="347"/>
      <c r="K809" s="312"/>
      <c r="L809" s="347"/>
      <c r="M809" s="312"/>
      <c r="N809" s="347"/>
      <c r="O809" s="312"/>
      <c r="P809" s="347"/>
      <c r="Q809" s="312"/>
      <c r="R809" s="347"/>
      <c r="S809" s="312"/>
      <c r="T809" s="347"/>
    </row>
    <row r="810" spans="1:20" ht="12" customHeight="1" x14ac:dyDescent="0.3">
      <c r="A810" s="340" t="s">
        <v>289</v>
      </c>
      <c r="B810" s="341">
        <v>3</v>
      </c>
      <c r="C810" s="309">
        <v>46028</v>
      </c>
      <c r="D810" s="310" t="s">
        <v>296</v>
      </c>
      <c r="E810" s="342">
        <v>5.7</v>
      </c>
      <c r="F810" s="342"/>
      <c r="G810" s="344">
        <f t="shared" si="5"/>
        <v>-447.8599999999999</v>
      </c>
      <c r="H810" s="345"/>
      <c r="I810" s="346"/>
      <c r="J810" s="347"/>
      <c r="K810" s="312"/>
      <c r="L810" s="347"/>
      <c r="M810" s="312"/>
      <c r="N810" s="347"/>
      <c r="O810" s="312"/>
      <c r="P810" s="347"/>
      <c r="Q810" s="312"/>
      <c r="R810" s="347"/>
      <c r="S810" s="312"/>
      <c r="T810" s="347"/>
    </row>
    <row r="811" spans="1:20" ht="12" customHeight="1" x14ac:dyDescent="0.3">
      <c r="A811" s="340" t="s">
        <v>294</v>
      </c>
      <c r="B811" s="341">
        <v>21</v>
      </c>
      <c r="C811" s="309">
        <v>46028</v>
      </c>
      <c r="D811" s="310" t="s">
        <v>194</v>
      </c>
      <c r="E811" s="342">
        <v>30.59</v>
      </c>
      <c r="F811" s="342"/>
      <c r="G811" s="344">
        <f t="shared" si="5"/>
        <v>-442.15999999999991</v>
      </c>
      <c r="H811" s="345"/>
      <c r="I811" s="346"/>
      <c r="J811" s="347"/>
      <c r="K811" s="312"/>
      <c r="L811" s="347"/>
      <c r="M811" s="312"/>
      <c r="N811" s="347"/>
      <c r="O811" s="312"/>
      <c r="P811" s="347"/>
      <c r="Q811" s="312"/>
      <c r="R811" s="347"/>
      <c r="S811" s="312"/>
      <c r="T811" s="347"/>
    </row>
    <row r="812" spans="1:20" ht="12" customHeight="1" x14ac:dyDescent="0.3">
      <c r="A812" s="340" t="s">
        <v>294</v>
      </c>
      <c r="B812" s="341">
        <v>17</v>
      </c>
      <c r="C812" s="309">
        <v>46027</v>
      </c>
      <c r="D812" s="310" t="s">
        <v>374</v>
      </c>
      <c r="E812" s="342">
        <v>133.91999999999999</v>
      </c>
      <c r="F812" s="342"/>
      <c r="G812" s="344">
        <f t="shared" si="5"/>
        <v>-411.56999999999994</v>
      </c>
      <c r="H812" s="345"/>
      <c r="I812" s="346"/>
      <c r="J812" s="347"/>
      <c r="K812" s="312"/>
      <c r="L812" s="347"/>
      <c r="M812" s="312"/>
      <c r="N812" s="347"/>
      <c r="O812" s="312"/>
      <c r="P812" s="347"/>
      <c r="Q812" s="312"/>
      <c r="R812" s="347"/>
      <c r="S812" s="312"/>
      <c r="T812" s="347"/>
    </row>
    <row r="813" spans="1:20" ht="12" customHeight="1" x14ac:dyDescent="0.3">
      <c r="A813" s="340" t="s">
        <v>294</v>
      </c>
      <c r="B813" s="341">
        <v>17</v>
      </c>
      <c r="C813" s="309">
        <v>46027</v>
      </c>
      <c r="D813" s="310" t="s">
        <v>374</v>
      </c>
      <c r="E813" s="342">
        <v>62</v>
      </c>
      <c r="F813" s="342"/>
      <c r="G813" s="344">
        <f t="shared" si="5"/>
        <v>-277.64999999999992</v>
      </c>
      <c r="H813" s="345"/>
      <c r="I813" s="346"/>
      <c r="J813" s="347"/>
      <c r="K813" s="312"/>
      <c r="L813" s="347"/>
      <c r="M813" s="312"/>
      <c r="N813" s="347"/>
      <c r="O813" s="312"/>
      <c r="P813" s="347"/>
      <c r="Q813" s="312"/>
      <c r="R813" s="347"/>
      <c r="S813" s="312"/>
      <c r="T813" s="347"/>
    </row>
    <row r="814" spans="1:20" ht="12" customHeight="1" x14ac:dyDescent="0.3">
      <c r="A814" s="340" t="s">
        <v>289</v>
      </c>
      <c r="B814" s="341">
        <v>6</v>
      </c>
      <c r="C814" s="309">
        <v>46027</v>
      </c>
      <c r="D814" s="310" t="s">
        <v>300</v>
      </c>
      <c r="E814" s="342">
        <v>10.64</v>
      </c>
      <c r="F814" s="342"/>
      <c r="G814" s="344">
        <f t="shared" si="5"/>
        <v>-215.64999999999992</v>
      </c>
      <c r="H814" s="345"/>
      <c r="I814" s="346"/>
      <c r="J814" s="347"/>
      <c r="K814" s="312"/>
      <c r="L814" s="347"/>
      <c r="M814" s="312"/>
      <c r="N814" s="347"/>
      <c r="O814" s="312"/>
      <c r="P814" s="347"/>
      <c r="Q814" s="312"/>
      <c r="R814" s="347"/>
      <c r="S814" s="312"/>
      <c r="T814" s="347"/>
    </row>
    <row r="815" spans="1:20" ht="12" customHeight="1" x14ac:dyDescent="0.3">
      <c r="A815" s="340" t="s">
        <v>289</v>
      </c>
      <c r="B815" s="341">
        <v>8</v>
      </c>
      <c r="C815" s="309">
        <v>46027</v>
      </c>
      <c r="D815" s="310" t="s">
        <v>321</v>
      </c>
      <c r="E815" s="342">
        <v>17.440000000000001</v>
      </c>
      <c r="F815" s="342"/>
      <c r="G815" s="344">
        <f t="shared" si="5"/>
        <v>-205.00999999999991</v>
      </c>
      <c r="H815" s="345"/>
      <c r="I815" s="346"/>
      <c r="J815" s="347"/>
      <c r="K815" s="312"/>
      <c r="L815" s="347"/>
      <c r="M815" s="312"/>
      <c r="N815" s="347"/>
      <c r="O815" s="312"/>
      <c r="P815" s="347"/>
      <c r="Q815" s="312"/>
      <c r="R815" s="347"/>
      <c r="S815" s="312"/>
      <c r="T815" s="347"/>
    </row>
    <row r="816" spans="1:20" ht="12" customHeight="1" x14ac:dyDescent="0.3">
      <c r="A816" s="340" t="s">
        <v>289</v>
      </c>
      <c r="B816" s="341">
        <v>1</v>
      </c>
      <c r="C816" s="309">
        <v>46027</v>
      </c>
      <c r="D816" s="310" t="s">
        <v>307</v>
      </c>
      <c r="E816" s="342">
        <v>216.19</v>
      </c>
      <c r="F816" s="342"/>
      <c r="G816" s="344">
        <f t="shared" si="5"/>
        <v>-187.56999999999991</v>
      </c>
      <c r="H816" s="345"/>
      <c r="I816" s="346"/>
      <c r="J816" s="347"/>
      <c r="K816" s="312"/>
      <c r="L816" s="347"/>
      <c r="M816" s="312"/>
      <c r="N816" s="347"/>
      <c r="O816" s="312"/>
      <c r="P816" s="347"/>
      <c r="Q816" s="312"/>
      <c r="R816" s="347"/>
      <c r="S816" s="312"/>
      <c r="T816" s="347"/>
    </row>
    <row r="817" spans="1:20" ht="12" customHeight="1" x14ac:dyDescent="0.3">
      <c r="A817" s="340" t="s">
        <v>289</v>
      </c>
      <c r="B817" s="341">
        <v>2</v>
      </c>
      <c r="C817" s="309">
        <v>46027</v>
      </c>
      <c r="D817" s="310" t="s">
        <v>492</v>
      </c>
      <c r="E817" s="342">
        <v>70</v>
      </c>
      <c r="F817" s="342"/>
      <c r="G817" s="344">
        <f t="shared" si="5"/>
        <v>28.62000000000009</v>
      </c>
      <c r="H817" s="345"/>
      <c r="I817" s="346"/>
      <c r="J817" s="347"/>
      <c r="K817" s="312"/>
      <c r="L817" s="347"/>
      <c r="M817" s="312"/>
      <c r="N817" s="347"/>
      <c r="O817" s="312"/>
      <c r="P817" s="347"/>
      <c r="Q817" s="312"/>
      <c r="R817" s="347"/>
      <c r="S817" s="312"/>
      <c r="T817" s="347"/>
    </row>
    <row r="818" spans="1:20" ht="12" customHeight="1" x14ac:dyDescent="0.3">
      <c r="A818" s="340" t="s">
        <v>289</v>
      </c>
      <c r="B818" s="341">
        <v>2</v>
      </c>
      <c r="C818" s="309">
        <v>46027</v>
      </c>
      <c r="D818" s="310" t="s">
        <v>362</v>
      </c>
      <c r="E818" s="342">
        <v>14.05</v>
      </c>
      <c r="F818" s="342"/>
      <c r="G818" s="344">
        <f t="shared" si="5"/>
        <v>98.62000000000009</v>
      </c>
      <c r="H818" s="345"/>
      <c r="I818" s="346"/>
      <c r="J818" s="347"/>
      <c r="K818" s="312"/>
      <c r="L818" s="347"/>
      <c r="M818" s="312"/>
      <c r="N818" s="347"/>
      <c r="O818" s="312"/>
      <c r="P818" s="347"/>
      <c r="Q818" s="312"/>
      <c r="R818" s="347"/>
      <c r="S818" s="312"/>
      <c r="T818" s="347"/>
    </row>
    <row r="819" spans="1:20" ht="12" customHeight="1" x14ac:dyDescent="0.3">
      <c r="A819" s="340" t="s">
        <v>294</v>
      </c>
      <c r="B819" s="341">
        <v>14</v>
      </c>
      <c r="C819" s="309">
        <v>46027</v>
      </c>
      <c r="D819" s="310" t="s">
        <v>371</v>
      </c>
      <c r="E819" s="342">
        <v>68.739999999999995</v>
      </c>
      <c r="F819" s="342"/>
      <c r="G819" s="344">
        <f t="shared" si="5"/>
        <v>112.67000000000009</v>
      </c>
      <c r="H819" s="345"/>
      <c r="I819" s="346"/>
      <c r="J819" s="347"/>
      <c r="K819" s="312"/>
      <c r="L819" s="347"/>
      <c r="M819" s="312"/>
      <c r="N819" s="347"/>
      <c r="O819" s="312"/>
      <c r="P819" s="347"/>
      <c r="Q819" s="312"/>
      <c r="R819" s="347"/>
      <c r="S819" s="312"/>
      <c r="T819" s="347"/>
    </row>
    <row r="820" spans="1:20" ht="12" customHeight="1" x14ac:dyDescent="0.3">
      <c r="A820" s="340" t="s">
        <v>289</v>
      </c>
      <c r="B820" s="341">
        <v>6</v>
      </c>
      <c r="C820" s="309">
        <v>46027</v>
      </c>
      <c r="D820" s="310" t="s">
        <v>493</v>
      </c>
      <c r="E820" s="342">
        <v>120</v>
      </c>
      <c r="F820" s="342"/>
      <c r="G820" s="344">
        <f t="shared" si="5"/>
        <v>181.41000000000008</v>
      </c>
      <c r="H820" s="345"/>
      <c r="I820" s="346"/>
      <c r="J820" s="347"/>
      <c r="K820" s="312"/>
      <c r="L820" s="347"/>
      <c r="M820" s="312"/>
      <c r="N820" s="347"/>
      <c r="O820" s="312"/>
      <c r="P820" s="347"/>
      <c r="Q820" s="312"/>
      <c r="R820" s="347"/>
      <c r="S820" s="312"/>
      <c r="T820" s="347"/>
    </row>
    <row r="821" spans="1:20" ht="12" customHeight="1" x14ac:dyDescent="0.3">
      <c r="A821" s="340" t="s">
        <v>294</v>
      </c>
      <c r="B821" s="341">
        <v>9</v>
      </c>
      <c r="C821" s="309">
        <v>46027</v>
      </c>
      <c r="D821" s="310" t="s">
        <v>58</v>
      </c>
      <c r="E821" s="342">
        <v>1281.53</v>
      </c>
      <c r="F821" s="342"/>
      <c r="G821" s="344">
        <f t="shared" si="5"/>
        <v>301.41000000000008</v>
      </c>
      <c r="H821" s="345"/>
      <c r="I821" s="346"/>
      <c r="J821" s="347"/>
      <c r="K821" s="312"/>
      <c r="L821" s="347"/>
      <c r="M821" s="312"/>
      <c r="N821" s="347"/>
      <c r="O821" s="312"/>
      <c r="P821" s="347"/>
      <c r="Q821" s="312"/>
      <c r="R821" s="347"/>
      <c r="S821" s="312"/>
      <c r="T821" s="347"/>
    </row>
    <row r="822" spans="1:20" ht="12" customHeight="1" x14ac:dyDescent="0.3">
      <c r="A822" s="340" t="s">
        <v>289</v>
      </c>
      <c r="B822" s="341">
        <v>7</v>
      </c>
      <c r="C822" s="309">
        <v>46026</v>
      </c>
      <c r="D822" s="310" t="s">
        <v>342</v>
      </c>
      <c r="E822" s="342">
        <v>18.260000000000002</v>
      </c>
      <c r="F822" s="342"/>
      <c r="G822" s="344">
        <f t="shared" si="5"/>
        <v>1582.94</v>
      </c>
      <c r="H822" s="345"/>
      <c r="I822" s="346"/>
      <c r="J822" s="347"/>
      <c r="K822" s="312"/>
      <c r="L822" s="347"/>
      <c r="M822" s="312"/>
      <c r="N822" s="347"/>
      <c r="O822" s="312"/>
      <c r="P822" s="347"/>
      <c r="Q822" s="312"/>
      <c r="R822" s="347"/>
      <c r="S822" s="312"/>
      <c r="T822" s="347"/>
    </row>
    <row r="823" spans="1:20" ht="12" customHeight="1" x14ac:dyDescent="0.3">
      <c r="A823" s="340" t="s">
        <v>287</v>
      </c>
      <c r="B823" s="341" t="s">
        <v>287</v>
      </c>
      <c r="C823" s="309">
        <v>46026</v>
      </c>
      <c r="D823" s="310" t="s">
        <v>300</v>
      </c>
      <c r="E823" s="342">
        <v>114.91</v>
      </c>
      <c r="F823" s="342">
        <v>114.91</v>
      </c>
      <c r="G823" s="344">
        <f t="shared" si="5"/>
        <v>1601.2</v>
      </c>
      <c r="H823" s="345"/>
      <c r="I823" s="346"/>
      <c r="J823" s="347"/>
      <c r="K823" s="312"/>
      <c r="L823" s="347"/>
      <c r="M823" s="312"/>
      <c r="N823" s="347"/>
      <c r="O823" s="312"/>
      <c r="P823" s="347"/>
      <c r="Q823" s="312"/>
      <c r="R823" s="347"/>
      <c r="S823" s="312"/>
      <c r="T823" s="347"/>
    </row>
    <row r="824" spans="1:20" ht="12" customHeight="1" x14ac:dyDescent="0.3">
      <c r="A824" s="340" t="s">
        <v>289</v>
      </c>
      <c r="B824" s="341">
        <v>5</v>
      </c>
      <c r="C824" s="309">
        <v>46026</v>
      </c>
      <c r="D824" s="310" t="s">
        <v>494</v>
      </c>
      <c r="E824" s="342">
        <v>42.43</v>
      </c>
      <c r="F824" s="342"/>
      <c r="G824" s="344">
        <f t="shared" si="5"/>
        <v>1601.2</v>
      </c>
      <c r="H824" s="345"/>
      <c r="I824" s="346"/>
      <c r="J824" s="347"/>
      <c r="K824" s="312"/>
      <c r="L824" s="347"/>
      <c r="M824" s="312"/>
      <c r="N824" s="347"/>
      <c r="O824" s="312"/>
      <c r="P824" s="347"/>
      <c r="Q824" s="312"/>
      <c r="R824" s="347"/>
      <c r="S824" s="312"/>
      <c r="T824" s="347"/>
    </row>
    <row r="825" spans="1:20" ht="12" customHeight="1" x14ac:dyDescent="0.3">
      <c r="A825" s="340" t="s">
        <v>289</v>
      </c>
      <c r="B825" s="341">
        <v>7</v>
      </c>
      <c r="C825" s="309">
        <v>46026</v>
      </c>
      <c r="D825" s="310" t="s">
        <v>300</v>
      </c>
      <c r="E825" s="342">
        <v>42.59</v>
      </c>
      <c r="F825" s="342"/>
      <c r="G825" s="344">
        <f t="shared" si="5"/>
        <v>1643.63</v>
      </c>
      <c r="H825" s="345"/>
      <c r="I825" s="346"/>
      <c r="J825" s="347"/>
      <c r="K825" s="312"/>
      <c r="L825" s="347"/>
      <c r="M825" s="312"/>
      <c r="N825" s="347"/>
      <c r="O825" s="312"/>
      <c r="P825" s="347"/>
      <c r="Q825" s="312"/>
      <c r="R825" s="347"/>
      <c r="S825" s="312"/>
      <c r="T825" s="347"/>
    </row>
    <row r="826" spans="1:20" ht="12" customHeight="1" x14ac:dyDescent="0.3">
      <c r="A826" s="340" t="s">
        <v>289</v>
      </c>
      <c r="B826" s="341">
        <v>3</v>
      </c>
      <c r="C826" s="309">
        <v>46025</v>
      </c>
      <c r="D826" s="310" t="s">
        <v>352</v>
      </c>
      <c r="E826" s="342">
        <v>14.57</v>
      </c>
      <c r="F826" s="342"/>
      <c r="G826" s="344">
        <f t="shared" si="5"/>
        <v>1686.22</v>
      </c>
      <c r="H826" s="345"/>
      <c r="I826" s="346"/>
      <c r="J826" s="347"/>
      <c r="K826" s="312"/>
      <c r="L826" s="347"/>
      <c r="M826" s="312"/>
      <c r="N826" s="347"/>
      <c r="O826" s="312"/>
      <c r="P826" s="347"/>
      <c r="Q826" s="312"/>
      <c r="R826" s="347"/>
      <c r="S826" s="312"/>
      <c r="T826" s="347"/>
    </row>
    <row r="827" spans="1:20" ht="12" customHeight="1" x14ac:dyDescent="0.3">
      <c r="A827" s="340" t="s">
        <v>289</v>
      </c>
      <c r="B827" s="341">
        <v>2</v>
      </c>
      <c r="C827" s="309">
        <v>46025</v>
      </c>
      <c r="D827" s="310" t="s">
        <v>495</v>
      </c>
      <c r="E827" s="342">
        <v>41.05</v>
      </c>
      <c r="F827" s="342"/>
      <c r="G827" s="344">
        <f t="shared" si="5"/>
        <v>1700.79</v>
      </c>
      <c r="H827" s="345"/>
      <c r="I827" s="346"/>
      <c r="J827" s="347"/>
      <c r="K827" s="312"/>
      <c r="L827" s="347"/>
      <c r="M827" s="312"/>
      <c r="N827" s="347"/>
      <c r="O827" s="312"/>
      <c r="P827" s="347"/>
      <c r="Q827" s="312"/>
      <c r="R827" s="347"/>
      <c r="S827" s="312"/>
      <c r="T827" s="347"/>
    </row>
    <row r="828" spans="1:20" ht="12" customHeight="1" x14ac:dyDescent="0.3">
      <c r="A828" s="340" t="s">
        <v>289</v>
      </c>
      <c r="B828" s="341">
        <v>4</v>
      </c>
      <c r="C828" s="309">
        <v>46025</v>
      </c>
      <c r="D828" s="310" t="s">
        <v>311</v>
      </c>
      <c r="E828" s="342">
        <v>26.88</v>
      </c>
      <c r="F828" s="342"/>
      <c r="G828" s="344">
        <f t="shared" si="5"/>
        <v>1741.84</v>
      </c>
      <c r="H828" s="345"/>
      <c r="I828" s="346"/>
      <c r="J828" s="347"/>
      <c r="K828" s="312"/>
      <c r="L828" s="347"/>
      <c r="M828" s="312"/>
      <c r="N828" s="347"/>
      <c r="O828" s="312"/>
      <c r="P828" s="347"/>
      <c r="Q828" s="312"/>
      <c r="R828" s="347"/>
      <c r="S828" s="312"/>
      <c r="T828" s="347"/>
    </row>
    <row r="829" spans="1:20" ht="12" customHeight="1" x14ac:dyDescent="0.3">
      <c r="A829" s="340" t="s">
        <v>289</v>
      </c>
      <c r="B829" s="341">
        <v>2</v>
      </c>
      <c r="C829" s="309">
        <v>46025</v>
      </c>
      <c r="D829" s="310" t="s">
        <v>309</v>
      </c>
      <c r="E829" s="342">
        <v>130.08000000000001</v>
      </c>
      <c r="F829" s="342"/>
      <c r="G829" s="344">
        <f t="shared" si="5"/>
        <v>1768.72</v>
      </c>
      <c r="H829" s="345"/>
      <c r="I829" s="346"/>
      <c r="J829" s="347"/>
      <c r="K829" s="312"/>
      <c r="L829" s="347"/>
      <c r="M829" s="312"/>
      <c r="N829" s="347"/>
      <c r="O829" s="312"/>
      <c r="P829" s="347"/>
      <c r="Q829" s="312"/>
      <c r="R829" s="347"/>
      <c r="S829" s="312"/>
      <c r="T829" s="347"/>
    </row>
    <row r="830" spans="1:20" ht="12" customHeight="1" x14ac:dyDescent="0.3">
      <c r="A830" s="340" t="s">
        <v>289</v>
      </c>
      <c r="B830" s="341">
        <v>7</v>
      </c>
      <c r="C830" s="309">
        <v>46025</v>
      </c>
      <c r="D830" s="310" t="s">
        <v>496</v>
      </c>
      <c r="E830" s="342">
        <v>222.49</v>
      </c>
      <c r="F830" s="342"/>
      <c r="G830" s="344">
        <f t="shared" si="5"/>
        <v>1898.8</v>
      </c>
      <c r="H830" s="345"/>
      <c r="I830" s="346"/>
      <c r="J830" s="347"/>
      <c r="K830" s="312"/>
      <c r="L830" s="347"/>
      <c r="M830" s="312"/>
      <c r="N830" s="347"/>
      <c r="O830" s="312"/>
      <c r="P830" s="347"/>
      <c r="Q830" s="312"/>
      <c r="R830" s="347"/>
      <c r="S830" s="312"/>
      <c r="T830" s="347"/>
    </row>
    <row r="831" spans="1:20" ht="12" customHeight="1" x14ac:dyDescent="0.3">
      <c r="A831" s="340" t="s">
        <v>289</v>
      </c>
      <c r="B831" s="341">
        <v>7</v>
      </c>
      <c r="C831" s="309">
        <v>46025</v>
      </c>
      <c r="D831" s="310" t="s">
        <v>496</v>
      </c>
      <c r="E831" s="342">
        <v>99.18</v>
      </c>
      <c r="F831" s="342"/>
      <c r="G831" s="344">
        <f t="shared" si="5"/>
        <v>2121.29</v>
      </c>
      <c r="H831" s="345"/>
      <c r="I831" s="346"/>
      <c r="J831" s="347"/>
      <c r="K831" s="312"/>
      <c r="L831" s="347"/>
      <c r="M831" s="312"/>
      <c r="N831" s="347"/>
      <c r="O831" s="312"/>
      <c r="P831" s="347"/>
      <c r="Q831" s="312"/>
      <c r="R831" s="347"/>
      <c r="S831" s="312"/>
      <c r="T831" s="347"/>
    </row>
    <row r="832" spans="1:20" ht="12" customHeight="1" x14ac:dyDescent="0.3">
      <c r="A832" s="340" t="s">
        <v>289</v>
      </c>
      <c r="B832" s="341">
        <v>5</v>
      </c>
      <c r="C832" s="309">
        <v>46024</v>
      </c>
      <c r="D832" s="310" t="s">
        <v>497</v>
      </c>
      <c r="E832" s="342">
        <v>35</v>
      </c>
      <c r="F832" s="342"/>
      <c r="G832" s="344">
        <f t="shared" si="5"/>
        <v>2220.4699999999998</v>
      </c>
      <c r="H832" s="345"/>
      <c r="I832" s="346"/>
      <c r="J832" s="347"/>
      <c r="K832" s="312"/>
      <c r="L832" s="347"/>
      <c r="M832" s="312"/>
      <c r="N832" s="347"/>
      <c r="O832" s="312"/>
      <c r="P832" s="347"/>
      <c r="Q832" s="312"/>
      <c r="R832" s="347"/>
      <c r="S832" s="312"/>
      <c r="T832" s="347"/>
    </row>
    <row r="833" spans="1:20" ht="12" customHeight="1" x14ac:dyDescent="0.3">
      <c r="A833" s="340" t="s">
        <v>289</v>
      </c>
      <c r="B833" s="341">
        <v>3</v>
      </c>
      <c r="C833" s="309">
        <v>46024</v>
      </c>
      <c r="D833" s="310" t="s">
        <v>296</v>
      </c>
      <c r="E833" s="342">
        <v>15.11</v>
      </c>
      <c r="F833" s="342"/>
      <c r="G833" s="344">
        <f t="shared" si="5"/>
        <v>2255.4699999999998</v>
      </c>
      <c r="H833" s="345"/>
      <c r="I833" s="346"/>
      <c r="J833" s="347"/>
      <c r="K833" s="312"/>
      <c r="L833" s="347"/>
      <c r="M833" s="312"/>
      <c r="N833" s="347"/>
      <c r="O833" s="312"/>
      <c r="P833" s="347"/>
      <c r="Q833" s="312"/>
      <c r="R833" s="347"/>
      <c r="S833" s="312"/>
      <c r="T833" s="347"/>
    </row>
    <row r="834" spans="1:20" ht="12" customHeight="1" x14ac:dyDescent="0.3">
      <c r="A834" s="340" t="s">
        <v>289</v>
      </c>
      <c r="B834" s="341">
        <v>5</v>
      </c>
      <c r="C834" s="309">
        <v>46024</v>
      </c>
      <c r="D834" s="310" t="s">
        <v>498</v>
      </c>
      <c r="E834" s="342">
        <v>29.67</v>
      </c>
      <c r="F834" s="342"/>
      <c r="G834" s="344">
        <f t="shared" si="5"/>
        <v>2270.58</v>
      </c>
      <c r="H834" s="345"/>
      <c r="I834" s="346"/>
      <c r="J834" s="347"/>
      <c r="K834" s="312"/>
      <c r="L834" s="347"/>
      <c r="M834" s="312"/>
      <c r="N834" s="347"/>
      <c r="O834" s="312"/>
      <c r="P834" s="347"/>
      <c r="Q834" s="312"/>
      <c r="R834" s="347"/>
      <c r="S834" s="312"/>
      <c r="T834" s="347"/>
    </row>
    <row r="835" spans="1:20" ht="12" customHeight="1" x14ac:dyDescent="0.3">
      <c r="A835" s="340" t="s">
        <v>287</v>
      </c>
      <c r="B835" s="341" t="s">
        <v>287</v>
      </c>
      <c r="C835" s="309">
        <v>46024</v>
      </c>
      <c r="D835" s="310" t="s">
        <v>402</v>
      </c>
      <c r="E835" s="342">
        <v>70.56</v>
      </c>
      <c r="F835" s="342">
        <v>70.56</v>
      </c>
      <c r="G835" s="344">
        <f t="shared" si="5"/>
        <v>2300.25</v>
      </c>
      <c r="H835" s="345"/>
      <c r="I835" s="346"/>
      <c r="J835" s="347"/>
      <c r="K835" s="312"/>
      <c r="L835" s="347"/>
      <c r="M835" s="312"/>
      <c r="N835" s="347"/>
      <c r="O835" s="312"/>
      <c r="P835" s="347"/>
      <c r="Q835" s="312"/>
      <c r="R835" s="347"/>
      <c r="S835" s="312"/>
      <c r="T835" s="347"/>
    </row>
    <row r="836" spans="1:20" ht="12" customHeight="1" x14ac:dyDescent="0.3">
      <c r="A836" s="340" t="s">
        <v>287</v>
      </c>
      <c r="B836" s="341" t="s">
        <v>287</v>
      </c>
      <c r="C836" s="309">
        <v>46024</v>
      </c>
      <c r="D836" s="310" t="s">
        <v>499</v>
      </c>
      <c r="E836" s="342">
        <v>113.94</v>
      </c>
      <c r="F836" s="342">
        <v>113.94</v>
      </c>
      <c r="G836" s="344">
        <f t="shared" si="5"/>
        <v>2300.25</v>
      </c>
      <c r="H836" s="345"/>
      <c r="I836" s="346"/>
      <c r="J836" s="347"/>
      <c r="K836" s="312"/>
      <c r="L836" s="347"/>
      <c r="M836" s="312"/>
      <c r="N836" s="347"/>
      <c r="O836" s="312"/>
      <c r="P836" s="347"/>
      <c r="Q836" s="312"/>
      <c r="R836" s="347"/>
      <c r="S836" s="312"/>
      <c r="T836" s="347"/>
    </row>
    <row r="837" spans="1:20" ht="12" customHeight="1" x14ac:dyDescent="0.3">
      <c r="A837" s="340" t="s">
        <v>289</v>
      </c>
      <c r="B837" s="341">
        <v>2</v>
      </c>
      <c r="C837" s="309">
        <v>46024</v>
      </c>
      <c r="D837" s="310" t="s">
        <v>375</v>
      </c>
      <c r="E837" s="342">
        <v>11.9</v>
      </c>
      <c r="F837" s="342"/>
      <c r="G837" s="344">
        <f t="shared" si="5"/>
        <v>2300.25</v>
      </c>
      <c r="H837" s="345"/>
      <c r="I837" s="346"/>
      <c r="J837" s="347"/>
      <c r="K837" s="312"/>
      <c r="L837" s="347"/>
      <c r="M837" s="312"/>
      <c r="N837" s="347"/>
      <c r="O837" s="312"/>
      <c r="P837" s="347"/>
      <c r="Q837" s="312"/>
      <c r="R837" s="347"/>
      <c r="S837" s="312"/>
      <c r="T837" s="347"/>
    </row>
    <row r="838" spans="1:20" ht="12" customHeight="1" x14ac:dyDescent="0.3">
      <c r="A838" s="340" t="s">
        <v>289</v>
      </c>
      <c r="B838" s="341">
        <v>2</v>
      </c>
      <c r="C838" s="309">
        <v>46024</v>
      </c>
      <c r="D838" s="310" t="s">
        <v>415</v>
      </c>
      <c r="E838" s="342">
        <v>23.9</v>
      </c>
      <c r="F838" s="342"/>
      <c r="G838" s="344">
        <f t="shared" si="5"/>
        <v>2312.15</v>
      </c>
      <c r="H838" s="345"/>
      <c r="I838" s="346"/>
      <c r="J838" s="347"/>
      <c r="K838" s="312"/>
      <c r="L838" s="347"/>
      <c r="M838" s="312"/>
      <c r="N838" s="347"/>
      <c r="O838" s="312"/>
      <c r="P838" s="347"/>
      <c r="Q838" s="312"/>
      <c r="R838" s="347"/>
      <c r="S838" s="312"/>
      <c r="T838" s="347"/>
    </row>
    <row r="839" spans="1:20" ht="12" customHeight="1" x14ac:dyDescent="0.3">
      <c r="A839" s="340" t="s">
        <v>289</v>
      </c>
      <c r="B839" s="341">
        <v>5</v>
      </c>
      <c r="C839" s="309">
        <v>46024</v>
      </c>
      <c r="D839" s="310" t="s">
        <v>500</v>
      </c>
      <c r="E839" s="342">
        <v>160</v>
      </c>
      <c r="F839" s="342"/>
      <c r="G839" s="344">
        <f t="shared" si="5"/>
        <v>2336.0500000000002</v>
      </c>
      <c r="H839" s="345"/>
      <c r="I839" s="346"/>
      <c r="J839" s="347"/>
      <c r="K839" s="312"/>
      <c r="L839" s="347"/>
      <c r="M839" s="312"/>
      <c r="N839" s="347"/>
      <c r="O839" s="312"/>
      <c r="P839" s="347"/>
      <c r="Q839" s="312"/>
      <c r="R839" s="347"/>
      <c r="S839" s="312"/>
      <c r="T839" s="347"/>
    </row>
    <row r="840" spans="1:20" ht="12" customHeight="1" x14ac:dyDescent="0.3">
      <c r="A840" s="340" t="s">
        <v>284</v>
      </c>
      <c r="B840" s="341">
        <v>36</v>
      </c>
      <c r="C840" s="309">
        <v>46024</v>
      </c>
      <c r="D840" s="310" t="s">
        <v>378</v>
      </c>
      <c r="E840" s="342">
        <v>50</v>
      </c>
      <c r="F840" s="342"/>
      <c r="G840" s="344">
        <f t="shared" si="5"/>
        <v>2496.0500000000002</v>
      </c>
      <c r="H840" s="345"/>
      <c r="I840" s="346"/>
      <c r="J840" s="347"/>
      <c r="K840" s="312"/>
      <c r="L840" s="347"/>
      <c r="M840" s="312"/>
      <c r="N840" s="347"/>
      <c r="O840" s="312"/>
      <c r="P840" s="347"/>
      <c r="Q840" s="312"/>
      <c r="R840" s="347"/>
      <c r="S840" s="312"/>
      <c r="T840" s="347"/>
    </row>
    <row r="841" spans="1:20" ht="12" customHeight="1" x14ac:dyDescent="0.3">
      <c r="A841" s="340" t="s">
        <v>289</v>
      </c>
      <c r="B841" s="341">
        <v>6</v>
      </c>
      <c r="C841" s="309">
        <v>46023</v>
      </c>
      <c r="D841" s="310" t="s">
        <v>313</v>
      </c>
      <c r="E841" s="342">
        <v>8</v>
      </c>
      <c r="F841" s="342"/>
      <c r="G841" s="344">
        <f t="shared" si="5"/>
        <v>2546.0500000000002</v>
      </c>
      <c r="H841" s="345"/>
      <c r="I841" s="346"/>
      <c r="J841" s="347"/>
      <c r="K841" s="312"/>
      <c r="L841" s="347"/>
      <c r="M841" s="312"/>
      <c r="N841" s="347"/>
      <c r="O841" s="312"/>
      <c r="P841" s="347"/>
      <c r="Q841" s="312"/>
      <c r="R841" s="347"/>
      <c r="S841" s="312"/>
      <c r="T841" s="347"/>
    </row>
    <row r="842" spans="1:20" ht="12" customHeight="1" x14ac:dyDescent="0.3">
      <c r="A842" s="340" t="s">
        <v>289</v>
      </c>
      <c r="B842" s="341">
        <v>2</v>
      </c>
      <c r="C842" s="309">
        <v>46023</v>
      </c>
      <c r="D842" s="310" t="s">
        <v>375</v>
      </c>
      <c r="E842" s="342">
        <v>13.06</v>
      </c>
      <c r="F842" s="342"/>
      <c r="G842" s="344">
        <f t="shared" si="5"/>
        <v>2554.0500000000002</v>
      </c>
      <c r="H842" s="345"/>
      <c r="I842" s="346"/>
      <c r="J842" s="347"/>
      <c r="K842" s="312"/>
      <c r="L842" s="347"/>
      <c r="M842" s="312"/>
      <c r="N842" s="347"/>
      <c r="O842" s="312"/>
      <c r="P842" s="347"/>
      <c r="Q842" s="312"/>
      <c r="R842" s="347"/>
      <c r="S842" s="312"/>
      <c r="T842" s="347"/>
    </row>
    <row r="843" spans="1:20" ht="12" customHeight="1" x14ac:dyDescent="0.3">
      <c r="A843" s="340" t="s">
        <v>294</v>
      </c>
      <c r="B843" s="341">
        <v>22</v>
      </c>
      <c r="C843" s="309">
        <v>46023</v>
      </c>
      <c r="D843" s="310" t="s">
        <v>379</v>
      </c>
      <c r="E843" s="342">
        <v>6.37</v>
      </c>
      <c r="F843" s="342"/>
      <c r="G843" s="344">
        <f t="shared" si="5"/>
        <v>2567.11</v>
      </c>
      <c r="H843" s="345"/>
      <c r="I843" s="346"/>
      <c r="J843" s="347"/>
      <c r="K843" s="312"/>
      <c r="L843" s="347"/>
      <c r="M843" s="312"/>
      <c r="N843" s="347"/>
      <c r="O843" s="312"/>
      <c r="P843" s="347"/>
      <c r="Q843" s="312"/>
      <c r="R843" s="347"/>
      <c r="S843" s="312"/>
      <c r="T843" s="347"/>
    </row>
    <row r="844" spans="1:20" ht="12" customHeight="1" x14ac:dyDescent="0.3">
      <c r="A844" s="340" t="s">
        <v>289</v>
      </c>
      <c r="B844" s="341">
        <v>2</v>
      </c>
      <c r="C844" s="309">
        <v>46023</v>
      </c>
      <c r="D844" s="310" t="s">
        <v>362</v>
      </c>
      <c r="E844" s="342">
        <v>10.27</v>
      </c>
      <c r="F844" s="342"/>
      <c r="G844" s="344">
        <f t="shared" si="5"/>
        <v>2573.48</v>
      </c>
      <c r="H844" s="345"/>
      <c r="I844" s="346"/>
      <c r="J844" s="347"/>
      <c r="K844" s="312"/>
      <c r="L844" s="347"/>
      <c r="M844" s="312"/>
      <c r="N844" s="347"/>
      <c r="O844" s="312"/>
      <c r="P844" s="347"/>
      <c r="Q844" s="312"/>
      <c r="R844" s="347"/>
      <c r="S844" s="312"/>
      <c r="T844" s="347"/>
    </row>
    <row r="845" spans="1:20" ht="12" customHeight="1" x14ac:dyDescent="0.3">
      <c r="A845" s="340" t="s">
        <v>289</v>
      </c>
      <c r="B845" s="341">
        <v>6</v>
      </c>
      <c r="C845" s="309">
        <v>46023</v>
      </c>
      <c r="D845" s="310" t="s">
        <v>501</v>
      </c>
      <c r="E845" s="342">
        <v>176.57</v>
      </c>
      <c r="F845" s="342"/>
      <c r="G845" s="344">
        <f t="shared" si="5"/>
        <v>2583.75</v>
      </c>
      <c r="H845" s="345"/>
      <c r="I845" s="346"/>
      <c r="J845" s="347"/>
      <c r="K845" s="312"/>
      <c r="L845" s="347"/>
      <c r="M845" s="312"/>
      <c r="N845" s="347"/>
      <c r="O845" s="312"/>
      <c r="P845" s="347"/>
      <c r="Q845" s="312"/>
      <c r="R845" s="347"/>
      <c r="S845" s="312"/>
      <c r="T845" s="347"/>
    </row>
    <row r="846" spans="1:20" ht="12" customHeight="1" x14ac:dyDescent="0.3">
      <c r="A846" s="340" t="s">
        <v>287</v>
      </c>
      <c r="B846" s="341" t="s">
        <v>287</v>
      </c>
      <c r="C846" s="309">
        <v>46023</v>
      </c>
      <c r="D846" s="310" t="s">
        <v>300</v>
      </c>
      <c r="E846" s="342">
        <v>383.39</v>
      </c>
      <c r="F846" s="342">
        <v>383.39</v>
      </c>
      <c r="G846" s="344">
        <f t="shared" si="5"/>
        <v>2760.32</v>
      </c>
      <c r="H846" s="345"/>
      <c r="I846" s="346"/>
      <c r="J846" s="347"/>
      <c r="K846" s="312"/>
      <c r="L846" s="347"/>
      <c r="M846" s="312"/>
      <c r="N846" s="347"/>
      <c r="O846" s="312"/>
      <c r="P846" s="347"/>
      <c r="Q846" s="312"/>
      <c r="R846" s="347"/>
      <c r="S846" s="312"/>
      <c r="T846" s="347"/>
    </row>
    <row r="847" spans="1:20" ht="12" customHeight="1" x14ac:dyDescent="0.3">
      <c r="A847" s="340" t="s">
        <v>287</v>
      </c>
      <c r="B847" s="341" t="s">
        <v>287</v>
      </c>
      <c r="C847" s="309">
        <v>46023</v>
      </c>
      <c r="D847" s="310" t="s">
        <v>300</v>
      </c>
      <c r="E847" s="342">
        <v>53.24</v>
      </c>
      <c r="F847" s="342">
        <v>53.24</v>
      </c>
      <c r="G847" s="344">
        <f t="shared" si="5"/>
        <v>2760.32</v>
      </c>
      <c r="H847" s="345"/>
      <c r="I847" s="346"/>
      <c r="J847" s="347"/>
      <c r="K847" s="312"/>
      <c r="L847" s="347"/>
      <c r="M847" s="312"/>
      <c r="N847" s="347"/>
      <c r="O847" s="312"/>
      <c r="P847" s="347"/>
      <c r="Q847" s="312"/>
      <c r="R847" s="347"/>
      <c r="S847" s="312"/>
      <c r="T847" s="347"/>
    </row>
    <row r="848" spans="1:20" ht="12" customHeight="1" x14ac:dyDescent="0.3">
      <c r="A848" s="340" t="s">
        <v>339</v>
      </c>
      <c r="B848" s="341" t="s">
        <v>339</v>
      </c>
      <c r="C848" s="309">
        <v>46023</v>
      </c>
      <c r="D848" s="348" t="s">
        <v>469</v>
      </c>
      <c r="E848" s="342">
        <v>239.68</v>
      </c>
      <c r="F848" s="342"/>
      <c r="G848" s="344">
        <f t="shared" si="5"/>
        <v>2760.32</v>
      </c>
      <c r="H848" s="345"/>
      <c r="I848" s="346"/>
      <c r="J848" s="347"/>
      <c r="K848" s="312"/>
      <c r="L848" s="347"/>
      <c r="M848" s="312"/>
      <c r="N848" s="347"/>
      <c r="O848" s="312"/>
      <c r="P848" s="347"/>
      <c r="Q848" s="312"/>
      <c r="R848" s="347"/>
      <c r="S848" s="312"/>
      <c r="T848" s="347"/>
    </row>
    <row r="849" spans="1:20" ht="12" customHeight="1" x14ac:dyDescent="0.3">
      <c r="A849" s="340" t="s">
        <v>502</v>
      </c>
      <c r="B849" s="341" t="s">
        <v>502</v>
      </c>
      <c r="C849" s="309">
        <v>45658</v>
      </c>
      <c r="D849" s="309" t="s">
        <v>503</v>
      </c>
      <c r="E849" s="343"/>
      <c r="F849" s="343"/>
      <c r="G849" s="344">
        <v>3000</v>
      </c>
      <c r="H849" s="345"/>
      <c r="I849" s="346"/>
      <c r="J849" s="347"/>
      <c r="K849" s="312"/>
      <c r="L849" s="347"/>
      <c r="M849" s="312"/>
      <c r="N849" s="347"/>
      <c r="O849" s="312"/>
      <c r="P849" s="347"/>
      <c r="Q849" s="312"/>
      <c r="R849" s="347"/>
      <c r="S849" s="312"/>
      <c r="T849" s="347"/>
    </row>
    <row r="850" spans="1:20" ht="15.75" customHeight="1" x14ac:dyDescent="0.3"/>
    <row r="851" spans="1:20" ht="15.75" customHeight="1" x14ac:dyDescent="0.3"/>
    <row r="852" spans="1:20" ht="15.75" customHeight="1" x14ac:dyDescent="0.3"/>
    <row r="853" spans="1:20" ht="15.75" customHeight="1" x14ac:dyDescent="0.3"/>
    <row r="854" spans="1:20" ht="15.75" customHeight="1" x14ac:dyDescent="0.3"/>
    <row r="855" spans="1:20" ht="15.75" customHeight="1" x14ac:dyDescent="0.3"/>
    <row r="856" spans="1:20" ht="15.75" customHeight="1" x14ac:dyDescent="0.3"/>
    <row r="857" spans="1:20" ht="15.75" customHeight="1" x14ac:dyDescent="0.3"/>
    <row r="858" spans="1:20" ht="15.75" customHeight="1" x14ac:dyDescent="0.3"/>
    <row r="859" spans="1:20" ht="15.75" customHeight="1" x14ac:dyDescent="0.3"/>
    <row r="860" spans="1:20" ht="15.75" customHeight="1" x14ac:dyDescent="0.3"/>
    <row r="861" spans="1:20" ht="15.75" customHeight="1" x14ac:dyDescent="0.3"/>
    <row r="862" spans="1:20" ht="15.75" customHeight="1" x14ac:dyDescent="0.3"/>
    <row r="863" spans="1:20" ht="15.75" customHeight="1" x14ac:dyDescent="0.3"/>
    <row r="864" spans="1:20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spans="9:9" ht="15.75" customHeight="1" x14ac:dyDescent="0.3"/>
    <row r="2578" spans="9:9" ht="15.75" customHeight="1" x14ac:dyDescent="0.3"/>
    <row r="2579" spans="9:9" ht="12" customHeight="1" x14ac:dyDescent="0.3">
      <c r="I2579" s="346" t="s">
        <v>225</v>
      </c>
    </row>
    <row r="2580" spans="9:9" ht="12" customHeight="1" x14ac:dyDescent="0.3">
      <c r="I2580" s="346"/>
    </row>
    <row r="2581" spans="9:9" ht="12" customHeight="1" x14ac:dyDescent="0.3">
      <c r="I2581" s="346"/>
    </row>
    <row r="2582" spans="9:9" ht="12" customHeight="1" x14ac:dyDescent="0.3">
      <c r="I2582" s="346"/>
    </row>
    <row r="2583" spans="9:9" ht="12" customHeight="1" x14ac:dyDescent="0.3">
      <c r="I2583" s="346"/>
    </row>
    <row r="2584" spans="9:9" ht="12" customHeight="1" x14ac:dyDescent="0.3">
      <c r="I2584" s="346"/>
    </row>
    <row r="2585" spans="9:9" ht="12" customHeight="1" x14ac:dyDescent="0.3">
      <c r="I2585" s="346"/>
    </row>
    <row r="2586" spans="9:9" ht="12" customHeight="1" x14ac:dyDescent="0.3">
      <c r="I2586" s="346"/>
    </row>
    <row r="2587" spans="9:9" ht="12" customHeight="1" x14ac:dyDescent="0.3">
      <c r="I2587" s="346"/>
    </row>
    <row r="2588" spans="9:9" ht="12" customHeight="1" x14ac:dyDescent="0.3">
      <c r="I2588" s="346" t="s">
        <v>226</v>
      </c>
    </row>
    <row r="2589" spans="9:9" ht="15.75" customHeight="1" x14ac:dyDescent="0.3"/>
    <row r="2590" spans="9:9" ht="15.75" customHeight="1" x14ac:dyDescent="0.3"/>
    <row r="2591" spans="9:9" ht="12" customHeight="1" x14ac:dyDescent="0.3">
      <c r="I2591" s="346" t="s">
        <v>226</v>
      </c>
    </row>
    <row r="2592" spans="9:9" ht="12" customHeight="1" x14ac:dyDescent="0.3">
      <c r="I2592" s="346"/>
    </row>
    <row r="2593" spans="9:9" ht="12" customHeight="1" x14ac:dyDescent="0.3">
      <c r="I2593" s="346"/>
    </row>
    <row r="2594" spans="9:9" ht="12" customHeight="1" x14ac:dyDescent="0.3">
      <c r="I2594" s="346"/>
    </row>
    <row r="2595" spans="9:9" ht="12" customHeight="1" x14ac:dyDescent="0.3">
      <c r="I2595" s="346"/>
    </row>
    <row r="2596" spans="9:9" ht="12" customHeight="1" x14ac:dyDescent="0.3">
      <c r="I2596" s="346"/>
    </row>
    <row r="2597" spans="9:9" ht="12" customHeight="1" x14ac:dyDescent="0.3">
      <c r="I2597" s="346" t="s">
        <v>226</v>
      </c>
    </row>
    <row r="2598" spans="9:9" ht="12" customHeight="1" x14ac:dyDescent="0.3">
      <c r="I2598" s="346" t="s">
        <v>226</v>
      </c>
    </row>
    <row r="2599" spans="9:9" ht="12" customHeight="1" x14ac:dyDescent="0.3">
      <c r="I2599" s="346"/>
    </row>
    <row r="2600" spans="9:9" ht="12" customHeight="1" x14ac:dyDescent="0.3">
      <c r="I2600" s="346"/>
    </row>
    <row r="2601" spans="9:9" ht="12" customHeight="1" x14ac:dyDescent="0.3">
      <c r="I2601" s="346"/>
    </row>
    <row r="2602" spans="9:9" ht="12" customHeight="1" x14ac:dyDescent="0.3">
      <c r="I2602" s="346" t="s">
        <v>226</v>
      </c>
    </row>
    <row r="2603" spans="9:9" ht="12" customHeight="1" x14ac:dyDescent="0.3">
      <c r="I2603" s="346" t="s">
        <v>225</v>
      </c>
    </row>
    <row r="2604" spans="9:9" ht="12" customHeight="1" x14ac:dyDescent="0.3">
      <c r="I2604" s="346" t="s">
        <v>225</v>
      </c>
    </row>
    <row r="2605" spans="9:9" ht="15.75" customHeight="1" x14ac:dyDescent="0.3"/>
    <row r="2606" spans="9:9" ht="15.75" customHeight="1" x14ac:dyDescent="0.3"/>
    <row r="2607" spans="9:9" ht="12" customHeight="1" x14ac:dyDescent="0.3">
      <c r="I2607" s="346" t="s">
        <v>225</v>
      </c>
    </row>
    <row r="2608" spans="9:9" ht="12" customHeight="1" x14ac:dyDescent="0.3">
      <c r="I2608" s="346"/>
    </row>
    <row r="2609" spans="9:9" ht="12" customHeight="1" x14ac:dyDescent="0.3">
      <c r="I2609" s="346" t="s">
        <v>226</v>
      </c>
    </row>
    <row r="2610" spans="9:9" ht="12" customHeight="1" x14ac:dyDescent="0.3">
      <c r="I2610" s="346"/>
    </row>
    <row r="2611" spans="9:9" ht="12" customHeight="1" x14ac:dyDescent="0.3">
      <c r="I2611" s="346"/>
    </row>
    <row r="2612" spans="9:9" ht="12" customHeight="1" x14ac:dyDescent="0.3">
      <c r="I2612" s="346" t="s">
        <v>226</v>
      </c>
    </row>
    <row r="2613" spans="9:9" ht="12" customHeight="1" x14ac:dyDescent="0.3">
      <c r="I2613" s="346"/>
    </row>
    <row r="2614" spans="9:9" ht="12" customHeight="1" x14ac:dyDescent="0.3">
      <c r="I2614" s="346" t="s">
        <v>226</v>
      </c>
    </row>
    <row r="2615" spans="9:9" ht="15.75" customHeight="1" x14ac:dyDescent="0.3"/>
    <row r="2616" spans="9:9" ht="15.75" customHeight="1" x14ac:dyDescent="0.3"/>
    <row r="2617" spans="9:9" ht="15.75" customHeight="1" x14ac:dyDescent="0.3"/>
    <row r="2618" spans="9:9" ht="15.75" customHeight="1" x14ac:dyDescent="0.3"/>
    <row r="2619" spans="9:9" ht="15.75" customHeight="1" x14ac:dyDescent="0.3"/>
    <row r="2620" spans="9:9" ht="15.75" customHeight="1" x14ac:dyDescent="0.3"/>
    <row r="2621" spans="9:9" ht="15.75" customHeight="1" x14ac:dyDescent="0.3"/>
    <row r="2622" spans="9:9" ht="15.75" customHeight="1" x14ac:dyDescent="0.3"/>
    <row r="2623" spans="9:9" ht="12" customHeight="1" x14ac:dyDescent="0.3">
      <c r="I2623" s="346" t="s">
        <v>226</v>
      </c>
    </row>
    <row r="2624" spans="9:9" ht="12" customHeight="1" x14ac:dyDescent="0.3">
      <c r="I2624" s="346"/>
    </row>
    <row r="2625" spans="9:9" ht="12" customHeight="1" x14ac:dyDescent="0.3">
      <c r="I2625" s="346" t="s">
        <v>225</v>
      </c>
    </row>
    <row r="2626" spans="9:9" ht="12" customHeight="1" x14ac:dyDescent="0.3">
      <c r="I2626" s="346"/>
    </row>
    <row r="2627" spans="9:9" ht="12" customHeight="1" x14ac:dyDescent="0.3">
      <c r="I2627" s="346" t="s">
        <v>226</v>
      </c>
    </row>
    <row r="2628" spans="9:9" ht="12" customHeight="1" x14ac:dyDescent="0.3">
      <c r="I2628" s="346" t="s">
        <v>225</v>
      </c>
    </row>
    <row r="2629" spans="9:9" ht="15.75" customHeight="1" x14ac:dyDescent="0.3"/>
    <row r="2630" spans="9:9" ht="15.75" customHeight="1" x14ac:dyDescent="0.3"/>
    <row r="2631" spans="9:9" ht="15.75" customHeight="1" x14ac:dyDescent="0.3"/>
    <row r="2632" spans="9:9" ht="15.75" customHeight="1" x14ac:dyDescent="0.3"/>
    <row r="2633" spans="9:9" ht="15.75" customHeight="1" x14ac:dyDescent="0.3"/>
    <row r="2634" spans="9:9" ht="15.75" customHeight="1" x14ac:dyDescent="0.3"/>
    <row r="2635" spans="9:9" ht="15.75" customHeight="1" x14ac:dyDescent="0.3"/>
    <row r="2636" spans="9:9" ht="15.75" customHeight="1" x14ac:dyDescent="0.3"/>
    <row r="2637" spans="9:9" ht="15.75" customHeight="1" x14ac:dyDescent="0.3"/>
    <row r="2638" spans="9:9" ht="15.75" customHeight="1" x14ac:dyDescent="0.3"/>
    <row r="2639" spans="9:9" ht="15.75" customHeight="1" x14ac:dyDescent="0.3"/>
    <row r="2640" spans="9:9" ht="15.75" customHeight="1" x14ac:dyDescent="0.3"/>
    <row r="2641" spans="9:9" ht="15.75" customHeight="1" x14ac:dyDescent="0.3"/>
    <row r="2642" spans="9:9" ht="15.75" customHeight="1" x14ac:dyDescent="0.3"/>
    <row r="2643" spans="9:9" ht="15.75" customHeight="1" x14ac:dyDescent="0.3"/>
    <row r="2644" spans="9:9" ht="15.75" customHeight="1" x14ac:dyDescent="0.3"/>
    <row r="2645" spans="9:9" ht="15.75" customHeight="1" x14ac:dyDescent="0.3"/>
    <row r="2646" spans="9:9" ht="15.75" customHeight="1" x14ac:dyDescent="0.3"/>
    <row r="2647" spans="9:9" ht="12" customHeight="1" x14ac:dyDescent="0.3">
      <c r="I2647" s="346" t="s">
        <v>226</v>
      </c>
    </row>
  </sheetData>
  <autoFilter ref="A1:G849" xr:uid="{00000000-0009-0000-0000-000006000000}"/>
  <mergeCells count="5">
    <mergeCell ref="A1:B1"/>
    <mergeCell ref="E1:F1"/>
    <mergeCell ref="Q1:R1"/>
    <mergeCell ref="E2:F2"/>
    <mergeCell ref="E3:F3"/>
  </mergeCells>
  <conditionalFormatting sqref="I1 I4:I2647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08"/>
  <sheetViews>
    <sheetView workbookViewId="0">
      <pane ySplit="1" topLeftCell="A2" activePane="bottomLeft" state="frozen"/>
      <selection pane="bottomLeft" activeCell="C12" sqref="C12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49" t="s">
        <v>504</v>
      </c>
      <c r="B1" s="350"/>
      <c r="C1" s="351"/>
      <c r="D1" s="569" t="s">
        <v>505</v>
      </c>
      <c r="E1" s="564"/>
      <c r="F1" s="570" t="s">
        <v>506</v>
      </c>
      <c r="G1" s="564"/>
      <c r="H1" s="569" t="str">
        <f>'Proposed Budget'!C33</f>
        <v>Vehicle Maintenance</v>
      </c>
      <c r="I1" s="564"/>
      <c r="J1" s="570" t="str">
        <f>'Proposed Budget'!C34</f>
        <v>Car Insurance</v>
      </c>
      <c r="K1" s="564"/>
      <c r="L1" s="569" t="str">
        <f>'Proposed Budget'!C35</f>
        <v>Rental Garbage</v>
      </c>
      <c r="M1" s="564"/>
      <c r="N1" s="570" t="str">
        <f>'Proposed Budget'!C36</f>
        <v>Garbage</v>
      </c>
      <c r="O1" s="564"/>
      <c r="P1" s="569" t="str">
        <f>'Monthly Breakdown'!C37</f>
        <v>Sanitation - Main</v>
      </c>
      <c r="Q1" s="564"/>
      <c r="R1" s="570" t="str">
        <f>'Proposed Budget'!C38</f>
        <v>Camping/Vacation</v>
      </c>
      <c r="S1" s="564"/>
      <c r="T1" s="569" t="str">
        <f>'Proposed Budget'!C39</f>
        <v>Home Maintenance</v>
      </c>
      <c r="U1" s="564"/>
      <c r="V1" s="570" t="str">
        <f>'Proposed Budget'!C40</f>
        <v>Rental Repairs</v>
      </c>
      <c r="W1" s="564"/>
      <c r="X1" s="569" t="str">
        <f>'Proposed Budget'!C41</f>
        <v>Rental Insurance</v>
      </c>
      <c r="Y1" s="564"/>
      <c r="Z1" s="570" t="str">
        <f>'Proposed Budget'!C42</f>
        <v>Rental Property Taxes</v>
      </c>
      <c r="AA1" s="564"/>
      <c r="AB1" s="569" t="str">
        <f>'Proposed Budget'!C43</f>
        <v>Rental Sanitation</v>
      </c>
      <c r="AC1" s="564"/>
    </row>
    <row r="2" spans="1:29" ht="14.25" customHeight="1" x14ac:dyDescent="0.3">
      <c r="A2" s="352">
        <f t="shared" ref="A2:A3" si="0">SUM(G2,E2,U2,I2,S2,O2,K2,M2,Q2,W2,Y2,AA2,AC2)</f>
        <v>8105.5200000000013</v>
      </c>
      <c r="B2" s="350"/>
      <c r="C2" s="351"/>
      <c r="D2" s="353" t="s">
        <v>507</v>
      </c>
      <c r="E2" s="354">
        <f>E3-E66</f>
        <v>15926.519999999999</v>
      </c>
      <c r="F2" s="355" t="s">
        <v>507</v>
      </c>
      <c r="G2" s="356">
        <f>G3-G66</f>
        <v>552.59000000000015</v>
      </c>
      <c r="H2" s="354" t="s">
        <v>507</v>
      </c>
      <c r="I2" s="354">
        <f>I3-I66</f>
        <v>870.94999999999982</v>
      </c>
      <c r="J2" s="355" t="s">
        <v>507</v>
      </c>
      <c r="K2" s="356">
        <f>K3-K66</f>
        <v>1280</v>
      </c>
      <c r="L2" s="354" t="s">
        <v>507</v>
      </c>
      <c r="M2" s="354">
        <f>M3-M66</f>
        <v>-26.960000000000008</v>
      </c>
      <c r="N2" s="356" t="s">
        <v>507</v>
      </c>
      <c r="O2" s="356">
        <f>O3-O66</f>
        <v>-26.960000000000008</v>
      </c>
      <c r="P2" s="354" t="s">
        <v>507</v>
      </c>
      <c r="Q2" s="354">
        <f>Q3-Q66</f>
        <v>-5.6399999999999864</v>
      </c>
      <c r="R2" s="356" t="s">
        <v>507</v>
      </c>
      <c r="S2" s="356">
        <f>S3-S66</f>
        <v>-2224.7800000000002</v>
      </c>
      <c r="T2" s="357" t="s">
        <v>507</v>
      </c>
      <c r="U2" s="354">
        <f>U3-U66</f>
        <v>-8117.66</v>
      </c>
      <c r="V2" s="356" t="s">
        <v>507</v>
      </c>
      <c r="W2" s="356">
        <f>W3-W66</f>
        <v>400</v>
      </c>
      <c r="X2" s="354" t="s">
        <v>507</v>
      </c>
      <c r="Y2" s="354">
        <f>Y3-Y66</f>
        <v>-160.5</v>
      </c>
      <c r="Z2" s="356" t="s">
        <v>507</v>
      </c>
      <c r="AA2" s="356">
        <f>AA3-AA66</f>
        <v>-356.40000000000009</v>
      </c>
      <c r="AB2" s="354" t="s">
        <v>507</v>
      </c>
      <c r="AC2" s="354">
        <f>AC3-AC66</f>
        <v>-5.6399999999999864</v>
      </c>
    </row>
    <row r="3" spans="1:29" ht="14.25" customHeight="1" x14ac:dyDescent="0.3">
      <c r="A3" s="352">
        <f t="shared" si="0"/>
        <v>20346.010000000002</v>
      </c>
      <c r="B3" s="358"/>
      <c r="C3" s="351"/>
      <c r="D3" s="353" t="s">
        <v>508</v>
      </c>
      <c r="E3" s="354">
        <f>SUM(E6:E66)-SUM(D6:D66)</f>
        <v>17637.009999999998</v>
      </c>
      <c r="F3" s="356" t="s">
        <v>508</v>
      </c>
      <c r="G3" s="356">
        <f>SUM(G6:G66)-SUM(F6:F66)</f>
        <v>1052.5900000000001</v>
      </c>
      <c r="H3" s="354" t="s">
        <v>508</v>
      </c>
      <c r="I3" s="354">
        <f>SUM(I6:I66)-SUM(H6:H66)</f>
        <v>2870.95</v>
      </c>
      <c r="J3" s="356" t="s">
        <v>508</v>
      </c>
      <c r="K3" s="356">
        <f>SUM(K6:K66)-SUM(J6:J66)</f>
        <v>2280</v>
      </c>
      <c r="L3" s="354" t="s">
        <v>508</v>
      </c>
      <c r="M3" s="354">
        <f>SUM(M6:M66)-SUM(L6:L66)</f>
        <v>38.039999999999992</v>
      </c>
      <c r="N3" s="356" t="s">
        <v>508</v>
      </c>
      <c r="O3" s="356">
        <f>SUM(O6:O66)-SUM(N6:N66)</f>
        <v>38.039999999999992</v>
      </c>
      <c r="P3" s="354" t="s">
        <v>508</v>
      </c>
      <c r="Q3" s="354">
        <f>SUM(Q6:Q66)-SUM(P6:P66)</f>
        <v>94.360000000000014</v>
      </c>
      <c r="R3" s="356" t="s">
        <v>508</v>
      </c>
      <c r="S3" s="356">
        <f>SUM(S6:S66)-SUM(R6:R66)</f>
        <v>-224.7800000000002</v>
      </c>
      <c r="T3" s="354" t="s">
        <v>508</v>
      </c>
      <c r="U3" s="354">
        <f>SUM(U6:U66)-SUM(T6:T66)</f>
        <v>-5617.66</v>
      </c>
      <c r="V3" s="356" t="s">
        <v>508</v>
      </c>
      <c r="W3" s="356">
        <f>SUM(W6:W66)-SUM(V6:V66)</f>
        <v>900</v>
      </c>
      <c r="X3" s="354" t="s">
        <v>508</v>
      </c>
      <c r="Y3" s="354">
        <f>SUM(Y6:Y66)-SUM(X6:X66)</f>
        <v>39.5</v>
      </c>
      <c r="Z3" s="356" t="s">
        <v>508</v>
      </c>
      <c r="AA3" s="356">
        <f>SUM(AA6:AA66)-SUM(Z6:Z66)</f>
        <v>1143.5999999999999</v>
      </c>
      <c r="AB3" s="354" t="s">
        <v>508</v>
      </c>
      <c r="AC3" s="354">
        <f>SUM(AC6:AC66)-SUM(AB6:AB66)</f>
        <v>94.360000000000014</v>
      </c>
    </row>
    <row r="4" spans="1:29" ht="14.25" customHeight="1" x14ac:dyDescent="0.3">
      <c r="A4" s="349" t="s">
        <v>509</v>
      </c>
      <c r="B4" s="358"/>
      <c r="C4" s="351"/>
      <c r="D4" s="569" t="s">
        <v>510</v>
      </c>
      <c r="E4" s="564"/>
      <c r="F4" s="570" t="s">
        <v>510</v>
      </c>
      <c r="G4" s="564"/>
      <c r="H4" s="569" t="s">
        <v>510</v>
      </c>
      <c r="I4" s="564"/>
      <c r="J4" s="570" t="s">
        <v>510</v>
      </c>
      <c r="K4" s="564"/>
      <c r="L4" s="569" t="s">
        <v>510</v>
      </c>
      <c r="M4" s="564"/>
      <c r="N4" s="570" t="s">
        <v>510</v>
      </c>
      <c r="O4" s="564"/>
      <c r="P4" s="569" t="s">
        <v>510</v>
      </c>
      <c r="Q4" s="564"/>
      <c r="R4" s="570" t="s">
        <v>511</v>
      </c>
      <c r="S4" s="564"/>
      <c r="T4" s="569" t="s">
        <v>512</v>
      </c>
      <c r="U4" s="564"/>
      <c r="V4" s="570" t="s">
        <v>510</v>
      </c>
      <c r="W4" s="564"/>
      <c r="X4" s="569" t="s">
        <v>510</v>
      </c>
      <c r="Y4" s="564"/>
      <c r="Z4" s="570" t="s">
        <v>510</v>
      </c>
      <c r="AA4" s="564"/>
      <c r="AB4" s="569" t="s">
        <v>510</v>
      </c>
      <c r="AC4" s="564"/>
    </row>
    <row r="5" spans="1:29" ht="14.25" customHeight="1" x14ac:dyDescent="0.3">
      <c r="A5" s="349" t="s">
        <v>513</v>
      </c>
      <c r="B5" s="358"/>
      <c r="C5" s="351"/>
      <c r="D5" s="353">
        <f t="shared" ref="D5:AC5" si="1">SUM(D6:D65)</f>
        <v>2804.9300000000003</v>
      </c>
      <c r="E5" s="354">
        <f t="shared" si="1"/>
        <v>18731.449999999997</v>
      </c>
      <c r="F5" s="356">
        <f t="shared" si="1"/>
        <v>0</v>
      </c>
      <c r="G5" s="356">
        <f t="shared" si="1"/>
        <v>552.59</v>
      </c>
      <c r="H5" s="354">
        <f t="shared" si="1"/>
        <v>529.04999999999995</v>
      </c>
      <c r="I5" s="354">
        <f t="shared" si="1"/>
        <v>1400</v>
      </c>
      <c r="J5" s="356">
        <f t="shared" si="1"/>
        <v>0</v>
      </c>
      <c r="K5" s="356">
        <f t="shared" si="1"/>
        <v>1280</v>
      </c>
      <c r="L5" s="354">
        <f t="shared" si="1"/>
        <v>126.96000000000001</v>
      </c>
      <c r="M5" s="354">
        <f t="shared" si="1"/>
        <v>100</v>
      </c>
      <c r="N5" s="356">
        <f t="shared" si="1"/>
        <v>126.96000000000001</v>
      </c>
      <c r="O5" s="356">
        <f t="shared" si="1"/>
        <v>100</v>
      </c>
      <c r="P5" s="354">
        <f t="shared" si="1"/>
        <v>185.64</v>
      </c>
      <c r="Q5" s="354">
        <f t="shared" si="1"/>
        <v>180</v>
      </c>
      <c r="R5" s="356">
        <f t="shared" si="1"/>
        <v>3824.78</v>
      </c>
      <c r="S5" s="356">
        <f t="shared" si="1"/>
        <v>1600</v>
      </c>
      <c r="T5" s="354">
        <f t="shared" si="1"/>
        <v>9617.66</v>
      </c>
      <c r="U5" s="354">
        <f t="shared" si="1"/>
        <v>1500</v>
      </c>
      <c r="V5" s="356">
        <f t="shared" si="1"/>
        <v>0</v>
      </c>
      <c r="W5" s="356">
        <f t="shared" si="1"/>
        <v>400</v>
      </c>
      <c r="X5" s="354">
        <f t="shared" si="1"/>
        <v>500.5</v>
      </c>
      <c r="Y5" s="354">
        <f t="shared" si="1"/>
        <v>340</v>
      </c>
      <c r="Z5" s="356">
        <f t="shared" si="1"/>
        <v>1276.4000000000001</v>
      </c>
      <c r="AA5" s="356">
        <f t="shared" si="1"/>
        <v>920</v>
      </c>
      <c r="AB5" s="354">
        <f t="shared" si="1"/>
        <v>185.64</v>
      </c>
      <c r="AC5" s="354">
        <f t="shared" si="1"/>
        <v>180</v>
      </c>
    </row>
    <row r="6" spans="1:29" ht="14.25" customHeight="1" x14ac:dyDescent="0.3">
      <c r="A6" s="349" t="s">
        <v>514</v>
      </c>
      <c r="B6" s="358" t="s">
        <v>515</v>
      </c>
      <c r="C6" s="295" t="s">
        <v>516</v>
      </c>
      <c r="D6" s="353" t="s">
        <v>281</v>
      </c>
      <c r="E6" s="354" t="s">
        <v>282</v>
      </c>
      <c r="F6" s="356" t="s">
        <v>281</v>
      </c>
      <c r="G6" s="356" t="s">
        <v>282</v>
      </c>
      <c r="H6" s="354" t="s">
        <v>281</v>
      </c>
      <c r="I6" s="354" t="s">
        <v>282</v>
      </c>
      <c r="J6" s="356" t="s">
        <v>281</v>
      </c>
      <c r="K6" s="356" t="s">
        <v>282</v>
      </c>
      <c r="L6" s="354" t="s">
        <v>281</v>
      </c>
      <c r="M6" s="354" t="s">
        <v>282</v>
      </c>
      <c r="N6" s="356" t="s">
        <v>281</v>
      </c>
      <c r="O6" s="356" t="s">
        <v>282</v>
      </c>
      <c r="P6" s="354" t="s">
        <v>281</v>
      </c>
      <c r="Q6" s="354" t="s">
        <v>282</v>
      </c>
      <c r="R6" s="356" t="s">
        <v>281</v>
      </c>
      <c r="S6" s="356" t="s">
        <v>282</v>
      </c>
      <c r="T6" s="354" t="s">
        <v>281</v>
      </c>
      <c r="U6" s="354" t="s">
        <v>282</v>
      </c>
      <c r="V6" s="356" t="s">
        <v>281</v>
      </c>
      <c r="W6" s="356" t="s">
        <v>282</v>
      </c>
      <c r="X6" s="354" t="s">
        <v>281</v>
      </c>
      <c r="Y6" s="354" t="s">
        <v>282</v>
      </c>
      <c r="Z6" s="356" t="s">
        <v>281</v>
      </c>
      <c r="AA6" s="356" t="s">
        <v>282</v>
      </c>
      <c r="AB6" s="354" t="s">
        <v>281</v>
      </c>
      <c r="AC6" s="354" t="s">
        <v>282</v>
      </c>
    </row>
    <row r="7" spans="1:29" ht="14.25" customHeight="1" x14ac:dyDescent="0.3">
      <c r="A7" s="349">
        <v>46155</v>
      </c>
      <c r="B7" s="358">
        <f t="shared" ref="B7:B66" si="2">SUM(E7,U7,K7,G7,I7,S7,O7,M7,Q7,W7,Y7,AA7,AC7)-SUM(D7,F7,T7,H7,R7,N7,J7,L7,P7,V7,X7,Z7,AB7)</f>
        <v>-221.4</v>
      </c>
      <c r="C7" s="359" t="s">
        <v>872</v>
      </c>
      <c r="D7" s="353"/>
      <c r="E7" s="354"/>
      <c r="F7" s="356"/>
      <c r="G7" s="356"/>
      <c r="H7" s="354">
        <v>221.4</v>
      </c>
      <c r="I7" s="354"/>
      <c r="J7" s="356"/>
      <c r="K7" s="356"/>
      <c r="L7" s="354"/>
      <c r="M7" s="354"/>
      <c r="N7" s="356"/>
      <c r="O7" s="356"/>
      <c r="P7" s="354"/>
      <c r="Q7" s="354"/>
      <c r="R7" s="356"/>
      <c r="S7" s="356"/>
      <c r="T7" s="354"/>
      <c r="U7" s="354"/>
      <c r="V7" s="356"/>
      <c r="W7" s="356"/>
      <c r="X7" s="354"/>
      <c r="Y7" s="354"/>
      <c r="Z7" s="356"/>
      <c r="AA7" s="356"/>
      <c r="AB7" s="354"/>
      <c r="AC7" s="354"/>
    </row>
    <row r="8" spans="1:29" ht="14.25" customHeight="1" x14ac:dyDescent="0.3">
      <c r="A8" s="349">
        <v>46155</v>
      </c>
      <c r="B8" s="358">
        <f t="shared" si="2"/>
        <v>444.44</v>
      </c>
      <c r="C8" s="359" t="s">
        <v>533</v>
      </c>
      <c r="D8" s="353"/>
      <c r="E8" s="354">
        <v>444.44</v>
      </c>
      <c r="F8" s="356"/>
      <c r="G8" s="356"/>
      <c r="H8" s="354"/>
      <c r="I8" s="354"/>
      <c r="J8" s="356"/>
      <c r="K8" s="356"/>
      <c r="L8" s="354"/>
      <c r="M8" s="354"/>
      <c r="N8" s="356"/>
      <c r="O8" s="356"/>
      <c r="P8" s="354"/>
      <c r="Q8" s="354"/>
      <c r="R8" s="356"/>
      <c r="S8" s="356"/>
      <c r="T8" s="354"/>
      <c r="U8" s="354"/>
      <c r="V8" s="356"/>
      <c r="W8" s="356"/>
      <c r="X8" s="354"/>
      <c r="Y8" s="354"/>
      <c r="Z8" s="356"/>
      <c r="AA8" s="356"/>
      <c r="AB8" s="354"/>
      <c r="AC8" s="354"/>
    </row>
    <row r="9" spans="1:29" ht="14.25" customHeight="1" x14ac:dyDescent="0.3">
      <c r="A9" s="349">
        <v>46155</v>
      </c>
      <c r="B9" s="358">
        <f t="shared" si="2"/>
        <v>351.69</v>
      </c>
      <c r="C9" s="359" t="s">
        <v>875</v>
      </c>
      <c r="D9" s="353"/>
      <c r="E9" s="354">
        <v>351.69</v>
      </c>
      <c r="F9" s="356"/>
      <c r="G9" s="356"/>
      <c r="H9" s="354"/>
      <c r="I9" s="354"/>
      <c r="J9" s="356"/>
      <c r="K9" s="356"/>
      <c r="L9" s="354"/>
      <c r="M9" s="354"/>
      <c r="N9" s="356"/>
      <c r="O9" s="356"/>
      <c r="P9" s="354"/>
      <c r="Q9" s="354"/>
      <c r="R9" s="356"/>
      <c r="S9" s="356"/>
      <c r="T9" s="354"/>
      <c r="U9" s="354"/>
      <c r="V9" s="356"/>
      <c r="W9" s="356"/>
      <c r="X9" s="354"/>
      <c r="Y9" s="354"/>
      <c r="Z9" s="356"/>
      <c r="AA9" s="356"/>
      <c r="AB9" s="354"/>
      <c r="AC9" s="354"/>
    </row>
    <row r="10" spans="1:29" ht="14.25" customHeight="1" x14ac:dyDescent="0.3">
      <c r="A10" s="349">
        <v>46153</v>
      </c>
      <c r="B10" s="358">
        <f t="shared" si="2"/>
        <v>-1045.8699999999999</v>
      </c>
      <c r="C10" s="359" t="s">
        <v>859</v>
      </c>
      <c r="D10" s="353"/>
      <c r="E10" s="354"/>
      <c r="F10" s="356"/>
      <c r="G10" s="356"/>
      <c r="H10" s="354"/>
      <c r="I10" s="354"/>
      <c r="J10" s="356"/>
      <c r="K10" s="356"/>
      <c r="L10" s="354"/>
      <c r="M10" s="354"/>
      <c r="N10" s="356"/>
      <c r="O10" s="356"/>
      <c r="P10" s="354"/>
      <c r="Q10" s="354"/>
      <c r="R10" s="356"/>
      <c r="S10" s="356"/>
      <c r="T10" s="354">
        <v>1045.8699999999999</v>
      </c>
      <c r="U10" s="354"/>
      <c r="V10" s="356"/>
      <c r="W10" s="356"/>
      <c r="X10" s="354"/>
      <c r="Y10" s="354"/>
      <c r="Z10" s="356"/>
      <c r="AA10" s="356"/>
      <c r="AB10" s="354"/>
      <c r="AC10" s="354"/>
    </row>
    <row r="11" spans="1:29" ht="14.25" customHeight="1" x14ac:dyDescent="0.3">
      <c r="A11" s="349">
        <v>46151</v>
      </c>
      <c r="B11" s="358">
        <f t="shared" si="2"/>
        <v>-903.88</v>
      </c>
      <c r="C11" s="359" t="s">
        <v>873</v>
      </c>
      <c r="D11" s="353"/>
      <c r="E11" s="354"/>
      <c r="F11" s="356"/>
      <c r="G11" s="356"/>
      <c r="H11" s="354"/>
      <c r="I11" s="354"/>
      <c r="J11" s="356"/>
      <c r="K11" s="356"/>
      <c r="L11" s="354"/>
      <c r="M11" s="354"/>
      <c r="N11" s="356"/>
      <c r="O11" s="356"/>
      <c r="P11" s="354"/>
      <c r="Q11" s="354"/>
      <c r="R11" s="356"/>
      <c r="S11" s="356"/>
      <c r="T11" s="354">
        <v>903.88</v>
      </c>
      <c r="U11" s="354"/>
      <c r="V11" s="356"/>
      <c r="W11" s="356"/>
      <c r="X11" s="354"/>
      <c r="Y11" s="354"/>
      <c r="Z11" s="356"/>
      <c r="AA11" s="356"/>
      <c r="AB11" s="354"/>
      <c r="AC11" s="354"/>
    </row>
    <row r="12" spans="1:29" ht="14.25" customHeight="1" x14ac:dyDescent="0.3">
      <c r="A12" s="349">
        <v>46149</v>
      </c>
      <c r="B12" s="358">
        <f t="shared" si="2"/>
        <v>69.400000000000006</v>
      </c>
      <c r="C12" s="359" t="s">
        <v>523</v>
      </c>
      <c r="D12" s="353"/>
      <c r="E12" s="354"/>
      <c r="F12" s="356"/>
      <c r="G12" s="356">
        <v>69.400000000000006</v>
      </c>
      <c r="H12" s="354"/>
      <c r="I12" s="354"/>
      <c r="J12" s="356"/>
      <c r="K12" s="356"/>
      <c r="L12" s="354"/>
      <c r="M12" s="354"/>
      <c r="N12" s="356"/>
      <c r="O12" s="356"/>
      <c r="P12" s="354"/>
      <c r="Q12" s="354"/>
      <c r="R12" s="356"/>
      <c r="S12" s="356"/>
      <c r="T12" s="354"/>
      <c r="U12" s="354"/>
      <c r="V12" s="356"/>
      <c r="W12" s="356"/>
      <c r="X12" s="354"/>
      <c r="Y12" s="354"/>
      <c r="Z12" s="356"/>
      <c r="AA12" s="356"/>
      <c r="AB12" s="354"/>
      <c r="AC12" s="354"/>
    </row>
    <row r="13" spans="1:29" ht="14.25" customHeight="1" x14ac:dyDescent="0.3">
      <c r="A13" s="349">
        <v>46148</v>
      </c>
      <c r="B13" s="358">
        <f t="shared" si="2"/>
        <v>-500.5</v>
      </c>
      <c r="C13" s="359" t="s">
        <v>212</v>
      </c>
      <c r="D13" s="353"/>
      <c r="E13" s="354"/>
      <c r="F13" s="356"/>
      <c r="G13" s="356"/>
      <c r="H13" s="354"/>
      <c r="I13" s="354"/>
      <c r="J13" s="356"/>
      <c r="K13" s="356"/>
      <c r="L13" s="354"/>
      <c r="M13" s="354"/>
      <c r="N13" s="356"/>
      <c r="O13" s="356"/>
      <c r="P13" s="354"/>
      <c r="Q13" s="354"/>
      <c r="R13" s="356"/>
      <c r="S13" s="356"/>
      <c r="T13" s="354"/>
      <c r="U13" s="354"/>
      <c r="V13" s="356"/>
      <c r="W13" s="356"/>
      <c r="X13" s="354">
        <v>500.5</v>
      </c>
      <c r="Y13" s="354"/>
      <c r="Z13" s="356"/>
      <c r="AA13" s="356"/>
      <c r="AB13" s="354"/>
      <c r="AC13" s="354"/>
    </row>
    <row r="14" spans="1:29" ht="14.25" customHeight="1" x14ac:dyDescent="0.3">
      <c r="A14" s="349">
        <v>46148</v>
      </c>
      <c r="B14" s="358">
        <f t="shared" si="2"/>
        <v>-457.94</v>
      </c>
      <c r="C14" s="359" t="s">
        <v>874</v>
      </c>
      <c r="D14" s="353">
        <v>457.94</v>
      </c>
      <c r="E14" s="354"/>
      <c r="F14" s="356"/>
      <c r="G14" s="356"/>
      <c r="H14" s="354"/>
      <c r="I14" s="354"/>
      <c r="J14" s="356"/>
      <c r="K14" s="356"/>
      <c r="L14" s="354"/>
      <c r="M14" s="354"/>
      <c r="N14" s="356"/>
      <c r="O14" s="356"/>
      <c r="P14" s="354"/>
      <c r="Q14" s="354"/>
      <c r="R14" s="356"/>
      <c r="S14" s="356"/>
      <c r="T14" s="354"/>
      <c r="U14" s="354"/>
      <c r="V14" s="356"/>
      <c r="W14" s="356"/>
      <c r="X14" s="354"/>
      <c r="Y14" s="354"/>
      <c r="Z14" s="356"/>
      <c r="AA14" s="356"/>
      <c r="AB14" s="354"/>
      <c r="AC14" s="354"/>
    </row>
    <row r="15" spans="1:29" ht="14.25" customHeight="1" x14ac:dyDescent="0.3">
      <c r="A15" s="349">
        <v>46142</v>
      </c>
      <c r="B15" s="358">
        <f t="shared" si="2"/>
        <v>5616.82</v>
      </c>
      <c r="C15" s="359" t="s">
        <v>285</v>
      </c>
      <c r="D15" s="353"/>
      <c r="E15" s="354">
        <v>5616.82</v>
      </c>
      <c r="F15" s="356"/>
      <c r="G15" s="356"/>
      <c r="H15" s="354"/>
      <c r="I15" s="354"/>
      <c r="J15" s="356"/>
      <c r="K15" s="356"/>
      <c r="L15" s="354"/>
      <c r="M15" s="354"/>
      <c r="N15" s="356"/>
      <c r="O15" s="356"/>
      <c r="P15" s="354"/>
      <c r="Q15" s="354"/>
      <c r="R15" s="356"/>
      <c r="S15" s="356"/>
      <c r="T15" s="354"/>
      <c r="U15" s="354"/>
      <c r="V15" s="356"/>
      <c r="W15" s="356"/>
      <c r="X15" s="354"/>
      <c r="Y15" s="354"/>
      <c r="Z15" s="356"/>
      <c r="AA15" s="356"/>
      <c r="AB15" s="354"/>
      <c r="AC15" s="354"/>
    </row>
    <row r="16" spans="1:29" ht="14.25" customHeight="1" x14ac:dyDescent="0.3">
      <c r="A16" s="349">
        <v>46142</v>
      </c>
      <c r="B16" s="358">
        <f t="shared" si="2"/>
        <v>2000</v>
      </c>
      <c r="C16" s="359" t="s">
        <v>517</v>
      </c>
      <c r="D16" s="353"/>
      <c r="E16" s="354"/>
      <c r="F16" s="356"/>
      <c r="G16" s="356"/>
      <c r="H16" s="354"/>
      <c r="I16" s="354">
        <v>350</v>
      </c>
      <c r="J16" s="356"/>
      <c r="K16" s="356">
        <v>320</v>
      </c>
      <c r="L16" s="354"/>
      <c r="M16" s="354">
        <v>25</v>
      </c>
      <c r="N16" s="356"/>
      <c r="O16" s="356">
        <v>25</v>
      </c>
      <c r="P16" s="354"/>
      <c r="Q16" s="354">
        <v>45</v>
      </c>
      <c r="R16" s="356"/>
      <c r="S16" s="356">
        <v>400</v>
      </c>
      <c r="T16" s="354"/>
      <c r="U16" s="354">
        <v>375</v>
      </c>
      <c r="V16" s="356"/>
      <c r="W16" s="356">
        <v>100</v>
      </c>
      <c r="X16" s="354"/>
      <c r="Y16" s="354">
        <v>85</v>
      </c>
      <c r="Z16" s="356"/>
      <c r="AA16" s="356">
        <v>230</v>
      </c>
      <c r="AB16" s="354"/>
      <c r="AC16" s="354">
        <v>45</v>
      </c>
    </row>
    <row r="17" spans="1:29" ht="14.25" customHeight="1" x14ac:dyDescent="0.3">
      <c r="A17" s="349">
        <v>46142</v>
      </c>
      <c r="B17" s="358">
        <f t="shared" si="2"/>
        <v>62.26</v>
      </c>
      <c r="C17" s="359" t="s">
        <v>518</v>
      </c>
      <c r="D17" s="353"/>
      <c r="E17" s="354"/>
      <c r="F17" s="356"/>
      <c r="G17" s="356">
        <v>62.26</v>
      </c>
      <c r="H17" s="354"/>
      <c r="I17" s="354"/>
      <c r="J17" s="356"/>
      <c r="K17" s="356"/>
      <c r="L17" s="354"/>
      <c r="M17" s="354"/>
      <c r="N17" s="356"/>
      <c r="O17" s="356"/>
      <c r="P17" s="354"/>
      <c r="Q17" s="354"/>
      <c r="R17" s="356"/>
      <c r="S17" s="356"/>
      <c r="T17" s="354"/>
      <c r="U17" s="354"/>
      <c r="V17" s="356"/>
      <c r="W17" s="356"/>
      <c r="X17" s="354"/>
      <c r="Y17" s="354"/>
      <c r="Z17" s="356"/>
      <c r="AA17" s="356"/>
      <c r="AB17" s="354"/>
      <c r="AC17" s="354"/>
    </row>
    <row r="18" spans="1:29" ht="14.25" customHeight="1" x14ac:dyDescent="0.3">
      <c r="A18" s="349">
        <v>46142</v>
      </c>
      <c r="B18" s="358">
        <f t="shared" si="2"/>
        <v>-185.64</v>
      </c>
      <c r="C18" s="359" t="s">
        <v>430</v>
      </c>
      <c r="D18" s="353"/>
      <c r="E18" s="354"/>
      <c r="F18" s="356"/>
      <c r="G18" s="356"/>
      <c r="H18" s="354"/>
      <c r="I18" s="354"/>
      <c r="J18" s="356"/>
      <c r="K18" s="356"/>
      <c r="L18" s="354"/>
      <c r="M18" s="354"/>
      <c r="N18" s="356"/>
      <c r="O18" s="356"/>
      <c r="P18" s="354">
        <v>92.82</v>
      </c>
      <c r="Q18" s="354"/>
      <c r="R18" s="356"/>
      <c r="S18" s="356"/>
      <c r="T18" s="354"/>
      <c r="U18" s="354"/>
      <c r="V18" s="356"/>
      <c r="W18" s="356"/>
      <c r="X18" s="354"/>
      <c r="Y18" s="354"/>
      <c r="Z18" s="356"/>
      <c r="AA18" s="356"/>
      <c r="AB18" s="354">
        <v>92.82</v>
      </c>
      <c r="AC18" s="354"/>
    </row>
    <row r="19" spans="1:29" ht="14.25" customHeight="1" x14ac:dyDescent="0.3">
      <c r="A19" s="349">
        <v>46142</v>
      </c>
      <c r="B19" s="358">
        <f t="shared" si="2"/>
        <v>-127.68</v>
      </c>
      <c r="C19" s="359" t="s">
        <v>316</v>
      </c>
      <c r="D19" s="353"/>
      <c r="E19" s="354"/>
      <c r="F19" s="356"/>
      <c r="G19" s="356"/>
      <c r="H19" s="354"/>
      <c r="I19" s="354"/>
      <c r="J19" s="356"/>
      <c r="K19" s="356"/>
      <c r="L19" s="354">
        <v>63.84</v>
      </c>
      <c r="M19" s="354"/>
      <c r="N19" s="356">
        <v>63.84</v>
      </c>
      <c r="O19" s="356"/>
      <c r="P19" s="354"/>
      <c r="Q19" s="354"/>
      <c r="R19" s="356"/>
      <c r="S19" s="356"/>
      <c r="T19" s="354"/>
      <c r="U19" s="354"/>
      <c r="V19" s="356"/>
      <c r="W19" s="356"/>
      <c r="X19" s="354"/>
      <c r="Y19" s="354"/>
      <c r="Z19" s="356"/>
      <c r="AA19" s="356"/>
      <c r="AB19" s="354"/>
      <c r="AC19" s="354"/>
    </row>
    <row r="20" spans="1:29" ht="14.25" customHeight="1" x14ac:dyDescent="0.3">
      <c r="A20" s="349">
        <v>46142</v>
      </c>
      <c r="B20" s="358">
        <f t="shared" si="2"/>
        <v>0.52</v>
      </c>
      <c r="C20" s="359" t="s">
        <v>519</v>
      </c>
      <c r="D20" s="353"/>
      <c r="E20" s="354"/>
      <c r="F20" s="356"/>
      <c r="G20" s="356">
        <v>0.52</v>
      </c>
      <c r="H20" s="354"/>
      <c r="I20" s="354"/>
      <c r="J20" s="356"/>
      <c r="K20" s="356"/>
      <c r="L20" s="354"/>
      <c r="M20" s="354"/>
      <c r="N20" s="356"/>
      <c r="O20" s="356"/>
      <c r="P20" s="354"/>
      <c r="Q20" s="354"/>
      <c r="R20" s="356"/>
      <c r="S20" s="356"/>
      <c r="T20" s="354"/>
      <c r="U20" s="354"/>
      <c r="V20" s="356"/>
      <c r="W20" s="356"/>
      <c r="X20" s="354"/>
      <c r="Y20" s="354"/>
      <c r="Z20" s="356"/>
      <c r="AA20" s="356"/>
      <c r="AB20" s="354"/>
      <c r="AC20" s="354"/>
    </row>
    <row r="21" spans="1:29" ht="14.25" customHeight="1" x14ac:dyDescent="0.3">
      <c r="A21" s="349">
        <v>46130</v>
      </c>
      <c r="B21" s="358">
        <f t="shared" si="2"/>
        <v>-578.57000000000005</v>
      </c>
      <c r="C21" s="359" t="s">
        <v>520</v>
      </c>
      <c r="D21" s="353"/>
      <c r="E21" s="354"/>
      <c r="F21" s="356"/>
      <c r="G21" s="356"/>
      <c r="H21" s="354"/>
      <c r="I21" s="354"/>
      <c r="J21" s="356"/>
      <c r="K21" s="356"/>
      <c r="L21" s="354"/>
      <c r="M21" s="354"/>
      <c r="N21" s="356"/>
      <c r="O21" s="356"/>
      <c r="P21" s="354"/>
      <c r="Q21" s="354"/>
      <c r="R21" s="356"/>
      <c r="S21" s="356"/>
      <c r="T21" s="354">
        <v>578.57000000000005</v>
      </c>
      <c r="U21" s="354"/>
      <c r="V21" s="356"/>
      <c r="W21" s="356"/>
      <c r="X21" s="354"/>
      <c r="Y21" s="354"/>
      <c r="Z21" s="356"/>
      <c r="AA21" s="356"/>
      <c r="AB21" s="354"/>
      <c r="AC21" s="354"/>
    </row>
    <row r="22" spans="1:29" ht="14.25" customHeight="1" x14ac:dyDescent="0.3">
      <c r="A22" s="349">
        <v>46130</v>
      </c>
      <c r="B22" s="358">
        <f t="shared" si="2"/>
        <v>-93.71</v>
      </c>
      <c r="C22" s="359" t="s">
        <v>521</v>
      </c>
      <c r="D22" s="353"/>
      <c r="E22" s="354"/>
      <c r="F22" s="356"/>
      <c r="G22" s="356"/>
      <c r="H22" s="354">
        <v>93.71</v>
      </c>
      <c r="I22" s="354"/>
      <c r="J22" s="356"/>
      <c r="K22" s="356"/>
      <c r="L22" s="354"/>
      <c r="M22" s="354"/>
      <c r="N22" s="356"/>
      <c r="O22" s="356"/>
      <c r="P22" s="354"/>
      <c r="Q22" s="354"/>
      <c r="R22" s="356"/>
      <c r="S22" s="356"/>
      <c r="T22" s="354"/>
      <c r="U22" s="354"/>
      <c r="V22" s="356"/>
      <c r="W22" s="356"/>
      <c r="X22" s="354"/>
      <c r="Y22" s="354"/>
      <c r="Z22" s="356"/>
      <c r="AA22" s="356"/>
      <c r="AB22" s="354"/>
      <c r="AC22" s="354"/>
    </row>
    <row r="23" spans="1:29" ht="14.25" customHeight="1" x14ac:dyDescent="0.3">
      <c r="A23" s="349">
        <v>46130</v>
      </c>
      <c r="B23" s="358">
        <f t="shared" si="2"/>
        <v>-318.36</v>
      </c>
      <c r="C23" s="359" t="s">
        <v>522</v>
      </c>
      <c r="D23" s="353"/>
      <c r="E23" s="354"/>
      <c r="F23" s="356"/>
      <c r="G23" s="356"/>
      <c r="H23" s="354"/>
      <c r="I23" s="354"/>
      <c r="J23" s="356"/>
      <c r="K23" s="356"/>
      <c r="L23" s="354"/>
      <c r="M23" s="354"/>
      <c r="N23" s="356"/>
      <c r="O23" s="356"/>
      <c r="P23" s="354"/>
      <c r="Q23" s="354"/>
      <c r="R23" s="356">
        <v>318.36</v>
      </c>
      <c r="S23" s="356"/>
      <c r="T23" s="354"/>
      <c r="U23" s="354"/>
      <c r="V23" s="356"/>
      <c r="W23" s="356"/>
      <c r="X23" s="354"/>
      <c r="Y23" s="354"/>
      <c r="Z23" s="356"/>
      <c r="AA23" s="356"/>
      <c r="AB23" s="354"/>
      <c r="AC23" s="354"/>
    </row>
    <row r="24" spans="1:29" ht="14.25" customHeight="1" x14ac:dyDescent="0.3">
      <c r="A24" s="349">
        <v>46129</v>
      </c>
      <c r="B24" s="358">
        <f t="shared" si="2"/>
        <v>62.19</v>
      </c>
      <c r="C24" s="359" t="s">
        <v>523</v>
      </c>
      <c r="D24" s="353"/>
      <c r="E24" s="354"/>
      <c r="F24" s="356"/>
      <c r="G24" s="356">
        <v>62.19</v>
      </c>
      <c r="H24" s="354"/>
      <c r="I24" s="354"/>
      <c r="J24" s="356"/>
      <c r="K24" s="356"/>
      <c r="L24" s="354"/>
      <c r="M24" s="354"/>
      <c r="N24" s="356"/>
      <c r="O24" s="356"/>
      <c r="P24" s="354"/>
      <c r="Q24" s="354"/>
      <c r="R24" s="356"/>
      <c r="S24" s="356"/>
      <c r="T24" s="354"/>
      <c r="U24" s="354"/>
      <c r="V24" s="356"/>
      <c r="W24" s="356"/>
      <c r="X24" s="354"/>
      <c r="Y24" s="354"/>
      <c r="Z24" s="356"/>
      <c r="AA24" s="356"/>
      <c r="AB24" s="354"/>
      <c r="AC24" s="354"/>
    </row>
    <row r="25" spans="1:29" ht="14.25" customHeight="1" x14ac:dyDescent="0.3">
      <c r="A25" s="349">
        <v>46112</v>
      </c>
      <c r="B25" s="358">
        <f t="shared" si="2"/>
        <v>4309.58</v>
      </c>
      <c r="C25" s="359" t="s">
        <v>524</v>
      </c>
      <c r="D25" s="353"/>
      <c r="E25" s="354">
        <v>4309.58</v>
      </c>
      <c r="F25" s="356"/>
      <c r="G25" s="356"/>
      <c r="H25" s="354"/>
      <c r="I25" s="354"/>
      <c r="J25" s="356"/>
      <c r="K25" s="356"/>
      <c r="L25" s="354"/>
      <c r="M25" s="354"/>
      <c r="N25" s="356"/>
      <c r="O25" s="356"/>
      <c r="P25" s="354"/>
      <c r="Q25" s="354"/>
      <c r="R25" s="356"/>
      <c r="S25" s="356"/>
      <c r="T25" s="354"/>
      <c r="U25" s="354"/>
      <c r="V25" s="356"/>
      <c r="W25" s="356"/>
      <c r="X25" s="354"/>
      <c r="Y25" s="354"/>
      <c r="Z25" s="356"/>
      <c r="AA25" s="356"/>
      <c r="AB25" s="354"/>
      <c r="AC25" s="354"/>
    </row>
    <row r="26" spans="1:29" ht="14.25" customHeight="1" x14ac:dyDescent="0.3">
      <c r="A26" s="349">
        <v>46112</v>
      </c>
      <c r="B26" s="358">
        <f t="shared" si="2"/>
        <v>2000</v>
      </c>
      <c r="C26" s="359" t="s">
        <v>525</v>
      </c>
      <c r="D26" s="353"/>
      <c r="E26" s="354"/>
      <c r="F26" s="356"/>
      <c r="G26" s="356"/>
      <c r="H26" s="354"/>
      <c r="I26" s="354">
        <v>350</v>
      </c>
      <c r="J26" s="356"/>
      <c r="K26" s="356">
        <v>320</v>
      </c>
      <c r="L26" s="354"/>
      <c r="M26" s="354">
        <v>25</v>
      </c>
      <c r="N26" s="356"/>
      <c r="O26" s="356">
        <v>25</v>
      </c>
      <c r="P26" s="354"/>
      <c r="Q26" s="354">
        <v>45</v>
      </c>
      <c r="R26" s="356"/>
      <c r="S26" s="356">
        <v>400</v>
      </c>
      <c r="T26" s="354"/>
      <c r="U26" s="354">
        <v>375</v>
      </c>
      <c r="V26" s="356"/>
      <c r="W26" s="356">
        <v>100</v>
      </c>
      <c r="X26" s="354"/>
      <c r="Y26" s="354">
        <v>85</v>
      </c>
      <c r="Z26" s="356"/>
      <c r="AA26" s="356">
        <v>230</v>
      </c>
      <c r="AB26" s="354"/>
      <c r="AC26" s="354">
        <v>45</v>
      </c>
    </row>
    <row r="27" spans="1:29" ht="14.25" customHeight="1" x14ac:dyDescent="0.3">
      <c r="A27" s="349">
        <v>46112</v>
      </c>
      <c r="B27" s="358">
        <f t="shared" si="2"/>
        <v>0.34</v>
      </c>
      <c r="C27" s="359" t="s">
        <v>519</v>
      </c>
      <c r="D27" s="353"/>
      <c r="E27" s="354"/>
      <c r="F27" s="356"/>
      <c r="G27" s="356">
        <v>0.34</v>
      </c>
      <c r="H27" s="354"/>
      <c r="I27" s="354"/>
      <c r="J27" s="356"/>
      <c r="K27" s="356"/>
      <c r="L27" s="354"/>
      <c r="M27" s="354"/>
      <c r="N27" s="356"/>
      <c r="O27" s="356"/>
      <c r="P27" s="354"/>
      <c r="Q27" s="354"/>
      <c r="R27" s="356"/>
      <c r="S27" s="356"/>
      <c r="T27" s="354"/>
      <c r="U27" s="354"/>
      <c r="V27" s="356"/>
      <c r="W27" s="356"/>
      <c r="X27" s="354"/>
      <c r="Y27" s="354"/>
      <c r="Z27" s="356"/>
      <c r="AA27" s="356"/>
      <c r="AB27" s="354"/>
      <c r="AC27" s="354"/>
    </row>
    <row r="28" spans="1:29" ht="14.25" customHeight="1" x14ac:dyDescent="0.3">
      <c r="A28" s="349">
        <v>46112</v>
      </c>
      <c r="B28" s="358">
        <f t="shared" si="2"/>
        <v>-1200</v>
      </c>
      <c r="C28" s="359" t="s">
        <v>526</v>
      </c>
      <c r="D28" s="353"/>
      <c r="E28" s="354"/>
      <c r="F28" s="356"/>
      <c r="G28" s="356"/>
      <c r="H28" s="354"/>
      <c r="I28" s="354"/>
      <c r="J28" s="356"/>
      <c r="K28" s="356"/>
      <c r="L28" s="354"/>
      <c r="M28" s="354"/>
      <c r="N28" s="356"/>
      <c r="O28" s="356"/>
      <c r="P28" s="354"/>
      <c r="Q28" s="354"/>
      <c r="R28" s="356"/>
      <c r="S28" s="356"/>
      <c r="T28" s="354">
        <v>1200</v>
      </c>
      <c r="U28" s="354"/>
      <c r="V28" s="356"/>
      <c r="W28" s="356"/>
      <c r="X28" s="354"/>
      <c r="Y28" s="354"/>
      <c r="Z28" s="356"/>
      <c r="AA28" s="356"/>
      <c r="AB28" s="354"/>
      <c r="AC28" s="354"/>
    </row>
    <row r="29" spans="1:29" ht="14.25" customHeight="1" x14ac:dyDescent="0.3">
      <c r="A29" s="349">
        <v>46108</v>
      </c>
      <c r="B29" s="358">
        <f t="shared" si="2"/>
        <v>68.72</v>
      </c>
      <c r="C29" s="359" t="s">
        <v>518</v>
      </c>
      <c r="D29" s="353"/>
      <c r="E29" s="354"/>
      <c r="F29" s="356"/>
      <c r="G29" s="356">
        <v>68.72</v>
      </c>
      <c r="H29" s="354"/>
      <c r="I29" s="354"/>
      <c r="J29" s="356"/>
      <c r="K29" s="356"/>
      <c r="L29" s="354"/>
      <c r="M29" s="354"/>
      <c r="N29" s="356"/>
      <c r="O29" s="356"/>
      <c r="P29" s="354"/>
      <c r="Q29" s="354"/>
      <c r="R29" s="356"/>
      <c r="S29" s="356"/>
      <c r="T29" s="354"/>
      <c r="U29" s="354"/>
      <c r="V29" s="356"/>
      <c r="W29" s="356"/>
      <c r="X29" s="354"/>
      <c r="Y29" s="354"/>
      <c r="Z29" s="356"/>
      <c r="AA29" s="356"/>
      <c r="AB29" s="354"/>
      <c r="AC29" s="354"/>
    </row>
    <row r="30" spans="1:29" ht="14.25" customHeight="1" x14ac:dyDescent="0.3">
      <c r="A30" s="349">
        <v>46104</v>
      </c>
      <c r="B30" s="358">
        <f t="shared" si="2"/>
        <v>-6</v>
      </c>
      <c r="C30" s="359" t="s">
        <v>527</v>
      </c>
      <c r="D30" s="353">
        <v>6</v>
      </c>
      <c r="E30" s="354"/>
      <c r="F30" s="356"/>
      <c r="G30" s="356"/>
      <c r="H30" s="354"/>
      <c r="I30" s="354"/>
      <c r="J30" s="356"/>
      <c r="K30" s="356"/>
      <c r="L30" s="354"/>
      <c r="M30" s="354"/>
      <c r="N30" s="356"/>
      <c r="O30" s="356"/>
      <c r="P30" s="354"/>
      <c r="Q30" s="354"/>
      <c r="R30" s="356"/>
      <c r="S30" s="356"/>
      <c r="T30" s="354"/>
      <c r="U30" s="354"/>
      <c r="V30" s="356"/>
      <c r="W30" s="356"/>
      <c r="X30" s="354"/>
      <c r="Y30" s="354"/>
      <c r="Z30" s="356"/>
      <c r="AA30" s="356"/>
      <c r="AB30" s="354"/>
      <c r="AC30" s="354"/>
    </row>
    <row r="31" spans="1:29" ht="14.25" customHeight="1" x14ac:dyDescent="0.3">
      <c r="A31" s="349">
        <v>46103</v>
      </c>
      <c r="B31" s="358">
        <f t="shared" si="2"/>
        <v>-100</v>
      </c>
      <c r="C31" s="359" t="s">
        <v>528</v>
      </c>
      <c r="D31" s="353">
        <v>100</v>
      </c>
      <c r="E31" s="354"/>
      <c r="F31" s="356"/>
      <c r="G31" s="356"/>
      <c r="H31" s="354"/>
      <c r="I31" s="354"/>
      <c r="J31" s="356"/>
      <c r="K31" s="356"/>
      <c r="L31" s="354"/>
      <c r="M31" s="354"/>
      <c r="N31" s="356"/>
      <c r="O31" s="356"/>
      <c r="P31" s="354"/>
      <c r="Q31" s="354"/>
      <c r="R31" s="356"/>
      <c r="S31" s="356"/>
      <c r="T31" s="354"/>
      <c r="U31" s="354"/>
      <c r="V31" s="356"/>
      <c r="W31" s="356"/>
      <c r="X31" s="354"/>
      <c r="Y31" s="354"/>
      <c r="Z31" s="356"/>
      <c r="AA31" s="356"/>
      <c r="AB31" s="354"/>
      <c r="AC31" s="354"/>
    </row>
    <row r="32" spans="1:29" ht="14.25" customHeight="1" x14ac:dyDescent="0.3">
      <c r="A32" s="349">
        <v>46103</v>
      </c>
      <c r="B32" s="358">
        <f t="shared" si="2"/>
        <v>-100</v>
      </c>
      <c r="C32" s="359" t="s">
        <v>529</v>
      </c>
      <c r="D32" s="353">
        <v>100</v>
      </c>
      <c r="E32" s="354"/>
      <c r="F32" s="356"/>
      <c r="G32" s="356"/>
      <c r="H32" s="354"/>
      <c r="I32" s="354"/>
      <c r="J32" s="356"/>
      <c r="K32" s="356"/>
      <c r="L32" s="354"/>
      <c r="M32" s="354"/>
      <c r="N32" s="356"/>
      <c r="O32" s="356"/>
      <c r="P32" s="354"/>
      <c r="Q32" s="354"/>
      <c r="R32" s="356"/>
      <c r="S32" s="356"/>
      <c r="T32" s="354"/>
      <c r="U32" s="354"/>
      <c r="V32" s="356"/>
      <c r="W32" s="356"/>
      <c r="X32" s="354"/>
      <c r="Y32" s="354"/>
      <c r="Z32" s="356"/>
      <c r="AA32" s="356"/>
      <c r="AB32" s="354"/>
      <c r="AC32" s="354"/>
    </row>
    <row r="33" spans="1:29" ht="14.25" customHeight="1" x14ac:dyDescent="0.3">
      <c r="A33" s="349">
        <v>46103</v>
      </c>
      <c r="B33" s="358">
        <f t="shared" si="2"/>
        <v>-50</v>
      </c>
      <c r="C33" s="359" t="s">
        <v>530</v>
      </c>
      <c r="D33" s="353">
        <v>50</v>
      </c>
      <c r="E33" s="354"/>
      <c r="F33" s="356"/>
      <c r="G33" s="356"/>
      <c r="H33" s="354"/>
      <c r="I33" s="354"/>
      <c r="J33" s="356"/>
      <c r="K33" s="356"/>
      <c r="L33" s="354"/>
      <c r="M33" s="354"/>
      <c r="N33" s="356"/>
      <c r="O33" s="356"/>
      <c r="P33" s="354"/>
      <c r="Q33" s="354"/>
      <c r="R33" s="356"/>
      <c r="S33" s="356"/>
      <c r="T33" s="354"/>
      <c r="U33" s="354"/>
      <c r="V33" s="356"/>
      <c r="W33" s="356"/>
      <c r="X33" s="354"/>
      <c r="Y33" s="354"/>
      <c r="Z33" s="356"/>
      <c r="AA33" s="356"/>
      <c r="AB33" s="354"/>
      <c r="AC33" s="354"/>
    </row>
    <row r="34" spans="1:29" ht="14.25" customHeight="1" x14ac:dyDescent="0.3">
      <c r="A34" s="349">
        <v>46103</v>
      </c>
      <c r="B34" s="358">
        <f t="shared" si="2"/>
        <v>-100</v>
      </c>
      <c r="C34" s="359" t="s">
        <v>531</v>
      </c>
      <c r="D34" s="353">
        <v>100</v>
      </c>
      <c r="E34" s="354"/>
      <c r="F34" s="356"/>
      <c r="G34" s="356"/>
      <c r="H34" s="354"/>
      <c r="I34" s="354"/>
      <c r="J34" s="356"/>
      <c r="K34" s="356"/>
      <c r="L34" s="354"/>
      <c r="M34" s="354"/>
      <c r="N34" s="356"/>
      <c r="O34" s="356"/>
      <c r="P34" s="354"/>
      <c r="Q34" s="354"/>
      <c r="R34" s="356"/>
      <c r="S34" s="356"/>
      <c r="T34" s="354"/>
      <c r="U34" s="354"/>
      <c r="V34" s="356"/>
      <c r="W34" s="356"/>
      <c r="X34" s="354"/>
      <c r="Y34" s="354"/>
      <c r="Z34" s="356"/>
      <c r="AA34" s="356"/>
      <c r="AB34" s="354"/>
      <c r="AC34" s="354"/>
    </row>
    <row r="35" spans="1:29" ht="14.25" customHeight="1" x14ac:dyDescent="0.3">
      <c r="A35" s="349">
        <v>46103</v>
      </c>
      <c r="B35" s="358">
        <f t="shared" si="2"/>
        <v>-100</v>
      </c>
      <c r="C35" s="359" t="s">
        <v>532</v>
      </c>
      <c r="D35" s="353">
        <v>100</v>
      </c>
      <c r="E35" s="354"/>
      <c r="F35" s="356"/>
      <c r="G35" s="356"/>
      <c r="H35" s="354"/>
      <c r="I35" s="354"/>
      <c r="J35" s="356"/>
      <c r="K35" s="356"/>
      <c r="L35" s="354"/>
      <c r="M35" s="354"/>
      <c r="N35" s="356"/>
      <c r="O35" s="356"/>
      <c r="P35" s="354"/>
      <c r="Q35" s="354"/>
      <c r="R35" s="356"/>
      <c r="S35" s="356"/>
      <c r="T35" s="354"/>
      <c r="U35" s="354"/>
      <c r="V35" s="356"/>
      <c r="W35" s="356"/>
      <c r="X35" s="354"/>
      <c r="Y35" s="354"/>
      <c r="Z35" s="356"/>
      <c r="AA35" s="356"/>
      <c r="AB35" s="354"/>
      <c r="AC35" s="354"/>
    </row>
    <row r="36" spans="1:29" ht="14.25" customHeight="1" x14ac:dyDescent="0.3">
      <c r="A36" s="349">
        <v>46102</v>
      </c>
      <c r="B36" s="358">
        <f t="shared" si="2"/>
        <v>-300</v>
      </c>
      <c r="C36" s="359" t="s">
        <v>533</v>
      </c>
      <c r="D36" s="353">
        <v>300</v>
      </c>
      <c r="E36" s="354"/>
      <c r="F36" s="356"/>
      <c r="G36" s="356"/>
      <c r="H36" s="354"/>
      <c r="I36" s="354"/>
      <c r="J36" s="356"/>
      <c r="K36" s="356"/>
      <c r="L36" s="354"/>
      <c r="M36" s="354"/>
      <c r="N36" s="356"/>
      <c r="O36" s="356"/>
      <c r="P36" s="354"/>
      <c r="Q36" s="354"/>
      <c r="R36" s="356"/>
      <c r="S36" s="356"/>
      <c r="T36" s="354"/>
      <c r="U36" s="354"/>
      <c r="V36" s="356"/>
      <c r="W36" s="356"/>
      <c r="X36" s="354"/>
      <c r="Y36" s="354"/>
      <c r="Z36" s="356"/>
      <c r="AA36" s="356"/>
      <c r="AB36" s="354"/>
      <c r="AC36" s="354"/>
    </row>
    <row r="37" spans="1:29" ht="14.25" customHeight="1" x14ac:dyDescent="0.3">
      <c r="A37" s="349">
        <v>46102</v>
      </c>
      <c r="B37" s="358">
        <f t="shared" si="2"/>
        <v>1384.5</v>
      </c>
      <c r="C37" s="359" t="s">
        <v>534</v>
      </c>
      <c r="D37" s="353"/>
      <c r="E37" s="354"/>
      <c r="F37" s="356"/>
      <c r="G37" s="356"/>
      <c r="H37" s="354"/>
      <c r="I37" s="354"/>
      <c r="J37" s="356"/>
      <c r="K37" s="356"/>
      <c r="L37" s="354"/>
      <c r="M37" s="354"/>
      <c r="N37" s="356"/>
      <c r="O37" s="356"/>
      <c r="P37" s="354"/>
      <c r="Q37" s="354"/>
      <c r="R37" s="356">
        <v>-1384.5</v>
      </c>
      <c r="S37" s="356"/>
      <c r="T37" s="354"/>
      <c r="U37" s="354"/>
      <c r="V37" s="356"/>
      <c r="W37" s="356"/>
      <c r="X37" s="354"/>
      <c r="Y37" s="354"/>
      <c r="Z37" s="356"/>
      <c r="AA37" s="356"/>
      <c r="AB37" s="354"/>
      <c r="AC37" s="354"/>
    </row>
    <row r="38" spans="1:29" ht="14.25" customHeight="1" x14ac:dyDescent="0.3">
      <c r="A38" s="349">
        <v>46094</v>
      </c>
      <c r="B38" s="358">
        <f t="shared" si="2"/>
        <v>55.66</v>
      </c>
      <c r="C38" s="359" t="s">
        <v>523</v>
      </c>
      <c r="D38" s="353"/>
      <c r="E38" s="354"/>
      <c r="F38" s="356"/>
      <c r="G38" s="356">
        <v>55.66</v>
      </c>
      <c r="H38" s="354"/>
      <c r="I38" s="354"/>
      <c r="J38" s="356"/>
      <c r="K38" s="356"/>
      <c r="L38" s="354"/>
      <c r="M38" s="354"/>
      <c r="N38" s="356"/>
      <c r="O38" s="356"/>
      <c r="P38" s="354"/>
      <c r="Q38" s="354"/>
      <c r="R38" s="356"/>
      <c r="S38" s="356"/>
      <c r="T38" s="354"/>
      <c r="U38" s="354"/>
      <c r="V38" s="356"/>
      <c r="W38" s="356"/>
      <c r="X38" s="354"/>
      <c r="Y38" s="354"/>
      <c r="Z38" s="356"/>
      <c r="AA38" s="356"/>
      <c r="AB38" s="354"/>
      <c r="AC38" s="354"/>
    </row>
    <row r="39" spans="1:29" ht="14.25" customHeight="1" x14ac:dyDescent="0.3">
      <c r="A39" s="349">
        <v>46090</v>
      </c>
      <c r="B39" s="358">
        <f t="shared" si="2"/>
        <v>-380</v>
      </c>
      <c r="C39" s="359" t="s">
        <v>535</v>
      </c>
      <c r="D39" s="353"/>
      <c r="E39" s="354"/>
      <c r="F39" s="356"/>
      <c r="G39" s="356"/>
      <c r="H39" s="354"/>
      <c r="I39" s="354"/>
      <c r="J39" s="356"/>
      <c r="K39" s="356"/>
      <c r="L39" s="354"/>
      <c r="M39" s="354"/>
      <c r="N39" s="356"/>
      <c r="O39" s="356"/>
      <c r="P39" s="354"/>
      <c r="Q39" s="354"/>
      <c r="R39" s="356">
        <v>380</v>
      </c>
      <c r="S39" s="356"/>
      <c r="T39" s="354"/>
      <c r="U39" s="354"/>
      <c r="V39" s="356"/>
      <c r="W39" s="356"/>
      <c r="X39" s="354"/>
      <c r="Y39" s="354"/>
      <c r="Z39" s="356"/>
      <c r="AA39" s="356"/>
      <c r="AB39" s="354"/>
      <c r="AC39" s="354"/>
    </row>
    <row r="40" spans="1:29" ht="14.25" customHeight="1" x14ac:dyDescent="0.3">
      <c r="A40" s="349">
        <v>46083</v>
      </c>
      <c r="B40" s="358">
        <f t="shared" si="2"/>
        <v>-185.64</v>
      </c>
      <c r="C40" s="359" t="s">
        <v>430</v>
      </c>
      <c r="D40" s="353"/>
      <c r="E40" s="354"/>
      <c r="F40" s="356"/>
      <c r="G40" s="356"/>
      <c r="H40" s="354"/>
      <c r="I40" s="354"/>
      <c r="J40" s="356"/>
      <c r="K40" s="356"/>
      <c r="L40" s="354"/>
      <c r="M40" s="354"/>
      <c r="N40" s="356"/>
      <c r="O40" s="356"/>
      <c r="P40" s="354">
        <v>92.82</v>
      </c>
      <c r="Q40" s="354"/>
      <c r="R40" s="356"/>
      <c r="S40" s="356"/>
      <c r="T40" s="354"/>
      <c r="U40" s="354"/>
      <c r="V40" s="356"/>
      <c r="W40" s="356"/>
      <c r="X40" s="354"/>
      <c r="Y40" s="354"/>
      <c r="Z40" s="356"/>
      <c r="AA40" s="356"/>
      <c r="AB40" s="354">
        <v>92.82</v>
      </c>
      <c r="AC40" s="354"/>
    </row>
    <row r="41" spans="1:29" ht="14.25" customHeight="1" x14ac:dyDescent="0.3">
      <c r="A41" s="349">
        <v>46081</v>
      </c>
      <c r="B41" s="358">
        <f t="shared" si="2"/>
        <v>3764.91</v>
      </c>
      <c r="C41" s="359" t="s">
        <v>432</v>
      </c>
      <c r="D41" s="353"/>
      <c r="E41" s="354">
        <v>3764.91</v>
      </c>
      <c r="F41" s="356"/>
      <c r="G41" s="356"/>
      <c r="H41" s="354"/>
      <c r="I41" s="354"/>
      <c r="J41" s="356"/>
      <c r="K41" s="356"/>
      <c r="L41" s="354"/>
      <c r="M41" s="354"/>
      <c r="N41" s="356"/>
      <c r="O41" s="356"/>
      <c r="P41" s="354"/>
      <c r="Q41" s="354"/>
      <c r="R41" s="356"/>
      <c r="S41" s="356"/>
      <c r="T41" s="354"/>
      <c r="U41" s="354"/>
      <c r="V41" s="356"/>
      <c r="W41" s="356"/>
      <c r="X41" s="354"/>
      <c r="Y41" s="354"/>
      <c r="Z41" s="356"/>
      <c r="AA41" s="356"/>
      <c r="AB41" s="354"/>
      <c r="AC41" s="354"/>
    </row>
    <row r="42" spans="1:29" ht="14.25" customHeight="1" x14ac:dyDescent="0.3">
      <c r="A42" s="349">
        <v>46081</v>
      </c>
      <c r="B42" s="358">
        <f t="shared" si="2"/>
        <v>2000</v>
      </c>
      <c r="C42" s="359" t="s">
        <v>536</v>
      </c>
      <c r="D42" s="353"/>
      <c r="E42" s="354"/>
      <c r="F42" s="356"/>
      <c r="G42" s="356"/>
      <c r="H42" s="354"/>
      <c r="I42" s="354">
        <v>350</v>
      </c>
      <c r="J42" s="356"/>
      <c r="K42" s="356">
        <v>320</v>
      </c>
      <c r="L42" s="354"/>
      <c r="M42" s="354">
        <v>25</v>
      </c>
      <c r="N42" s="356"/>
      <c r="O42" s="356">
        <v>25</v>
      </c>
      <c r="P42" s="354"/>
      <c r="Q42" s="354">
        <v>45</v>
      </c>
      <c r="R42" s="356"/>
      <c r="S42" s="356">
        <v>400</v>
      </c>
      <c r="T42" s="354"/>
      <c r="U42" s="354">
        <v>375</v>
      </c>
      <c r="V42" s="356"/>
      <c r="W42" s="356">
        <v>100</v>
      </c>
      <c r="X42" s="354"/>
      <c r="Y42" s="354">
        <v>85</v>
      </c>
      <c r="Z42" s="356"/>
      <c r="AA42" s="356">
        <v>230</v>
      </c>
      <c r="AB42" s="354"/>
      <c r="AC42" s="354">
        <v>45</v>
      </c>
    </row>
    <row r="43" spans="1:29" ht="14.25" customHeight="1" x14ac:dyDescent="0.3">
      <c r="A43" s="349">
        <v>46081</v>
      </c>
      <c r="B43" s="358">
        <f t="shared" si="2"/>
        <v>0.23</v>
      </c>
      <c r="C43" s="359" t="s">
        <v>519</v>
      </c>
      <c r="D43" s="353"/>
      <c r="E43" s="354"/>
      <c r="F43" s="356"/>
      <c r="G43" s="356">
        <v>0.23</v>
      </c>
      <c r="H43" s="354"/>
      <c r="I43" s="354"/>
      <c r="J43" s="356"/>
      <c r="K43" s="356"/>
      <c r="L43" s="354"/>
      <c r="M43" s="354"/>
      <c r="N43" s="356"/>
      <c r="O43" s="356"/>
      <c r="P43" s="354"/>
      <c r="Q43" s="354"/>
      <c r="R43" s="356"/>
      <c r="S43" s="356"/>
      <c r="T43" s="354"/>
      <c r="U43" s="354"/>
      <c r="V43" s="356"/>
      <c r="W43" s="356"/>
      <c r="X43" s="354"/>
      <c r="Y43" s="354"/>
      <c r="Z43" s="356"/>
      <c r="AA43" s="356"/>
      <c r="AB43" s="354"/>
      <c r="AC43" s="354"/>
    </row>
    <row r="44" spans="1:29" ht="14.25" customHeight="1" x14ac:dyDescent="0.3">
      <c r="A44" s="349">
        <v>46070</v>
      </c>
      <c r="B44" s="358">
        <f t="shared" si="2"/>
        <v>-1920</v>
      </c>
      <c r="C44" s="359" t="s">
        <v>537</v>
      </c>
      <c r="D44" s="353"/>
      <c r="E44" s="354"/>
      <c r="F44" s="356"/>
      <c r="G44" s="356"/>
      <c r="H44" s="354"/>
      <c r="I44" s="354"/>
      <c r="J44" s="356"/>
      <c r="K44" s="356"/>
      <c r="L44" s="354"/>
      <c r="M44" s="354"/>
      <c r="N44" s="356"/>
      <c r="O44" s="356"/>
      <c r="P44" s="354"/>
      <c r="Q44" s="354"/>
      <c r="R44" s="356"/>
      <c r="S44" s="356"/>
      <c r="T44" s="354">
        <v>1920</v>
      </c>
      <c r="U44" s="354"/>
      <c r="V44" s="356"/>
      <c r="W44" s="356"/>
      <c r="X44" s="354"/>
      <c r="Y44" s="354"/>
      <c r="Z44" s="356"/>
      <c r="AA44" s="356"/>
      <c r="AB44" s="354"/>
      <c r="AC44" s="354"/>
    </row>
    <row r="45" spans="1:29" ht="14.25" customHeight="1" x14ac:dyDescent="0.3">
      <c r="A45" s="349">
        <v>46069</v>
      </c>
      <c r="B45" s="358">
        <f t="shared" si="2"/>
        <v>-243.8</v>
      </c>
      <c r="C45" s="359" t="s">
        <v>537</v>
      </c>
      <c r="D45" s="353"/>
      <c r="E45" s="354"/>
      <c r="F45" s="356"/>
      <c r="G45" s="356"/>
      <c r="H45" s="354"/>
      <c r="I45" s="354"/>
      <c r="J45" s="356"/>
      <c r="K45" s="356"/>
      <c r="L45" s="354"/>
      <c r="M45" s="354"/>
      <c r="N45" s="356"/>
      <c r="O45" s="356"/>
      <c r="P45" s="354"/>
      <c r="Q45" s="354"/>
      <c r="R45" s="356"/>
      <c r="S45" s="356"/>
      <c r="T45" s="354">
        <v>243.8</v>
      </c>
      <c r="U45" s="354"/>
      <c r="V45" s="356"/>
      <c r="W45" s="356"/>
      <c r="X45" s="354"/>
      <c r="Y45" s="354"/>
      <c r="Z45" s="356"/>
      <c r="AA45" s="356"/>
      <c r="AB45" s="354"/>
      <c r="AC45" s="354"/>
    </row>
    <row r="46" spans="1:29" ht="14.25" customHeight="1" x14ac:dyDescent="0.3">
      <c r="A46" s="349">
        <v>46068</v>
      </c>
      <c r="B46" s="358">
        <f t="shared" si="2"/>
        <v>63.46</v>
      </c>
      <c r="C46" s="359" t="s">
        <v>523</v>
      </c>
      <c r="D46" s="353"/>
      <c r="E46" s="354"/>
      <c r="F46" s="356"/>
      <c r="G46" s="356">
        <v>63.46</v>
      </c>
      <c r="H46" s="354"/>
      <c r="I46" s="354"/>
      <c r="J46" s="356"/>
      <c r="K46" s="356"/>
      <c r="L46" s="354"/>
      <c r="M46" s="354"/>
      <c r="N46" s="356"/>
      <c r="O46" s="356"/>
      <c r="P46" s="354"/>
      <c r="Q46" s="354"/>
      <c r="R46" s="356"/>
      <c r="S46" s="356"/>
      <c r="T46" s="354"/>
      <c r="U46" s="354"/>
      <c r="V46" s="356"/>
      <c r="W46" s="356"/>
      <c r="X46" s="354"/>
      <c r="Y46" s="354"/>
      <c r="Z46" s="356"/>
      <c r="AA46" s="356"/>
      <c r="AB46" s="354"/>
      <c r="AC46" s="354"/>
    </row>
    <row r="47" spans="1:29" ht="14.25" customHeight="1" x14ac:dyDescent="0.3">
      <c r="A47" s="349">
        <v>46067</v>
      </c>
      <c r="B47" s="358">
        <f t="shared" si="2"/>
        <v>-1007.99</v>
      </c>
      <c r="C47" s="359" t="s">
        <v>538</v>
      </c>
      <c r="D47" s="353">
        <v>1007.99</v>
      </c>
      <c r="E47" s="354"/>
      <c r="F47" s="356"/>
      <c r="G47" s="356"/>
      <c r="H47" s="354"/>
      <c r="I47" s="354"/>
      <c r="J47" s="356"/>
      <c r="K47" s="356"/>
      <c r="L47" s="354"/>
      <c r="M47" s="354"/>
      <c r="N47" s="356"/>
      <c r="O47" s="356"/>
      <c r="P47" s="354"/>
      <c r="Q47" s="354"/>
      <c r="R47" s="356"/>
      <c r="S47" s="356"/>
      <c r="T47" s="354"/>
      <c r="U47" s="354"/>
      <c r="V47" s="356"/>
      <c r="W47" s="356"/>
      <c r="X47" s="354"/>
      <c r="Y47" s="354"/>
      <c r="Z47" s="356"/>
      <c r="AA47" s="356"/>
      <c r="AB47" s="354"/>
      <c r="AC47" s="354"/>
    </row>
    <row r="48" spans="1:29" ht="14.25" customHeight="1" x14ac:dyDescent="0.3">
      <c r="A48" s="349">
        <v>46063</v>
      </c>
      <c r="B48" s="358">
        <f t="shared" si="2"/>
        <v>-1276.4000000000001</v>
      </c>
      <c r="C48" s="359" t="s">
        <v>539</v>
      </c>
      <c r="D48" s="353"/>
      <c r="E48" s="354"/>
      <c r="F48" s="356"/>
      <c r="G48" s="356"/>
      <c r="H48" s="354"/>
      <c r="I48" s="354"/>
      <c r="J48" s="356"/>
      <c r="K48" s="356"/>
      <c r="L48" s="354"/>
      <c r="M48" s="354"/>
      <c r="N48" s="356"/>
      <c r="O48" s="356"/>
      <c r="P48" s="354"/>
      <c r="Q48" s="354"/>
      <c r="R48" s="356"/>
      <c r="S48" s="356"/>
      <c r="T48" s="354"/>
      <c r="U48" s="354"/>
      <c r="V48" s="356"/>
      <c r="W48" s="356"/>
      <c r="X48" s="354"/>
      <c r="Y48" s="354"/>
      <c r="Z48" s="356">
        <v>1276.4000000000001</v>
      </c>
      <c r="AA48" s="356"/>
      <c r="AB48" s="354"/>
      <c r="AC48" s="354"/>
    </row>
    <row r="49" spans="1:29" ht="14.25" customHeight="1" x14ac:dyDescent="0.3">
      <c r="A49" s="349">
        <v>46063</v>
      </c>
      <c r="B49" s="358">
        <f t="shared" si="2"/>
        <v>-955</v>
      </c>
      <c r="C49" s="359" t="s">
        <v>540</v>
      </c>
      <c r="D49" s="353"/>
      <c r="E49" s="354"/>
      <c r="F49" s="356"/>
      <c r="G49" s="356"/>
      <c r="H49" s="354"/>
      <c r="I49" s="354"/>
      <c r="J49" s="356"/>
      <c r="K49" s="356"/>
      <c r="L49" s="354"/>
      <c r="M49" s="354"/>
      <c r="N49" s="356"/>
      <c r="O49" s="356"/>
      <c r="P49" s="354"/>
      <c r="Q49" s="354"/>
      <c r="R49" s="356">
        <v>955</v>
      </c>
      <c r="S49" s="356"/>
      <c r="T49" s="354"/>
      <c r="U49" s="354"/>
      <c r="V49" s="356"/>
      <c r="W49" s="356"/>
      <c r="X49" s="354"/>
      <c r="Y49" s="354"/>
      <c r="Z49" s="356"/>
      <c r="AA49" s="356"/>
      <c r="AB49" s="354"/>
      <c r="AC49" s="354"/>
    </row>
    <row r="50" spans="1:29" ht="14.25" customHeight="1" x14ac:dyDescent="0.3">
      <c r="A50" s="349">
        <v>46063</v>
      </c>
      <c r="B50" s="358">
        <f t="shared" si="2"/>
        <v>59.19</v>
      </c>
      <c r="C50" s="359" t="s">
        <v>518</v>
      </c>
      <c r="D50" s="353"/>
      <c r="E50" s="354"/>
      <c r="F50" s="356"/>
      <c r="G50" s="356">
        <v>59.19</v>
      </c>
      <c r="H50" s="354"/>
      <c r="I50" s="354"/>
      <c r="J50" s="356"/>
      <c r="K50" s="356"/>
      <c r="L50" s="354"/>
      <c r="M50" s="354"/>
      <c r="N50" s="356"/>
      <c r="O50" s="356"/>
      <c r="P50" s="354"/>
      <c r="Q50" s="354"/>
      <c r="R50" s="356"/>
      <c r="S50" s="356"/>
      <c r="T50" s="354"/>
      <c r="U50" s="354"/>
      <c r="V50" s="356"/>
      <c r="W50" s="356"/>
      <c r="X50" s="354"/>
      <c r="Y50" s="354"/>
      <c r="Z50" s="356"/>
      <c r="AA50" s="356"/>
      <c r="AB50" s="354"/>
      <c r="AC50" s="354"/>
    </row>
    <row r="51" spans="1:29" ht="14.25" customHeight="1" x14ac:dyDescent="0.3">
      <c r="A51" s="349">
        <v>46061</v>
      </c>
      <c r="B51" s="358">
        <f t="shared" si="2"/>
        <v>-2203.44</v>
      </c>
      <c r="C51" s="359" t="s">
        <v>537</v>
      </c>
      <c r="D51" s="353"/>
      <c r="E51" s="354"/>
      <c r="F51" s="356"/>
      <c r="G51" s="356"/>
      <c r="H51" s="354"/>
      <c r="I51" s="354"/>
      <c r="J51" s="356"/>
      <c r="K51" s="356"/>
      <c r="L51" s="354"/>
      <c r="M51" s="354"/>
      <c r="N51" s="356"/>
      <c r="O51" s="356"/>
      <c r="P51" s="354"/>
      <c r="Q51" s="354"/>
      <c r="R51" s="356"/>
      <c r="S51" s="356"/>
      <c r="T51" s="354">
        <v>2203.44</v>
      </c>
      <c r="U51" s="354"/>
      <c r="V51" s="356"/>
      <c r="W51" s="356"/>
      <c r="X51" s="354"/>
      <c r="Y51" s="354"/>
      <c r="Z51" s="356"/>
      <c r="AA51" s="356"/>
      <c r="AB51" s="354"/>
      <c r="AC51" s="354"/>
    </row>
    <row r="52" spans="1:29" ht="14.25" customHeight="1" x14ac:dyDescent="0.3">
      <c r="A52" s="349">
        <v>46061</v>
      </c>
      <c r="B52" s="358">
        <f t="shared" si="2"/>
        <v>-831.92</v>
      </c>
      <c r="C52" s="359" t="s">
        <v>541</v>
      </c>
      <c r="D52" s="353"/>
      <c r="E52" s="354"/>
      <c r="F52" s="356"/>
      <c r="G52" s="356"/>
      <c r="H52" s="354"/>
      <c r="I52" s="354"/>
      <c r="J52" s="356"/>
      <c r="K52" s="356"/>
      <c r="L52" s="354"/>
      <c r="M52" s="354"/>
      <c r="N52" s="356"/>
      <c r="O52" s="356"/>
      <c r="P52" s="354"/>
      <c r="Q52" s="354"/>
      <c r="R52" s="356">
        <v>831.92</v>
      </c>
      <c r="S52" s="356"/>
      <c r="T52" s="354"/>
      <c r="U52" s="354"/>
      <c r="V52" s="356"/>
      <c r="W52" s="356"/>
      <c r="X52" s="354"/>
      <c r="Y52" s="354"/>
      <c r="Z52" s="356"/>
      <c r="AA52" s="356"/>
      <c r="AB52" s="354"/>
      <c r="AC52" s="354"/>
    </row>
    <row r="53" spans="1:29" ht="14.25" customHeight="1" x14ac:dyDescent="0.3">
      <c r="A53" s="349">
        <v>46055</v>
      </c>
      <c r="B53" s="358">
        <f t="shared" si="2"/>
        <v>-900</v>
      </c>
      <c r="C53" s="359" t="s">
        <v>526</v>
      </c>
      <c r="D53" s="353"/>
      <c r="E53" s="354"/>
      <c r="F53" s="356"/>
      <c r="G53" s="356"/>
      <c r="H53" s="354"/>
      <c r="I53" s="354"/>
      <c r="J53" s="356"/>
      <c r="K53" s="356"/>
      <c r="L53" s="354"/>
      <c r="M53" s="354"/>
      <c r="N53" s="356"/>
      <c r="O53" s="356"/>
      <c r="P53" s="354"/>
      <c r="Q53" s="354"/>
      <c r="R53" s="356"/>
      <c r="S53" s="356"/>
      <c r="T53" s="354">
        <v>900</v>
      </c>
      <c r="U53" s="354"/>
      <c r="V53" s="356"/>
      <c r="W53" s="356"/>
      <c r="X53" s="354"/>
      <c r="Y53" s="354"/>
      <c r="Z53" s="356"/>
      <c r="AA53" s="356"/>
      <c r="AB53" s="354"/>
      <c r="AC53" s="354"/>
    </row>
    <row r="54" spans="1:29" ht="14.25" customHeight="1" x14ac:dyDescent="0.3">
      <c r="A54" s="349">
        <v>46053</v>
      </c>
      <c r="B54" s="358">
        <f t="shared" si="2"/>
        <v>3194.64</v>
      </c>
      <c r="C54" s="359" t="s">
        <v>468</v>
      </c>
      <c r="D54" s="353"/>
      <c r="E54" s="354">
        <v>3194.64</v>
      </c>
      <c r="F54" s="356"/>
      <c r="G54" s="356"/>
      <c r="H54" s="354"/>
      <c r="I54" s="354"/>
      <c r="J54" s="356"/>
      <c r="K54" s="356"/>
      <c r="L54" s="354"/>
      <c r="M54" s="354"/>
      <c r="N54" s="356"/>
      <c r="O54" s="356"/>
      <c r="P54" s="354"/>
      <c r="Q54" s="354"/>
      <c r="R54" s="356"/>
      <c r="S54" s="356"/>
      <c r="T54" s="354"/>
      <c r="U54" s="354"/>
      <c r="V54" s="356"/>
      <c r="W54" s="356"/>
      <c r="X54" s="354"/>
      <c r="Y54" s="354"/>
      <c r="Z54" s="356"/>
      <c r="AA54" s="356"/>
      <c r="AB54" s="354"/>
      <c r="AC54" s="354"/>
    </row>
    <row r="55" spans="1:29" ht="14.25" customHeight="1" x14ac:dyDescent="0.3">
      <c r="A55" s="349">
        <v>46053</v>
      </c>
      <c r="B55" s="358">
        <f t="shared" si="2"/>
        <v>2000</v>
      </c>
      <c r="C55" s="359" t="s">
        <v>542</v>
      </c>
      <c r="D55" s="353"/>
      <c r="E55" s="354"/>
      <c r="F55" s="356"/>
      <c r="G55" s="356"/>
      <c r="H55" s="354"/>
      <c r="I55" s="354">
        <v>350</v>
      </c>
      <c r="J55" s="356"/>
      <c r="K55" s="356">
        <v>320</v>
      </c>
      <c r="L55" s="354"/>
      <c r="M55" s="354">
        <v>25</v>
      </c>
      <c r="N55" s="356"/>
      <c r="O55" s="356">
        <v>25</v>
      </c>
      <c r="P55" s="354"/>
      <c r="Q55" s="354">
        <v>45</v>
      </c>
      <c r="R55" s="356"/>
      <c r="S55" s="356">
        <v>400</v>
      </c>
      <c r="T55" s="354"/>
      <c r="U55" s="354">
        <v>375</v>
      </c>
      <c r="V55" s="356"/>
      <c r="W55" s="356">
        <v>100</v>
      </c>
      <c r="X55" s="354"/>
      <c r="Y55" s="354">
        <v>85</v>
      </c>
      <c r="Z55" s="356"/>
      <c r="AA55" s="356">
        <v>230</v>
      </c>
      <c r="AB55" s="354"/>
      <c r="AC55" s="354">
        <v>45</v>
      </c>
    </row>
    <row r="56" spans="1:29" ht="14.25" customHeight="1" x14ac:dyDescent="0.3">
      <c r="A56" s="349">
        <v>46053</v>
      </c>
      <c r="B56" s="358">
        <f t="shared" si="2"/>
        <v>0.38</v>
      </c>
      <c r="C56" s="359" t="s">
        <v>519</v>
      </c>
      <c r="D56" s="353"/>
      <c r="E56" s="354"/>
      <c r="F56" s="356"/>
      <c r="G56" s="356">
        <v>0.38</v>
      </c>
      <c r="H56" s="354"/>
      <c r="I56" s="354"/>
      <c r="J56" s="356"/>
      <c r="K56" s="356"/>
      <c r="L56" s="354"/>
      <c r="M56" s="354"/>
      <c r="N56" s="356"/>
      <c r="O56" s="356"/>
      <c r="P56" s="354"/>
      <c r="Q56" s="354"/>
      <c r="R56" s="356"/>
      <c r="S56" s="356"/>
      <c r="T56" s="354"/>
      <c r="U56" s="354"/>
      <c r="V56" s="356"/>
      <c r="W56" s="356"/>
      <c r="X56" s="354"/>
      <c r="Y56" s="354"/>
      <c r="Z56" s="356"/>
      <c r="AA56" s="356"/>
      <c r="AB56" s="354"/>
      <c r="AC56" s="354"/>
    </row>
    <row r="57" spans="1:29" ht="14.25" customHeight="1" x14ac:dyDescent="0.3">
      <c r="A57" s="349">
        <v>46053</v>
      </c>
      <c r="B57" s="358">
        <f t="shared" si="2"/>
        <v>54.55</v>
      </c>
      <c r="C57" s="359" t="s">
        <v>523</v>
      </c>
      <c r="D57" s="353"/>
      <c r="E57" s="354"/>
      <c r="F57" s="356"/>
      <c r="G57" s="356">
        <v>54.55</v>
      </c>
      <c r="H57" s="354"/>
      <c r="I57" s="354"/>
      <c r="J57" s="356"/>
      <c r="K57" s="356"/>
      <c r="L57" s="354"/>
      <c r="M57" s="354"/>
      <c r="N57" s="356"/>
      <c r="O57" s="356"/>
      <c r="P57" s="354"/>
      <c r="Q57" s="354"/>
      <c r="R57" s="356"/>
      <c r="S57" s="356"/>
      <c r="T57" s="354"/>
      <c r="U57" s="354"/>
      <c r="V57" s="356"/>
      <c r="W57" s="356"/>
      <c r="X57" s="354"/>
      <c r="Y57" s="354"/>
      <c r="Z57" s="356"/>
      <c r="AA57" s="356"/>
      <c r="AB57" s="354"/>
      <c r="AC57" s="354"/>
    </row>
    <row r="58" spans="1:29" ht="14.25" customHeight="1" x14ac:dyDescent="0.3">
      <c r="A58" s="349">
        <v>46048</v>
      </c>
      <c r="B58" s="358">
        <f t="shared" si="2"/>
        <v>-583</v>
      </c>
      <c r="C58" s="359" t="s">
        <v>543</v>
      </c>
      <c r="D58" s="353">
        <v>583</v>
      </c>
      <c r="E58" s="354"/>
      <c r="F58" s="356"/>
      <c r="G58" s="356"/>
      <c r="H58" s="354"/>
      <c r="I58" s="354"/>
      <c r="J58" s="356"/>
      <c r="K58" s="356"/>
      <c r="L58" s="354"/>
      <c r="M58" s="354"/>
      <c r="N58" s="356"/>
      <c r="O58" s="356"/>
      <c r="P58" s="354"/>
      <c r="Q58" s="354"/>
      <c r="R58" s="356"/>
      <c r="S58" s="356"/>
      <c r="T58" s="354"/>
      <c r="U58" s="354"/>
      <c r="V58" s="356"/>
      <c r="W58" s="356"/>
      <c r="X58" s="354"/>
      <c r="Y58" s="354"/>
      <c r="Z58" s="356"/>
      <c r="AA58" s="356"/>
      <c r="AB58" s="354"/>
      <c r="AC58" s="354"/>
    </row>
    <row r="59" spans="1:29" ht="14.25" customHeight="1" x14ac:dyDescent="0.3">
      <c r="A59" s="349">
        <v>46044</v>
      </c>
      <c r="B59" s="358">
        <f t="shared" si="2"/>
        <v>-126.24</v>
      </c>
      <c r="C59" s="359" t="s">
        <v>316</v>
      </c>
      <c r="D59" s="353"/>
      <c r="E59" s="354"/>
      <c r="F59" s="356"/>
      <c r="G59" s="356"/>
      <c r="H59" s="354"/>
      <c r="I59" s="354"/>
      <c r="J59" s="356"/>
      <c r="K59" s="356"/>
      <c r="L59" s="354">
        <v>63.12</v>
      </c>
      <c r="M59" s="354"/>
      <c r="N59" s="356">
        <v>63.12</v>
      </c>
      <c r="O59" s="356"/>
      <c r="P59" s="354"/>
      <c r="Q59" s="354"/>
      <c r="R59" s="356"/>
      <c r="S59" s="356"/>
      <c r="T59" s="354"/>
      <c r="U59" s="354"/>
      <c r="V59" s="356"/>
      <c r="W59" s="356"/>
      <c r="X59" s="354"/>
      <c r="Y59" s="354"/>
      <c r="Z59" s="356"/>
      <c r="AA59" s="356"/>
      <c r="AB59" s="354"/>
      <c r="AC59" s="354"/>
    </row>
    <row r="60" spans="1:29" ht="14.25" customHeight="1" x14ac:dyDescent="0.3">
      <c r="A60" s="349">
        <v>46043</v>
      </c>
      <c r="B60" s="358">
        <f t="shared" si="2"/>
        <v>-100</v>
      </c>
      <c r="C60" s="359" t="s">
        <v>544</v>
      </c>
      <c r="D60" s="353"/>
      <c r="E60" s="354"/>
      <c r="F60" s="356"/>
      <c r="G60" s="356"/>
      <c r="H60" s="354">
        <v>100</v>
      </c>
      <c r="I60" s="354"/>
      <c r="J60" s="356"/>
      <c r="K60" s="356"/>
      <c r="L60" s="354"/>
      <c r="M60" s="354"/>
      <c r="N60" s="356"/>
      <c r="O60" s="356"/>
      <c r="P60" s="354"/>
      <c r="Q60" s="354"/>
      <c r="R60" s="356"/>
      <c r="S60" s="356"/>
      <c r="T60" s="354"/>
      <c r="U60" s="354"/>
      <c r="V60" s="356"/>
      <c r="W60" s="356"/>
      <c r="X60" s="354"/>
      <c r="Y60" s="354"/>
      <c r="Z60" s="356"/>
      <c r="AA60" s="356"/>
      <c r="AB60" s="354"/>
      <c r="AC60" s="354"/>
    </row>
    <row r="61" spans="1:29" ht="14.25" customHeight="1" x14ac:dyDescent="0.3">
      <c r="A61" s="349">
        <v>46043</v>
      </c>
      <c r="B61" s="358">
        <f t="shared" si="2"/>
        <v>-2724</v>
      </c>
      <c r="C61" s="359" t="s">
        <v>545</v>
      </c>
      <c r="D61" s="353"/>
      <c r="E61" s="354"/>
      <c r="F61" s="356"/>
      <c r="G61" s="356"/>
      <c r="H61" s="354"/>
      <c r="I61" s="354"/>
      <c r="J61" s="356"/>
      <c r="K61" s="356"/>
      <c r="L61" s="354"/>
      <c r="M61" s="354"/>
      <c r="N61" s="356"/>
      <c r="O61" s="356"/>
      <c r="P61" s="354"/>
      <c r="Q61" s="354"/>
      <c r="R61" s="356">
        <v>2724</v>
      </c>
      <c r="S61" s="356"/>
      <c r="T61" s="354"/>
      <c r="U61" s="354"/>
      <c r="V61" s="356"/>
      <c r="W61" s="356"/>
      <c r="X61" s="354"/>
      <c r="Y61" s="354"/>
      <c r="Z61" s="356"/>
      <c r="AA61" s="356"/>
      <c r="AB61" s="354"/>
      <c r="AC61" s="354"/>
    </row>
    <row r="62" spans="1:29" ht="14.25" customHeight="1" x14ac:dyDescent="0.3">
      <c r="A62" s="349">
        <v>46038</v>
      </c>
      <c r="B62" s="358">
        <f t="shared" si="2"/>
        <v>55.69</v>
      </c>
      <c r="C62" s="359" t="s">
        <v>523</v>
      </c>
      <c r="D62" s="353"/>
      <c r="E62" s="354"/>
      <c r="F62" s="356"/>
      <c r="G62" s="356">
        <v>55.69</v>
      </c>
      <c r="H62" s="354"/>
      <c r="I62" s="354"/>
      <c r="J62" s="356"/>
      <c r="K62" s="356"/>
      <c r="L62" s="354"/>
      <c r="M62" s="354"/>
      <c r="N62" s="356"/>
      <c r="O62" s="356"/>
      <c r="P62" s="354"/>
      <c r="Q62" s="354"/>
      <c r="R62" s="356"/>
      <c r="S62" s="356"/>
      <c r="T62" s="354"/>
      <c r="U62" s="354"/>
      <c r="V62" s="356"/>
      <c r="W62" s="356"/>
      <c r="X62" s="354"/>
      <c r="Y62" s="354"/>
      <c r="Z62" s="356"/>
      <c r="AA62" s="356"/>
      <c r="AB62" s="354"/>
      <c r="AC62" s="354"/>
    </row>
    <row r="63" spans="1:29" ht="14.25" customHeight="1" x14ac:dyDescent="0.3">
      <c r="A63" s="349">
        <v>46030</v>
      </c>
      <c r="B63" s="358">
        <f t="shared" si="2"/>
        <v>1049.3699999999999</v>
      </c>
      <c r="C63" s="351" t="s">
        <v>546</v>
      </c>
      <c r="D63" s="353"/>
      <c r="E63" s="354">
        <v>1049.3699999999999</v>
      </c>
      <c r="F63" s="356"/>
      <c r="G63" s="356"/>
      <c r="H63" s="354"/>
      <c r="I63" s="354"/>
      <c r="J63" s="356"/>
      <c r="K63" s="356"/>
      <c r="L63" s="354"/>
      <c r="M63" s="354"/>
      <c r="N63" s="356"/>
      <c r="O63" s="356"/>
      <c r="P63" s="354"/>
      <c r="Q63" s="354"/>
      <c r="R63" s="356"/>
      <c r="S63" s="356"/>
      <c r="T63" s="354"/>
      <c r="U63" s="354"/>
      <c r="V63" s="356"/>
      <c r="W63" s="356"/>
      <c r="X63" s="354"/>
      <c r="Y63" s="354"/>
      <c r="Z63" s="356"/>
      <c r="AA63" s="356"/>
      <c r="AB63" s="354"/>
      <c r="AC63" s="354"/>
    </row>
    <row r="64" spans="1:29" ht="14.25" customHeight="1" x14ac:dyDescent="0.3">
      <c r="A64" s="349">
        <v>46027</v>
      </c>
      <c r="B64" s="358">
        <f t="shared" si="2"/>
        <v>-113.94</v>
      </c>
      <c r="C64" s="359" t="s">
        <v>547</v>
      </c>
      <c r="D64" s="353"/>
      <c r="E64" s="354"/>
      <c r="F64" s="356"/>
      <c r="G64" s="356"/>
      <c r="H64" s="354">
        <v>113.94</v>
      </c>
      <c r="I64" s="354"/>
      <c r="J64" s="356"/>
      <c r="K64" s="356"/>
      <c r="L64" s="354"/>
      <c r="M64" s="354"/>
      <c r="N64" s="356"/>
      <c r="O64" s="356"/>
      <c r="P64" s="354"/>
      <c r="Q64" s="354"/>
      <c r="R64" s="356"/>
      <c r="S64" s="356"/>
      <c r="T64" s="354"/>
      <c r="U64" s="354"/>
      <c r="V64" s="356"/>
      <c r="W64" s="356"/>
      <c r="X64" s="354"/>
      <c r="Y64" s="354"/>
      <c r="Z64" s="356"/>
      <c r="AA64" s="356"/>
      <c r="AB64" s="354"/>
      <c r="AC64" s="354"/>
    </row>
    <row r="65" spans="1:29" ht="14.25" customHeight="1" x14ac:dyDescent="0.3">
      <c r="A65" s="349">
        <v>46027</v>
      </c>
      <c r="B65" s="358">
        <f t="shared" si="2"/>
        <v>-622.1</v>
      </c>
      <c r="C65" s="359" t="s">
        <v>537</v>
      </c>
      <c r="D65" s="353"/>
      <c r="E65" s="354"/>
      <c r="F65" s="356"/>
      <c r="G65" s="356"/>
      <c r="H65" s="354"/>
      <c r="I65" s="354"/>
      <c r="J65" s="356"/>
      <c r="K65" s="356"/>
      <c r="L65" s="354"/>
      <c r="M65" s="354"/>
      <c r="N65" s="356"/>
      <c r="O65" s="356"/>
      <c r="P65" s="354"/>
      <c r="Q65" s="354"/>
      <c r="R65" s="356"/>
      <c r="S65" s="356"/>
      <c r="T65" s="354">
        <v>622.1</v>
      </c>
      <c r="U65" s="354"/>
      <c r="V65" s="356"/>
      <c r="W65" s="356"/>
      <c r="X65" s="354"/>
      <c r="Y65" s="354"/>
      <c r="Z65" s="356"/>
      <c r="AA65" s="356"/>
      <c r="AB65" s="354"/>
      <c r="AC65" s="354"/>
    </row>
    <row r="66" spans="1:29" ht="14.25" customHeight="1" x14ac:dyDescent="0.3">
      <c r="A66" s="349">
        <v>44562</v>
      </c>
      <c r="B66" s="358">
        <f t="shared" si="2"/>
        <v>12240.49</v>
      </c>
      <c r="C66" s="359" t="s">
        <v>548</v>
      </c>
      <c r="D66" s="353"/>
      <c r="E66" s="354">
        <v>1710.49</v>
      </c>
      <c r="F66" s="356"/>
      <c r="G66" s="356">
        <v>500</v>
      </c>
      <c r="H66" s="354"/>
      <c r="I66" s="354">
        <v>2000</v>
      </c>
      <c r="J66" s="356"/>
      <c r="K66" s="356">
        <v>1000</v>
      </c>
      <c r="L66" s="354"/>
      <c r="M66" s="354">
        <v>65</v>
      </c>
      <c r="N66" s="356"/>
      <c r="O66" s="356">
        <v>65</v>
      </c>
      <c r="P66" s="354"/>
      <c r="Q66" s="354">
        <v>100</v>
      </c>
      <c r="R66" s="356"/>
      <c r="S66" s="356">
        <v>2000</v>
      </c>
      <c r="T66" s="354"/>
      <c r="U66" s="354">
        <v>2500</v>
      </c>
      <c r="V66" s="356"/>
      <c r="W66" s="356">
        <v>500</v>
      </c>
      <c r="X66" s="354"/>
      <c r="Y66" s="354">
        <v>200</v>
      </c>
      <c r="Z66" s="356"/>
      <c r="AA66" s="356">
        <v>1500</v>
      </c>
      <c r="AB66" s="354"/>
      <c r="AC66" s="354">
        <v>100</v>
      </c>
    </row>
    <row r="67" spans="1:29" ht="14.25" customHeight="1" x14ac:dyDescent="0.3"/>
    <row r="68" spans="1:29" ht="14.25" customHeight="1" x14ac:dyDescent="0.3"/>
    <row r="69" spans="1:29" ht="14.25" customHeight="1" x14ac:dyDescent="0.3"/>
    <row r="70" spans="1:29" ht="14.25" customHeight="1" x14ac:dyDescent="0.3"/>
    <row r="71" spans="1:29" ht="14.25" customHeight="1" x14ac:dyDescent="0.3"/>
    <row r="72" spans="1:29" ht="14.25" customHeight="1" x14ac:dyDescent="0.3"/>
    <row r="73" spans="1:29" ht="14.25" customHeight="1" x14ac:dyDescent="0.3"/>
    <row r="74" spans="1:29" ht="14.25" customHeight="1" x14ac:dyDescent="0.3"/>
    <row r="75" spans="1:29" ht="14.25" customHeight="1" x14ac:dyDescent="0.3"/>
    <row r="76" spans="1:29" ht="14.25" customHeight="1" x14ac:dyDescent="0.3"/>
    <row r="77" spans="1:29" ht="14.25" customHeight="1" x14ac:dyDescent="0.3"/>
    <row r="78" spans="1:29" ht="14.25" customHeight="1" x14ac:dyDescent="0.3"/>
    <row r="79" spans="1:29" ht="14.25" customHeight="1" x14ac:dyDescent="0.3"/>
    <row r="80" spans="1:29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22"/>
      <c r="O1" s="122"/>
      <c r="P1" s="122"/>
      <c r="Q1" s="122"/>
    </row>
    <row r="2" spans="1:17" ht="14.25" customHeight="1" x14ac:dyDescent="0.3">
      <c r="B2" s="23"/>
      <c r="D2" s="25" t="s">
        <v>549</v>
      </c>
      <c r="E2" s="25" t="s">
        <v>550</v>
      </c>
      <c r="M2" s="12"/>
      <c r="N2" s="122"/>
      <c r="O2" s="122"/>
      <c r="P2" s="122"/>
      <c r="Q2" s="122"/>
    </row>
    <row r="3" spans="1:17" ht="14.25" customHeight="1" x14ac:dyDescent="0.3">
      <c r="A3" s="92" t="s">
        <v>539</v>
      </c>
      <c r="B3" s="23">
        <v>2700</v>
      </c>
      <c r="C3" s="92" t="s">
        <v>551</v>
      </c>
      <c r="D3" s="25">
        <f t="shared" ref="D3:D4" si="0">B3/12</f>
        <v>225</v>
      </c>
      <c r="E3" s="25">
        <f t="shared" ref="E3:E7" si="1">D3*12</f>
        <v>2700</v>
      </c>
      <c r="M3" s="12"/>
      <c r="N3" s="122"/>
      <c r="O3" s="122"/>
      <c r="P3" s="122"/>
      <c r="Q3" s="122"/>
    </row>
    <row r="4" spans="1:17" ht="14.25" customHeight="1" x14ac:dyDescent="0.3">
      <c r="A4" s="92" t="s">
        <v>552</v>
      </c>
      <c r="B4" s="23">
        <v>780</v>
      </c>
      <c r="C4" s="92" t="s">
        <v>551</v>
      </c>
      <c r="D4" s="25">
        <f t="shared" si="0"/>
        <v>65</v>
      </c>
      <c r="E4" s="25">
        <f t="shared" si="1"/>
        <v>780</v>
      </c>
      <c r="M4" s="12"/>
      <c r="N4" s="122"/>
      <c r="O4" s="122"/>
      <c r="P4" s="122"/>
      <c r="Q4" s="122"/>
    </row>
    <row r="5" spans="1:17" ht="14.25" customHeight="1" x14ac:dyDescent="0.3">
      <c r="A5" s="92" t="s">
        <v>207</v>
      </c>
      <c r="B5" s="23">
        <v>75</v>
      </c>
      <c r="C5" s="92" t="s">
        <v>553</v>
      </c>
      <c r="D5" s="25">
        <f>B5/3</f>
        <v>25</v>
      </c>
      <c r="E5" s="25">
        <f t="shared" si="1"/>
        <v>300</v>
      </c>
      <c r="M5" s="12"/>
      <c r="N5" s="122"/>
      <c r="O5" s="122"/>
      <c r="P5" s="122"/>
      <c r="Q5" s="122"/>
    </row>
    <row r="6" spans="1:17" ht="14.25" customHeight="1" x14ac:dyDescent="0.3">
      <c r="A6" s="92" t="s">
        <v>430</v>
      </c>
      <c r="B6" s="23">
        <v>90</v>
      </c>
      <c r="C6" s="92" t="s">
        <v>554</v>
      </c>
      <c r="D6" s="25">
        <f>B6/2</f>
        <v>45</v>
      </c>
      <c r="E6" s="25">
        <f t="shared" si="1"/>
        <v>540</v>
      </c>
      <c r="M6" s="12"/>
      <c r="N6" s="122"/>
      <c r="O6" s="122"/>
      <c r="P6" s="122"/>
      <c r="Q6" s="122"/>
    </row>
    <row r="7" spans="1:17" ht="14.25" customHeight="1" x14ac:dyDescent="0.3">
      <c r="A7" s="92" t="s">
        <v>555</v>
      </c>
      <c r="B7" s="23">
        <v>60</v>
      </c>
      <c r="C7" s="92" t="s">
        <v>556</v>
      </c>
      <c r="D7" s="25">
        <f>B7</f>
        <v>60</v>
      </c>
      <c r="E7" s="25">
        <f t="shared" si="1"/>
        <v>720</v>
      </c>
      <c r="M7" s="12"/>
      <c r="N7" s="122"/>
      <c r="O7" s="122"/>
      <c r="P7" s="122"/>
      <c r="Q7" s="122"/>
    </row>
    <row r="8" spans="1:17" ht="14.25" customHeight="1" x14ac:dyDescent="0.3">
      <c r="B8" s="23"/>
      <c r="D8" s="25"/>
      <c r="E8" s="25"/>
      <c r="M8" s="12"/>
      <c r="N8" s="122"/>
      <c r="O8" s="122"/>
      <c r="P8" s="122"/>
      <c r="Q8" s="122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22"/>
      <c r="O9" s="122"/>
      <c r="P9" s="122"/>
      <c r="Q9" s="122"/>
    </row>
    <row r="10" spans="1:17" ht="14.25" customHeight="1" x14ac:dyDescent="0.3">
      <c r="B10" s="23"/>
      <c r="D10" s="25"/>
      <c r="E10" s="25"/>
      <c r="M10" s="12"/>
      <c r="N10" s="122"/>
      <c r="O10" s="122"/>
      <c r="P10" s="122"/>
      <c r="Q10" s="122"/>
    </row>
    <row r="11" spans="1:17" ht="14.25" customHeight="1" x14ac:dyDescent="0.3">
      <c r="A11" s="92" t="s">
        <v>557</v>
      </c>
      <c r="B11" s="23">
        <v>100</v>
      </c>
      <c r="C11" s="92" t="s">
        <v>556</v>
      </c>
      <c r="D11" s="25">
        <f>B11</f>
        <v>100</v>
      </c>
      <c r="E11" s="25">
        <f>D11*12</f>
        <v>1200</v>
      </c>
      <c r="M11" s="12"/>
      <c r="N11" s="122"/>
      <c r="O11" s="122"/>
      <c r="P11" s="122"/>
      <c r="Q11" s="122"/>
    </row>
    <row r="12" spans="1:17" ht="14.25" customHeight="1" x14ac:dyDescent="0.3">
      <c r="B12" s="23"/>
      <c r="D12" s="25"/>
      <c r="E12" s="25"/>
      <c r="M12" s="12"/>
      <c r="N12" s="122"/>
      <c r="O12" s="122"/>
      <c r="P12" s="122"/>
      <c r="Q12" s="122"/>
    </row>
    <row r="13" spans="1:17" ht="14.25" customHeight="1" x14ac:dyDescent="0.3">
      <c r="A13" s="92" t="s">
        <v>558</v>
      </c>
      <c r="B13" s="23"/>
      <c r="D13" s="25">
        <f>SUM(D9+D11)</f>
        <v>520</v>
      </c>
      <c r="E13" s="25">
        <f>D13*12</f>
        <v>6240</v>
      </c>
      <c r="M13" s="12"/>
      <c r="N13" s="122"/>
      <c r="O13" s="122"/>
      <c r="P13" s="122"/>
      <c r="Q13" s="122"/>
    </row>
    <row r="14" spans="1:17" ht="14.25" customHeight="1" x14ac:dyDescent="0.3">
      <c r="B14" s="23"/>
      <c r="D14" s="25"/>
      <c r="E14" s="25"/>
      <c r="M14" s="12"/>
      <c r="N14" s="122"/>
      <c r="O14" s="122"/>
      <c r="P14" s="122"/>
      <c r="Q14" s="122"/>
    </row>
    <row r="15" spans="1:17" ht="14.25" customHeight="1" x14ac:dyDescent="0.3">
      <c r="B15" s="23"/>
      <c r="D15" s="25"/>
      <c r="E15" s="25"/>
      <c r="M15" s="12"/>
      <c r="N15" s="122"/>
      <c r="O15" s="122"/>
      <c r="P15" s="122"/>
      <c r="Q15" s="122"/>
    </row>
    <row r="16" spans="1:17" ht="14.25" customHeight="1" x14ac:dyDescent="0.3">
      <c r="A16" s="92" t="s">
        <v>559</v>
      </c>
      <c r="B16" s="23">
        <v>800</v>
      </c>
      <c r="C16" s="92" t="s">
        <v>556</v>
      </c>
      <c r="D16" s="25">
        <f>B16</f>
        <v>800</v>
      </c>
      <c r="E16" s="25">
        <f>D16*12</f>
        <v>9600</v>
      </c>
      <c r="M16" s="12"/>
      <c r="N16" s="122"/>
      <c r="O16" s="122"/>
      <c r="P16" s="122"/>
      <c r="Q16" s="122"/>
    </row>
    <row r="17" spans="1:17" ht="14.25" customHeight="1" x14ac:dyDescent="0.3">
      <c r="B17" s="23"/>
      <c r="D17" s="25"/>
      <c r="E17" s="25"/>
      <c r="M17" s="12"/>
      <c r="N17" s="122"/>
      <c r="O17" s="122"/>
      <c r="P17" s="122"/>
      <c r="Q17" s="122"/>
    </row>
    <row r="18" spans="1:17" ht="14.25" customHeight="1" x14ac:dyDescent="0.3">
      <c r="A18" s="92" t="s">
        <v>560</v>
      </c>
      <c r="B18" s="23"/>
      <c r="D18" s="25">
        <f>D16-D13</f>
        <v>280</v>
      </c>
      <c r="E18" s="25">
        <f>D18*12</f>
        <v>3360</v>
      </c>
      <c r="M18" s="12"/>
      <c r="N18" s="122"/>
      <c r="O18" s="122"/>
      <c r="P18" s="122"/>
      <c r="Q18" s="122"/>
    </row>
    <row r="19" spans="1:17" ht="14.25" customHeight="1" x14ac:dyDescent="0.3">
      <c r="A19" s="92" t="s">
        <v>561</v>
      </c>
      <c r="B19" s="23"/>
      <c r="D19" s="25"/>
      <c r="E19" s="50">
        <f>(E16-E13)/E13</f>
        <v>0.53846153846153844</v>
      </c>
      <c r="M19" s="12"/>
      <c r="N19" s="122"/>
      <c r="O19" s="122"/>
      <c r="P19" s="122"/>
      <c r="Q19" s="122"/>
    </row>
    <row r="20" spans="1:17" ht="14.25" customHeight="1" x14ac:dyDescent="0.3">
      <c r="B20" s="23"/>
      <c r="D20" s="25"/>
      <c r="E20" s="25"/>
      <c r="M20" s="12"/>
      <c r="N20" s="122"/>
      <c r="O20" s="122"/>
      <c r="P20" s="122"/>
      <c r="Q20" s="122"/>
    </row>
    <row r="21" spans="1:17" ht="14.25" customHeight="1" x14ac:dyDescent="0.3">
      <c r="B21" s="23"/>
      <c r="D21" s="25"/>
      <c r="E21" s="25"/>
      <c r="M21" s="12"/>
      <c r="N21" s="122"/>
      <c r="O21" s="122"/>
      <c r="P21" s="122"/>
      <c r="Q21" s="122"/>
    </row>
    <row r="22" spans="1:17" ht="14.25" customHeight="1" x14ac:dyDescent="0.3">
      <c r="B22" s="23"/>
      <c r="D22" s="25"/>
      <c r="E22" s="25"/>
      <c r="M22" s="12"/>
      <c r="N22" s="122"/>
      <c r="O22" s="122"/>
      <c r="P22" s="122"/>
      <c r="Q22" s="122"/>
    </row>
    <row r="23" spans="1:17" ht="14.25" customHeight="1" x14ac:dyDescent="0.3">
      <c r="B23" s="23"/>
      <c r="D23" s="25"/>
      <c r="E23" s="25"/>
      <c r="M23" s="12"/>
      <c r="N23" s="122"/>
      <c r="O23" s="122"/>
      <c r="P23" s="122"/>
      <c r="Q23" s="122"/>
    </row>
    <row r="24" spans="1:17" ht="14.25" customHeight="1" x14ac:dyDescent="0.3">
      <c r="B24" s="23"/>
      <c r="D24" s="25"/>
      <c r="E24" s="25"/>
      <c r="M24" s="12"/>
      <c r="N24" s="122"/>
      <c r="O24" s="122"/>
      <c r="P24" s="122"/>
      <c r="Q24" s="122"/>
    </row>
    <row r="25" spans="1:17" ht="14.25" customHeight="1" x14ac:dyDescent="0.3">
      <c r="B25" s="23"/>
      <c r="D25" s="25"/>
      <c r="E25" s="25"/>
      <c r="M25" s="12"/>
      <c r="N25" s="122"/>
      <c r="O25" s="122"/>
      <c r="P25" s="122"/>
      <c r="Q25" s="122"/>
    </row>
    <row r="26" spans="1:17" ht="14.25" customHeight="1" x14ac:dyDescent="0.3">
      <c r="B26" s="23"/>
      <c r="D26" s="25"/>
      <c r="E26" s="25"/>
      <c r="M26" s="12"/>
      <c r="N26" s="122"/>
      <c r="O26" s="122"/>
      <c r="P26" s="122"/>
      <c r="Q26" s="122"/>
    </row>
    <row r="27" spans="1:17" ht="14.25" customHeight="1" x14ac:dyDescent="0.3">
      <c r="B27" s="23"/>
      <c r="D27" s="25"/>
      <c r="E27" s="25"/>
      <c r="M27" s="12"/>
      <c r="N27" s="122"/>
      <c r="O27" s="122"/>
      <c r="P27" s="122"/>
      <c r="Q27" s="122"/>
    </row>
    <row r="28" spans="1:17" ht="14.25" customHeight="1" x14ac:dyDescent="0.3">
      <c r="B28" s="23"/>
      <c r="D28" s="25"/>
      <c r="E28" s="25"/>
      <c r="M28" s="12"/>
      <c r="N28" s="122"/>
      <c r="O28" s="122"/>
      <c r="P28" s="122"/>
      <c r="Q28" s="122"/>
    </row>
    <row r="29" spans="1:17" ht="14.25" customHeight="1" x14ac:dyDescent="0.3">
      <c r="B29" s="23"/>
      <c r="D29" s="25"/>
      <c r="E29" s="25"/>
      <c r="M29" s="12"/>
      <c r="N29" s="122"/>
      <c r="O29" s="122"/>
      <c r="P29" s="122"/>
      <c r="Q29" s="122"/>
    </row>
    <row r="30" spans="1:17" ht="14.25" customHeight="1" x14ac:dyDescent="0.3">
      <c r="B30" s="23"/>
      <c r="D30" s="25"/>
      <c r="E30" s="25"/>
      <c r="M30" s="12"/>
      <c r="N30" s="122"/>
      <c r="O30" s="122"/>
      <c r="P30" s="122"/>
      <c r="Q30" s="122"/>
    </row>
    <row r="31" spans="1:17" ht="14.25" customHeight="1" x14ac:dyDescent="0.3">
      <c r="B31" s="23"/>
      <c r="D31" s="25"/>
      <c r="E31" s="25"/>
      <c r="M31" s="12"/>
      <c r="N31" s="122"/>
      <c r="O31" s="122"/>
      <c r="P31" s="122"/>
      <c r="Q31" s="122"/>
    </row>
    <row r="32" spans="1:17" ht="14.25" customHeight="1" x14ac:dyDescent="0.3">
      <c r="B32" s="23"/>
      <c r="D32" s="25"/>
      <c r="E32" s="25"/>
      <c r="M32" s="12"/>
      <c r="N32" s="122"/>
      <c r="O32" s="122"/>
      <c r="P32" s="122"/>
      <c r="Q32" s="122"/>
    </row>
    <row r="33" spans="2:17" ht="14.25" customHeight="1" x14ac:dyDescent="0.3">
      <c r="B33" s="23"/>
      <c r="D33" s="25"/>
      <c r="E33" s="25"/>
      <c r="M33" s="12"/>
      <c r="N33" s="122"/>
      <c r="O33" s="122"/>
      <c r="P33" s="122"/>
      <c r="Q33" s="122"/>
    </row>
    <row r="34" spans="2:17" ht="14.25" customHeight="1" x14ac:dyDescent="0.3">
      <c r="B34" s="23"/>
      <c r="D34" s="25"/>
      <c r="E34" s="25"/>
      <c r="M34" s="12"/>
      <c r="N34" s="122"/>
      <c r="O34" s="122"/>
      <c r="P34" s="122"/>
      <c r="Q34" s="122"/>
    </row>
    <row r="35" spans="2:17" ht="14.25" customHeight="1" x14ac:dyDescent="0.3">
      <c r="B35" s="23"/>
      <c r="D35" s="25"/>
      <c r="E35" s="25"/>
      <c r="M35" s="12"/>
      <c r="N35" s="122"/>
      <c r="O35" s="122"/>
      <c r="P35" s="122"/>
      <c r="Q35" s="122"/>
    </row>
    <row r="36" spans="2:17" ht="14.25" customHeight="1" x14ac:dyDescent="0.3">
      <c r="B36" s="23"/>
      <c r="D36" s="25"/>
      <c r="E36" s="25"/>
      <c r="M36" s="12"/>
      <c r="N36" s="122"/>
      <c r="O36" s="122"/>
      <c r="P36" s="122"/>
      <c r="Q36" s="122"/>
    </row>
    <row r="37" spans="2:17" ht="14.25" customHeight="1" x14ac:dyDescent="0.3">
      <c r="B37" s="23"/>
      <c r="D37" s="25"/>
      <c r="E37" s="25"/>
      <c r="M37" s="12"/>
      <c r="N37" s="122"/>
      <c r="O37" s="122"/>
      <c r="P37" s="122"/>
      <c r="Q37" s="122"/>
    </row>
    <row r="38" spans="2:17" ht="14.25" customHeight="1" x14ac:dyDescent="0.3">
      <c r="B38" s="23"/>
      <c r="D38" s="25"/>
      <c r="E38" s="25"/>
      <c r="M38" s="12"/>
      <c r="N38" s="122"/>
      <c r="O38" s="122"/>
      <c r="P38" s="122"/>
      <c r="Q38" s="122"/>
    </row>
    <row r="39" spans="2:17" ht="14.25" customHeight="1" x14ac:dyDescent="0.3">
      <c r="B39" s="23"/>
      <c r="D39" s="25"/>
      <c r="E39" s="25"/>
      <c r="M39" s="12"/>
      <c r="N39" s="122"/>
      <c r="O39" s="122"/>
      <c r="P39" s="122"/>
      <c r="Q39" s="122"/>
    </row>
    <row r="40" spans="2:17" ht="14.25" customHeight="1" x14ac:dyDescent="0.3">
      <c r="B40" s="23"/>
      <c r="D40" s="25"/>
      <c r="E40" s="25"/>
      <c r="M40" s="12"/>
      <c r="N40" s="122"/>
      <c r="O40" s="122"/>
      <c r="P40" s="122"/>
      <c r="Q40" s="122"/>
    </row>
    <row r="41" spans="2:17" ht="14.25" customHeight="1" x14ac:dyDescent="0.3">
      <c r="B41" s="23"/>
      <c r="D41" s="25"/>
      <c r="E41" s="25"/>
      <c r="M41" s="12"/>
      <c r="N41" s="122"/>
      <c r="O41" s="122"/>
      <c r="P41" s="122"/>
      <c r="Q41" s="122"/>
    </row>
    <row r="42" spans="2:17" ht="14.25" customHeight="1" x14ac:dyDescent="0.3">
      <c r="B42" s="23"/>
      <c r="D42" s="25"/>
      <c r="E42" s="25"/>
      <c r="M42" s="12"/>
      <c r="N42" s="122"/>
      <c r="O42" s="122"/>
      <c r="P42" s="122"/>
      <c r="Q42" s="122"/>
    </row>
    <row r="43" spans="2:17" ht="14.25" customHeight="1" x14ac:dyDescent="0.3">
      <c r="B43" s="23"/>
      <c r="D43" s="25"/>
      <c r="E43" s="25"/>
      <c r="M43" s="12"/>
      <c r="N43" s="122"/>
      <c r="O43" s="122"/>
      <c r="P43" s="122"/>
      <c r="Q43" s="122"/>
    </row>
    <row r="44" spans="2:17" ht="14.25" customHeight="1" x14ac:dyDescent="0.3">
      <c r="B44" s="23"/>
      <c r="D44" s="25"/>
      <c r="E44" s="25"/>
      <c r="M44" s="12"/>
      <c r="N44" s="122"/>
      <c r="O44" s="122"/>
      <c r="P44" s="122"/>
      <c r="Q44" s="122"/>
    </row>
    <row r="45" spans="2:17" ht="14.25" customHeight="1" x14ac:dyDescent="0.3">
      <c r="B45" s="23"/>
      <c r="D45" s="25"/>
      <c r="E45" s="25"/>
      <c r="M45" s="12"/>
      <c r="N45" s="122"/>
      <c r="O45" s="122"/>
      <c r="P45" s="122"/>
      <c r="Q45" s="122"/>
    </row>
    <row r="46" spans="2:17" ht="14.25" customHeight="1" x14ac:dyDescent="0.3">
      <c r="B46" s="23"/>
      <c r="D46" s="25"/>
      <c r="E46" s="25"/>
      <c r="M46" s="12"/>
      <c r="N46" s="122"/>
      <c r="O46" s="122"/>
      <c r="P46" s="122"/>
      <c r="Q46" s="122"/>
    </row>
    <row r="47" spans="2:17" ht="14.25" customHeight="1" x14ac:dyDescent="0.3">
      <c r="B47" s="23"/>
      <c r="D47" s="25"/>
      <c r="E47" s="25"/>
      <c r="M47" s="12"/>
      <c r="N47" s="122"/>
      <c r="O47" s="122"/>
      <c r="P47" s="122"/>
      <c r="Q47" s="122"/>
    </row>
    <row r="48" spans="2:17" ht="14.25" customHeight="1" x14ac:dyDescent="0.3">
      <c r="B48" s="23"/>
      <c r="D48" s="25"/>
      <c r="E48" s="25"/>
      <c r="M48" s="12"/>
      <c r="N48" s="122"/>
      <c r="O48" s="122"/>
      <c r="P48" s="122"/>
      <c r="Q48" s="122"/>
    </row>
    <row r="49" spans="2:17" ht="14.25" customHeight="1" x14ac:dyDescent="0.3">
      <c r="B49" s="23"/>
      <c r="D49" s="25"/>
      <c r="E49" s="25"/>
      <c r="M49" s="12"/>
      <c r="N49" s="122"/>
      <c r="O49" s="122"/>
      <c r="P49" s="122"/>
      <c r="Q49" s="122"/>
    </row>
    <row r="50" spans="2:17" ht="14.25" customHeight="1" x14ac:dyDescent="0.3">
      <c r="B50" s="23"/>
      <c r="D50" s="25"/>
      <c r="E50" s="25"/>
      <c r="M50" s="12"/>
      <c r="N50" s="122"/>
      <c r="O50" s="122"/>
      <c r="P50" s="122"/>
      <c r="Q50" s="122"/>
    </row>
    <row r="51" spans="2:17" ht="14.25" customHeight="1" x14ac:dyDescent="0.3">
      <c r="B51" s="23"/>
      <c r="D51" s="25"/>
      <c r="E51" s="25"/>
      <c r="M51" s="12"/>
      <c r="N51" s="122"/>
      <c r="O51" s="122"/>
      <c r="P51" s="122"/>
      <c r="Q51" s="122"/>
    </row>
    <row r="52" spans="2:17" ht="14.25" customHeight="1" x14ac:dyDescent="0.3">
      <c r="B52" s="23"/>
      <c r="D52" s="25"/>
      <c r="E52" s="25"/>
      <c r="M52" s="12"/>
      <c r="N52" s="122"/>
      <c r="O52" s="122"/>
      <c r="P52" s="122"/>
      <c r="Q52" s="122"/>
    </row>
    <row r="53" spans="2:17" ht="14.25" customHeight="1" x14ac:dyDescent="0.3">
      <c r="B53" s="23"/>
      <c r="D53" s="25"/>
      <c r="E53" s="25"/>
      <c r="M53" s="12"/>
      <c r="N53" s="122"/>
      <c r="O53" s="122"/>
      <c r="P53" s="122"/>
      <c r="Q53" s="122"/>
    </row>
    <row r="54" spans="2:17" ht="14.25" customHeight="1" x14ac:dyDescent="0.3">
      <c r="B54" s="23"/>
      <c r="D54" s="25"/>
      <c r="E54" s="25"/>
      <c r="M54" s="12"/>
      <c r="N54" s="122"/>
      <c r="O54" s="122"/>
      <c r="P54" s="122"/>
      <c r="Q54" s="122"/>
    </row>
    <row r="55" spans="2:17" ht="14.25" customHeight="1" x14ac:dyDescent="0.3">
      <c r="B55" s="23"/>
      <c r="D55" s="25"/>
      <c r="E55" s="25"/>
      <c r="M55" s="12"/>
      <c r="N55" s="122"/>
      <c r="O55" s="122"/>
      <c r="P55" s="122"/>
      <c r="Q55" s="122"/>
    </row>
    <row r="56" spans="2:17" ht="14.25" customHeight="1" x14ac:dyDescent="0.3">
      <c r="B56" s="23"/>
      <c r="D56" s="25"/>
      <c r="E56" s="25"/>
      <c r="M56" s="12"/>
      <c r="N56" s="122"/>
      <c r="O56" s="122"/>
      <c r="P56" s="122"/>
      <c r="Q56" s="122"/>
    </row>
    <row r="57" spans="2:17" ht="14.25" customHeight="1" x14ac:dyDescent="0.3">
      <c r="B57" s="23"/>
      <c r="D57" s="25"/>
      <c r="E57" s="25"/>
      <c r="M57" s="12"/>
      <c r="N57" s="122"/>
      <c r="O57" s="122"/>
      <c r="P57" s="122"/>
      <c r="Q57" s="122"/>
    </row>
    <row r="58" spans="2:17" ht="14.25" customHeight="1" x14ac:dyDescent="0.3">
      <c r="B58" s="23"/>
      <c r="D58" s="25"/>
      <c r="E58" s="25"/>
      <c r="M58" s="12"/>
      <c r="N58" s="122"/>
      <c r="O58" s="122"/>
      <c r="P58" s="122"/>
      <c r="Q58" s="122"/>
    </row>
    <row r="59" spans="2:17" ht="14.25" customHeight="1" x14ac:dyDescent="0.3">
      <c r="B59" s="23"/>
      <c r="D59" s="25"/>
      <c r="E59" s="25"/>
      <c r="M59" s="12"/>
      <c r="N59" s="122"/>
      <c r="O59" s="122"/>
      <c r="P59" s="122"/>
      <c r="Q59" s="122"/>
    </row>
    <row r="60" spans="2:17" ht="14.25" customHeight="1" x14ac:dyDescent="0.3">
      <c r="B60" s="23"/>
      <c r="D60" s="25"/>
      <c r="E60" s="25"/>
      <c r="M60" s="12"/>
      <c r="N60" s="122"/>
      <c r="O60" s="122"/>
      <c r="P60" s="122"/>
      <c r="Q60" s="122"/>
    </row>
    <row r="61" spans="2:17" ht="14.25" customHeight="1" x14ac:dyDescent="0.3">
      <c r="B61" s="23"/>
      <c r="D61" s="25"/>
      <c r="E61" s="25"/>
      <c r="M61" s="12"/>
      <c r="N61" s="122"/>
      <c r="O61" s="122"/>
      <c r="P61" s="122"/>
      <c r="Q61" s="122"/>
    </row>
    <row r="62" spans="2:17" ht="14.25" customHeight="1" x14ac:dyDescent="0.3">
      <c r="B62" s="23"/>
      <c r="D62" s="25"/>
      <c r="E62" s="25"/>
      <c r="M62" s="12"/>
      <c r="N62" s="122"/>
      <c r="O62" s="122"/>
      <c r="P62" s="122"/>
      <c r="Q62" s="122"/>
    </row>
    <row r="63" spans="2:17" ht="14.25" customHeight="1" x14ac:dyDescent="0.3">
      <c r="B63" s="23"/>
      <c r="D63" s="25"/>
      <c r="E63" s="25"/>
      <c r="M63" s="12"/>
      <c r="N63" s="122"/>
      <c r="O63" s="122"/>
      <c r="P63" s="122"/>
      <c r="Q63" s="122"/>
    </row>
    <row r="64" spans="2:17" ht="14.25" customHeight="1" x14ac:dyDescent="0.3">
      <c r="B64" s="23"/>
      <c r="D64" s="25"/>
      <c r="E64" s="25"/>
      <c r="M64" s="12"/>
      <c r="N64" s="122"/>
      <c r="O64" s="122"/>
      <c r="P64" s="122"/>
      <c r="Q64" s="122"/>
    </row>
    <row r="65" spans="2:17" ht="14.25" customHeight="1" x14ac:dyDescent="0.3">
      <c r="B65" s="23"/>
      <c r="D65" s="25"/>
      <c r="E65" s="25"/>
      <c r="M65" s="12"/>
      <c r="N65" s="122"/>
      <c r="O65" s="122"/>
      <c r="P65" s="122"/>
      <c r="Q65" s="122"/>
    </row>
    <row r="66" spans="2:17" ht="14.25" customHeight="1" x14ac:dyDescent="0.3">
      <c r="B66" s="23"/>
      <c r="D66" s="25"/>
      <c r="E66" s="25"/>
      <c r="M66" s="12"/>
      <c r="N66" s="122"/>
      <c r="O66" s="122"/>
      <c r="P66" s="122"/>
      <c r="Q66" s="122"/>
    </row>
    <row r="67" spans="2:17" ht="14.25" customHeight="1" x14ac:dyDescent="0.3">
      <c r="B67" s="23"/>
      <c r="D67" s="25"/>
      <c r="E67" s="25"/>
      <c r="M67" s="12"/>
      <c r="N67" s="122"/>
      <c r="O67" s="122"/>
      <c r="P67" s="122"/>
      <c r="Q67" s="122"/>
    </row>
    <row r="68" spans="2:17" ht="14.25" customHeight="1" x14ac:dyDescent="0.3">
      <c r="B68" s="23"/>
      <c r="D68" s="25"/>
      <c r="E68" s="25"/>
      <c r="M68" s="12"/>
      <c r="N68" s="122"/>
      <c r="O68" s="122"/>
      <c r="P68" s="122"/>
      <c r="Q68" s="122"/>
    </row>
    <row r="69" spans="2:17" ht="14.25" customHeight="1" x14ac:dyDescent="0.3">
      <c r="B69" s="23"/>
      <c r="D69" s="25"/>
      <c r="E69" s="25"/>
      <c r="M69" s="12"/>
      <c r="N69" s="122"/>
      <c r="O69" s="122"/>
      <c r="P69" s="122"/>
      <c r="Q69" s="122"/>
    </row>
    <row r="70" spans="2:17" ht="14.25" customHeight="1" x14ac:dyDescent="0.3">
      <c r="B70" s="23"/>
      <c r="D70" s="25"/>
      <c r="E70" s="25"/>
      <c r="M70" s="12"/>
      <c r="N70" s="122"/>
      <c r="O70" s="122"/>
      <c r="P70" s="122"/>
      <c r="Q70" s="122"/>
    </row>
    <row r="71" spans="2:17" ht="14.25" customHeight="1" x14ac:dyDescent="0.3">
      <c r="B71" s="23"/>
      <c r="D71" s="25"/>
      <c r="E71" s="25"/>
      <c r="M71" s="12"/>
      <c r="N71" s="122"/>
      <c r="O71" s="122"/>
      <c r="P71" s="122"/>
      <c r="Q71" s="122"/>
    </row>
    <row r="72" spans="2:17" ht="14.25" customHeight="1" x14ac:dyDescent="0.3">
      <c r="B72" s="23"/>
      <c r="D72" s="25"/>
      <c r="E72" s="25"/>
      <c r="M72" s="12"/>
      <c r="N72" s="122"/>
      <c r="O72" s="122"/>
      <c r="P72" s="122"/>
      <c r="Q72" s="122"/>
    </row>
    <row r="73" spans="2:17" ht="14.25" customHeight="1" x14ac:dyDescent="0.3">
      <c r="B73" s="23"/>
      <c r="D73" s="25"/>
      <c r="E73" s="25"/>
      <c r="M73" s="12"/>
      <c r="N73" s="122"/>
      <c r="O73" s="122"/>
      <c r="P73" s="122"/>
      <c r="Q73" s="122"/>
    </row>
    <row r="74" spans="2:17" ht="14.25" customHeight="1" x14ac:dyDescent="0.3">
      <c r="B74" s="23"/>
      <c r="D74" s="25"/>
      <c r="E74" s="25"/>
      <c r="M74" s="12"/>
      <c r="N74" s="122"/>
      <c r="O74" s="122"/>
      <c r="P74" s="122"/>
      <c r="Q74" s="122"/>
    </row>
    <row r="75" spans="2:17" ht="14.25" customHeight="1" x14ac:dyDescent="0.3">
      <c r="B75" s="23"/>
      <c r="D75" s="25"/>
      <c r="E75" s="25"/>
      <c r="M75" s="12"/>
      <c r="N75" s="122"/>
      <c r="O75" s="122"/>
      <c r="P75" s="122"/>
      <c r="Q75" s="122"/>
    </row>
    <row r="76" spans="2:17" ht="14.25" customHeight="1" x14ac:dyDescent="0.3">
      <c r="B76" s="23"/>
      <c r="D76" s="25"/>
      <c r="E76" s="25"/>
      <c r="M76" s="12"/>
      <c r="N76" s="122"/>
      <c r="O76" s="122"/>
      <c r="P76" s="122"/>
      <c r="Q76" s="122"/>
    </row>
    <row r="77" spans="2:17" ht="14.25" customHeight="1" x14ac:dyDescent="0.3">
      <c r="B77" s="23"/>
      <c r="D77" s="25"/>
      <c r="E77" s="25"/>
      <c r="M77" s="12"/>
      <c r="N77" s="122"/>
      <c r="O77" s="122"/>
      <c r="P77" s="122"/>
      <c r="Q77" s="122"/>
    </row>
    <row r="78" spans="2:17" ht="14.25" customHeight="1" x14ac:dyDescent="0.3">
      <c r="B78" s="23"/>
      <c r="D78" s="25"/>
      <c r="E78" s="25"/>
      <c r="M78" s="12"/>
      <c r="N78" s="122"/>
      <c r="O78" s="122"/>
      <c r="P78" s="122"/>
      <c r="Q78" s="122"/>
    </row>
    <row r="79" spans="2:17" ht="14.25" customHeight="1" x14ac:dyDescent="0.3">
      <c r="B79" s="23"/>
      <c r="D79" s="25"/>
      <c r="E79" s="25"/>
      <c r="M79" s="12"/>
      <c r="N79" s="122"/>
      <c r="O79" s="122"/>
      <c r="P79" s="122"/>
      <c r="Q79" s="122"/>
    </row>
    <row r="80" spans="2:17" ht="14.25" customHeight="1" x14ac:dyDescent="0.3">
      <c r="B80" s="23"/>
      <c r="D80" s="25"/>
      <c r="E80" s="25"/>
      <c r="M80" s="12"/>
      <c r="N80" s="122"/>
      <c r="O80" s="122"/>
      <c r="P80" s="122"/>
      <c r="Q80" s="122"/>
    </row>
    <row r="81" spans="2:17" ht="14.25" customHeight="1" x14ac:dyDescent="0.3">
      <c r="B81" s="23"/>
      <c r="D81" s="25"/>
      <c r="E81" s="25"/>
      <c r="M81" s="12"/>
      <c r="N81" s="122"/>
      <c r="O81" s="122"/>
      <c r="P81" s="122"/>
      <c r="Q81" s="122"/>
    </row>
    <row r="82" spans="2:17" ht="14.25" customHeight="1" x14ac:dyDescent="0.3">
      <c r="B82" s="23"/>
      <c r="D82" s="25"/>
      <c r="E82" s="25"/>
      <c r="M82" s="12"/>
      <c r="N82" s="122"/>
      <c r="O82" s="122"/>
      <c r="P82" s="122"/>
      <c r="Q82" s="122"/>
    </row>
    <row r="83" spans="2:17" ht="14.25" customHeight="1" x14ac:dyDescent="0.3">
      <c r="B83" s="23"/>
      <c r="D83" s="25"/>
      <c r="E83" s="25"/>
      <c r="M83" s="12"/>
      <c r="N83" s="122"/>
      <c r="O83" s="122"/>
      <c r="P83" s="122"/>
      <c r="Q83" s="122"/>
    </row>
    <row r="84" spans="2:17" ht="14.25" customHeight="1" x14ac:dyDescent="0.3">
      <c r="B84" s="23"/>
      <c r="D84" s="25"/>
      <c r="E84" s="25"/>
      <c r="M84" s="12"/>
      <c r="N84" s="122"/>
      <c r="O84" s="122"/>
      <c r="P84" s="122"/>
      <c r="Q84" s="122"/>
    </row>
    <row r="85" spans="2:17" ht="14.25" customHeight="1" x14ac:dyDescent="0.3">
      <c r="B85" s="23"/>
      <c r="D85" s="25"/>
      <c r="E85" s="25"/>
      <c r="M85" s="12"/>
      <c r="N85" s="122"/>
      <c r="O85" s="122"/>
      <c r="P85" s="122"/>
      <c r="Q85" s="122"/>
    </row>
    <row r="86" spans="2:17" ht="14.25" customHeight="1" x14ac:dyDescent="0.3">
      <c r="B86" s="23"/>
      <c r="D86" s="25"/>
      <c r="E86" s="25"/>
      <c r="M86" s="12"/>
      <c r="N86" s="122"/>
      <c r="O86" s="122"/>
      <c r="P86" s="122"/>
      <c r="Q86" s="122"/>
    </row>
    <row r="87" spans="2:17" ht="14.25" customHeight="1" x14ac:dyDescent="0.3">
      <c r="B87" s="23"/>
      <c r="D87" s="25"/>
      <c r="E87" s="25"/>
      <c r="M87" s="12"/>
      <c r="N87" s="122"/>
      <c r="O87" s="122"/>
      <c r="P87" s="122"/>
      <c r="Q87" s="122"/>
    </row>
    <row r="88" spans="2:17" ht="14.25" customHeight="1" x14ac:dyDescent="0.3">
      <c r="B88" s="23"/>
      <c r="D88" s="25"/>
      <c r="E88" s="25"/>
      <c r="M88" s="12"/>
      <c r="N88" s="122"/>
      <c r="O88" s="122"/>
      <c r="P88" s="122"/>
      <c r="Q88" s="122"/>
    </row>
    <row r="89" spans="2:17" ht="14.25" customHeight="1" x14ac:dyDescent="0.3">
      <c r="B89" s="23"/>
      <c r="D89" s="25"/>
      <c r="E89" s="25"/>
      <c r="M89" s="12"/>
      <c r="N89" s="122"/>
      <c r="O89" s="122"/>
      <c r="P89" s="122"/>
      <c r="Q89" s="122"/>
    </row>
    <row r="90" spans="2:17" ht="14.25" customHeight="1" x14ac:dyDescent="0.3">
      <c r="B90" s="23"/>
      <c r="D90" s="25"/>
      <c r="E90" s="25"/>
      <c r="M90" s="12"/>
      <c r="N90" s="122"/>
      <c r="O90" s="122"/>
      <c r="P90" s="122"/>
      <c r="Q90" s="122"/>
    </row>
    <row r="91" spans="2:17" ht="14.25" customHeight="1" x14ac:dyDescent="0.3">
      <c r="B91" s="23"/>
      <c r="D91" s="25"/>
      <c r="E91" s="25"/>
      <c r="M91" s="12"/>
      <c r="N91" s="122"/>
      <c r="O91" s="122"/>
      <c r="P91" s="122"/>
      <c r="Q91" s="122"/>
    </row>
    <row r="92" spans="2:17" ht="14.25" customHeight="1" x14ac:dyDescent="0.3">
      <c r="B92" s="23"/>
      <c r="D92" s="25"/>
      <c r="E92" s="25"/>
      <c r="M92" s="12"/>
      <c r="N92" s="122"/>
      <c r="O92" s="122"/>
      <c r="P92" s="122"/>
      <c r="Q92" s="122"/>
    </row>
    <row r="93" spans="2:17" ht="14.25" customHeight="1" x14ac:dyDescent="0.3">
      <c r="B93" s="23"/>
      <c r="D93" s="25"/>
      <c r="E93" s="25"/>
      <c r="M93" s="12"/>
      <c r="N93" s="122"/>
      <c r="O93" s="122"/>
      <c r="P93" s="122"/>
      <c r="Q93" s="122"/>
    </row>
    <row r="94" spans="2:17" ht="14.25" customHeight="1" x14ac:dyDescent="0.3">
      <c r="B94" s="23"/>
      <c r="D94" s="25"/>
      <c r="E94" s="25"/>
      <c r="M94" s="12"/>
      <c r="N94" s="122"/>
      <c r="O94" s="122"/>
      <c r="P94" s="122"/>
      <c r="Q94" s="122"/>
    </row>
    <row r="95" spans="2:17" ht="14.25" customHeight="1" x14ac:dyDescent="0.3">
      <c r="B95" s="23"/>
      <c r="D95" s="25"/>
      <c r="E95" s="25"/>
      <c r="M95" s="12"/>
      <c r="N95" s="122"/>
      <c r="O95" s="122"/>
      <c r="P95" s="122"/>
      <c r="Q95" s="122"/>
    </row>
    <row r="96" spans="2:17" ht="14.25" customHeight="1" x14ac:dyDescent="0.3">
      <c r="B96" s="23"/>
      <c r="D96" s="25"/>
      <c r="E96" s="25"/>
      <c r="M96" s="12"/>
      <c r="N96" s="122"/>
      <c r="O96" s="122"/>
      <c r="P96" s="122"/>
      <c r="Q96" s="122"/>
    </row>
    <row r="97" spans="2:17" ht="14.25" customHeight="1" x14ac:dyDescent="0.3">
      <c r="B97" s="23"/>
      <c r="D97" s="25"/>
      <c r="E97" s="25"/>
      <c r="M97" s="12"/>
      <c r="N97" s="122"/>
      <c r="O97" s="122"/>
      <c r="P97" s="122"/>
      <c r="Q97" s="122"/>
    </row>
    <row r="98" spans="2:17" ht="14.25" customHeight="1" x14ac:dyDescent="0.3">
      <c r="B98" s="23"/>
      <c r="D98" s="25"/>
      <c r="E98" s="25"/>
      <c r="M98" s="12"/>
      <c r="N98" s="122"/>
      <c r="O98" s="122"/>
      <c r="P98" s="122"/>
      <c r="Q98" s="122"/>
    </row>
    <row r="99" spans="2:17" ht="14.25" customHeight="1" x14ac:dyDescent="0.3">
      <c r="B99" s="23"/>
      <c r="D99" s="25"/>
      <c r="E99" s="25"/>
      <c r="M99" s="12"/>
      <c r="N99" s="122"/>
      <c r="O99" s="122"/>
      <c r="P99" s="122"/>
      <c r="Q99" s="122"/>
    </row>
    <row r="100" spans="2:17" ht="14.25" customHeight="1" x14ac:dyDescent="0.3">
      <c r="B100" s="23"/>
      <c r="D100" s="25"/>
      <c r="E100" s="25"/>
      <c r="M100" s="12"/>
      <c r="N100" s="122"/>
      <c r="O100" s="122"/>
      <c r="P100" s="122"/>
      <c r="Q100" s="122"/>
    </row>
    <row r="101" spans="2:17" ht="14.25" customHeight="1" x14ac:dyDescent="0.3">
      <c r="B101" s="23"/>
      <c r="D101" s="25"/>
      <c r="E101" s="25"/>
      <c r="M101" s="12"/>
      <c r="N101" s="122"/>
      <c r="O101" s="122"/>
      <c r="P101" s="122"/>
      <c r="Q101" s="122"/>
    </row>
    <row r="102" spans="2:17" ht="14.25" customHeight="1" x14ac:dyDescent="0.3">
      <c r="B102" s="23"/>
      <c r="D102" s="25"/>
      <c r="E102" s="25"/>
      <c r="M102" s="12"/>
      <c r="N102" s="122"/>
      <c r="O102" s="122"/>
      <c r="P102" s="122"/>
      <c r="Q102" s="122"/>
    </row>
    <row r="103" spans="2:17" ht="14.25" customHeight="1" x14ac:dyDescent="0.3">
      <c r="B103" s="23"/>
      <c r="D103" s="25"/>
      <c r="E103" s="25"/>
      <c r="M103" s="12"/>
      <c r="N103" s="122"/>
      <c r="O103" s="122"/>
      <c r="P103" s="122"/>
      <c r="Q103" s="122"/>
    </row>
    <row r="104" spans="2:17" ht="14.25" customHeight="1" x14ac:dyDescent="0.3">
      <c r="B104" s="23"/>
      <c r="D104" s="25"/>
      <c r="E104" s="25"/>
      <c r="M104" s="12"/>
      <c r="N104" s="122"/>
      <c r="O104" s="122"/>
      <c r="P104" s="122"/>
      <c r="Q104" s="122"/>
    </row>
    <row r="105" spans="2:17" ht="14.25" customHeight="1" x14ac:dyDescent="0.3">
      <c r="B105" s="23"/>
      <c r="D105" s="25"/>
      <c r="E105" s="25"/>
      <c r="M105" s="12"/>
      <c r="N105" s="122"/>
      <c r="O105" s="122"/>
      <c r="P105" s="122"/>
      <c r="Q105" s="122"/>
    </row>
    <row r="106" spans="2:17" ht="14.25" customHeight="1" x14ac:dyDescent="0.3">
      <c r="B106" s="23"/>
      <c r="D106" s="25"/>
      <c r="E106" s="25"/>
      <c r="M106" s="12"/>
      <c r="N106" s="122"/>
      <c r="O106" s="122"/>
      <c r="P106" s="122"/>
      <c r="Q106" s="122"/>
    </row>
    <row r="107" spans="2:17" ht="14.25" customHeight="1" x14ac:dyDescent="0.3">
      <c r="B107" s="23"/>
      <c r="D107" s="25"/>
      <c r="E107" s="25"/>
      <c r="M107" s="12"/>
      <c r="N107" s="122"/>
      <c r="O107" s="122"/>
      <c r="P107" s="122"/>
      <c r="Q107" s="122"/>
    </row>
    <row r="108" spans="2:17" ht="14.25" customHeight="1" x14ac:dyDescent="0.3">
      <c r="B108" s="23"/>
      <c r="D108" s="25"/>
      <c r="E108" s="25"/>
      <c r="M108" s="12"/>
      <c r="N108" s="122"/>
      <c r="O108" s="122"/>
      <c r="P108" s="122"/>
      <c r="Q108" s="122"/>
    </row>
    <row r="109" spans="2:17" ht="14.25" customHeight="1" x14ac:dyDescent="0.3">
      <c r="B109" s="23"/>
      <c r="D109" s="25"/>
      <c r="E109" s="25"/>
      <c r="M109" s="12"/>
      <c r="N109" s="122"/>
      <c r="O109" s="122"/>
      <c r="P109" s="122"/>
      <c r="Q109" s="122"/>
    </row>
    <row r="110" spans="2:17" ht="14.25" customHeight="1" x14ac:dyDescent="0.3">
      <c r="B110" s="23"/>
      <c r="D110" s="25"/>
      <c r="E110" s="25"/>
      <c r="M110" s="12"/>
      <c r="N110" s="122"/>
      <c r="O110" s="122"/>
      <c r="P110" s="122"/>
      <c r="Q110" s="122"/>
    </row>
    <row r="111" spans="2:17" ht="14.25" customHeight="1" x14ac:dyDescent="0.3">
      <c r="B111" s="23"/>
      <c r="D111" s="25"/>
      <c r="E111" s="25"/>
      <c r="M111" s="12"/>
      <c r="N111" s="122"/>
      <c r="O111" s="122"/>
      <c r="P111" s="122"/>
      <c r="Q111" s="122"/>
    </row>
    <row r="112" spans="2:17" ht="14.25" customHeight="1" x14ac:dyDescent="0.3">
      <c r="B112" s="23"/>
      <c r="D112" s="25"/>
      <c r="E112" s="25"/>
      <c r="M112" s="12"/>
      <c r="N112" s="122"/>
      <c r="O112" s="122"/>
      <c r="P112" s="122"/>
      <c r="Q112" s="122"/>
    </row>
    <row r="113" spans="2:17" ht="14.25" customHeight="1" x14ac:dyDescent="0.3">
      <c r="B113" s="23"/>
      <c r="D113" s="25"/>
      <c r="E113" s="25"/>
      <c r="M113" s="12"/>
      <c r="N113" s="122"/>
      <c r="O113" s="122"/>
      <c r="P113" s="122"/>
      <c r="Q113" s="122"/>
    </row>
    <row r="114" spans="2:17" ht="14.25" customHeight="1" x14ac:dyDescent="0.3">
      <c r="B114" s="23"/>
      <c r="D114" s="25"/>
      <c r="E114" s="25"/>
      <c r="M114" s="12"/>
      <c r="N114" s="122"/>
      <c r="O114" s="122"/>
      <c r="P114" s="122"/>
      <c r="Q114" s="122"/>
    </row>
    <row r="115" spans="2:17" ht="14.25" customHeight="1" x14ac:dyDescent="0.3">
      <c r="B115" s="23"/>
      <c r="D115" s="25"/>
      <c r="E115" s="25"/>
      <c r="M115" s="12"/>
      <c r="N115" s="122"/>
      <c r="O115" s="122"/>
      <c r="P115" s="122"/>
      <c r="Q115" s="122"/>
    </row>
    <row r="116" spans="2:17" ht="14.25" customHeight="1" x14ac:dyDescent="0.3">
      <c r="B116" s="23"/>
      <c r="D116" s="25"/>
      <c r="E116" s="25"/>
      <c r="M116" s="12"/>
      <c r="N116" s="122"/>
      <c r="O116" s="122"/>
      <c r="P116" s="122"/>
      <c r="Q116" s="122"/>
    </row>
    <row r="117" spans="2:17" ht="14.25" customHeight="1" x14ac:dyDescent="0.3">
      <c r="B117" s="23"/>
      <c r="D117" s="25"/>
      <c r="E117" s="25"/>
      <c r="M117" s="12"/>
      <c r="N117" s="122"/>
      <c r="O117" s="122"/>
      <c r="P117" s="122"/>
      <c r="Q117" s="122"/>
    </row>
    <row r="118" spans="2:17" ht="14.25" customHeight="1" x14ac:dyDescent="0.3">
      <c r="B118" s="23"/>
      <c r="D118" s="25"/>
      <c r="E118" s="25"/>
      <c r="M118" s="12"/>
      <c r="N118" s="122"/>
      <c r="O118" s="122"/>
      <c r="P118" s="122"/>
      <c r="Q118" s="122"/>
    </row>
    <row r="119" spans="2:17" ht="14.25" customHeight="1" x14ac:dyDescent="0.3">
      <c r="B119" s="23"/>
      <c r="D119" s="25"/>
      <c r="E119" s="25"/>
      <c r="M119" s="12"/>
      <c r="N119" s="122"/>
      <c r="O119" s="122"/>
      <c r="P119" s="122"/>
      <c r="Q119" s="122"/>
    </row>
    <row r="120" spans="2:17" ht="14.25" customHeight="1" x14ac:dyDescent="0.3">
      <c r="B120" s="23"/>
      <c r="D120" s="25"/>
      <c r="E120" s="25"/>
      <c r="M120" s="12"/>
      <c r="N120" s="122"/>
      <c r="O120" s="122"/>
      <c r="P120" s="122"/>
      <c r="Q120" s="122"/>
    </row>
    <row r="121" spans="2:17" ht="14.25" customHeight="1" x14ac:dyDescent="0.3">
      <c r="B121" s="23"/>
      <c r="D121" s="25"/>
      <c r="E121" s="25"/>
      <c r="M121" s="12"/>
      <c r="N121" s="122"/>
      <c r="O121" s="122"/>
      <c r="P121" s="122"/>
      <c r="Q121" s="122"/>
    </row>
    <row r="122" spans="2:17" ht="14.25" customHeight="1" x14ac:dyDescent="0.3">
      <c r="B122" s="23"/>
      <c r="D122" s="25"/>
      <c r="E122" s="25"/>
      <c r="M122" s="12"/>
      <c r="N122" s="122"/>
      <c r="O122" s="122"/>
      <c r="P122" s="122"/>
      <c r="Q122" s="122"/>
    </row>
    <row r="123" spans="2:17" ht="14.25" customHeight="1" x14ac:dyDescent="0.3">
      <c r="B123" s="23"/>
      <c r="D123" s="25"/>
      <c r="E123" s="25"/>
      <c r="M123" s="12"/>
      <c r="N123" s="122"/>
      <c r="O123" s="122"/>
      <c r="P123" s="122"/>
      <c r="Q123" s="122"/>
    </row>
    <row r="124" spans="2:17" ht="14.25" customHeight="1" x14ac:dyDescent="0.3">
      <c r="B124" s="23"/>
      <c r="D124" s="25"/>
      <c r="E124" s="25"/>
      <c r="M124" s="12"/>
      <c r="N124" s="122"/>
      <c r="O124" s="122"/>
      <c r="P124" s="122"/>
      <c r="Q124" s="122"/>
    </row>
    <row r="125" spans="2:17" ht="14.25" customHeight="1" x14ac:dyDescent="0.3">
      <c r="B125" s="23"/>
      <c r="D125" s="25"/>
      <c r="E125" s="25"/>
      <c r="M125" s="12"/>
      <c r="N125" s="122"/>
      <c r="O125" s="122"/>
      <c r="P125" s="122"/>
      <c r="Q125" s="122"/>
    </row>
    <row r="126" spans="2:17" ht="14.25" customHeight="1" x14ac:dyDescent="0.3">
      <c r="B126" s="23"/>
      <c r="D126" s="25"/>
      <c r="E126" s="25"/>
      <c r="M126" s="12"/>
      <c r="N126" s="122"/>
      <c r="O126" s="122"/>
      <c r="P126" s="122"/>
      <c r="Q126" s="122"/>
    </row>
    <row r="127" spans="2:17" ht="14.25" customHeight="1" x14ac:dyDescent="0.3">
      <c r="B127" s="23"/>
      <c r="D127" s="25"/>
      <c r="E127" s="25"/>
      <c r="M127" s="12"/>
      <c r="N127" s="122"/>
      <c r="O127" s="122"/>
      <c r="P127" s="122"/>
      <c r="Q127" s="122"/>
    </row>
    <row r="128" spans="2:17" ht="14.25" customHeight="1" x14ac:dyDescent="0.3">
      <c r="B128" s="23"/>
      <c r="D128" s="25"/>
      <c r="E128" s="25"/>
      <c r="M128" s="12"/>
      <c r="N128" s="122"/>
      <c r="O128" s="122"/>
      <c r="P128" s="122"/>
      <c r="Q128" s="122"/>
    </row>
    <row r="129" spans="2:17" ht="14.25" customHeight="1" x14ac:dyDescent="0.3">
      <c r="B129" s="23"/>
      <c r="D129" s="25"/>
      <c r="E129" s="25"/>
      <c r="M129" s="12"/>
      <c r="N129" s="122"/>
      <c r="O129" s="122"/>
      <c r="P129" s="122"/>
      <c r="Q129" s="122"/>
    </row>
    <row r="130" spans="2:17" ht="14.25" customHeight="1" x14ac:dyDescent="0.3">
      <c r="B130" s="23"/>
      <c r="D130" s="25"/>
      <c r="E130" s="25"/>
      <c r="M130" s="12"/>
      <c r="N130" s="122"/>
      <c r="O130" s="122"/>
      <c r="P130" s="122"/>
      <c r="Q130" s="122"/>
    </row>
    <row r="131" spans="2:17" ht="14.25" customHeight="1" x14ac:dyDescent="0.3">
      <c r="B131" s="23"/>
      <c r="D131" s="25"/>
      <c r="E131" s="25"/>
      <c r="M131" s="12"/>
      <c r="N131" s="122"/>
      <c r="O131" s="122"/>
      <c r="P131" s="122"/>
      <c r="Q131" s="122"/>
    </row>
    <row r="132" spans="2:17" ht="14.25" customHeight="1" x14ac:dyDescent="0.3">
      <c r="B132" s="23"/>
      <c r="D132" s="25"/>
      <c r="E132" s="25"/>
      <c r="M132" s="12"/>
      <c r="N132" s="122"/>
      <c r="O132" s="122"/>
      <c r="P132" s="122"/>
      <c r="Q132" s="122"/>
    </row>
    <row r="133" spans="2:17" ht="14.25" customHeight="1" x14ac:dyDescent="0.3">
      <c r="B133" s="23"/>
      <c r="D133" s="25"/>
      <c r="E133" s="25"/>
      <c r="M133" s="12"/>
      <c r="N133" s="122"/>
      <c r="O133" s="122"/>
      <c r="P133" s="122"/>
      <c r="Q133" s="122"/>
    </row>
    <row r="134" spans="2:17" ht="14.25" customHeight="1" x14ac:dyDescent="0.3">
      <c r="B134" s="23"/>
      <c r="D134" s="25"/>
      <c r="E134" s="25"/>
      <c r="M134" s="12"/>
      <c r="N134" s="122"/>
      <c r="O134" s="122"/>
      <c r="P134" s="122"/>
      <c r="Q134" s="122"/>
    </row>
    <row r="135" spans="2:17" ht="14.25" customHeight="1" x14ac:dyDescent="0.3">
      <c r="B135" s="23"/>
      <c r="D135" s="25"/>
      <c r="E135" s="25"/>
      <c r="M135" s="12"/>
      <c r="N135" s="122"/>
      <c r="O135" s="122"/>
      <c r="P135" s="122"/>
      <c r="Q135" s="122"/>
    </row>
    <row r="136" spans="2:17" ht="14.25" customHeight="1" x14ac:dyDescent="0.3">
      <c r="B136" s="23"/>
      <c r="D136" s="25"/>
      <c r="E136" s="25"/>
      <c r="M136" s="12"/>
      <c r="N136" s="122"/>
      <c r="O136" s="122"/>
      <c r="P136" s="122"/>
      <c r="Q136" s="122"/>
    </row>
    <row r="137" spans="2:17" ht="14.25" customHeight="1" x14ac:dyDescent="0.3">
      <c r="B137" s="23"/>
      <c r="D137" s="25"/>
      <c r="E137" s="25"/>
      <c r="M137" s="12"/>
      <c r="N137" s="122"/>
      <c r="O137" s="122"/>
      <c r="P137" s="122"/>
      <c r="Q137" s="122"/>
    </row>
    <row r="138" spans="2:17" ht="14.25" customHeight="1" x14ac:dyDescent="0.3">
      <c r="B138" s="23"/>
      <c r="D138" s="25"/>
      <c r="E138" s="25"/>
      <c r="M138" s="12"/>
      <c r="N138" s="122"/>
      <c r="O138" s="122"/>
      <c r="P138" s="122"/>
      <c r="Q138" s="122"/>
    </row>
    <row r="139" spans="2:17" ht="14.25" customHeight="1" x14ac:dyDescent="0.3">
      <c r="B139" s="23"/>
      <c r="D139" s="25"/>
      <c r="E139" s="25"/>
      <c r="M139" s="12"/>
      <c r="N139" s="122"/>
      <c r="O139" s="122"/>
      <c r="P139" s="122"/>
      <c r="Q139" s="122"/>
    </row>
    <row r="140" spans="2:17" ht="14.25" customHeight="1" x14ac:dyDescent="0.3">
      <c r="B140" s="23"/>
      <c r="D140" s="25"/>
      <c r="E140" s="25"/>
      <c r="M140" s="12"/>
      <c r="N140" s="122"/>
      <c r="O140" s="122"/>
      <c r="P140" s="122"/>
      <c r="Q140" s="122"/>
    </row>
    <row r="141" spans="2:17" ht="14.25" customHeight="1" x14ac:dyDescent="0.3">
      <c r="B141" s="23"/>
      <c r="D141" s="25"/>
      <c r="E141" s="25"/>
      <c r="M141" s="12"/>
      <c r="N141" s="122"/>
      <c r="O141" s="122"/>
      <c r="P141" s="122"/>
      <c r="Q141" s="122"/>
    </row>
    <row r="142" spans="2:17" ht="14.25" customHeight="1" x14ac:dyDescent="0.3">
      <c r="B142" s="23"/>
      <c r="D142" s="25"/>
      <c r="E142" s="25"/>
      <c r="M142" s="12"/>
      <c r="N142" s="122"/>
      <c r="O142" s="122"/>
      <c r="P142" s="122"/>
      <c r="Q142" s="122"/>
    </row>
    <row r="143" spans="2:17" ht="14.25" customHeight="1" x14ac:dyDescent="0.3">
      <c r="B143" s="23"/>
      <c r="D143" s="25"/>
      <c r="E143" s="25"/>
      <c r="M143" s="12"/>
      <c r="N143" s="122"/>
      <c r="O143" s="122"/>
      <c r="P143" s="122"/>
      <c r="Q143" s="122"/>
    </row>
    <row r="144" spans="2:17" ht="14.25" customHeight="1" x14ac:dyDescent="0.3">
      <c r="B144" s="23"/>
      <c r="D144" s="25"/>
      <c r="E144" s="25"/>
      <c r="M144" s="12"/>
      <c r="N144" s="122"/>
      <c r="O144" s="122"/>
      <c r="P144" s="122"/>
      <c r="Q144" s="122"/>
    </row>
    <row r="145" spans="2:17" ht="14.25" customHeight="1" x14ac:dyDescent="0.3">
      <c r="B145" s="23"/>
      <c r="D145" s="25"/>
      <c r="E145" s="25"/>
      <c r="M145" s="12"/>
      <c r="N145" s="122"/>
      <c r="O145" s="122"/>
      <c r="P145" s="122"/>
      <c r="Q145" s="122"/>
    </row>
    <row r="146" spans="2:17" ht="14.25" customHeight="1" x14ac:dyDescent="0.3">
      <c r="B146" s="23"/>
      <c r="D146" s="25"/>
      <c r="E146" s="25"/>
      <c r="M146" s="12"/>
      <c r="N146" s="122"/>
      <c r="O146" s="122"/>
      <c r="P146" s="122"/>
      <c r="Q146" s="122"/>
    </row>
    <row r="147" spans="2:17" ht="14.25" customHeight="1" x14ac:dyDescent="0.3">
      <c r="B147" s="23"/>
      <c r="D147" s="25"/>
      <c r="E147" s="25"/>
      <c r="M147" s="12"/>
      <c r="N147" s="122"/>
      <c r="O147" s="122"/>
      <c r="P147" s="122"/>
      <c r="Q147" s="122"/>
    </row>
    <row r="148" spans="2:17" ht="14.25" customHeight="1" x14ac:dyDescent="0.3">
      <c r="B148" s="23"/>
      <c r="D148" s="25"/>
      <c r="E148" s="25"/>
      <c r="M148" s="12"/>
      <c r="N148" s="122"/>
      <c r="O148" s="122"/>
      <c r="P148" s="122"/>
      <c r="Q148" s="122"/>
    </row>
    <row r="149" spans="2:17" ht="14.25" customHeight="1" x14ac:dyDescent="0.3">
      <c r="B149" s="23"/>
      <c r="D149" s="25"/>
      <c r="E149" s="25"/>
      <c r="M149" s="12"/>
      <c r="N149" s="122"/>
      <c r="O149" s="122"/>
      <c r="P149" s="122"/>
      <c r="Q149" s="122"/>
    </row>
    <row r="150" spans="2:17" ht="14.25" customHeight="1" x14ac:dyDescent="0.3">
      <c r="B150" s="23"/>
      <c r="D150" s="25"/>
      <c r="E150" s="25"/>
      <c r="M150" s="12"/>
      <c r="N150" s="122"/>
      <c r="O150" s="122"/>
      <c r="P150" s="122"/>
      <c r="Q150" s="122"/>
    </row>
    <row r="151" spans="2:17" ht="14.25" customHeight="1" x14ac:dyDescent="0.3">
      <c r="B151" s="23"/>
      <c r="D151" s="25"/>
      <c r="E151" s="25"/>
      <c r="M151" s="12"/>
      <c r="N151" s="122"/>
      <c r="O151" s="122"/>
      <c r="P151" s="122"/>
      <c r="Q151" s="122"/>
    </row>
    <row r="152" spans="2:17" ht="14.25" customHeight="1" x14ac:dyDescent="0.3">
      <c r="B152" s="23"/>
      <c r="D152" s="25"/>
      <c r="E152" s="25"/>
      <c r="M152" s="12"/>
      <c r="N152" s="122"/>
      <c r="O152" s="122"/>
      <c r="P152" s="122"/>
      <c r="Q152" s="122"/>
    </row>
    <row r="153" spans="2:17" ht="14.25" customHeight="1" x14ac:dyDescent="0.3">
      <c r="B153" s="23"/>
      <c r="D153" s="25"/>
      <c r="E153" s="25"/>
      <c r="M153" s="12"/>
      <c r="N153" s="122"/>
      <c r="O153" s="122"/>
      <c r="P153" s="122"/>
      <c r="Q153" s="122"/>
    </row>
    <row r="154" spans="2:17" ht="14.25" customHeight="1" x14ac:dyDescent="0.3">
      <c r="B154" s="23"/>
      <c r="D154" s="25"/>
      <c r="E154" s="25"/>
      <c r="M154" s="12"/>
      <c r="N154" s="122"/>
      <c r="O154" s="122"/>
      <c r="P154" s="122"/>
      <c r="Q154" s="122"/>
    </row>
    <row r="155" spans="2:17" ht="14.25" customHeight="1" x14ac:dyDescent="0.3">
      <c r="B155" s="23"/>
      <c r="D155" s="25"/>
      <c r="E155" s="25"/>
      <c r="M155" s="12"/>
      <c r="N155" s="122"/>
      <c r="O155" s="122"/>
      <c r="P155" s="122"/>
      <c r="Q155" s="122"/>
    </row>
    <row r="156" spans="2:17" ht="14.25" customHeight="1" x14ac:dyDescent="0.3">
      <c r="B156" s="23"/>
      <c r="D156" s="25"/>
      <c r="E156" s="25"/>
      <c r="M156" s="12"/>
      <c r="N156" s="122"/>
      <c r="O156" s="122"/>
      <c r="P156" s="122"/>
      <c r="Q156" s="122"/>
    </row>
    <row r="157" spans="2:17" ht="14.25" customHeight="1" x14ac:dyDescent="0.3">
      <c r="B157" s="23"/>
      <c r="D157" s="25"/>
      <c r="E157" s="25"/>
      <c r="M157" s="12"/>
      <c r="N157" s="122"/>
      <c r="O157" s="122"/>
      <c r="P157" s="122"/>
      <c r="Q157" s="122"/>
    </row>
    <row r="158" spans="2:17" ht="14.25" customHeight="1" x14ac:dyDescent="0.3">
      <c r="B158" s="23"/>
      <c r="D158" s="25"/>
      <c r="E158" s="25"/>
      <c r="M158" s="12"/>
      <c r="N158" s="122"/>
      <c r="O158" s="122"/>
      <c r="P158" s="122"/>
      <c r="Q158" s="122"/>
    </row>
    <row r="159" spans="2:17" ht="14.25" customHeight="1" x14ac:dyDescent="0.3">
      <c r="B159" s="23"/>
      <c r="D159" s="25"/>
      <c r="E159" s="25"/>
      <c r="M159" s="12"/>
      <c r="N159" s="122"/>
      <c r="O159" s="122"/>
      <c r="P159" s="122"/>
      <c r="Q159" s="122"/>
    </row>
    <row r="160" spans="2:17" ht="14.25" customHeight="1" x14ac:dyDescent="0.3">
      <c r="B160" s="23"/>
      <c r="D160" s="25"/>
      <c r="E160" s="25"/>
      <c r="M160" s="12"/>
      <c r="N160" s="122"/>
      <c r="O160" s="122"/>
      <c r="P160" s="122"/>
      <c r="Q160" s="122"/>
    </row>
    <row r="161" spans="2:17" ht="14.25" customHeight="1" x14ac:dyDescent="0.3">
      <c r="B161" s="23"/>
      <c r="D161" s="25"/>
      <c r="E161" s="25"/>
      <c r="M161" s="12"/>
      <c r="N161" s="122"/>
      <c r="O161" s="122"/>
      <c r="P161" s="122"/>
      <c r="Q161" s="122"/>
    </row>
    <row r="162" spans="2:17" ht="14.25" customHeight="1" x14ac:dyDescent="0.3">
      <c r="B162" s="23"/>
      <c r="D162" s="25"/>
      <c r="E162" s="25"/>
      <c r="M162" s="12"/>
      <c r="N162" s="122"/>
      <c r="O162" s="122"/>
      <c r="P162" s="122"/>
      <c r="Q162" s="122"/>
    </row>
    <row r="163" spans="2:17" ht="14.25" customHeight="1" x14ac:dyDescent="0.3">
      <c r="B163" s="23"/>
      <c r="D163" s="25"/>
      <c r="E163" s="25"/>
      <c r="M163" s="12"/>
      <c r="N163" s="122"/>
      <c r="O163" s="122"/>
      <c r="P163" s="122"/>
      <c r="Q163" s="122"/>
    </row>
    <row r="164" spans="2:17" ht="14.25" customHeight="1" x14ac:dyDescent="0.3">
      <c r="B164" s="23"/>
      <c r="D164" s="25"/>
      <c r="E164" s="25"/>
      <c r="M164" s="12"/>
      <c r="N164" s="122"/>
      <c r="O164" s="122"/>
      <c r="P164" s="122"/>
      <c r="Q164" s="122"/>
    </row>
    <row r="165" spans="2:17" ht="14.25" customHeight="1" x14ac:dyDescent="0.3">
      <c r="B165" s="23"/>
      <c r="D165" s="25"/>
      <c r="E165" s="25"/>
      <c r="M165" s="12"/>
      <c r="N165" s="122"/>
      <c r="O165" s="122"/>
      <c r="P165" s="122"/>
      <c r="Q165" s="122"/>
    </row>
    <row r="166" spans="2:17" ht="14.25" customHeight="1" x14ac:dyDescent="0.3">
      <c r="B166" s="23"/>
      <c r="D166" s="25"/>
      <c r="E166" s="25"/>
      <c r="M166" s="12"/>
      <c r="N166" s="122"/>
      <c r="O166" s="122"/>
      <c r="P166" s="122"/>
      <c r="Q166" s="122"/>
    </row>
    <row r="167" spans="2:17" ht="14.25" customHeight="1" x14ac:dyDescent="0.3">
      <c r="B167" s="23"/>
      <c r="D167" s="25"/>
      <c r="E167" s="25"/>
      <c r="M167" s="12"/>
      <c r="N167" s="122"/>
      <c r="O167" s="122"/>
      <c r="P167" s="122"/>
      <c r="Q167" s="122"/>
    </row>
    <row r="168" spans="2:17" ht="14.25" customHeight="1" x14ac:dyDescent="0.3">
      <c r="B168" s="23"/>
      <c r="D168" s="25"/>
      <c r="E168" s="25"/>
      <c r="M168" s="12"/>
      <c r="N168" s="122"/>
      <c r="O168" s="122"/>
      <c r="P168" s="122"/>
      <c r="Q168" s="122"/>
    </row>
    <row r="169" spans="2:17" ht="14.25" customHeight="1" x14ac:dyDescent="0.3">
      <c r="B169" s="23"/>
      <c r="D169" s="25"/>
      <c r="E169" s="25"/>
      <c r="M169" s="12"/>
      <c r="N169" s="122"/>
      <c r="O169" s="122"/>
      <c r="P169" s="122"/>
      <c r="Q169" s="122"/>
    </row>
    <row r="170" spans="2:17" ht="14.25" customHeight="1" x14ac:dyDescent="0.3">
      <c r="B170" s="23"/>
      <c r="D170" s="25"/>
      <c r="E170" s="25"/>
      <c r="M170" s="12"/>
      <c r="N170" s="122"/>
      <c r="O170" s="122"/>
      <c r="P170" s="122"/>
      <c r="Q170" s="122"/>
    </row>
    <row r="171" spans="2:17" ht="14.25" customHeight="1" x14ac:dyDescent="0.3">
      <c r="B171" s="23"/>
      <c r="D171" s="25"/>
      <c r="E171" s="25"/>
      <c r="M171" s="12"/>
      <c r="N171" s="122"/>
      <c r="O171" s="122"/>
      <c r="P171" s="122"/>
      <c r="Q171" s="122"/>
    </row>
    <row r="172" spans="2:17" ht="14.25" customHeight="1" x14ac:dyDescent="0.3">
      <c r="B172" s="23"/>
      <c r="D172" s="25"/>
      <c r="E172" s="25"/>
      <c r="M172" s="12"/>
      <c r="N172" s="122"/>
      <c r="O172" s="122"/>
      <c r="P172" s="122"/>
      <c r="Q172" s="122"/>
    </row>
    <row r="173" spans="2:17" ht="14.25" customHeight="1" x14ac:dyDescent="0.3">
      <c r="B173" s="23"/>
      <c r="D173" s="25"/>
      <c r="E173" s="25"/>
      <c r="M173" s="12"/>
      <c r="N173" s="122"/>
      <c r="O173" s="122"/>
      <c r="P173" s="122"/>
      <c r="Q173" s="122"/>
    </row>
    <row r="174" spans="2:17" ht="14.25" customHeight="1" x14ac:dyDescent="0.3">
      <c r="B174" s="23"/>
      <c r="D174" s="25"/>
      <c r="E174" s="25"/>
      <c r="M174" s="12"/>
      <c r="N174" s="122"/>
      <c r="O174" s="122"/>
      <c r="P174" s="122"/>
      <c r="Q174" s="122"/>
    </row>
    <row r="175" spans="2:17" ht="14.25" customHeight="1" x14ac:dyDescent="0.3">
      <c r="B175" s="23"/>
      <c r="D175" s="25"/>
      <c r="E175" s="25"/>
      <c r="M175" s="12"/>
      <c r="N175" s="122"/>
      <c r="O175" s="122"/>
      <c r="P175" s="122"/>
      <c r="Q175" s="122"/>
    </row>
    <row r="176" spans="2:17" ht="14.25" customHeight="1" x14ac:dyDescent="0.3">
      <c r="B176" s="23"/>
      <c r="D176" s="25"/>
      <c r="E176" s="25"/>
      <c r="M176" s="12"/>
      <c r="N176" s="122"/>
      <c r="O176" s="122"/>
      <c r="P176" s="122"/>
      <c r="Q176" s="122"/>
    </row>
    <row r="177" spans="2:17" ht="14.25" customHeight="1" x14ac:dyDescent="0.3">
      <c r="B177" s="23"/>
      <c r="D177" s="25"/>
      <c r="E177" s="25"/>
      <c r="M177" s="12"/>
      <c r="N177" s="122"/>
      <c r="O177" s="122"/>
      <c r="P177" s="122"/>
      <c r="Q177" s="122"/>
    </row>
    <row r="178" spans="2:17" ht="14.25" customHeight="1" x14ac:dyDescent="0.3">
      <c r="B178" s="23"/>
      <c r="D178" s="25"/>
      <c r="E178" s="25"/>
      <c r="M178" s="12"/>
      <c r="N178" s="122"/>
      <c r="O178" s="122"/>
      <c r="P178" s="122"/>
      <c r="Q178" s="122"/>
    </row>
    <row r="179" spans="2:17" ht="14.25" customHeight="1" x14ac:dyDescent="0.3">
      <c r="B179" s="23"/>
      <c r="D179" s="25"/>
      <c r="E179" s="25"/>
      <c r="M179" s="12"/>
      <c r="N179" s="122"/>
      <c r="O179" s="122"/>
      <c r="P179" s="122"/>
      <c r="Q179" s="122"/>
    </row>
    <row r="180" spans="2:17" ht="14.25" customHeight="1" x14ac:dyDescent="0.3">
      <c r="B180" s="23"/>
      <c r="D180" s="25"/>
      <c r="E180" s="25"/>
      <c r="M180" s="12"/>
      <c r="N180" s="122"/>
      <c r="O180" s="122"/>
      <c r="P180" s="122"/>
      <c r="Q180" s="122"/>
    </row>
    <row r="181" spans="2:17" ht="14.25" customHeight="1" x14ac:dyDescent="0.3">
      <c r="B181" s="23"/>
      <c r="D181" s="25"/>
      <c r="E181" s="25"/>
      <c r="M181" s="12"/>
      <c r="N181" s="122"/>
      <c r="O181" s="122"/>
      <c r="P181" s="122"/>
      <c r="Q181" s="122"/>
    </row>
    <row r="182" spans="2:17" ht="14.25" customHeight="1" x14ac:dyDescent="0.3">
      <c r="B182" s="23"/>
      <c r="D182" s="25"/>
      <c r="E182" s="25"/>
      <c r="M182" s="12"/>
      <c r="N182" s="122"/>
      <c r="O182" s="122"/>
      <c r="P182" s="122"/>
      <c r="Q182" s="122"/>
    </row>
    <row r="183" spans="2:17" ht="14.25" customHeight="1" x14ac:dyDescent="0.3">
      <c r="B183" s="23"/>
      <c r="D183" s="25"/>
      <c r="E183" s="25"/>
      <c r="M183" s="12"/>
      <c r="N183" s="122"/>
      <c r="O183" s="122"/>
      <c r="P183" s="122"/>
      <c r="Q183" s="122"/>
    </row>
    <row r="184" spans="2:17" ht="14.25" customHeight="1" x14ac:dyDescent="0.3">
      <c r="B184" s="23"/>
      <c r="D184" s="25"/>
      <c r="E184" s="25"/>
      <c r="M184" s="12"/>
      <c r="N184" s="122"/>
      <c r="O184" s="122"/>
      <c r="P184" s="122"/>
      <c r="Q184" s="122"/>
    </row>
    <row r="185" spans="2:17" ht="14.25" customHeight="1" x14ac:dyDescent="0.3">
      <c r="B185" s="23"/>
      <c r="D185" s="25"/>
      <c r="E185" s="25"/>
      <c r="M185" s="12"/>
      <c r="N185" s="122"/>
      <c r="O185" s="122"/>
      <c r="P185" s="122"/>
      <c r="Q185" s="122"/>
    </row>
    <row r="186" spans="2:17" ht="14.25" customHeight="1" x14ac:dyDescent="0.3">
      <c r="B186" s="23"/>
      <c r="D186" s="25"/>
      <c r="E186" s="25"/>
      <c r="M186" s="12"/>
      <c r="N186" s="122"/>
      <c r="O186" s="122"/>
      <c r="P186" s="122"/>
      <c r="Q186" s="122"/>
    </row>
    <row r="187" spans="2:17" ht="14.25" customHeight="1" x14ac:dyDescent="0.3">
      <c r="B187" s="23"/>
      <c r="D187" s="25"/>
      <c r="E187" s="25"/>
      <c r="M187" s="12"/>
      <c r="N187" s="122"/>
      <c r="O187" s="122"/>
      <c r="P187" s="122"/>
      <c r="Q187" s="122"/>
    </row>
    <row r="188" spans="2:17" ht="14.25" customHeight="1" x14ac:dyDescent="0.3">
      <c r="B188" s="23"/>
      <c r="D188" s="25"/>
      <c r="E188" s="25"/>
      <c r="M188" s="12"/>
      <c r="N188" s="122"/>
      <c r="O188" s="122"/>
      <c r="P188" s="122"/>
      <c r="Q188" s="122"/>
    </row>
    <row r="189" spans="2:17" ht="14.25" customHeight="1" x14ac:dyDescent="0.3">
      <c r="B189" s="23"/>
      <c r="D189" s="25"/>
      <c r="E189" s="25"/>
      <c r="M189" s="12"/>
      <c r="N189" s="122"/>
      <c r="O189" s="122"/>
      <c r="P189" s="122"/>
      <c r="Q189" s="122"/>
    </row>
    <row r="190" spans="2:17" ht="14.25" customHeight="1" x14ac:dyDescent="0.3">
      <c r="B190" s="23"/>
      <c r="D190" s="25"/>
      <c r="E190" s="25"/>
      <c r="M190" s="12"/>
      <c r="N190" s="122"/>
      <c r="O190" s="122"/>
      <c r="P190" s="122"/>
      <c r="Q190" s="122"/>
    </row>
    <row r="191" spans="2:17" ht="14.25" customHeight="1" x14ac:dyDescent="0.3">
      <c r="B191" s="23"/>
      <c r="D191" s="25"/>
      <c r="E191" s="25"/>
      <c r="M191" s="12"/>
      <c r="N191" s="122"/>
      <c r="O191" s="122"/>
      <c r="P191" s="122"/>
      <c r="Q191" s="122"/>
    </row>
    <row r="192" spans="2:17" ht="14.25" customHeight="1" x14ac:dyDescent="0.3">
      <c r="B192" s="23"/>
      <c r="D192" s="25"/>
      <c r="E192" s="25"/>
      <c r="M192" s="12"/>
      <c r="N192" s="122"/>
      <c r="O192" s="122"/>
      <c r="P192" s="122"/>
      <c r="Q192" s="122"/>
    </row>
    <row r="193" spans="2:17" ht="14.25" customHeight="1" x14ac:dyDescent="0.3">
      <c r="B193" s="23"/>
      <c r="D193" s="25"/>
      <c r="E193" s="25"/>
      <c r="M193" s="12"/>
      <c r="N193" s="122"/>
      <c r="O193" s="122"/>
      <c r="P193" s="122"/>
      <c r="Q193" s="122"/>
    </row>
    <row r="194" spans="2:17" ht="14.25" customHeight="1" x14ac:dyDescent="0.3">
      <c r="B194" s="23"/>
      <c r="D194" s="25"/>
      <c r="E194" s="25"/>
      <c r="M194" s="12"/>
      <c r="N194" s="122"/>
      <c r="O194" s="122"/>
      <c r="P194" s="122"/>
      <c r="Q194" s="122"/>
    </row>
    <row r="195" spans="2:17" ht="14.25" customHeight="1" x14ac:dyDescent="0.3">
      <c r="B195" s="23"/>
      <c r="D195" s="25"/>
      <c r="E195" s="25"/>
      <c r="M195" s="12"/>
      <c r="N195" s="122"/>
      <c r="O195" s="122"/>
      <c r="P195" s="122"/>
      <c r="Q195" s="122"/>
    </row>
    <row r="196" spans="2:17" ht="14.25" customHeight="1" x14ac:dyDescent="0.3">
      <c r="B196" s="23"/>
      <c r="D196" s="25"/>
      <c r="E196" s="25"/>
      <c r="M196" s="12"/>
      <c r="N196" s="122"/>
      <c r="O196" s="122"/>
      <c r="P196" s="122"/>
      <c r="Q196" s="122"/>
    </row>
    <row r="197" spans="2:17" ht="14.25" customHeight="1" x14ac:dyDescent="0.3">
      <c r="B197" s="23"/>
      <c r="D197" s="25"/>
      <c r="E197" s="25"/>
      <c r="M197" s="12"/>
      <c r="N197" s="122"/>
      <c r="O197" s="122"/>
      <c r="P197" s="122"/>
      <c r="Q197" s="122"/>
    </row>
    <row r="198" spans="2:17" ht="14.25" customHeight="1" x14ac:dyDescent="0.3">
      <c r="B198" s="23"/>
      <c r="D198" s="25"/>
      <c r="E198" s="25"/>
      <c r="M198" s="12"/>
      <c r="N198" s="122"/>
      <c r="O198" s="122"/>
      <c r="P198" s="122"/>
      <c r="Q198" s="122"/>
    </row>
    <row r="199" spans="2:17" ht="14.25" customHeight="1" x14ac:dyDescent="0.3">
      <c r="B199" s="23"/>
      <c r="D199" s="25"/>
      <c r="E199" s="25"/>
      <c r="M199" s="12"/>
      <c r="N199" s="122"/>
      <c r="O199" s="122"/>
      <c r="P199" s="122"/>
      <c r="Q199" s="122"/>
    </row>
    <row r="200" spans="2:17" ht="14.25" customHeight="1" x14ac:dyDescent="0.3">
      <c r="B200" s="23"/>
      <c r="D200" s="25"/>
      <c r="E200" s="25"/>
      <c r="M200" s="12"/>
      <c r="N200" s="122"/>
      <c r="O200" s="122"/>
      <c r="P200" s="122"/>
      <c r="Q200" s="122"/>
    </row>
    <row r="201" spans="2:17" ht="14.25" customHeight="1" x14ac:dyDescent="0.3">
      <c r="B201" s="23"/>
      <c r="D201" s="25"/>
      <c r="E201" s="25"/>
      <c r="M201" s="12"/>
      <c r="N201" s="122"/>
      <c r="O201" s="122"/>
      <c r="P201" s="122"/>
      <c r="Q201" s="122"/>
    </row>
    <row r="202" spans="2:17" ht="14.25" customHeight="1" x14ac:dyDescent="0.3">
      <c r="B202" s="23"/>
      <c r="D202" s="25"/>
      <c r="E202" s="25"/>
      <c r="M202" s="12"/>
      <c r="N202" s="122"/>
      <c r="O202" s="122"/>
      <c r="P202" s="122"/>
      <c r="Q202" s="122"/>
    </row>
    <row r="203" spans="2:17" ht="14.25" customHeight="1" x14ac:dyDescent="0.3">
      <c r="B203" s="23"/>
      <c r="D203" s="25"/>
      <c r="E203" s="25"/>
      <c r="M203" s="12"/>
      <c r="N203" s="122"/>
      <c r="O203" s="122"/>
      <c r="P203" s="122"/>
      <c r="Q203" s="122"/>
    </row>
    <row r="204" spans="2:17" ht="14.25" customHeight="1" x14ac:dyDescent="0.3">
      <c r="B204" s="23"/>
      <c r="D204" s="25"/>
      <c r="E204" s="25"/>
      <c r="M204" s="12"/>
      <c r="N204" s="122"/>
      <c r="O204" s="122"/>
      <c r="P204" s="122"/>
      <c r="Q204" s="122"/>
    </row>
    <row r="205" spans="2:17" ht="14.25" customHeight="1" x14ac:dyDescent="0.3">
      <c r="B205" s="23"/>
      <c r="D205" s="25"/>
      <c r="E205" s="25"/>
      <c r="M205" s="12"/>
      <c r="N205" s="122"/>
      <c r="O205" s="122"/>
      <c r="P205" s="122"/>
      <c r="Q205" s="122"/>
    </row>
    <row r="206" spans="2:17" ht="14.25" customHeight="1" x14ac:dyDescent="0.3">
      <c r="B206" s="23"/>
      <c r="D206" s="25"/>
      <c r="E206" s="25"/>
      <c r="M206" s="12"/>
      <c r="N206" s="122"/>
      <c r="O206" s="122"/>
      <c r="P206" s="122"/>
      <c r="Q206" s="122"/>
    </row>
    <row r="207" spans="2:17" ht="14.25" customHeight="1" x14ac:dyDescent="0.3">
      <c r="B207" s="23"/>
      <c r="D207" s="25"/>
      <c r="E207" s="25"/>
      <c r="M207" s="12"/>
      <c r="N207" s="122"/>
      <c r="O207" s="122"/>
      <c r="P207" s="122"/>
      <c r="Q207" s="122"/>
    </row>
    <row r="208" spans="2:17" ht="14.25" customHeight="1" x14ac:dyDescent="0.3">
      <c r="B208" s="23"/>
      <c r="D208" s="25"/>
      <c r="E208" s="25"/>
      <c r="M208" s="12"/>
      <c r="N208" s="122"/>
      <c r="O208" s="122"/>
      <c r="P208" s="122"/>
      <c r="Q208" s="122"/>
    </row>
    <row r="209" spans="2:17" ht="14.25" customHeight="1" x14ac:dyDescent="0.3">
      <c r="B209" s="23"/>
      <c r="D209" s="25"/>
      <c r="E209" s="25"/>
      <c r="M209" s="12"/>
      <c r="N209" s="122"/>
      <c r="O209" s="122"/>
      <c r="P209" s="122"/>
      <c r="Q209" s="122"/>
    </row>
    <row r="210" spans="2:17" ht="14.25" customHeight="1" x14ac:dyDescent="0.3">
      <c r="B210" s="23"/>
      <c r="D210" s="25"/>
      <c r="E210" s="25"/>
      <c r="M210" s="12"/>
      <c r="N210" s="122"/>
      <c r="O210" s="122"/>
      <c r="P210" s="122"/>
      <c r="Q210" s="122"/>
    </row>
    <row r="211" spans="2:17" ht="14.25" customHeight="1" x14ac:dyDescent="0.3">
      <c r="B211" s="23"/>
      <c r="D211" s="25"/>
      <c r="E211" s="25"/>
      <c r="M211" s="12"/>
      <c r="N211" s="122"/>
      <c r="O211" s="122"/>
      <c r="P211" s="122"/>
      <c r="Q211" s="122"/>
    </row>
    <row r="212" spans="2:17" ht="14.25" customHeight="1" x14ac:dyDescent="0.3">
      <c r="B212" s="23"/>
      <c r="D212" s="25"/>
      <c r="E212" s="25"/>
      <c r="M212" s="12"/>
      <c r="N212" s="122"/>
      <c r="O212" s="122"/>
      <c r="P212" s="122"/>
      <c r="Q212" s="122"/>
    </row>
    <row r="213" spans="2:17" ht="14.25" customHeight="1" x14ac:dyDescent="0.3">
      <c r="B213" s="23"/>
      <c r="D213" s="25"/>
      <c r="E213" s="25"/>
      <c r="M213" s="12"/>
      <c r="N213" s="122"/>
      <c r="O213" s="122"/>
      <c r="P213" s="122"/>
      <c r="Q213" s="122"/>
    </row>
    <row r="214" spans="2:17" ht="14.25" customHeight="1" x14ac:dyDescent="0.3">
      <c r="B214" s="23"/>
      <c r="D214" s="25"/>
      <c r="E214" s="25"/>
      <c r="M214" s="12"/>
      <c r="N214" s="122"/>
      <c r="O214" s="122"/>
      <c r="P214" s="122"/>
      <c r="Q214" s="122"/>
    </row>
    <row r="215" spans="2:17" ht="14.25" customHeight="1" x14ac:dyDescent="0.3">
      <c r="B215" s="23"/>
      <c r="D215" s="25"/>
      <c r="E215" s="25"/>
      <c r="M215" s="12"/>
      <c r="N215" s="122"/>
      <c r="O215" s="122"/>
      <c r="P215" s="122"/>
      <c r="Q215" s="122"/>
    </row>
    <row r="216" spans="2:17" ht="14.25" customHeight="1" x14ac:dyDescent="0.3">
      <c r="B216" s="23"/>
      <c r="D216" s="25"/>
      <c r="E216" s="25"/>
      <c r="M216" s="12"/>
      <c r="N216" s="122"/>
      <c r="O216" s="122"/>
      <c r="P216" s="122"/>
      <c r="Q216" s="122"/>
    </row>
    <row r="217" spans="2:17" ht="14.25" customHeight="1" x14ac:dyDescent="0.3">
      <c r="B217" s="23"/>
      <c r="D217" s="25"/>
      <c r="E217" s="25"/>
      <c r="M217" s="12"/>
      <c r="N217" s="122"/>
      <c r="O217" s="122"/>
      <c r="P217" s="122"/>
      <c r="Q217" s="122"/>
    </row>
    <row r="218" spans="2:17" ht="14.25" customHeight="1" x14ac:dyDescent="0.3">
      <c r="B218" s="23"/>
      <c r="D218" s="25"/>
      <c r="E218" s="25"/>
      <c r="M218" s="12"/>
      <c r="N218" s="122"/>
      <c r="O218" s="122"/>
      <c r="P218" s="122"/>
      <c r="Q218" s="122"/>
    </row>
    <row r="219" spans="2:17" ht="14.25" customHeight="1" x14ac:dyDescent="0.3">
      <c r="B219" s="23"/>
      <c r="D219" s="25"/>
      <c r="E219" s="25"/>
      <c r="M219" s="12"/>
      <c r="N219" s="122"/>
      <c r="O219" s="122"/>
      <c r="P219" s="122"/>
      <c r="Q219" s="122"/>
    </row>
    <row r="220" spans="2:17" ht="14.25" customHeight="1" x14ac:dyDescent="0.3">
      <c r="B220" s="23"/>
      <c r="D220" s="25"/>
      <c r="E220" s="25"/>
      <c r="M220" s="12"/>
      <c r="N220" s="122"/>
      <c r="O220" s="122"/>
      <c r="P220" s="122"/>
      <c r="Q220" s="122"/>
    </row>
    <row r="221" spans="2:17" ht="14.25" customHeight="1" x14ac:dyDescent="0.3">
      <c r="B221" s="23"/>
      <c r="D221" s="25"/>
      <c r="E221" s="25"/>
      <c r="M221" s="12"/>
      <c r="N221" s="122"/>
      <c r="O221" s="122"/>
      <c r="P221" s="122"/>
      <c r="Q221" s="122"/>
    </row>
    <row r="222" spans="2:17" ht="14.25" customHeight="1" x14ac:dyDescent="0.3">
      <c r="B222" s="23"/>
      <c r="D222" s="25"/>
      <c r="E222" s="25"/>
      <c r="M222" s="12"/>
      <c r="N222" s="122"/>
      <c r="O222" s="122"/>
      <c r="P222" s="122"/>
      <c r="Q222" s="122"/>
    </row>
    <row r="223" spans="2:17" ht="14.25" customHeight="1" x14ac:dyDescent="0.3">
      <c r="B223" s="23"/>
      <c r="D223" s="25"/>
      <c r="E223" s="25"/>
      <c r="M223" s="12"/>
      <c r="N223" s="122"/>
      <c r="O223" s="122"/>
      <c r="P223" s="122"/>
      <c r="Q223" s="122"/>
    </row>
    <row r="224" spans="2:17" ht="14.25" customHeight="1" x14ac:dyDescent="0.3">
      <c r="B224" s="23"/>
      <c r="D224" s="25"/>
      <c r="E224" s="25"/>
      <c r="M224" s="12"/>
      <c r="N224" s="122"/>
      <c r="O224" s="122"/>
      <c r="P224" s="122"/>
      <c r="Q224" s="122"/>
    </row>
    <row r="225" spans="2:17" ht="14.25" customHeight="1" x14ac:dyDescent="0.3">
      <c r="B225" s="23"/>
      <c r="D225" s="25"/>
      <c r="E225" s="25"/>
      <c r="M225" s="12"/>
      <c r="N225" s="122"/>
      <c r="O225" s="122"/>
      <c r="P225" s="122"/>
      <c r="Q225" s="122"/>
    </row>
    <row r="226" spans="2:17" ht="14.25" customHeight="1" x14ac:dyDescent="0.3">
      <c r="B226" s="23"/>
      <c r="D226" s="25"/>
      <c r="E226" s="25"/>
      <c r="M226" s="12"/>
      <c r="N226" s="122"/>
      <c r="O226" s="122"/>
      <c r="P226" s="122"/>
      <c r="Q226" s="122"/>
    </row>
    <row r="227" spans="2:17" ht="14.25" customHeight="1" x14ac:dyDescent="0.3">
      <c r="B227" s="23"/>
      <c r="D227" s="25"/>
      <c r="E227" s="25"/>
      <c r="M227" s="12"/>
      <c r="N227" s="122"/>
      <c r="O227" s="122"/>
      <c r="P227" s="122"/>
      <c r="Q227" s="122"/>
    </row>
    <row r="228" spans="2:17" ht="14.25" customHeight="1" x14ac:dyDescent="0.3">
      <c r="B228" s="23"/>
      <c r="D228" s="25"/>
      <c r="E228" s="25"/>
      <c r="M228" s="12"/>
      <c r="N228" s="122"/>
      <c r="O228" s="122"/>
      <c r="P228" s="122"/>
      <c r="Q228" s="122"/>
    </row>
    <row r="229" spans="2:17" ht="14.25" customHeight="1" x14ac:dyDescent="0.3">
      <c r="B229" s="23"/>
      <c r="D229" s="25"/>
      <c r="E229" s="25"/>
      <c r="M229" s="12"/>
      <c r="N229" s="122"/>
      <c r="O229" s="122"/>
      <c r="P229" s="122"/>
      <c r="Q229" s="122"/>
    </row>
    <row r="230" spans="2:17" ht="14.25" customHeight="1" x14ac:dyDescent="0.3">
      <c r="B230" s="23"/>
      <c r="D230" s="25"/>
      <c r="E230" s="25"/>
      <c r="M230" s="12"/>
      <c r="N230" s="122"/>
      <c r="O230" s="122"/>
      <c r="P230" s="122"/>
      <c r="Q230" s="122"/>
    </row>
    <row r="231" spans="2:17" ht="14.25" customHeight="1" x14ac:dyDescent="0.3">
      <c r="B231" s="23"/>
      <c r="D231" s="25"/>
      <c r="E231" s="25"/>
      <c r="M231" s="12"/>
      <c r="N231" s="122"/>
      <c r="O231" s="122"/>
      <c r="P231" s="122"/>
      <c r="Q231" s="122"/>
    </row>
    <row r="232" spans="2:17" ht="14.25" customHeight="1" x14ac:dyDescent="0.3">
      <c r="B232" s="23"/>
      <c r="D232" s="25"/>
      <c r="E232" s="25"/>
      <c r="M232" s="12"/>
      <c r="N232" s="122"/>
      <c r="O232" s="122"/>
      <c r="P232" s="122"/>
      <c r="Q232" s="122"/>
    </row>
    <row r="233" spans="2:17" ht="14.25" customHeight="1" x14ac:dyDescent="0.3">
      <c r="B233" s="23"/>
      <c r="D233" s="25"/>
      <c r="E233" s="25"/>
      <c r="M233" s="12"/>
      <c r="N233" s="122"/>
      <c r="O233" s="122"/>
      <c r="P233" s="122"/>
      <c r="Q233" s="122"/>
    </row>
    <row r="234" spans="2:17" ht="14.25" customHeight="1" x14ac:dyDescent="0.3">
      <c r="B234" s="23"/>
      <c r="D234" s="25"/>
      <c r="E234" s="25"/>
      <c r="M234" s="12"/>
      <c r="N234" s="122"/>
      <c r="O234" s="122"/>
      <c r="P234" s="122"/>
      <c r="Q234" s="122"/>
    </row>
    <row r="235" spans="2:17" ht="14.25" customHeight="1" x14ac:dyDescent="0.3">
      <c r="B235" s="23"/>
      <c r="D235" s="25"/>
      <c r="E235" s="25"/>
      <c r="M235" s="12"/>
      <c r="N235" s="122"/>
      <c r="O235" s="122"/>
      <c r="P235" s="122"/>
      <c r="Q235" s="122"/>
    </row>
    <row r="236" spans="2:17" ht="14.25" customHeight="1" x14ac:dyDescent="0.3">
      <c r="B236" s="23"/>
      <c r="D236" s="25"/>
      <c r="E236" s="25"/>
      <c r="M236" s="12"/>
      <c r="N236" s="122"/>
      <c r="O236" s="122"/>
      <c r="P236" s="122"/>
      <c r="Q236" s="122"/>
    </row>
    <row r="237" spans="2:17" ht="14.25" customHeight="1" x14ac:dyDescent="0.3">
      <c r="B237" s="23"/>
      <c r="D237" s="25"/>
      <c r="E237" s="25"/>
      <c r="M237" s="12"/>
      <c r="N237" s="122"/>
      <c r="O237" s="122"/>
      <c r="P237" s="122"/>
      <c r="Q237" s="122"/>
    </row>
    <row r="238" spans="2:17" ht="14.25" customHeight="1" x14ac:dyDescent="0.3">
      <c r="B238" s="23"/>
      <c r="D238" s="25"/>
      <c r="E238" s="25"/>
      <c r="M238" s="12"/>
      <c r="N238" s="122"/>
      <c r="O238" s="122"/>
      <c r="P238" s="122"/>
      <c r="Q238" s="122"/>
    </row>
    <row r="239" spans="2:17" ht="14.25" customHeight="1" x14ac:dyDescent="0.3">
      <c r="B239" s="23"/>
      <c r="D239" s="25"/>
      <c r="E239" s="25"/>
      <c r="M239" s="12"/>
      <c r="N239" s="122"/>
      <c r="O239" s="122"/>
      <c r="P239" s="122"/>
      <c r="Q239" s="122"/>
    </row>
    <row r="240" spans="2:17" ht="14.25" customHeight="1" x14ac:dyDescent="0.3">
      <c r="B240" s="23"/>
      <c r="D240" s="25"/>
      <c r="E240" s="25"/>
      <c r="M240" s="12"/>
      <c r="N240" s="122"/>
      <c r="O240" s="122"/>
      <c r="P240" s="122"/>
      <c r="Q240" s="122"/>
    </row>
    <row r="241" spans="2:17" ht="14.25" customHeight="1" x14ac:dyDescent="0.3">
      <c r="B241" s="23"/>
      <c r="D241" s="25"/>
      <c r="E241" s="25"/>
      <c r="M241" s="12"/>
      <c r="N241" s="122"/>
      <c r="O241" s="122"/>
      <c r="P241" s="122"/>
      <c r="Q241" s="122"/>
    </row>
    <row r="242" spans="2:17" ht="14.25" customHeight="1" x14ac:dyDescent="0.3">
      <c r="B242" s="23"/>
      <c r="D242" s="25"/>
      <c r="E242" s="25"/>
      <c r="M242" s="12"/>
      <c r="N242" s="122"/>
      <c r="O242" s="122"/>
      <c r="P242" s="122"/>
      <c r="Q242" s="122"/>
    </row>
    <row r="243" spans="2:17" ht="14.25" customHeight="1" x14ac:dyDescent="0.3">
      <c r="B243" s="23"/>
      <c r="D243" s="25"/>
      <c r="E243" s="25"/>
      <c r="M243" s="12"/>
      <c r="N243" s="122"/>
      <c r="O243" s="122"/>
      <c r="P243" s="122"/>
      <c r="Q243" s="122"/>
    </row>
    <row r="244" spans="2:17" ht="14.25" customHeight="1" x14ac:dyDescent="0.3">
      <c r="B244" s="23"/>
      <c r="D244" s="25"/>
      <c r="E244" s="25"/>
      <c r="M244" s="12"/>
      <c r="N244" s="122"/>
      <c r="O244" s="122"/>
      <c r="P244" s="122"/>
      <c r="Q244" s="122"/>
    </row>
    <row r="245" spans="2:17" ht="14.25" customHeight="1" x14ac:dyDescent="0.3">
      <c r="B245" s="23"/>
      <c r="D245" s="25"/>
      <c r="E245" s="25"/>
      <c r="M245" s="12"/>
      <c r="N245" s="122"/>
      <c r="O245" s="122"/>
      <c r="P245" s="122"/>
      <c r="Q245" s="122"/>
    </row>
    <row r="246" spans="2:17" ht="14.25" customHeight="1" x14ac:dyDescent="0.3">
      <c r="B246" s="23"/>
      <c r="D246" s="25"/>
      <c r="E246" s="25"/>
      <c r="M246" s="12"/>
      <c r="N246" s="122"/>
      <c r="O246" s="122"/>
      <c r="P246" s="122"/>
      <c r="Q246" s="122"/>
    </row>
    <row r="247" spans="2:17" ht="14.25" customHeight="1" x14ac:dyDescent="0.3">
      <c r="B247" s="23"/>
      <c r="D247" s="25"/>
      <c r="E247" s="25"/>
      <c r="M247" s="12"/>
      <c r="N247" s="122"/>
      <c r="O247" s="122"/>
      <c r="P247" s="122"/>
      <c r="Q247" s="122"/>
    </row>
    <row r="248" spans="2:17" ht="14.25" customHeight="1" x14ac:dyDescent="0.3">
      <c r="B248" s="23"/>
      <c r="D248" s="25"/>
      <c r="E248" s="25"/>
      <c r="M248" s="12"/>
      <c r="N248" s="122"/>
      <c r="O248" s="122"/>
      <c r="P248" s="122"/>
      <c r="Q248" s="122"/>
    </row>
    <row r="249" spans="2:17" ht="14.25" customHeight="1" x14ac:dyDescent="0.3">
      <c r="B249" s="23"/>
      <c r="D249" s="25"/>
      <c r="E249" s="25"/>
      <c r="M249" s="12"/>
      <c r="N249" s="122"/>
      <c r="O249" s="122"/>
      <c r="P249" s="122"/>
      <c r="Q249" s="122"/>
    </row>
    <row r="250" spans="2:17" ht="14.25" customHeight="1" x14ac:dyDescent="0.3">
      <c r="B250" s="23"/>
      <c r="D250" s="25"/>
      <c r="E250" s="25"/>
      <c r="M250" s="12"/>
      <c r="N250" s="122"/>
      <c r="O250" s="122"/>
      <c r="P250" s="122"/>
      <c r="Q250" s="122"/>
    </row>
    <row r="251" spans="2:17" ht="14.25" customHeight="1" x14ac:dyDescent="0.3">
      <c r="B251" s="23"/>
      <c r="D251" s="25"/>
      <c r="E251" s="25"/>
      <c r="M251" s="12"/>
      <c r="N251" s="122"/>
      <c r="O251" s="122"/>
      <c r="P251" s="122"/>
      <c r="Q251" s="122"/>
    </row>
    <row r="252" spans="2:17" ht="14.25" customHeight="1" x14ac:dyDescent="0.3">
      <c r="B252" s="23"/>
      <c r="D252" s="25"/>
      <c r="E252" s="25"/>
      <c r="M252" s="12"/>
      <c r="N252" s="122"/>
      <c r="O252" s="122"/>
      <c r="P252" s="122"/>
      <c r="Q252" s="122"/>
    </row>
    <row r="253" spans="2:17" ht="14.25" customHeight="1" x14ac:dyDescent="0.3">
      <c r="B253" s="23"/>
      <c r="D253" s="25"/>
      <c r="E253" s="25"/>
      <c r="M253" s="12"/>
      <c r="N253" s="122"/>
      <c r="O253" s="122"/>
      <c r="P253" s="122"/>
      <c r="Q253" s="122"/>
    </row>
    <row r="254" spans="2:17" ht="14.25" customHeight="1" x14ac:dyDescent="0.3">
      <c r="B254" s="23"/>
      <c r="D254" s="25"/>
      <c r="E254" s="25"/>
      <c r="M254" s="12"/>
      <c r="N254" s="122"/>
      <c r="O254" s="122"/>
      <c r="P254" s="122"/>
      <c r="Q254" s="122"/>
    </row>
    <row r="255" spans="2:17" ht="14.25" customHeight="1" x14ac:dyDescent="0.3">
      <c r="B255" s="23"/>
      <c r="D255" s="25"/>
      <c r="E255" s="25"/>
      <c r="M255" s="12"/>
      <c r="N255" s="122"/>
      <c r="O255" s="122"/>
      <c r="P255" s="122"/>
      <c r="Q255" s="122"/>
    </row>
    <row r="256" spans="2:17" ht="14.25" customHeight="1" x14ac:dyDescent="0.3">
      <c r="B256" s="23"/>
      <c r="D256" s="25"/>
      <c r="E256" s="25"/>
      <c r="M256" s="12"/>
      <c r="N256" s="122"/>
      <c r="O256" s="122"/>
      <c r="P256" s="122"/>
      <c r="Q256" s="122"/>
    </row>
    <row r="257" spans="2:17" ht="14.25" customHeight="1" x14ac:dyDescent="0.3">
      <c r="B257" s="23"/>
      <c r="D257" s="25"/>
      <c r="E257" s="25"/>
      <c r="M257" s="12"/>
      <c r="N257" s="122"/>
      <c r="O257" s="122"/>
      <c r="P257" s="122"/>
      <c r="Q257" s="122"/>
    </row>
    <row r="258" spans="2:17" ht="14.25" customHeight="1" x14ac:dyDescent="0.3">
      <c r="B258" s="23"/>
      <c r="D258" s="25"/>
      <c r="E258" s="25"/>
      <c r="M258" s="12"/>
      <c r="N258" s="122"/>
      <c r="O258" s="122"/>
      <c r="P258" s="122"/>
      <c r="Q258" s="122"/>
    </row>
    <row r="259" spans="2:17" ht="14.25" customHeight="1" x14ac:dyDescent="0.3">
      <c r="B259" s="23"/>
      <c r="D259" s="25"/>
      <c r="E259" s="25"/>
      <c r="M259" s="12"/>
      <c r="N259" s="122"/>
      <c r="O259" s="122"/>
      <c r="P259" s="122"/>
      <c r="Q259" s="122"/>
    </row>
    <row r="260" spans="2:17" ht="14.25" customHeight="1" x14ac:dyDescent="0.3">
      <c r="B260" s="23"/>
      <c r="D260" s="25"/>
      <c r="E260" s="25"/>
      <c r="M260" s="12"/>
      <c r="N260" s="122"/>
      <c r="O260" s="122"/>
      <c r="P260" s="122"/>
      <c r="Q260" s="122"/>
    </row>
    <row r="261" spans="2:17" ht="14.25" customHeight="1" x14ac:dyDescent="0.3">
      <c r="B261" s="23"/>
      <c r="D261" s="25"/>
      <c r="E261" s="25"/>
      <c r="M261" s="12"/>
      <c r="N261" s="122"/>
      <c r="O261" s="122"/>
      <c r="P261" s="122"/>
      <c r="Q261" s="122"/>
    </row>
    <row r="262" spans="2:17" ht="14.25" customHeight="1" x14ac:dyDescent="0.3">
      <c r="B262" s="23"/>
      <c r="D262" s="25"/>
      <c r="E262" s="25"/>
      <c r="M262" s="12"/>
      <c r="N262" s="122"/>
      <c r="O262" s="122"/>
      <c r="P262" s="122"/>
      <c r="Q262" s="122"/>
    </row>
    <row r="263" spans="2:17" ht="14.25" customHeight="1" x14ac:dyDescent="0.3">
      <c r="B263" s="23"/>
      <c r="D263" s="25"/>
      <c r="E263" s="25"/>
      <c r="M263" s="12"/>
      <c r="N263" s="122"/>
      <c r="O263" s="122"/>
      <c r="P263" s="122"/>
      <c r="Q263" s="122"/>
    </row>
    <row r="264" spans="2:17" ht="14.25" customHeight="1" x14ac:dyDescent="0.3">
      <c r="B264" s="23"/>
      <c r="D264" s="25"/>
      <c r="E264" s="25"/>
      <c r="M264" s="12"/>
      <c r="N264" s="122"/>
      <c r="O264" s="122"/>
      <c r="P264" s="122"/>
      <c r="Q264" s="122"/>
    </row>
    <row r="265" spans="2:17" ht="14.25" customHeight="1" x14ac:dyDescent="0.3">
      <c r="B265" s="23"/>
      <c r="D265" s="25"/>
      <c r="E265" s="25"/>
      <c r="M265" s="12"/>
      <c r="N265" s="122"/>
      <c r="O265" s="122"/>
      <c r="P265" s="122"/>
      <c r="Q265" s="122"/>
    </row>
    <row r="266" spans="2:17" ht="14.25" customHeight="1" x14ac:dyDescent="0.3">
      <c r="B266" s="23"/>
      <c r="D266" s="25"/>
      <c r="E266" s="25"/>
      <c r="M266" s="12"/>
      <c r="N266" s="122"/>
      <c r="O266" s="122"/>
      <c r="P266" s="122"/>
      <c r="Q266" s="122"/>
    </row>
    <row r="267" spans="2:17" ht="14.25" customHeight="1" x14ac:dyDescent="0.3">
      <c r="B267" s="23"/>
      <c r="D267" s="25"/>
      <c r="E267" s="25"/>
      <c r="M267" s="12"/>
      <c r="N267" s="122"/>
      <c r="O267" s="122"/>
      <c r="P267" s="122"/>
      <c r="Q267" s="122"/>
    </row>
    <row r="268" spans="2:17" ht="14.25" customHeight="1" x14ac:dyDescent="0.3">
      <c r="B268" s="23"/>
      <c r="D268" s="25"/>
      <c r="E268" s="25"/>
      <c r="M268" s="12"/>
      <c r="N268" s="122"/>
      <c r="O268" s="122"/>
      <c r="P268" s="122"/>
      <c r="Q268" s="122"/>
    </row>
    <row r="269" spans="2:17" ht="14.25" customHeight="1" x14ac:dyDescent="0.3">
      <c r="B269" s="23"/>
      <c r="D269" s="25"/>
      <c r="E269" s="25"/>
      <c r="M269" s="12"/>
      <c r="N269" s="122"/>
      <c r="O269" s="122"/>
      <c r="P269" s="122"/>
      <c r="Q269" s="122"/>
    </row>
    <row r="270" spans="2:17" ht="14.25" customHeight="1" x14ac:dyDescent="0.3">
      <c r="B270" s="23"/>
      <c r="D270" s="25"/>
      <c r="E270" s="25"/>
      <c r="M270" s="12"/>
      <c r="N270" s="122"/>
      <c r="O270" s="122"/>
      <c r="P270" s="122"/>
      <c r="Q270" s="122"/>
    </row>
    <row r="271" spans="2:17" ht="14.25" customHeight="1" x14ac:dyDescent="0.3">
      <c r="B271" s="23"/>
      <c r="D271" s="25"/>
      <c r="E271" s="25"/>
      <c r="M271" s="12"/>
      <c r="N271" s="122"/>
      <c r="O271" s="122"/>
      <c r="P271" s="122"/>
      <c r="Q271" s="122"/>
    </row>
    <row r="272" spans="2:17" ht="14.25" customHeight="1" x14ac:dyDescent="0.3">
      <c r="B272" s="23"/>
      <c r="D272" s="25"/>
      <c r="E272" s="25"/>
      <c r="M272" s="12"/>
      <c r="N272" s="122"/>
      <c r="O272" s="122"/>
      <c r="P272" s="122"/>
      <c r="Q272" s="122"/>
    </row>
    <row r="273" spans="2:17" ht="14.25" customHeight="1" x14ac:dyDescent="0.3">
      <c r="B273" s="23"/>
      <c r="D273" s="25"/>
      <c r="E273" s="25"/>
      <c r="M273" s="12"/>
      <c r="N273" s="122"/>
      <c r="O273" s="122"/>
      <c r="P273" s="122"/>
      <c r="Q273" s="122"/>
    </row>
    <row r="274" spans="2:17" ht="14.25" customHeight="1" x14ac:dyDescent="0.3">
      <c r="B274" s="23"/>
      <c r="D274" s="25"/>
      <c r="E274" s="25"/>
      <c r="M274" s="12"/>
      <c r="N274" s="122"/>
      <c r="O274" s="122"/>
      <c r="P274" s="122"/>
      <c r="Q274" s="122"/>
    </row>
    <row r="275" spans="2:17" ht="14.25" customHeight="1" x14ac:dyDescent="0.3">
      <c r="B275" s="23"/>
      <c r="D275" s="25"/>
      <c r="E275" s="25"/>
      <c r="M275" s="12"/>
      <c r="N275" s="122"/>
      <c r="O275" s="122"/>
      <c r="P275" s="122"/>
      <c r="Q275" s="122"/>
    </row>
    <row r="276" spans="2:17" ht="14.25" customHeight="1" x14ac:dyDescent="0.3">
      <c r="B276" s="23"/>
      <c r="D276" s="25"/>
      <c r="E276" s="25"/>
      <c r="M276" s="12"/>
      <c r="N276" s="122"/>
      <c r="O276" s="122"/>
      <c r="P276" s="122"/>
      <c r="Q276" s="122"/>
    </row>
    <row r="277" spans="2:17" ht="14.25" customHeight="1" x14ac:dyDescent="0.3">
      <c r="B277" s="23"/>
      <c r="D277" s="25"/>
      <c r="E277" s="25"/>
      <c r="M277" s="12"/>
      <c r="N277" s="122"/>
      <c r="O277" s="122"/>
      <c r="P277" s="122"/>
      <c r="Q277" s="122"/>
    </row>
    <row r="278" spans="2:17" ht="14.25" customHeight="1" x14ac:dyDescent="0.3">
      <c r="B278" s="23"/>
      <c r="D278" s="25"/>
      <c r="E278" s="25"/>
      <c r="M278" s="12"/>
      <c r="N278" s="122"/>
      <c r="O278" s="122"/>
      <c r="P278" s="122"/>
      <c r="Q278" s="122"/>
    </row>
    <row r="279" spans="2:17" ht="14.25" customHeight="1" x14ac:dyDescent="0.3">
      <c r="B279" s="23"/>
      <c r="D279" s="25"/>
      <c r="E279" s="25"/>
      <c r="M279" s="12"/>
      <c r="N279" s="122"/>
      <c r="O279" s="122"/>
      <c r="P279" s="122"/>
      <c r="Q279" s="122"/>
    </row>
    <row r="280" spans="2:17" ht="14.25" customHeight="1" x14ac:dyDescent="0.3">
      <c r="B280" s="23"/>
      <c r="D280" s="25"/>
      <c r="E280" s="25"/>
      <c r="M280" s="12"/>
      <c r="N280" s="122"/>
      <c r="O280" s="122"/>
      <c r="P280" s="122"/>
      <c r="Q280" s="122"/>
    </row>
    <row r="281" spans="2:17" ht="14.25" customHeight="1" x14ac:dyDescent="0.3">
      <c r="B281" s="23"/>
      <c r="D281" s="25"/>
      <c r="E281" s="25"/>
      <c r="M281" s="12"/>
      <c r="N281" s="122"/>
      <c r="O281" s="122"/>
      <c r="P281" s="122"/>
      <c r="Q281" s="122"/>
    </row>
    <row r="282" spans="2:17" ht="14.25" customHeight="1" x14ac:dyDescent="0.3">
      <c r="B282" s="23"/>
      <c r="D282" s="25"/>
      <c r="E282" s="25"/>
      <c r="M282" s="12"/>
      <c r="N282" s="122"/>
      <c r="O282" s="122"/>
      <c r="P282" s="122"/>
      <c r="Q282" s="122"/>
    </row>
    <row r="283" spans="2:17" ht="14.25" customHeight="1" x14ac:dyDescent="0.3">
      <c r="B283" s="23"/>
      <c r="D283" s="25"/>
      <c r="E283" s="25"/>
      <c r="M283" s="12"/>
      <c r="N283" s="122"/>
      <c r="O283" s="122"/>
      <c r="P283" s="122"/>
      <c r="Q283" s="122"/>
    </row>
    <row r="284" spans="2:17" ht="14.25" customHeight="1" x14ac:dyDescent="0.3">
      <c r="B284" s="23"/>
      <c r="D284" s="25"/>
      <c r="E284" s="25"/>
      <c r="M284" s="12"/>
      <c r="N284" s="122"/>
      <c r="O284" s="122"/>
      <c r="P284" s="122"/>
      <c r="Q284" s="122"/>
    </row>
    <row r="285" spans="2:17" ht="14.25" customHeight="1" x14ac:dyDescent="0.3">
      <c r="B285" s="23"/>
      <c r="D285" s="25"/>
      <c r="E285" s="25"/>
      <c r="M285" s="12"/>
      <c r="N285" s="122"/>
      <c r="O285" s="122"/>
      <c r="P285" s="122"/>
      <c r="Q285" s="122"/>
    </row>
    <row r="286" spans="2:17" ht="14.25" customHeight="1" x14ac:dyDescent="0.3">
      <c r="B286" s="23"/>
      <c r="D286" s="25"/>
      <c r="E286" s="25"/>
      <c r="M286" s="12"/>
      <c r="N286" s="122"/>
      <c r="O286" s="122"/>
      <c r="P286" s="122"/>
      <c r="Q286" s="122"/>
    </row>
    <row r="287" spans="2:17" ht="14.25" customHeight="1" x14ac:dyDescent="0.3">
      <c r="B287" s="23"/>
      <c r="D287" s="25"/>
      <c r="E287" s="25"/>
      <c r="M287" s="12"/>
      <c r="N287" s="122"/>
      <c r="O287" s="122"/>
      <c r="P287" s="122"/>
      <c r="Q287" s="122"/>
    </row>
    <row r="288" spans="2:17" ht="14.25" customHeight="1" x14ac:dyDescent="0.3">
      <c r="B288" s="23"/>
      <c r="D288" s="25"/>
      <c r="E288" s="25"/>
      <c r="M288" s="12"/>
      <c r="N288" s="122"/>
      <c r="O288" s="122"/>
      <c r="P288" s="122"/>
      <c r="Q288" s="122"/>
    </row>
    <row r="289" spans="2:17" ht="14.25" customHeight="1" x14ac:dyDescent="0.3">
      <c r="B289" s="23"/>
      <c r="D289" s="25"/>
      <c r="E289" s="25"/>
      <c r="M289" s="12"/>
      <c r="N289" s="122"/>
      <c r="O289" s="122"/>
      <c r="P289" s="122"/>
      <c r="Q289" s="122"/>
    </row>
    <row r="290" spans="2:17" ht="14.25" customHeight="1" x14ac:dyDescent="0.3">
      <c r="B290" s="23"/>
      <c r="D290" s="25"/>
      <c r="E290" s="25"/>
      <c r="M290" s="12"/>
      <c r="N290" s="122"/>
      <c r="O290" s="122"/>
      <c r="P290" s="122"/>
      <c r="Q290" s="122"/>
    </row>
    <row r="291" spans="2:17" ht="14.25" customHeight="1" x14ac:dyDescent="0.3">
      <c r="B291" s="23"/>
      <c r="D291" s="25"/>
      <c r="E291" s="25"/>
      <c r="M291" s="12"/>
      <c r="N291" s="122"/>
      <c r="O291" s="122"/>
      <c r="P291" s="122"/>
      <c r="Q291" s="122"/>
    </row>
    <row r="292" spans="2:17" ht="14.25" customHeight="1" x14ac:dyDescent="0.3">
      <c r="B292" s="23"/>
      <c r="D292" s="25"/>
      <c r="E292" s="25"/>
      <c r="M292" s="12"/>
      <c r="N292" s="122"/>
      <c r="O292" s="122"/>
      <c r="P292" s="122"/>
      <c r="Q292" s="122"/>
    </row>
    <row r="293" spans="2:17" ht="14.25" customHeight="1" x14ac:dyDescent="0.3">
      <c r="B293" s="23"/>
      <c r="D293" s="25"/>
      <c r="E293" s="25"/>
      <c r="M293" s="12"/>
      <c r="N293" s="122"/>
      <c r="O293" s="122"/>
      <c r="P293" s="122"/>
      <c r="Q293" s="122"/>
    </row>
    <row r="294" spans="2:17" ht="14.25" customHeight="1" x14ac:dyDescent="0.3">
      <c r="B294" s="23"/>
      <c r="D294" s="25"/>
      <c r="E294" s="25"/>
      <c r="M294" s="12"/>
      <c r="N294" s="122"/>
      <c r="O294" s="122"/>
      <c r="P294" s="122"/>
      <c r="Q294" s="122"/>
    </row>
    <row r="295" spans="2:17" ht="14.25" customHeight="1" x14ac:dyDescent="0.3">
      <c r="B295" s="23"/>
      <c r="D295" s="25"/>
      <c r="E295" s="25"/>
      <c r="M295" s="12"/>
      <c r="N295" s="122"/>
      <c r="O295" s="122"/>
      <c r="P295" s="122"/>
      <c r="Q295" s="122"/>
    </row>
    <row r="296" spans="2:17" ht="14.25" customHeight="1" x14ac:dyDescent="0.3">
      <c r="B296" s="23"/>
      <c r="D296" s="25"/>
      <c r="E296" s="25"/>
      <c r="M296" s="12"/>
      <c r="N296" s="122"/>
      <c r="O296" s="122"/>
      <c r="P296" s="122"/>
      <c r="Q296" s="122"/>
    </row>
    <row r="297" spans="2:17" ht="14.25" customHeight="1" x14ac:dyDescent="0.3">
      <c r="B297" s="23"/>
      <c r="D297" s="25"/>
      <c r="E297" s="25"/>
      <c r="M297" s="12"/>
      <c r="N297" s="122"/>
      <c r="O297" s="122"/>
      <c r="P297" s="122"/>
      <c r="Q297" s="122"/>
    </row>
    <row r="298" spans="2:17" ht="14.25" customHeight="1" x14ac:dyDescent="0.3">
      <c r="B298" s="23"/>
      <c r="D298" s="25"/>
      <c r="E298" s="25"/>
      <c r="M298" s="12"/>
      <c r="N298" s="122"/>
      <c r="O298" s="122"/>
      <c r="P298" s="122"/>
      <c r="Q298" s="122"/>
    </row>
    <row r="299" spans="2:17" ht="14.25" customHeight="1" x14ac:dyDescent="0.3">
      <c r="B299" s="23"/>
      <c r="D299" s="25"/>
      <c r="E299" s="25"/>
      <c r="M299" s="12"/>
      <c r="N299" s="122"/>
      <c r="O299" s="122"/>
      <c r="P299" s="122"/>
      <c r="Q299" s="122"/>
    </row>
    <row r="300" spans="2:17" ht="14.25" customHeight="1" x14ac:dyDescent="0.3">
      <c r="B300" s="23"/>
      <c r="D300" s="25"/>
      <c r="E300" s="25"/>
      <c r="M300" s="12"/>
      <c r="N300" s="122"/>
      <c r="O300" s="122"/>
      <c r="P300" s="122"/>
      <c r="Q300" s="122"/>
    </row>
    <row r="301" spans="2:17" ht="14.25" customHeight="1" x14ac:dyDescent="0.3">
      <c r="B301" s="23"/>
      <c r="D301" s="25"/>
      <c r="E301" s="25"/>
      <c r="M301" s="12"/>
      <c r="N301" s="122"/>
      <c r="O301" s="122"/>
      <c r="P301" s="122"/>
      <c r="Q301" s="122"/>
    </row>
    <row r="302" spans="2:17" ht="14.25" customHeight="1" x14ac:dyDescent="0.3">
      <c r="B302" s="23"/>
      <c r="D302" s="25"/>
      <c r="E302" s="25"/>
      <c r="M302" s="12"/>
      <c r="N302" s="122"/>
      <c r="O302" s="122"/>
      <c r="P302" s="122"/>
      <c r="Q302" s="122"/>
    </row>
    <row r="303" spans="2:17" ht="14.25" customHeight="1" x14ac:dyDescent="0.3">
      <c r="B303" s="23"/>
      <c r="D303" s="25"/>
      <c r="E303" s="25"/>
      <c r="M303" s="12"/>
      <c r="N303" s="122"/>
      <c r="O303" s="122"/>
      <c r="P303" s="122"/>
      <c r="Q303" s="122"/>
    </row>
    <row r="304" spans="2:17" ht="14.25" customHeight="1" x14ac:dyDescent="0.3">
      <c r="B304" s="23"/>
      <c r="D304" s="25"/>
      <c r="E304" s="25"/>
      <c r="M304" s="12"/>
      <c r="N304" s="122"/>
      <c r="O304" s="122"/>
      <c r="P304" s="122"/>
      <c r="Q304" s="122"/>
    </row>
    <row r="305" spans="2:17" ht="14.25" customHeight="1" x14ac:dyDescent="0.3">
      <c r="B305" s="23"/>
      <c r="D305" s="25"/>
      <c r="E305" s="25"/>
      <c r="M305" s="12"/>
      <c r="N305" s="122"/>
      <c r="O305" s="122"/>
      <c r="P305" s="122"/>
      <c r="Q305" s="122"/>
    </row>
    <row r="306" spans="2:17" ht="14.25" customHeight="1" x14ac:dyDescent="0.3">
      <c r="B306" s="23"/>
      <c r="D306" s="25"/>
      <c r="E306" s="25"/>
      <c r="M306" s="12"/>
      <c r="N306" s="122"/>
      <c r="O306" s="122"/>
      <c r="P306" s="122"/>
      <c r="Q306" s="122"/>
    </row>
    <row r="307" spans="2:17" ht="14.25" customHeight="1" x14ac:dyDescent="0.3">
      <c r="B307" s="23"/>
      <c r="D307" s="25"/>
      <c r="E307" s="25"/>
      <c r="M307" s="12"/>
      <c r="N307" s="122"/>
      <c r="O307" s="122"/>
      <c r="P307" s="122"/>
      <c r="Q307" s="122"/>
    </row>
    <row r="308" spans="2:17" ht="14.25" customHeight="1" x14ac:dyDescent="0.3">
      <c r="B308" s="23"/>
      <c r="D308" s="25"/>
      <c r="E308" s="25"/>
      <c r="M308" s="12"/>
      <c r="N308" s="122"/>
      <c r="O308" s="122"/>
      <c r="P308" s="122"/>
      <c r="Q308" s="122"/>
    </row>
    <row r="309" spans="2:17" ht="14.25" customHeight="1" x14ac:dyDescent="0.3">
      <c r="B309" s="23"/>
      <c r="D309" s="25"/>
      <c r="E309" s="25"/>
      <c r="M309" s="12"/>
      <c r="N309" s="122"/>
      <c r="O309" s="122"/>
      <c r="P309" s="122"/>
      <c r="Q309" s="122"/>
    </row>
    <row r="310" spans="2:17" ht="14.25" customHeight="1" x14ac:dyDescent="0.3">
      <c r="B310" s="23"/>
      <c r="D310" s="25"/>
      <c r="E310" s="25"/>
      <c r="M310" s="12"/>
      <c r="N310" s="122"/>
      <c r="O310" s="122"/>
      <c r="P310" s="122"/>
      <c r="Q310" s="122"/>
    </row>
    <row r="311" spans="2:17" ht="14.25" customHeight="1" x14ac:dyDescent="0.3">
      <c r="B311" s="23"/>
      <c r="D311" s="25"/>
      <c r="E311" s="25"/>
      <c r="M311" s="12"/>
      <c r="N311" s="122"/>
      <c r="O311" s="122"/>
      <c r="P311" s="122"/>
      <c r="Q311" s="122"/>
    </row>
    <row r="312" spans="2:17" ht="14.25" customHeight="1" x14ac:dyDescent="0.3">
      <c r="B312" s="23"/>
      <c r="D312" s="25"/>
      <c r="E312" s="25"/>
      <c r="M312" s="12"/>
      <c r="N312" s="122"/>
      <c r="O312" s="122"/>
      <c r="P312" s="122"/>
      <c r="Q312" s="122"/>
    </row>
    <row r="313" spans="2:17" ht="14.25" customHeight="1" x14ac:dyDescent="0.3">
      <c r="B313" s="23"/>
      <c r="D313" s="25"/>
      <c r="E313" s="25"/>
      <c r="M313" s="12"/>
      <c r="N313" s="122"/>
      <c r="O313" s="122"/>
      <c r="P313" s="122"/>
      <c r="Q313" s="122"/>
    </row>
    <row r="314" spans="2:17" ht="14.25" customHeight="1" x14ac:dyDescent="0.3">
      <c r="B314" s="23"/>
      <c r="D314" s="25"/>
      <c r="E314" s="25"/>
      <c r="M314" s="12"/>
      <c r="N314" s="122"/>
      <c r="O314" s="122"/>
      <c r="P314" s="122"/>
      <c r="Q314" s="122"/>
    </row>
    <row r="315" spans="2:17" ht="14.25" customHeight="1" x14ac:dyDescent="0.3">
      <c r="B315" s="23"/>
      <c r="D315" s="25"/>
      <c r="E315" s="25"/>
      <c r="M315" s="12"/>
      <c r="N315" s="122"/>
      <c r="O315" s="122"/>
      <c r="P315" s="122"/>
      <c r="Q315" s="122"/>
    </row>
    <row r="316" spans="2:17" ht="14.25" customHeight="1" x14ac:dyDescent="0.3">
      <c r="B316" s="23"/>
      <c r="D316" s="25"/>
      <c r="E316" s="25"/>
      <c r="M316" s="12"/>
      <c r="N316" s="122"/>
      <c r="O316" s="122"/>
      <c r="P316" s="122"/>
      <c r="Q316" s="122"/>
    </row>
    <row r="317" spans="2:17" ht="14.25" customHeight="1" x14ac:dyDescent="0.3">
      <c r="B317" s="23"/>
      <c r="D317" s="25"/>
      <c r="E317" s="25"/>
      <c r="M317" s="12"/>
      <c r="N317" s="122"/>
      <c r="O317" s="122"/>
      <c r="P317" s="122"/>
      <c r="Q317" s="122"/>
    </row>
    <row r="318" spans="2:17" ht="14.25" customHeight="1" x14ac:dyDescent="0.3">
      <c r="B318" s="23"/>
      <c r="D318" s="25"/>
      <c r="E318" s="25"/>
      <c r="M318" s="12"/>
      <c r="N318" s="122"/>
      <c r="O318" s="122"/>
      <c r="P318" s="122"/>
      <c r="Q318" s="122"/>
    </row>
    <row r="319" spans="2:17" ht="14.25" customHeight="1" x14ac:dyDescent="0.3">
      <c r="B319" s="23"/>
      <c r="D319" s="25"/>
      <c r="E319" s="25"/>
      <c r="M319" s="12"/>
      <c r="N319" s="122"/>
      <c r="O319" s="122"/>
      <c r="P319" s="122"/>
      <c r="Q319" s="122"/>
    </row>
    <row r="320" spans="2:17" ht="14.25" customHeight="1" x14ac:dyDescent="0.3">
      <c r="B320" s="23"/>
      <c r="D320" s="25"/>
      <c r="E320" s="25"/>
      <c r="M320" s="12"/>
      <c r="N320" s="122"/>
      <c r="O320" s="122"/>
      <c r="P320" s="122"/>
      <c r="Q320" s="122"/>
    </row>
    <row r="321" spans="2:17" ht="14.25" customHeight="1" x14ac:dyDescent="0.3">
      <c r="B321" s="23"/>
      <c r="D321" s="25"/>
      <c r="E321" s="25"/>
      <c r="M321" s="12"/>
      <c r="N321" s="122"/>
      <c r="O321" s="122"/>
      <c r="P321" s="122"/>
      <c r="Q321" s="122"/>
    </row>
    <row r="322" spans="2:17" ht="14.25" customHeight="1" x14ac:dyDescent="0.3">
      <c r="B322" s="23"/>
      <c r="D322" s="25"/>
      <c r="E322" s="25"/>
      <c r="M322" s="12"/>
      <c r="N322" s="122"/>
      <c r="O322" s="122"/>
      <c r="P322" s="122"/>
      <c r="Q322" s="122"/>
    </row>
    <row r="323" spans="2:17" ht="14.25" customHeight="1" x14ac:dyDescent="0.3">
      <c r="B323" s="23"/>
      <c r="D323" s="25"/>
      <c r="E323" s="25"/>
      <c r="M323" s="12"/>
      <c r="N323" s="122"/>
      <c r="O323" s="122"/>
      <c r="P323" s="122"/>
      <c r="Q323" s="122"/>
    </row>
    <row r="324" spans="2:17" ht="14.25" customHeight="1" x14ac:dyDescent="0.3">
      <c r="B324" s="23"/>
      <c r="D324" s="25"/>
      <c r="E324" s="25"/>
      <c r="M324" s="12"/>
      <c r="N324" s="122"/>
      <c r="O324" s="122"/>
      <c r="P324" s="122"/>
      <c r="Q324" s="122"/>
    </row>
    <row r="325" spans="2:17" ht="14.25" customHeight="1" x14ac:dyDescent="0.3">
      <c r="B325" s="23"/>
      <c r="D325" s="25"/>
      <c r="E325" s="25"/>
      <c r="M325" s="12"/>
      <c r="N325" s="122"/>
      <c r="O325" s="122"/>
      <c r="P325" s="122"/>
      <c r="Q325" s="122"/>
    </row>
    <row r="326" spans="2:17" ht="14.25" customHeight="1" x14ac:dyDescent="0.3">
      <c r="B326" s="23"/>
      <c r="D326" s="25"/>
      <c r="E326" s="25"/>
      <c r="M326" s="12"/>
      <c r="N326" s="122"/>
      <c r="O326" s="122"/>
      <c r="P326" s="122"/>
      <c r="Q326" s="122"/>
    </row>
    <row r="327" spans="2:17" ht="14.25" customHeight="1" x14ac:dyDescent="0.3">
      <c r="B327" s="23"/>
      <c r="D327" s="25"/>
      <c r="E327" s="25"/>
      <c r="M327" s="12"/>
      <c r="N327" s="122"/>
      <c r="O327" s="122"/>
      <c r="P327" s="122"/>
      <c r="Q327" s="122"/>
    </row>
    <row r="328" spans="2:17" ht="14.25" customHeight="1" x14ac:dyDescent="0.3">
      <c r="B328" s="23"/>
      <c r="D328" s="25"/>
      <c r="E328" s="25"/>
      <c r="M328" s="12"/>
      <c r="N328" s="122"/>
      <c r="O328" s="122"/>
      <c r="P328" s="122"/>
      <c r="Q328" s="122"/>
    </row>
    <row r="329" spans="2:17" ht="14.25" customHeight="1" x14ac:dyDescent="0.3">
      <c r="B329" s="23"/>
      <c r="D329" s="25"/>
      <c r="E329" s="25"/>
      <c r="M329" s="12"/>
      <c r="N329" s="122"/>
      <c r="O329" s="122"/>
      <c r="P329" s="122"/>
      <c r="Q329" s="122"/>
    </row>
    <row r="330" spans="2:17" ht="14.25" customHeight="1" x14ac:dyDescent="0.3">
      <c r="B330" s="23"/>
      <c r="D330" s="25"/>
      <c r="E330" s="25"/>
      <c r="M330" s="12"/>
      <c r="N330" s="122"/>
      <c r="O330" s="122"/>
      <c r="P330" s="122"/>
      <c r="Q330" s="122"/>
    </row>
    <row r="331" spans="2:17" ht="14.25" customHeight="1" x14ac:dyDescent="0.3">
      <c r="B331" s="23"/>
      <c r="D331" s="25"/>
      <c r="E331" s="25"/>
      <c r="M331" s="12"/>
      <c r="N331" s="122"/>
      <c r="O331" s="122"/>
      <c r="P331" s="122"/>
      <c r="Q331" s="122"/>
    </row>
    <row r="332" spans="2:17" ht="14.25" customHeight="1" x14ac:dyDescent="0.3">
      <c r="B332" s="23"/>
      <c r="D332" s="25"/>
      <c r="E332" s="25"/>
      <c r="M332" s="12"/>
      <c r="N332" s="122"/>
      <c r="O332" s="122"/>
      <c r="P332" s="122"/>
      <c r="Q332" s="122"/>
    </row>
    <row r="333" spans="2:17" ht="14.25" customHeight="1" x14ac:dyDescent="0.3">
      <c r="B333" s="23"/>
      <c r="D333" s="25"/>
      <c r="E333" s="25"/>
      <c r="M333" s="12"/>
      <c r="N333" s="122"/>
      <c r="O333" s="122"/>
      <c r="P333" s="122"/>
      <c r="Q333" s="122"/>
    </row>
    <row r="334" spans="2:17" ht="14.25" customHeight="1" x14ac:dyDescent="0.3">
      <c r="B334" s="23"/>
      <c r="D334" s="25"/>
      <c r="E334" s="25"/>
      <c r="M334" s="12"/>
      <c r="N334" s="122"/>
      <c r="O334" s="122"/>
      <c r="P334" s="122"/>
      <c r="Q334" s="122"/>
    </row>
    <row r="335" spans="2:17" ht="14.25" customHeight="1" x14ac:dyDescent="0.3">
      <c r="B335" s="23"/>
      <c r="D335" s="25"/>
      <c r="E335" s="25"/>
      <c r="M335" s="12"/>
      <c r="N335" s="122"/>
      <c r="O335" s="122"/>
      <c r="P335" s="122"/>
      <c r="Q335" s="122"/>
    </row>
    <row r="336" spans="2:17" ht="14.25" customHeight="1" x14ac:dyDescent="0.3">
      <c r="B336" s="23"/>
      <c r="D336" s="25"/>
      <c r="E336" s="25"/>
      <c r="M336" s="12"/>
      <c r="N336" s="122"/>
      <c r="O336" s="122"/>
      <c r="P336" s="122"/>
      <c r="Q336" s="122"/>
    </row>
    <row r="337" spans="2:17" ht="14.25" customHeight="1" x14ac:dyDescent="0.3">
      <c r="B337" s="23"/>
      <c r="D337" s="25"/>
      <c r="E337" s="25"/>
      <c r="M337" s="12"/>
      <c r="N337" s="122"/>
      <c r="O337" s="122"/>
      <c r="P337" s="122"/>
      <c r="Q337" s="122"/>
    </row>
    <row r="338" spans="2:17" ht="14.25" customHeight="1" x14ac:dyDescent="0.3">
      <c r="B338" s="23"/>
      <c r="D338" s="25"/>
      <c r="E338" s="25"/>
      <c r="M338" s="12"/>
      <c r="N338" s="122"/>
      <c r="O338" s="122"/>
      <c r="P338" s="122"/>
      <c r="Q338" s="122"/>
    </row>
    <row r="339" spans="2:17" ht="14.25" customHeight="1" x14ac:dyDescent="0.3">
      <c r="B339" s="23"/>
      <c r="D339" s="25"/>
      <c r="E339" s="25"/>
      <c r="M339" s="12"/>
      <c r="N339" s="122"/>
      <c r="O339" s="122"/>
      <c r="P339" s="122"/>
      <c r="Q339" s="122"/>
    </row>
    <row r="340" spans="2:17" ht="14.25" customHeight="1" x14ac:dyDescent="0.3">
      <c r="B340" s="23"/>
      <c r="D340" s="25"/>
      <c r="E340" s="25"/>
      <c r="M340" s="12"/>
      <c r="N340" s="122"/>
      <c r="O340" s="122"/>
      <c r="P340" s="122"/>
      <c r="Q340" s="122"/>
    </row>
    <row r="341" spans="2:17" ht="14.25" customHeight="1" x14ac:dyDescent="0.3">
      <c r="B341" s="23"/>
      <c r="D341" s="25"/>
      <c r="E341" s="25"/>
      <c r="M341" s="12"/>
      <c r="N341" s="122"/>
      <c r="O341" s="122"/>
      <c r="P341" s="122"/>
      <c r="Q341" s="122"/>
    </row>
    <row r="342" spans="2:17" ht="14.25" customHeight="1" x14ac:dyDescent="0.3">
      <c r="B342" s="23"/>
      <c r="D342" s="25"/>
      <c r="E342" s="25"/>
      <c r="M342" s="12"/>
      <c r="N342" s="122"/>
      <c r="O342" s="122"/>
      <c r="P342" s="122"/>
      <c r="Q342" s="122"/>
    </row>
    <row r="343" spans="2:17" ht="14.25" customHeight="1" x14ac:dyDescent="0.3">
      <c r="B343" s="23"/>
      <c r="D343" s="25"/>
      <c r="E343" s="25"/>
      <c r="M343" s="12"/>
      <c r="N343" s="122"/>
      <c r="O343" s="122"/>
      <c r="P343" s="122"/>
      <c r="Q343" s="122"/>
    </row>
    <row r="344" spans="2:17" ht="14.25" customHeight="1" x14ac:dyDescent="0.3">
      <c r="B344" s="23"/>
      <c r="D344" s="25"/>
      <c r="E344" s="25"/>
      <c r="M344" s="12"/>
      <c r="N344" s="122"/>
      <c r="O344" s="122"/>
      <c r="P344" s="122"/>
      <c r="Q344" s="122"/>
    </row>
    <row r="345" spans="2:17" ht="14.25" customHeight="1" x14ac:dyDescent="0.3">
      <c r="B345" s="23"/>
      <c r="D345" s="25"/>
      <c r="E345" s="25"/>
      <c r="M345" s="12"/>
      <c r="N345" s="122"/>
      <c r="O345" s="122"/>
      <c r="P345" s="122"/>
      <c r="Q345" s="122"/>
    </row>
    <row r="346" spans="2:17" ht="14.25" customHeight="1" x14ac:dyDescent="0.3">
      <c r="B346" s="23"/>
      <c r="D346" s="25"/>
      <c r="E346" s="25"/>
      <c r="M346" s="12"/>
      <c r="N346" s="122"/>
      <c r="O346" s="122"/>
      <c r="P346" s="122"/>
      <c r="Q346" s="122"/>
    </row>
    <row r="347" spans="2:17" ht="14.25" customHeight="1" x14ac:dyDescent="0.3">
      <c r="B347" s="23"/>
      <c r="D347" s="25"/>
      <c r="E347" s="25"/>
      <c r="M347" s="12"/>
      <c r="N347" s="122"/>
      <c r="O347" s="122"/>
      <c r="P347" s="122"/>
      <c r="Q347" s="122"/>
    </row>
    <row r="348" spans="2:17" ht="14.25" customHeight="1" x14ac:dyDescent="0.3">
      <c r="B348" s="23"/>
      <c r="D348" s="25"/>
      <c r="E348" s="25"/>
      <c r="M348" s="12"/>
      <c r="N348" s="122"/>
      <c r="O348" s="122"/>
      <c r="P348" s="122"/>
      <c r="Q348" s="122"/>
    </row>
    <row r="349" spans="2:17" ht="14.25" customHeight="1" x14ac:dyDescent="0.3">
      <c r="B349" s="23"/>
      <c r="D349" s="25"/>
      <c r="E349" s="25"/>
      <c r="M349" s="12"/>
      <c r="N349" s="122"/>
      <c r="O349" s="122"/>
      <c r="P349" s="122"/>
      <c r="Q349" s="122"/>
    </row>
    <row r="350" spans="2:17" ht="14.25" customHeight="1" x14ac:dyDescent="0.3">
      <c r="B350" s="23"/>
      <c r="D350" s="25"/>
      <c r="E350" s="25"/>
      <c r="M350" s="12"/>
      <c r="N350" s="122"/>
      <c r="O350" s="122"/>
      <c r="P350" s="122"/>
      <c r="Q350" s="122"/>
    </row>
    <row r="351" spans="2:17" ht="14.25" customHeight="1" x14ac:dyDescent="0.3">
      <c r="B351" s="23"/>
      <c r="D351" s="25"/>
      <c r="E351" s="25"/>
      <c r="M351" s="12"/>
      <c r="N351" s="122"/>
      <c r="O351" s="122"/>
      <c r="P351" s="122"/>
      <c r="Q351" s="122"/>
    </row>
    <row r="352" spans="2:17" ht="14.25" customHeight="1" x14ac:dyDescent="0.3">
      <c r="B352" s="23"/>
      <c r="D352" s="25"/>
      <c r="E352" s="25"/>
      <c r="M352" s="12"/>
      <c r="N352" s="122"/>
      <c r="O352" s="122"/>
      <c r="P352" s="122"/>
      <c r="Q352" s="122"/>
    </row>
    <row r="353" spans="2:17" ht="14.25" customHeight="1" x14ac:dyDescent="0.3">
      <c r="B353" s="23"/>
      <c r="D353" s="25"/>
      <c r="E353" s="25"/>
      <c r="M353" s="12"/>
      <c r="N353" s="122"/>
      <c r="O353" s="122"/>
      <c r="P353" s="122"/>
      <c r="Q353" s="122"/>
    </row>
    <row r="354" spans="2:17" ht="14.25" customHeight="1" x14ac:dyDescent="0.3">
      <c r="B354" s="23"/>
      <c r="D354" s="25"/>
      <c r="E354" s="25"/>
      <c r="M354" s="12"/>
      <c r="N354" s="122"/>
      <c r="O354" s="122"/>
      <c r="P354" s="122"/>
      <c r="Q354" s="122"/>
    </row>
    <row r="355" spans="2:17" ht="14.25" customHeight="1" x14ac:dyDescent="0.3">
      <c r="B355" s="23"/>
      <c r="D355" s="25"/>
      <c r="E355" s="25"/>
      <c r="M355" s="12"/>
      <c r="N355" s="122"/>
      <c r="O355" s="122"/>
      <c r="P355" s="122"/>
      <c r="Q355" s="122"/>
    </row>
    <row r="356" spans="2:17" ht="14.25" customHeight="1" x14ac:dyDescent="0.3">
      <c r="B356" s="23"/>
      <c r="D356" s="25"/>
      <c r="E356" s="25"/>
      <c r="M356" s="12"/>
      <c r="N356" s="122"/>
      <c r="O356" s="122"/>
      <c r="P356" s="122"/>
      <c r="Q356" s="122"/>
    </row>
    <row r="357" spans="2:17" ht="14.25" customHeight="1" x14ac:dyDescent="0.3">
      <c r="B357" s="23"/>
      <c r="D357" s="25"/>
      <c r="E357" s="25"/>
      <c r="M357" s="12"/>
      <c r="N357" s="122"/>
      <c r="O357" s="122"/>
      <c r="P357" s="122"/>
      <c r="Q357" s="122"/>
    </row>
    <row r="358" spans="2:17" ht="14.25" customHeight="1" x14ac:dyDescent="0.3">
      <c r="B358" s="23"/>
      <c r="D358" s="25"/>
      <c r="E358" s="25"/>
      <c r="M358" s="12"/>
      <c r="N358" s="122"/>
      <c r="O358" s="122"/>
      <c r="P358" s="122"/>
      <c r="Q358" s="122"/>
    </row>
    <row r="359" spans="2:17" ht="14.25" customHeight="1" x14ac:dyDescent="0.3">
      <c r="B359" s="23"/>
      <c r="D359" s="25"/>
      <c r="E359" s="25"/>
      <c r="M359" s="12"/>
      <c r="N359" s="122"/>
      <c r="O359" s="122"/>
      <c r="P359" s="122"/>
      <c r="Q359" s="122"/>
    </row>
    <row r="360" spans="2:17" ht="14.25" customHeight="1" x14ac:dyDescent="0.3">
      <c r="B360" s="23"/>
      <c r="D360" s="25"/>
      <c r="E360" s="25"/>
      <c r="M360" s="12"/>
      <c r="N360" s="122"/>
      <c r="O360" s="122"/>
      <c r="P360" s="122"/>
      <c r="Q360" s="122"/>
    </row>
    <row r="361" spans="2:17" ht="14.25" customHeight="1" x14ac:dyDescent="0.3">
      <c r="B361" s="23"/>
      <c r="D361" s="25"/>
      <c r="E361" s="25"/>
      <c r="M361" s="12"/>
      <c r="N361" s="122"/>
      <c r="O361" s="122"/>
      <c r="P361" s="122"/>
      <c r="Q361" s="122"/>
    </row>
    <row r="362" spans="2:17" ht="14.25" customHeight="1" x14ac:dyDescent="0.3">
      <c r="B362" s="23"/>
      <c r="D362" s="25"/>
      <c r="E362" s="25"/>
      <c r="M362" s="12"/>
      <c r="N362" s="122"/>
      <c r="O362" s="122"/>
      <c r="P362" s="122"/>
      <c r="Q362" s="122"/>
    </row>
    <row r="363" spans="2:17" ht="14.25" customHeight="1" x14ac:dyDescent="0.3">
      <c r="B363" s="23"/>
      <c r="D363" s="25"/>
      <c r="E363" s="25"/>
      <c r="M363" s="12"/>
      <c r="N363" s="122"/>
      <c r="O363" s="122"/>
      <c r="P363" s="122"/>
      <c r="Q363" s="122"/>
    </row>
    <row r="364" spans="2:17" ht="14.25" customHeight="1" x14ac:dyDescent="0.3">
      <c r="B364" s="23"/>
      <c r="D364" s="25"/>
      <c r="E364" s="25"/>
      <c r="M364" s="12"/>
      <c r="N364" s="122"/>
      <c r="O364" s="122"/>
      <c r="P364" s="122"/>
      <c r="Q364" s="122"/>
    </row>
    <row r="365" spans="2:17" ht="14.25" customHeight="1" x14ac:dyDescent="0.3">
      <c r="B365" s="23"/>
      <c r="D365" s="25"/>
      <c r="E365" s="25"/>
      <c r="M365" s="12"/>
      <c r="N365" s="122"/>
      <c r="O365" s="122"/>
      <c r="P365" s="122"/>
      <c r="Q365" s="122"/>
    </row>
    <row r="366" spans="2:17" ht="14.25" customHeight="1" x14ac:dyDescent="0.3">
      <c r="B366" s="23"/>
      <c r="D366" s="25"/>
      <c r="E366" s="25"/>
      <c r="M366" s="12"/>
      <c r="N366" s="122"/>
      <c r="O366" s="122"/>
      <c r="P366" s="122"/>
      <c r="Q366" s="122"/>
    </row>
    <row r="367" spans="2:17" ht="14.25" customHeight="1" x14ac:dyDescent="0.3">
      <c r="B367" s="23"/>
      <c r="D367" s="25"/>
      <c r="E367" s="25"/>
      <c r="M367" s="12"/>
      <c r="N367" s="122"/>
      <c r="O367" s="122"/>
      <c r="P367" s="122"/>
      <c r="Q367" s="122"/>
    </row>
    <row r="368" spans="2:17" ht="14.25" customHeight="1" x14ac:dyDescent="0.3">
      <c r="B368" s="23"/>
      <c r="D368" s="25"/>
      <c r="E368" s="25"/>
      <c r="M368" s="12"/>
      <c r="N368" s="122"/>
      <c r="O368" s="122"/>
      <c r="P368" s="122"/>
      <c r="Q368" s="122"/>
    </row>
    <row r="369" spans="2:17" ht="14.25" customHeight="1" x14ac:dyDescent="0.3">
      <c r="B369" s="23"/>
      <c r="D369" s="25"/>
      <c r="E369" s="25"/>
      <c r="M369" s="12"/>
      <c r="N369" s="122"/>
      <c r="O369" s="122"/>
      <c r="P369" s="122"/>
      <c r="Q369" s="122"/>
    </row>
    <row r="370" spans="2:17" ht="14.25" customHeight="1" x14ac:dyDescent="0.3">
      <c r="B370" s="23"/>
      <c r="D370" s="25"/>
      <c r="E370" s="25"/>
      <c r="M370" s="12"/>
      <c r="N370" s="122"/>
      <c r="O370" s="122"/>
      <c r="P370" s="122"/>
      <c r="Q370" s="122"/>
    </row>
    <row r="371" spans="2:17" ht="14.25" customHeight="1" x14ac:dyDescent="0.3">
      <c r="B371" s="23"/>
      <c r="D371" s="25"/>
      <c r="E371" s="25"/>
      <c r="M371" s="12"/>
      <c r="N371" s="122"/>
      <c r="O371" s="122"/>
      <c r="P371" s="122"/>
      <c r="Q371" s="122"/>
    </row>
    <row r="372" spans="2:17" ht="14.25" customHeight="1" x14ac:dyDescent="0.3">
      <c r="B372" s="23"/>
      <c r="D372" s="25"/>
      <c r="E372" s="25"/>
      <c r="M372" s="12"/>
      <c r="N372" s="122"/>
      <c r="O372" s="122"/>
      <c r="P372" s="122"/>
      <c r="Q372" s="122"/>
    </row>
    <row r="373" spans="2:17" ht="14.25" customHeight="1" x14ac:dyDescent="0.3">
      <c r="B373" s="23"/>
      <c r="D373" s="25"/>
      <c r="E373" s="25"/>
      <c r="M373" s="12"/>
      <c r="N373" s="122"/>
      <c r="O373" s="122"/>
      <c r="P373" s="122"/>
      <c r="Q373" s="122"/>
    </row>
    <row r="374" spans="2:17" ht="14.25" customHeight="1" x14ac:dyDescent="0.3">
      <c r="B374" s="23"/>
      <c r="D374" s="25"/>
      <c r="E374" s="25"/>
      <c r="M374" s="12"/>
      <c r="N374" s="122"/>
      <c r="O374" s="122"/>
      <c r="P374" s="122"/>
      <c r="Q374" s="122"/>
    </row>
    <row r="375" spans="2:17" ht="14.25" customHeight="1" x14ac:dyDescent="0.3">
      <c r="B375" s="23"/>
      <c r="D375" s="25"/>
      <c r="E375" s="25"/>
      <c r="M375" s="12"/>
      <c r="N375" s="122"/>
      <c r="O375" s="122"/>
      <c r="P375" s="122"/>
      <c r="Q375" s="122"/>
    </row>
    <row r="376" spans="2:17" ht="14.25" customHeight="1" x14ac:dyDescent="0.3">
      <c r="B376" s="23"/>
      <c r="D376" s="25"/>
      <c r="E376" s="25"/>
      <c r="M376" s="12"/>
      <c r="N376" s="122"/>
      <c r="O376" s="122"/>
      <c r="P376" s="122"/>
      <c r="Q376" s="122"/>
    </row>
    <row r="377" spans="2:17" ht="14.25" customHeight="1" x14ac:dyDescent="0.3">
      <c r="B377" s="23"/>
      <c r="D377" s="25"/>
      <c r="E377" s="25"/>
      <c r="M377" s="12"/>
      <c r="N377" s="122"/>
      <c r="O377" s="122"/>
      <c r="P377" s="122"/>
      <c r="Q377" s="122"/>
    </row>
    <row r="378" spans="2:17" ht="14.25" customHeight="1" x14ac:dyDescent="0.3">
      <c r="B378" s="23"/>
      <c r="D378" s="25"/>
      <c r="E378" s="25"/>
      <c r="M378" s="12"/>
      <c r="N378" s="122"/>
      <c r="O378" s="122"/>
      <c r="P378" s="122"/>
      <c r="Q378" s="122"/>
    </row>
    <row r="379" spans="2:17" ht="14.25" customHeight="1" x14ac:dyDescent="0.3">
      <c r="B379" s="23"/>
      <c r="D379" s="25"/>
      <c r="E379" s="25"/>
      <c r="M379" s="12"/>
      <c r="N379" s="122"/>
      <c r="O379" s="122"/>
      <c r="P379" s="122"/>
      <c r="Q379" s="122"/>
    </row>
    <row r="380" spans="2:17" ht="14.25" customHeight="1" x14ac:dyDescent="0.3">
      <c r="B380" s="23"/>
      <c r="D380" s="25"/>
      <c r="E380" s="25"/>
      <c r="M380" s="12"/>
      <c r="N380" s="122"/>
      <c r="O380" s="122"/>
      <c r="P380" s="122"/>
      <c r="Q380" s="122"/>
    </row>
    <row r="381" spans="2:17" ht="14.25" customHeight="1" x14ac:dyDescent="0.3">
      <c r="B381" s="23"/>
      <c r="D381" s="25"/>
      <c r="E381" s="25"/>
      <c r="M381" s="12"/>
      <c r="N381" s="122"/>
      <c r="O381" s="122"/>
      <c r="P381" s="122"/>
      <c r="Q381" s="122"/>
    </row>
    <row r="382" spans="2:17" ht="14.25" customHeight="1" x14ac:dyDescent="0.3">
      <c r="B382" s="23"/>
      <c r="D382" s="25"/>
      <c r="E382" s="25"/>
      <c r="M382" s="12"/>
      <c r="N382" s="122"/>
      <c r="O382" s="122"/>
      <c r="P382" s="122"/>
      <c r="Q382" s="122"/>
    </row>
    <row r="383" spans="2:17" ht="14.25" customHeight="1" x14ac:dyDescent="0.3">
      <c r="B383" s="23"/>
      <c r="D383" s="25"/>
      <c r="E383" s="25"/>
      <c r="M383" s="12"/>
      <c r="N383" s="122"/>
      <c r="O383" s="122"/>
      <c r="P383" s="122"/>
      <c r="Q383" s="122"/>
    </row>
    <row r="384" spans="2:17" ht="14.25" customHeight="1" x14ac:dyDescent="0.3">
      <c r="B384" s="23"/>
      <c r="D384" s="25"/>
      <c r="E384" s="25"/>
      <c r="M384" s="12"/>
      <c r="N384" s="122"/>
      <c r="O384" s="122"/>
      <c r="P384" s="122"/>
      <c r="Q384" s="122"/>
    </row>
    <row r="385" spans="2:17" ht="14.25" customHeight="1" x14ac:dyDescent="0.3">
      <c r="B385" s="23"/>
      <c r="D385" s="25"/>
      <c r="E385" s="25"/>
      <c r="M385" s="12"/>
      <c r="N385" s="122"/>
      <c r="O385" s="122"/>
      <c r="P385" s="122"/>
      <c r="Q385" s="122"/>
    </row>
    <row r="386" spans="2:17" ht="14.25" customHeight="1" x14ac:dyDescent="0.3">
      <c r="B386" s="23"/>
      <c r="D386" s="25"/>
      <c r="E386" s="25"/>
      <c r="M386" s="12"/>
      <c r="N386" s="122"/>
      <c r="O386" s="122"/>
      <c r="P386" s="122"/>
      <c r="Q386" s="122"/>
    </row>
    <row r="387" spans="2:17" ht="14.25" customHeight="1" x14ac:dyDescent="0.3">
      <c r="B387" s="23"/>
      <c r="D387" s="25"/>
      <c r="E387" s="25"/>
      <c r="M387" s="12"/>
      <c r="N387" s="122"/>
      <c r="O387" s="122"/>
      <c r="P387" s="122"/>
      <c r="Q387" s="122"/>
    </row>
    <row r="388" spans="2:17" ht="14.25" customHeight="1" x14ac:dyDescent="0.3">
      <c r="B388" s="23"/>
      <c r="D388" s="25"/>
      <c r="E388" s="25"/>
      <c r="M388" s="12"/>
      <c r="N388" s="122"/>
      <c r="O388" s="122"/>
      <c r="P388" s="122"/>
      <c r="Q388" s="122"/>
    </row>
    <row r="389" spans="2:17" ht="14.25" customHeight="1" x14ac:dyDescent="0.3">
      <c r="B389" s="23"/>
      <c r="D389" s="25"/>
      <c r="E389" s="25"/>
      <c r="M389" s="12"/>
      <c r="N389" s="122"/>
      <c r="O389" s="122"/>
      <c r="P389" s="122"/>
      <c r="Q389" s="122"/>
    </row>
    <row r="390" spans="2:17" ht="14.25" customHeight="1" x14ac:dyDescent="0.3">
      <c r="B390" s="23"/>
      <c r="D390" s="25"/>
      <c r="E390" s="25"/>
      <c r="M390" s="12"/>
      <c r="N390" s="122"/>
      <c r="O390" s="122"/>
      <c r="P390" s="122"/>
      <c r="Q390" s="122"/>
    </row>
    <row r="391" spans="2:17" ht="14.25" customHeight="1" x14ac:dyDescent="0.3">
      <c r="B391" s="23"/>
      <c r="D391" s="25"/>
      <c r="E391" s="25"/>
      <c r="M391" s="12"/>
      <c r="N391" s="122"/>
      <c r="O391" s="122"/>
      <c r="P391" s="122"/>
      <c r="Q391" s="122"/>
    </row>
    <row r="392" spans="2:17" ht="14.25" customHeight="1" x14ac:dyDescent="0.3">
      <c r="B392" s="23"/>
      <c r="D392" s="25"/>
      <c r="E392" s="25"/>
      <c r="M392" s="12"/>
      <c r="N392" s="122"/>
      <c r="O392" s="122"/>
      <c r="P392" s="122"/>
      <c r="Q392" s="122"/>
    </row>
    <row r="393" spans="2:17" ht="14.25" customHeight="1" x14ac:dyDescent="0.3">
      <c r="B393" s="23"/>
      <c r="D393" s="25"/>
      <c r="E393" s="25"/>
      <c r="M393" s="12"/>
      <c r="N393" s="122"/>
      <c r="O393" s="122"/>
      <c r="P393" s="122"/>
      <c r="Q393" s="122"/>
    </row>
    <row r="394" spans="2:17" ht="14.25" customHeight="1" x14ac:dyDescent="0.3">
      <c r="B394" s="23"/>
      <c r="D394" s="25"/>
      <c r="E394" s="25"/>
      <c r="M394" s="12"/>
      <c r="N394" s="122"/>
      <c r="O394" s="122"/>
      <c r="P394" s="122"/>
      <c r="Q394" s="122"/>
    </row>
    <row r="395" spans="2:17" ht="14.25" customHeight="1" x14ac:dyDescent="0.3">
      <c r="B395" s="23"/>
      <c r="D395" s="25"/>
      <c r="E395" s="25"/>
      <c r="M395" s="12"/>
      <c r="N395" s="122"/>
      <c r="O395" s="122"/>
      <c r="P395" s="122"/>
      <c r="Q395" s="122"/>
    </row>
    <row r="396" spans="2:17" ht="14.25" customHeight="1" x14ac:dyDescent="0.3">
      <c r="B396" s="23"/>
      <c r="D396" s="25"/>
      <c r="E396" s="25"/>
      <c r="M396" s="12"/>
      <c r="N396" s="122"/>
      <c r="O396" s="122"/>
      <c r="P396" s="122"/>
      <c r="Q396" s="122"/>
    </row>
    <row r="397" spans="2:17" ht="14.25" customHeight="1" x14ac:dyDescent="0.3">
      <c r="B397" s="23"/>
      <c r="D397" s="25"/>
      <c r="E397" s="25"/>
      <c r="M397" s="12"/>
      <c r="N397" s="122"/>
      <c r="O397" s="122"/>
      <c r="P397" s="122"/>
      <c r="Q397" s="122"/>
    </row>
    <row r="398" spans="2:17" ht="14.25" customHeight="1" x14ac:dyDescent="0.3">
      <c r="B398" s="23"/>
      <c r="D398" s="25"/>
      <c r="E398" s="25"/>
      <c r="M398" s="12"/>
      <c r="N398" s="122"/>
      <c r="O398" s="122"/>
      <c r="P398" s="122"/>
      <c r="Q398" s="122"/>
    </row>
    <row r="399" spans="2:17" ht="14.25" customHeight="1" x14ac:dyDescent="0.3">
      <c r="B399" s="23"/>
      <c r="D399" s="25"/>
      <c r="E399" s="25"/>
      <c r="M399" s="12"/>
      <c r="N399" s="122"/>
      <c r="O399" s="122"/>
      <c r="P399" s="122"/>
      <c r="Q399" s="122"/>
    </row>
    <row r="400" spans="2:17" ht="14.25" customHeight="1" x14ac:dyDescent="0.3">
      <c r="B400" s="23"/>
      <c r="D400" s="25"/>
      <c r="E400" s="25"/>
      <c r="M400" s="12"/>
      <c r="N400" s="122"/>
      <c r="O400" s="122"/>
      <c r="P400" s="122"/>
      <c r="Q400" s="122"/>
    </row>
    <row r="401" spans="2:17" ht="14.25" customHeight="1" x14ac:dyDescent="0.3">
      <c r="B401" s="23"/>
      <c r="D401" s="25"/>
      <c r="E401" s="25"/>
      <c r="M401" s="12"/>
      <c r="N401" s="122"/>
      <c r="O401" s="122"/>
      <c r="P401" s="122"/>
      <c r="Q401" s="122"/>
    </row>
    <row r="402" spans="2:17" ht="14.25" customHeight="1" x14ac:dyDescent="0.3">
      <c r="B402" s="23"/>
      <c r="D402" s="25"/>
      <c r="E402" s="25"/>
      <c r="M402" s="12"/>
      <c r="N402" s="122"/>
      <c r="O402" s="122"/>
      <c r="P402" s="122"/>
      <c r="Q402" s="122"/>
    </row>
    <row r="403" spans="2:17" ht="14.25" customHeight="1" x14ac:dyDescent="0.3">
      <c r="B403" s="23"/>
      <c r="D403" s="25"/>
      <c r="E403" s="25"/>
      <c r="M403" s="12"/>
      <c r="N403" s="122"/>
      <c r="O403" s="122"/>
      <c r="P403" s="122"/>
      <c r="Q403" s="122"/>
    </row>
    <row r="404" spans="2:17" ht="14.25" customHeight="1" x14ac:dyDescent="0.3">
      <c r="B404" s="23"/>
      <c r="D404" s="25"/>
      <c r="E404" s="25"/>
      <c r="M404" s="12"/>
      <c r="N404" s="122"/>
      <c r="O404" s="122"/>
      <c r="P404" s="122"/>
      <c r="Q404" s="122"/>
    </row>
    <row r="405" spans="2:17" ht="14.25" customHeight="1" x14ac:dyDescent="0.3">
      <c r="B405" s="23"/>
      <c r="D405" s="25"/>
      <c r="E405" s="25"/>
      <c r="M405" s="12"/>
      <c r="N405" s="122"/>
      <c r="O405" s="122"/>
      <c r="P405" s="122"/>
      <c r="Q405" s="122"/>
    </row>
    <row r="406" spans="2:17" ht="14.25" customHeight="1" x14ac:dyDescent="0.3">
      <c r="B406" s="23"/>
      <c r="D406" s="25"/>
      <c r="E406" s="25"/>
      <c r="M406" s="12"/>
      <c r="N406" s="122"/>
      <c r="O406" s="122"/>
      <c r="P406" s="122"/>
      <c r="Q406" s="122"/>
    </row>
    <row r="407" spans="2:17" ht="14.25" customHeight="1" x14ac:dyDescent="0.3">
      <c r="B407" s="23"/>
      <c r="D407" s="25"/>
      <c r="E407" s="25"/>
      <c r="M407" s="12"/>
      <c r="N407" s="122"/>
      <c r="O407" s="122"/>
      <c r="P407" s="122"/>
      <c r="Q407" s="122"/>
    </row>
    <row r="408" spans="2:17" ht="14.25" customHeight="1" x14ac:dyDescent="0.3">
      <c r="B408" s="23"/>
      <c r="D408" s="25"/>
      <c r="E408" s="25"/>
      <c r="M408" s="12"/>
      <c r="N408" s="122"/>
      <c r="O408" s="122"/>
      <c r="P408" s="122"/>
      <c r="Q408" s="122"/>
    </row>
    <row r="409" spans="2:17" ht="14.25" customHeight="1" x14ac:dyDescent="0.3">
      <c r="B409" s="23"/>
      <c r="D409" s="25"/>
      <c r="E409" s="25"/>
      <c r="M409" s="12"/>
      <c r="N409" s="122"/>
      <c r="O409" s="122"/>
      <c r="P409" s="122"/>
      <c r="Q409" s="122"/>
    </row>
    <row r="410" spans="2:17" ht="14.25" customHeight="1" x14ac:dyDescent="0.3">
      <c r="B410" s="23"/>
      <c r="D410" s="25"/>
      <c r="E410" s="25"/>
      <c r="M410" s="12"/>
      <c r="N410" s="122"/>
      <c r="O410" s="122"/>
      <c r="P410" s="122"/>
      <c r="Q410" s="122"/>
    </row>
    <row r="411" spans="2:17" ht="14.25" customHeight="1" x14ac:dyDescent="0.3">
      <c r="B411" s="23"/>
      <c r="D411" s="25"/>
      <c r="E411" s="25"/>
      <c r="M411" s="12"/>
      <c r="N411" s="122"/>
      <c r="O411" s="122"/>
      <c r="P411" s="122"/>
      <c r="Q411" s="122"/>
    </row>
    <row r="412" spans="2:17" ht="14.25" customHeight="1" x14ac:dyDescent="0.3">
      <c r="B412" s="23"/>
      <c r="D412" s="25"/>
      <c r="E412" s="25"/>
      <c r="M412" s="12"/>
      <c r="N412" s="122"/>
      <c r="O412" s="122"/>
      <c r="P412" s="122"/>
      <c r="Q412" s="122"/>
    </row>
    <row r="413" spans="2:17" ht="14.25" customHeight="1" x14ac:dyDescent="0.3">
      <c r="B413" s="23"/>
      <c r="D413" s="25"/>
      <c r="E413" s="25"/>
      <c r="M413" s="12"/>
      <c r="N413" s="122"/>
      <c r="O413" s="122"/>
      <c r="P413" s="122"/>
      <c r="Q413" s="122"/>
    </row>
    <row r="414" spans="2:17" ht="14.25" customHeight="1" x14ac:dyDescent="0.3">
      <c r="B414" s="23"/>
      <c r="D414" s="25"/>
      <c r="E414" s="25"/>
      <c r="M414" s="12"/>
      <c r="N414" s="122"/>
      <c r="O414" s="122"/>
      <c r="P414" s="122"/>
      <c r="Q414" s="122"/>
    </row>
    <row r="415" spans="2:17" ht="14.25" customHeight="1" x14ac:dyDescent="0.3">
      <c r="B415" s="23"/>
      <c r="D415" s="25"/>
      <c r="E415" s="25"/>
      <c r="M415" s="12"/>
      <c r="N415" s="122"/>
      <c r="O415" s="122"/>
      <c r="P415" s="122"/>
      <c r="Q415" s="122"/>
    </row>
    <row r="416" spans="2:17" ht="14.25" customHeight="1" x14ac:dyDescent="0.3">
      <c r="B416" s="23"/>
      <c r="D416" s="25"/>
      <c r="E416" s="25"/>
      <c r="M416" s="12"/>
      <c r="N416" s="122"/>
      <c r="O416" s="122"/>
      <c r="P416" s="122"/>
      <c r="Q416" s="122"/>
    </row>
    <row r="417" spans="2:17" ht="14.25" customHeight="1" x14ac:dyDescent="0.3">
      <c r="B417" s="23"/>
      <c r="D417" s="25"/>
      <c r="E417" s="25"/>
      <c r="M417" s="12"/>
      <c r="N417" s="122"/>
      <c r="O417" s="122"/>
      <c r="P417" s="122"/>
      <c r="Q417" s="122"/>
    </row>
    <row r="418" spans="2:17" ht="14.25" customHeight="1" x14ac:dyDescent="0.3">
      <c r="B418" s="23"/>
      <c r="D418" s="25"/>
      <c r="E418" s="25"/>
      <c r="M418" s="12"/>
      <c r="N418" s="122"/>
      <c r="O418" s="122"/>
      <c r="P418" s="122"/>
      <c r="Q418" s="122"/>
    </row>
    <row r="419" spans="2:17" ht="14.25" customHeight="1" x14ac:dyDescent="0.3">
      <c r="B419" s="23"/>
      <c r="D419" s="25"/>
      <c r="E419" s="25"/>
      <c r="M419" s="12"/>
      <c r="N419" s="122"/>
      <c r="O419" s="122"/>
      <c r="P419" s="122"/>
      <c r="Q419" s="122"/>
    </row>
    <row r="420" spans="2:17" ht="14.25" customHeight="1" x14ac:dyDescent="0.3">
      <c r="B420" s="23"/>
      <c r="D420" s="25"/>
      <c r="E420" s="25"/>
      <c r="M420" s="12"/>
      <c r="N420" s="122"/>
      <c r="O420" s="122"/>
      <c r="P420" s="122"/>
      <c r="Q420" s="122"/>
    </row>
    <row r="421" spans="2:17" ht="14.25" customHeight="1" x14ac:dyDescent="0.3">
      <c r="B421" s="23"/>
      <c r="D421" s="25"/>
      <c r="E421" s="25"/>
      <c r="M421" s="12"/>
      <c r="N421" s="122"/>
      <c r="O421" s="122"/>
      <c r="P421" s="122"/>
      <c r="Q421" s="122"/>
    </row>
    <row r="422" spans="2:17" ht="14.25" customHeight="1" x14ac:dyDescent="0.3">
      <c r="B422" s="23"/>
      <c r="D422" s="25"/>
      <c r="E422" s="25"/>
      <c r="M422" s="12"/>
      <c r="N422" s="122"/>
      <c r="O422" s="122"/>
      <c r="P422" s="122"/>
      <c r="Q422" s="122"/>
    </row>
    <row r="423" spans="2:17" ht="14.25" customHeight="1" x14ac:dyDescent="0.3">
      <c r="B423" s="23"/>
      <c r="D423" s="25"/>
      <c r="E423" s="25"/>
      <c r="M423" s="12"/>
      <c r="N423" s="122"/>
      <c r="O423" s="122"/>
      <c r="P423" s="122"/>
      <c r="Q423" s="122"/>
    </row>
    <row r="424" spans="2:17" ht="14.25" customHeight="1" x14ac:dyDescent="0.3">
      <c r="B424" s="23"/>
      <c r="D424" s="25"/>
      <c r="E424" s="25"/>
      <c r="M424" s="12"/>
      <c r="N424" s="122"/>
      <c r="O424" s="122"/>
      <c r="P424" s="122"/>
      <c r="Q424" s="122"/>
    </row>
    <row r="425" spans="2:17" ht="14.25" customHeight="1" x14ac:dyDescent="0.3">
      <c r="B425" s="23"/>
      <c r="D425" s="25"/>
      <c r="E425" s="25"/>
      <c r="M425" s="12"/>
      <c r="N425" s="122"/>
      <c r="O425" s="122"/>
      <c r="P425" s="122"/>
      <c r="Q425" s="122"/>
    </row>
    <row r="426" spans="2:17" ht="14.25" customHeight="1" x14ac:dyDescent="0.3">
      <c r="B426" s="23"/>
      <c r="D426" s="25"/>
      <c r="E426" s="25"/>
      <c r="M426" s="12"/>
      <c r="N426" s="122"/>
      <c r="O426" s="122"/>
      <c r="P426" s="122"/>
      <c r="Q426" s="122"/>
    </row>
    <row r="427" spans="2:17" ht="14.25" customHeight="1" x14ac:dyDescent="0.3">
      <c r="B427" s="23"/>
      <c r="D427" s="25"/>
      <c r="E427" s="25"/>
      <c r="M427" s="12"/>
      <c r="N427" s="122"/>
      <c r="O427" s="122"/>
      <c r="P427" s="122"/>
      <c r="Q427" s="122"/>
    </row>
    <row r="428" spans="2:17" ht="14.25" customHeight="1" x14ac:dyDescent="0.3">
      <c r="B428" s="23"/>
      <c r="D428" s="25"/>
      <c r="E428" s="25"/>
      <c r="M428" s="12"/>
      <c r="N428" s="122"/>
      <c r="O428" s="122"/>
      <c r="P428" s="122"/>
      <c r="Q428" s="122"/>
    </row>
    <row r="429" spans="2:17" ht="14.25" customHeight="1" x14ac:dyDescent="0.3">
      <c r="B429" s="23"/>
      <c r="D429" s="25"/>
      <c r="E429" s="25"/>
      <c r="M429" s="12"/>
      <c r="N429" s="122"/>
      <c r="O429" s="122"/>
      <c r="P429" s="122"/>
      <c r="Q429" s="122"/>
    </row>
    <row r="430" spans="2:17" ht="14.25" customHeight="1" x14ac:dyDescent="0.3">
      <c r="B430" s="23"/>
      <c r="D430" s="25"/>
      <c r="E430" s="25"/>
      <c r="M430" s="12"/>
      <c r="N430" s="122"/>
      <c r="O430" s="122"/>
      <c r="P430" s="122"/>
      <c r="Q430" s="122"/>
    </row>
    <row r="431" spans="2:17" ht="14.25" customHeight="1" x14ac:dyDescent="0.3">
      <c r="B431" s="23"/>
      <c r="D431" s="25"/>
      <c r="E431" s="25"/>
      <c r="M431" s="12"/>
      <c r="N431" s="122"/>
      <c r="O431" s="122"/>
      <c r="P431" s="122"/>
      <c r="Q431" s="122"/>
    </row>
    <row r="432" spans="2:17" ht="14.25" customHeight="1" x14ac:dyDescent="0.3">
      <c r="B432" s="23"/>
      <c r="D432" s="25"/>
      <c r="E432" s="25"/>
      <c r="M432" s="12"/>
      <c r="N432" s="122"/>
      <c r="O432" s="122"/>
      <c r="P432" s="122"/>
      <c r="Q432" s="122"/>
    </row>
    <row r="433" spans="2:17" ht="14.25" customHeight="1" x14ac:dyDescent="0.3">
      <c r="B433" s="23"/>
      <c r="D433" s="25"/>
      <c r="E433" s="25"/>
      <c r="M433" s="12"/>
      <c r="N433" s="122"/>
      <c r="O433" s="122"/>
      <c r="P433" s="122"/>
      <c r="Q433" s="122"/>
    </row>
    <row r="434" spans="2:17" ht="14.25" customHeight="1" x14ac:dyDescent="0.3">
      <c r="B434" s="23"/>
      <c r="D434" s="25"/>
      <c r="E434" s="25"/>
      <c r="M434" s="12"/>
      <c r="N434" s="122"/>
      <c r="O434" s="122"/>
      <c r="P434" s="122"/>
      <c r="Q434" s="122"/>
    </row>
    <row r="435" spans="2:17" ht="14.25" customHeight="1" x14ac:dyDescent="0.3">
      <c r="B435" s="23"/>
      <c r="D435" s="25"/>
      <c r="E435" s="25"/>
      <c r="M435" s="12"/>
      <c r="N435" s="122"/>
      <c r="O435" s="122"/>
      <c r="P435" s="122"/>
      <c r="Q435" s="122"/>
    </row>
    <row r="436" spans="2:17" ht="14.25" customHeight="1" x14ac:dyDescent="0.3">
      <c r="B436" s="23"/>
      <c r="D436" s="25"/>
      <c r="E436" s="25"/>
      <c r="M436" s="12"/>
      <c r="N436" s="122"/>
      <c r="O436" s="122"/>
      <c r="P436" s="122"/>
      <c r="Q436" s="122"/>
    </row>
    <row r="437" spans="2:17" ht="14.25" customHeight="1" x14ac:dyDescent="0.3">
      <c r="B437" s="23"/>
      <c r="D437" s="25"/>
      <c r="E437" s="25"/>
      <c r="M437" s="12"/>
      <c r="N437" s="122"/>
      <c r="O437" s="122"/>
      <c r="P437" s="122"/>
      <c r="Q437" s="122"/>
    </row>
    <row r="438" spans="2:17" ht="14.25" customHeight="1" x14ac:dyDescent="0.3">
      <c r="B438" s="23"/>
      <c r="D438" s="25"/>
      <c r="E438" s="25"/>
      <c r="M438" s="12"/>
      <c r="N438" s="122"/>
      <c r="O438" s="122"/>
      <c r="P438" s="122"/>
      <c r="Q438" s="122"/>
    </row>
    <row r="439" spans="2:17" ht="14.25" customHeight="1" x14ac:dyDescent="0.3">
      <c r="B439" s="23"/>
      <c r="D439" s="25"/>
      <c r="E439" s="25"/>
      <c r="M439" s="12"/>
      <c r="N439" s="122"/>
      <c r="O439" s="122"/>
      <c r="P439" s="122"/>
      <c r="Q439" s="122"/>
    </row>
    <row r="440" spans="2:17" ht="14.25" customHeight="1" x14ac:dyDescent="0.3">
      <c r="B440" s="23"/>
      <c r="D440" s="25"/>
      <c r="E440" s="25"/>
      <c r="M440" s="12"/>
      <c r="N440" s="122"/>
      <c r="O440" s="122"/>
      <c r="P440" s="122"/>
      <c r="Q440" s="122"/>
    </row>
    <row r="441" spans="2:17" ht="14.25" customHeight="1" x14ac:dyDescent="0.3">
      <c r="B441" s="23"/>
      <c r="D441" s="25"/>
      <c r="E441" s="25"/>
      <c r="M441" s="12"/>
      <c r="N441" s="122"/>
      <c r="O441" s="122"/>
      <c r="P441" s="122"/>
      <c r="Q441" s="122"/>
    </row>
    <row r="442" spans="2:17" ht="14.25" customHeight="1" x14ac:dyDescent="0.3">
      <c r="B442" s="23"/>
      <c r="D442" s="25"/>
      <c r="E442" s="25"/>
      <c r="M442" s="12"/>
      <c r="N442" s="122"/>
      <c r="O442" s="122"/>
      <c r="P442" s="122"/>
      <c r="Q442" s="122"/>
    </row>
    <row r="443" spans="2:17" ht="14.25" customHeight="1" x14ac:dyDescent="0.3">
      <c r="B443" s="23"/>
      <c r="D443" s="25"/>
      <c r="E443" s="25"/>
      <c r="M443" s="12"/>
      <c r="N443" s="122"/>
      <c r="O443" s="122"/>
      <c r="P443" s="122"/>
      <c r="Q443" s="122"/>
    </row>
    <row r="444" spans="2:17" ht="14.25" customHeight="1" x14ac:dyDescent="0.3">
      <c r="B444" s="23"/>
      <c r="D444" s="25"/>
      <c r="E444" s="25"/>
      <c r="M444" s="12"/>
      <c r="N444" s="122"/>
      <c r="O444" s="122"/>
      <c r="P444" s="122"/>
      <c r="Q444" s="122"/>
    </row>
    <row r="445" spans="2:17" ht="14.25" customHeight="1" x14ac:dyDescent="0.3">
      <c r="B445" s="23"/>
      <c r="D445" s="25"/>
      <c r="E445" s="25"/>
      <c r="M445" s="12"/>
      <c r="N445" s="122"/>
      <c r="O445" s="122"/>
      <c r="P445" s="122"/>
      <c r="Q445" s="122"/>
    </row>
    <row r="446" spans="2:17" ht="14.25" customHeight="1" x14ac:dyDescent="0.3">
      <c r="B446" s="23"/>
      <c r="D446" s="25"/>
      <c r="E446" s="25"/>
      <c r="M446" s="12"/>
      <c r="N446" s="122"/>
      <c r="O446" s="122"/>
      <c r="P446" s="122"/>
      <c r="Q446" s="122"/>
    </row>
    <row r="447" spans="2:17" ht="14.25" customHeight="1" x14ac:dyDescent="0.3">
      <c r="B447" s="23"/>
      <c r="D447" s="25"/>
      <c r="E447" s="25"/>
      <c r="M447" s="12"/>
      <c r="N447" s="122"/>
      <c r="O447" s="122"/>
      <c r="P447" s="122"/>
      <c r="Q447" s="122"/>
    </row>
    <row r="448" spans="2:17" ht="14.25" customHeight="1" x14ac:dyDescent="0.3">
      <c r="B448" s="23"/>
      <c r="D448" s="25"/>
      <c r="E448" s="25"/>
      <c r="M448" s="12"/>
      <c r="N448" s="122"/>
      <c r="O448" s="122"/>
      <c r="P448" s="122"/>
      <c r="Q448" s="122"/>
    </row>
    <row r="449" spans="2:17" ht="14.25" customHeight="1" x14ac:dyDescent="0.3">
      <c r="B449" s="23"/>
      <c r="D449" s="25"/>
      <c r="E449" s="25"/>
      <c r="M449" s="12"/>
      <c r="N449" s="122"/>
      <c r="O449" s="122"/>
      <c r="P449" s="122"/>
      <c r="Q449" s="122"/>
    </row>
    <row r="450" spans="2:17" ht="14.25" customHeight="1" x14ac:dyDescent="0.3">
      <c r="B450" s="23"/>
      <c r="D450" s="25"/>
      <c r="E450" s="25"/>
      <c r="M450" s="12"/>
      <c r="N450" s="122"/>
      <c r="O450" s="122"/>
      <c r="P450" s="122"/>
      <c r="Q450" s="122"/>
    </row>
    <row r="451" spans="2:17" ht="14.25" customHeight="1" x14ac:dyDescent="0.3">
      <c r="B451" s="23"/>
      <c r="D451" s="25"/>
      <c r="E451" s="25"/>
      <c r="M451" s="12"/>
      <c r="N451" s="122"/>
      <c r="O451" s="122"/>
      <c r="P451" s="122"/>
      <c r="Q451" s="122"/>
    </row>
    <row r="452" spans="2:17" ht="14.25" customHeight="1" x14ac:dyDescent="0.3">
      <c r="B452" s="23"/>
      <c r="D452" s="25"/>
      <c r="E452" s="25"/>
      <c r="M452" s="12"/>
      <c r="N452" s="122"/>
      <c r="O452" s="122"/>
      <c r="P452" s="122"/>
      <c r="Q452" s="122"/>
    </row>
    <row r="453" spans="2:17" ht="14.25" customHeight="1" x14ac:dyDescent="0.3">
      <c r="B453" s="23"/>
      <c r="D453" s="25"/>
      <c r="E453" s="25"/>
      <c r="M453" s="12"/>
      <c r="N453" s="122"/>
      <c r="O453" s="122"/>
      <c r="P453" s="122"/>
      <c r="Q453" s="122"/>
    </row>
    <row r="454" spans="2:17" ht="14.25" customHeight="1" x14ac:dyDescent="0.3">
      <c r="B454" s="23"/>
      <c r="D454" s="25"/>
      <c r="E454" s="25"/>
      <c r="M454" s="12"/>
      <c r="N454" s="122"/>
      <c r="O454" s="122"/>
      <c r="P454" s="122"/>
      <c r="Q454" s="122"/>
    </row>
    <row r="455" spans="2:17" ht="14.25" customHeight="1" x14ac:dyDescent="0.3">
      <c r="B455" s="23"/>
      <c r="D455" s="25"/>
      <c r="E455" s="25"/>
      <c r="M455" s="12"/>
      <c r="N455" s="122"/>
      <c r="O455" s="122"/>
      <c r="P455" s="122"/>
      <c r="Q455" s="122"/>
    </row>
    <row r="456" spans="2:17" ht="14.25" customHeight="1" x14ac:dyDescent="0.3">
      <c r="B456" s="23"/>
      <c r="D456" s="25"/>
      <c r="E456" s="25"/>
      <c r="M456" s="12"/>
      <c r="N456" s="122"/>
      <c r="O456" s="122"/>
      <c r="P456" s="122"/>
      <c r="Q456" s="122"/>
    </row>
    <row r="457" spans="2:17" ht="14.25" customHeight="1" x14ac:dyDescent="0.3">
      <c r="B457" s="23"/>
      <c r="D457" s="25"/>
      <c r="E457" s="25"/>
      <c r="M457" s="12"/>
      <c r="N457" s="122"/>
      <c r="O457" s="122"/>
      <c r="P457" s="122"/>
      <c r="Q457" s="122"/>
    </row>
    <row r="458" spans="2:17" ht="14.25" customHeight="1" x14ac:dyDescent="0.3">
      <c r="B458" s="23"/>
      <c r="D458" s="25"/>
      <c r="E458" s="25"/>
      <c r="M458" s="12"/>
      <c r="N458" s="122"/>
      <c r="O458" s="122"/>
      <c r="P458" s="122"/>
      <c r="Q458" s="122"/>
    </row>
    <row r="459" spans="2:17" ht="14.25" customHeight="1" x14ac:dyDescent="0.3">
      <c r="B459" s="23"/>
      <c r="D459" s="25"/>
      <c r="E459" s="25"/>
      <c r="M459" s="12"/>
      <c r="N459" s="122"/>
      <c r="O459" s="122"/>
      <c r="P459" s="122"/>
      <c r="Q459" s="122"/>
    </row>
    <row r="460" spans="2:17" ht="14.25" customHeight="1" x14ac:dyDescent="0.3">
      <c r="B460" s="23"/>
      <c r="D460" s="25"/>
      <c r="E460" s="25"/>
      <c r="M460" s="12"/>
      <c r="N460" s="122"/>
      <c r="O460" s="122"/>
      <c r="P460" s="122"/>
      <c r="Q460" s="122"/>
    </row>
    <row r="461" spans="2:17" ht="14.25" customHeight="1" x14ac:dyDescent="0.3">
      <c r="B461" s="23"/>
      <c r="D461" s="25"/>
      <c r="E461" s="25"/>
      <c r="M461" s="12"/>
      <c r="N461" s="122"/>
      <c r="O461" s="122"/>
      <c r="P461" s="122"/>
      <c r="Q461" s="122"/>
    </row>
    <row r="462" spans="2:17" ht="14.25" customHeight="1" x14ac:dyDescent="0.3">
      <c r="B462" s="23"/>
      <c r="D462" s="25"/>
      <c r="E462" s="25"/>
      <c r="M462" s="12"/>
      <c r="N462" s="122"/>
      <c r="O462" s="122"/>
      <c r="P462" s="122"/>
      <c r="Q462" s="122"/>
    </row>
    <row r="463" spans="2:17" ht="14.25" customHeight="1" x14ac:dyDescent="0.3">
      <c r="B463" s="23"/>
      <c r="D463" s="25"/>
      <c r="E463" s="25"/>
      <c r="M463" s="12"/>
      <c r="N463" s="122"/>
      <c r="O463" s="122"/>
      <c r="P463" s="122"/>
      <c r="Q463" s="122"/>
    </row>
    <row r="464" spans="2:17" ht="14.25" customHeight="1" x14ac:dyDescent="0.3">
      <c r="B464" s="23"/>
      <c r="D464" s="25"/>
      <c r="E464" s="25"/>
      <c r="M464" s="12"/>
      <c r="N464" s="122"/>
      <c r="O464" s="122"/>
      <c r="P464" s="122"/>
      <c r="Q464" s="122"/>
    </row>
    <row r="465" spans="2:17" ht="14.25" customHeight="1" x14ac:dyDescent="0.3">
      <c r="B465" s="23"/>
      <c r="D465" s="25"/>
      <c r="E465" s="25"/>
      <c r="M465" s="12"/>
      <c r="N465" s="122"/>
      <c r="O465" s="122"/>
      <c r="P465" s="122"/>
      <c r="Q465" s="122"/>
    </row>
    <row r="466" spans="2:17" ht="14.25" customHeight="1" x14ac:dyDescent="0.3">
      <c r="B466" s="23"/>
      <c r="D466" s="25"/>
      <c r="E466" s="25"/>
      <c r="M466" s="12"/>
      <c r="N466" s="122"/>
      <c r="O466" s="122"/>
      <c r="P466" s="122"/>
      <c r="Q466" s="122"/>
    </row>
    <row r="467" spans="2:17" ht="14.25" customHeight="1" x14ac:dyDescent="0.3">
      <c r="B467" s="23"/>
      <c r="D467" s="25"/>
      <c r="E467" s="25"/>
      <c r="M467" s="12"/>
      <c r="N467" s="122"/>
      <c r="O467" s="122"/>
      <c r="P467" s="122"/>
      <c r="Q467" s="122"/>
    </row>
    <row r="468" spans="2:17" ht="14.25" customHeight="1" x14ac:dyDescent="0.3">
      <c r="B468" s="23"/>
      <c r="D468" s="25"/>
      <c r="E468" s="25"/>
      <c r="M468" s="12"/>
      <c r="N468" s="122"/>
      <c r="O468" s="122"/>
      <c r="P468" s="122"/>
      <c r="Q468" s="122"/>
    </row>
    <row r="469" spans="2:17" ht="14.25" customHeight="1" x14ac:dyDescent="0.3">
      <c r="B469" s="23"/>
      <c r="D469" s="25"/>
      <c r="E469" s="25"/>
      <c r="M469" s="12"/>
      <c r="N469" s="122"/>
      <c r="O469" s="122"/>
      <c r="P469" s="122"/>
      <c r="Q469" s="122"/>
    </row>
    <row r="470" spans="2:17" ht="14.25" customHeight="1" x14ac:dyDescent="0.3">
      <c r="B470" s="23"/>
      <c r="D470" s="25"/>
      <c r="E470" s="25"/>
      <c r="M470" s="12"/>
      <c r="N470" s="122"/>
      <c r="O470" s="122"/>
      <c r="P470" s="122"/>
      <c r="Q470" s="122"/>
    </row>
    <row r="471" spans="2:17" ht="14.25" customHeight="1" x14ac:dyDescent="0.3">
      <c r="B471" s="23"/>
      <c r="D471" s="25"/>
      <c r="E471" s="25"/>
      <c r="M471" s="12"/>
      <c r="N471" s="122"/>
      <c r="O471" s="122"/>
      <c r="P471" s="122"/>
      <c r="Q471" s="122"/>
    </row>
    <row r="472" spans="2:17" ht="14.25" customHeight="1" x14ac:dyDescent="0.3">
      <c r="B472" s="23"/>
      <c r="D472" s="25"/>
      <c r="E472" s="25"/>
      <c r="M472" s="12"/>
      <c r="N472" s="122"/>
      <c r="O472" s="122"/>
      <c r="P472" s="122"/>
      <c r="Q472" s="122"/>
    </row>
    <row r="473" spans="2:17" ht="14.25" customHeight="1" x14ac:dyDescent="0.3">
      <c r="B473" s="23"/>
      <c r="D473" s="25"/>
      <c r="E473" s="25"/>
      <c r="M473" s="12"/>
      <c r="N473" s="122"/>
      <c r="O473" s="122"/>
      <c r="P473" s="122"/>
      <c r="Q473" s="122"/>
    </row>
    <row r="474" spans="2:17" ht="14.25" customHeight="1" x14ac:dyDescent="0.3">
      <c r="B474" s="23"/>
      <c r="D474" s="25"/>
      <c r="E474" s="25"/>
      <c r="M474" s="12"/>
      <c r="N474" s="122"/>
      <c r="O474" s="122"/>
      <c r="P474" s="122"/>
      <c r="Q474" s="122"/>
    </row>
    <row r="475" spans="2:17" ht="14.25" customHeight="1" x14ac:dyDescent="0.3">
      <c r="B475" s="23"/>
      <c r="D475" s="25"/>
      <c r="E475" s="25"/>
      <c r="M475" s="12"/>
      <c r="N475" s="122"/>
      <c r="O475" s="122"/>
      <c r="P475" s="122"/>
      <c r="Q475" s="122"/>
    </row>
    <row r="476" spans="2:17" ht="14.25" customHeight="1" x14ac:dyDescent="0.3">
      <c r="B476" s="23"/>
      <c r="D476" s="25"/>
      <c r="E476" s="25"/>
      <c r="M476" s="12"/>
      <c r="N476" s="122"/>
      <c r="O476" s="122"/>
      <c r="P476" s="122"/>
      <c r="Q476" s="122"/>
    </row>
    <row r="477" spans="2:17" ht="14.25" customHeight="1" x14ac:dyDescent="0.3">
      <c r="B477" s="23"/>
      <c r="D477" s="25"/>
      <c r="E477" s="25"/>
      <c r="M477" s="12"/>
      <c r="N477" s="122"/>
      <c r="O477" s="122"/>
      <c r="P477" s="122"/>
      <c r="Q477" s="122"/>
    </row>
    <row r="478" spans="2:17" ht="14.25" customHeight="1" x14ac:dyDescent="0.3">
      <c r="B478" s="23"/>
      <c r="D478" s="25"/>
      <c r="E478" s="25"/>
      <c r="M478" s="12"/>
      <c r="N478" s="122"/>
      <c r="O478" s="122"/>
      <c r="P478" s="122"/>
      <c r="Q478" s="122"/>
    </row>
    <row r="479" spans="2:17" ht="14.25" customHeight="1" x14ac:dyDescent="0.3">
      <c r="B479" s="23"/>
      <c r="D479" s="25"/>
      <c r="E479" s="25"/>
      <c r="M479" s="12"/>
      <c r="N479" s="122"/>
      <c r="O479" s="122"/>
      <c r="P479" s="122"/>
      <c r="Q479" s="122"/>
    </row>
    <row r="480" spans="2:17" ht="14.25" customHeight="1" x14ac:dyDescent="0.3">
      <c r="B480" s="23"/>
      <c r="D480" s="25"/>
      <c r="E480" s="25"/>
      <c r="M480" s="12"/>
      <c r="N480" s="122"/>
      <c r="O480" s="122"/>
      <c r="P480" s="122"/>
      <c r="Q480" s="122"/>
    </row>
    <row r="481" spans="2:17" ht="14.25" customHeight="1" x14ac:dyDescent="0.3">
      <c r="B481" s="23"/>
      <c r="D481" s="25"/>
      <c r="E481" s="25"/>
      <c r="M481" s="12"/>
      <c r="N481" s="122"/>
      <c r="O481" s="122"/>
      <c r="P481" s="122"/>
      <c r="Q481" s="122"/>
    </row>
    <row r="482" spans="2:17" ht="14.25" customHeight="1" x14ac:dyDescent="0.3">
      <c r="B482" s="23"/>
      <c r="D482" s="25"/>
      <c r="E482" s="25"/>
      <c r="M482" s="12"/>
      <c r="N482" s="122"/>
      <c r="O482" s="122"/>
      <c r="P482" s="122"/>
      <c r="Q482" s="122"/>
    </row>
    <row r="483" spans="2:17" ht="14.25" customHeight="1" x14ac:dyDescent="0.3">
      <c r="B483" s="23"/>
      <c r="D483" s="25"/>
      <c r="E483" s="25"/>
      <c r="M483" s="12"/>
      <c r="N483" s="122"/>
      <c r="O483" s="122"/>
      <c r="P483" s="122"/>
      <c r="Q483" s="122"/>
    </row>
    <row r="484" spans="2:17" ht="14.25" customHeight="1" x14ac:dyDescent="0.3">
      <c r="B484" s="23"/>
      <c r="D484" s="25"/>
      <c r="E484" s="25"/>
      <c r="M484" s="12"/>
      <c r="N484" s="122"/>
      <c r="O484" s="122"/>
      <c r="P484" s="122"/>
      <c r="Q484" s="122"/>
    </row>
    <row r="485" spans="2:17" ht="14.25" customHeight="1" x14ac:dyDescent="0.3">
      <c r="B485" s="23"/>
      <c r="D485" s="25"/>
      <c r="E485" s="25"/>
      <c r="M485" s="12"/>
      <c r="N485" s="122"/>
      <c r="O485" s="122"/>
      <c r="P485" s="122"/>
      <c r="Q485" s="122"/>
    </row>
    <row r="486" spans="2:17" ht="14.25" customHeight="1" x14ac:dyDescent="0.3">
      <c r="B486" s="23"/>
      <c r="D486" s="25"/>
      <c r="E486" s="25"/>
      <c r="M486" s="12"/>
      <c r="N486" s="122"/>
      <c r="O486" s="122"/>
      <c r="P486" s="122"/>
      <c r="Q486" s="122"/>
    </row>
    <row r="487" spans="2:17" ht="14.25" customHeight="1" x14ac:dyDescent="0.3">
      <c r="B487" s="23"/>
      <c r="D487" s="25"/>
      <c r="E487" s="25"/>
      <c r="M487" s="12"/>
      <c r="N487" s="122"/>
      <c r="O487" s="122"/>
      <c r="P487" s="122"/>
      <c r="Q487" s="122"/>
    </row>
    <row r="488" spans="2:17" ht="14.25" customHeight="1" x14ac:dyDescent="0.3">
      <c r="B488" s="23"/>
      <c r="D488" s="25"/>
      <c r="E488" s="25"/>
      <c r="M488" s="12"/>
      <c r="N488" s="122"/>
      <c r="O488" s="122"/>
      <c r="P488" s="122"/>
      <c r="Q488" s="122"/>
    </row>
    <row r="489" spans="2:17" ht="14.25" customHeight="1" x14ac:dyDescent="0.3">
      <c r="B489" s="23"/>
      <c r="D489" s="25"/>
      <c r="E489" s="25"/>
      <c r="M489" s="12"/>
      <c r="N489" s="122"/>
      <c r="O489" s="122"/>
      <c r="P489" s="122"/>
      <c r="Q489" s="122"/>
    </row>
    <row r="490" spans="2:17" ht="14.25" customHeight="1" x14ac:dyDescent="0.3">
      <c r="B490" s="23"/>
      <c r="D490" s="25"/>
      <c r="E490" s="25"/>
      <c r="M490" s="12"/>
      <c r="N490" s="122"/>
      <c r="O490" s="122"/>
      <c r="P490" s="122"/>
      <c r="Q490" s="122"/>
    </row>
    <row r="491" spans="2:17" ht="14.25" customHeight="1" x14ac:dyDescent="0.3">
      <c r="B491" s="23"/>
      <c r="D491" s="25"/>
      <c r="E491" s="25"/>
      <c r="M491" s="12"/>
      <c r="N491" s="122"/>
      <c r="O491" s="122"/>
      <c r="P491" s="122"/>
      <c r="Q491" s="122"/>
    </row>
    <row r="492" spans="2:17" ht="14.25" customHeight="1" x14ac:dyDescent="0.3">
      <c r="B492" s="23"/>
      <c r="D492" s="25"/>
      <c r="E492" s="25"/>
      <c r="M492" s="12"/>
      <c r="N492" s="122"/>
      <c r="O492" s="122"/>
      <c r="P492" s="122"/>
      <c r="Q492" s="122"/>
    </row>
    <row r="493" spans="2:17" ht="14.25" customHeight="1" x14ac:dyDescent="0.3">
      <c r="B493" s="23"/>
      <c r="D493" s="25"/>
      <c r="E493" s="25"/>
      <c r="M493" s="12"/>
      <c r="N493" s="122"/>
      <c r="O493" s="122"/>
      <c r="P493" s="122"/>
      <c r="Q493" s="122"/>
    </row>
    <row r="494" spans="2:17" ht="14.25" customHeight="1" x14ac:dyDescent="0.3">
      <c r="B494" s="23"/>
      <c r="D494" s="25"/>
      <c r="E494" s="25"/>
      <c r="M494" s="12"/>
      <c r="N494" s="122"/>
      <c r="O494" s="122"/>
      <c r="P494" s="122"/>
      <c r="Q494" s="122"/>
    </row>
    <row r="495" spans="2:17" ht="14.25" customHeight="1" x14ac:dyDescent="0.3">
      <c r="B495" s="23"/>
      <c r="D495" s="25"/>
      <c r="E495" s="25"/>
      <c r="M495" s="12"/>
      <c r="N495" s="122"/>
      <c r="O495" s="122"/>
      <c r="P495" s="122"/>
      <c r="Q495" s="122"/>
    </row>
    <row r="496" spans="2:17" ht="14.25" customHeight="1" x14ac:dyDescent="0.3">
      <c r="B496" s="23"/>
      <c r="D496" s="25"/>
      <c r="E496" s="25"/>
      <c r="M496" s="12"/>
      <c r="N496" s="122"/>
      <c r="O496" s="122"/>
      <c r="P496" s="122"/>
      <c r="Q496" s="122"/>
    </row>
    <row r="497" spans="2:17" ht="14.25" customHeight="1" x14ac:dyDescent="0.3">
      <c r="B497" s="23"/>
      <c r="D497" s="25"/>
      <c r="E497" s="25"/>
      <c r="M497" s="12"/>
      <c r="N497" s="122"/>
      <c r="O497" s="122"/>
      <c r="P497" s="122"/>
      <c r="Q497" s="122"/>
    </row>
    <row r="498" spans="2:17" ht="14.25" customHeight="1" x14ac:dyDescent="0.3">
      <c r="B498" s="23"/>
      <c r="D498" s="25"/>
      <c r="E498" s="25"/>
      <c r="M498" s="12"/>
      <c r="N498" s="122"/>
      <c r="O498" s="122"/>
      <c r="P498" s="122"/>
      <c r="Q498" s="122"/>
    </row>
    <row r="499" spans="2:17" ht="14.25" customHeight="1" x14ac:dyDescent="0.3">
      <c r="B499" s="23"/>
      <c r="D499" s="25"/>
      <c r="E499" s="25"/>
      <c r="M499" s="12"/>
      <c r="N499" s="122"/>
      <c r="O499" s="122"/>
      <c r="P499" s="122"/>
      <c r="Q499" s="122"/>
    </row>
    <row r="500" spans="2:17" ht="14.25" customHeight="1" x14ac:dyDescent="0.3">
      <c r="B500" s="23"/>
      <c r="D500" s="25"/>
      <c r="E500" s="25"/>
      <c r="M500" s="12"/>
      <c r="N500" s="122"/>
      <c r="O500" s="122"/>
      <c r="P500" s="122"/>
      <c r="Q500" s="122"/>
    </row>
    <row r="501" spans="2:17" ht="14.25" customHeight="1" x14ac:dyDescent="0.3">
      <c r="B501" s="23"/>
      <c r="D501" s="25"/>
      <c r="E501" s="25"/>
      <c r="M501" s="12"/>
      <c r="N501" s="122"/>
      <c r="O501" s="122"/>
      <c r="P501" s="122"/>
      <c r="Q501" s="122"/>
    </row>
    <row r="502" spans="2:17" ht="14.25" customHeight="1" x14ac:dyDescent="0.3">
      <c r="B502" s="23"/>
      <c r="D502" s="25"/>
      <c r="E502" s="25"/>
      <c r="M502" s="12"/>
      <c r="N502" s="122"/>
      <c r="O502" s="122"/>
      <c r="P502" s="122"/>
      <c r="Q502" s="122"/>
    </row>
    <row r="503" spans="2:17" ht="14.25" customHeight="1" x14ac:dyDescent="0.3">
      <c r="B503" s="23"/>
      <c r="D503" s="25"/>
      <c r="E503" s="25"/>
      <c r="M503" s="12"/>
      <c r="N503" s="122"/>
      <c r="O503" s="122"/>
      <c r="P503" s="122"/>
      <c r="Q503" s="122"/>
    </row>
    <row r="504" spans="2:17" ht="14.25" customHeight="1" x14ac:dyDescent="0.3">
      <c r="B504" s="23"/>
      <c r="D504" s="25"/>
      <c r="E504" s="25"/>
      <c r="M504" s="12"/>
      <c r="N504" s="122"/>
      <c r="O504" s="122"/>
      <c r="P504" s="122"/>
      <c r="Q504" s="122"/>
    </row>
    <row r="505" spans="2:17" ht="14.25" customHeight="1" x14ac:dyDescent="0.3">
      <c r="B505" s="23"/>
      <c r="D505" s="25"/>
      <c r="E505" s="25"/>
      <c r="M505" s="12"/>
      <c r="N505" s="122"/>
      <c r="O505" s="122"/>
      <c r="P505" s="122"/>
      <c r="Q505" s="122"/>
    </row>
    <row r="506" spans="2:17" ht="14.25" customHeight="1" x14ac:dyDescent="0.3">
      <c r="B506" s="23"/>
      <c r="D506" s="25"/>
      <c r="E506" s="25"/>
      <c r="M506" s="12"/>
      <c r="N506" s="122"/>
      <c r="O506" s="122"/>
      <c r="P506" s="122"/>
      <c r="Q506" s="122"/>
    </row>
    <row r="507" spans="2:17" ht="14.25" customHeight="1" x14ac:dyDescent="0.3">
      <c r="B507" s="23"/>
      <c r="D507" s="25"/>
      <c r="E507" s="25"/>
      <c r="M507" s="12"/>
      <c r="N507" s="122"/>
      <c r="O507" s="122"/>
      <c r="P507" s="122"/>
      <c r="Q507" s="122"/>
    </row>
    <row r="508" spans="2:17" ht="14.25" customHeight="1" x14ac:dyDescent="0.3">
      <c r="B508" s="23"/>
      <c r="D508" s="25"/>
      <c r="E508" s="25"/>
      <c r="M508" s="12"/>
      <c r="N508" s="122"/>
      <c r="O508" s="122"/>
      <c r="P508" s="122"/>
      <c r="Q508" s="122"/>
    </row>
    <row r="509" spans="2:17" ht="14.25" customHeight="1" x14ac:dyDescent="0.3">
      <c r="B509" s="23"/>
      <c r="D509" s="25"/>
      <c r="E509" s="25"/>
      <c r="M509" s="12"/>
      <c r="N509" s="122"/>
      <c r="O509" s="122"/>
      <c r="P509" s="122"/>
      <c r="Q509" s="122"/>
    </row>
    <row r="510" spans="2:17" ht="14.25" customHeight="1" x14ac:dyDescent="0.3">
      <c r="B510" s="23"/>
      <c r="D510" s="25"/>
      <c r="E510" s="25"/>
      <c r="M510" s="12"/>
      <c r="N510" s="122"/>
      <c r="O510" s="122"/>
      <c r="P510" s="122"/>
      <c r="Q510" s="122"/>
    </row>
    <row r="511" spans="2:17" ht="14.25" customHeight="1" x14ac:dyDescent="0.3">
      <c r="B511" s="23"/>
      <c r="D511" s="25"/>
      <c r="E511" s="25"/>
      <c r="M511" s="12"/>
      <c r="N511" s="122"/>
      <c r="O511" s="122"/>
      <c r="P511" s="122"/>
      <c r="Q511" s="122"/>
    </row>
    <row r="512" spans="2:17" ht="14.25" customHeight="1" x14ac:dyDescent="0.3">
      <c r="B512" s="23"/>
      <c r="D512" s="25"/>
      <c r="E512" s="25"/>
      <c r="M512" s="12"/>
      <c r="N512" s="122"/>
      <c r="O512" s="122"/>
      <c r="P512" s="122"/>
      <c r="Q512" s="122"/>
    </row>
    <row r="513" spans="2:17" ht="14.25" customHeight="1" x14ac:dyDescent="0.3">
      <c r="B513" s="23"/>
      <c r="D513" s="25"/>
      <c r="E513" s="25"/>
      <c r="M513" s="12"/>
      <c r="N513" s="122"/>
      <c r="O513" s="122"/>
      <c r="P513" s="122"/>
      <c r="Q513" s="122"/>
    </row>
    <row r="514" spans="2:17" ht="14.25" customHeight="1" x14ac:dyDescent="0.3">
      <c r="B514" s="23"/>
      <c r="D514" s="25"/>
      <c r="E514" s="25"/>
      <c r="M514" s="12"/>
      <c r="N514" s="122"/>
      <c r="O514" s="122"/>
      <c r="P514" s="122"/>
      <c r="Q514" s="122"/>
    </row>
    <row r="515" spans="2:17" ht="14.25" customHeight="1" x14ac:dyDescent="0.3">
      <c r="B515" s="23"/>
      <c r="D515" s="25"/>
      <c r="E515" s="25"/>
      <c r="M515" s="12"/>
      <c r="N515" s="122"/>
      <c r="O515" s="122"/>
      <c r="P515" s="122"/>
      <c r="Q515" s="122"/>
    </row>
    <row r="516" spans="2:17" ht="14.25" customHeight="1" x14ac:dyDescent="0.3">
      <c r="B516" s="23"/>
      <c r="D516" s="25"/>
      <c r="E516" s="25"/>
      <c r="M516" s="12"/>
      <c r="N516" s="122"/>
      <c r="O516" s="122"/>
      <c r="P516" s="122"/>
      <c r="Q516" s="122"/>
    </row>
    <row r="517" spans="2:17" ht="14.25" customHeight="1" x14ac:dyDescent="0.3">
      <c r="B517" s="23"/>
      <c r="D517" s="25"/>
      <c r="E517" s="25"/>
      <c r="M517" s="12"/>
      <c r="N517" s="122"/>
      <c r="O517" s="122"/>
      <c r="P517" s="122"/>
      <c r="Q517" s="122"/>
    </row>
    <row r="518" spans="2:17" ht="14.25" customHeight="1" x14ac:dyDescent="0.3">
      <c r="B518" s="23"/>
      <c r="D518" s="25"/>
      <c r="E518" s="25"/>
      <c r="M518" s="12"/>
      <c r="N518" s="122"/>
      <c r="O518" s="122"/>
      <c r="P518" s="122"/>
      <c r="Q518" s="122"/>
    </row>
    <row r="519" spans="2:17" ht="14.25" customHeight="1" x14ac:dyDescent="0.3">
      <c r="B519" s="23"/>
      <c r="D519" s="25"/>
      <c r="E519" s="25"/>
      <c r="M519" s="12"/>
      <c r="N519" s="122"/>
      <c r="O519" s="122"/>
      <c r="P519" s="122"/>
      <c r="Q519" s="122"/>
    </row>
    <row r="520" spans="2:17" ht="14.25" customHeight="1" x14ac:dyDescent="0.3">
      <c r="B520" s="23"/>
      <c r="D520" s="25"/>
      <c r="E520" s="25"/>
      <c r="M520" s="12"/>
      <c r="N520" s="122"/>
      <c r="O520" s="122"/>
      <c r="P520" s="122"/>
      <c r="Q520" s="122"/>
    </row>
    <row r="521" spans="2:17" ht="14.25" customHeight="1" x14ac:dyDescent="0.3">
      <c r="B521" s="23"/>
      <c r="D521" s="25"/>
      <c r="E521" s="25"/>
      <c r="M521" s="12"/>
      <c r="N521" s="122"/>
      <c r="O521" s="122"/>
      <c r="P521" s="122"/>
      <c r="Q521" s="122"/>
    </row>
    <row r="522" spans="2:17" ht="14.25" customHeight="1" x14ac:dyDescent="0.3">
      <c r="B522" s="23"/>
      <c r="D522" s="25"/>
      <c r="E522" s="25"/>
      <c r="M522" s="12"/>
      <c r="N522" s="122"/>
      <c r="O522" s="122"/>
      <c r="P522" s="122"/>
      <c r="Q522" s="122"/>
    </row>
    <row r="523" spans="2:17" ht="14.25" customHeight="1" x14ac:dyDescent="0.3">
      <c r="B523" s="23"/>
      <c r="D523" s="25"/>
      <c r="E523" s="25"/>
      <c r="M523" s="12"/>
      <c r="N523" s="122"/>
      <c r="O523" s="122"/>
      <c r="P523" s="122"/>
      <c r="Q523" s="122"/>
    </row>
    <row r="524" spans="2:17" ht="14.25" customHeight="1" x14ac:dyDescent="0.3">
      <c r="B524" s="23"/>
      <c r="D524" s="25"/>
      <c r="E524" s="25"/>
      <c r="M524" s="12"/>
      <c r="N524" s="122"/>
      <c r="O524" s="122"/>
      <c r="P524" s="122"/>
      <c r="Q524" s="122"/>
    </row>
    <row r="525" spans="2:17" ht="14.25" customHeight="1" x14ac:dyDescent="0.3">
      <c r="B525" s="23"/>
      <c r="D525" s="25"/>
      <c r="E525" s="25"/>
      <c r="M525" s="12"/>
      <c r="N525" s="122"/>
      <c r="O525" s="122"/>
      <c r="P525" s="122"/>
      <c r="Q525" s="122"/>
    </row>
    <row r="526" spans="2:17" ht="14.25" customHeight="1" x14ac:dyDescent="0.3">
      <c r="B526" s="23"/>
      <c r="D526" s="25"/>
      <c r="E526" s="25"/>
      <c r="M526" s="12"/>
      <c r="N526" s="122"/>
      <c r="O526" s="122"/>
      <c r="P526" s="122"/>
      <c r="Q526" s="122"/>
    </row>
    <row r="527" spans="2:17" ht="14.25" customHeight="1" x14ac:dyDescent="0.3">
      <c r="B527" s="23"/>
      <c r="D527" s="25"/>
      <c r="E527" s="25"/>
      <c r="M527" s="12"/>
      <c r="N527" s="122"/>
      <c r="O527" s="122"/>
      <c r="P527" s="122"/>
      <c r="Q527" s="122"/>
    </row>
    <row r="528" spans="2:17" ht="14.25" customHeight="1" x14ac:dyDescent="0.3">
      <c r="B528" s="23"/>
      <c r="D528" s="25"/>
      <c r="E528" s="25"/>
      <c r="M528" s="12"/>
      <c r="N528" s="122"/>
      <c r="O528" s="122"/>
      <c r="P528" s="122"/>
      <c r="Q528" s="122"/>
    </row>
    <row r="529" spans="2:17" ht="14.25" customHeight="1" x14ac:dyDescent="0.3">
      <c r="B529" s="23"/>
      <c r="D529" s="25"/>
      <c r="E529" s="25"/>
      <c r="M529" s="12"/>
      <c r="N529" s="122"/>
      <c r="O529" s="122"/>
      <c r="P529" s="122"/>
      <c r="Q529" s="122"/>
    </row>
    <row r="530" spans="2:17" ht="14.25" customHeight="1" x14ac:dyDescent="0.3">
      <c r="B530" s="23"/>
      <c r="D530" s="25"/>
      <c r="E530" s="25"/>
      <c r="M530" s="12"/>
      <c r="N530" s="122"/>
      <c r="O530" s="122"/>
      <c r="P530" s="122"/>
      <c r="Q530" s="122"/>
    </row>
    <row r="531" spans="2:17" ht="14.25" customHeight="1" x14ac:dyDescent="0.3">
      <c r="B531" s="23"/>
      <c r="D531" s="25"/>
      <c r="E531" s="25"/>
      <c r="M531" s="12"/>
      <c r="N531" s="122"/>
      <c r="O531" s="122"/>
      <c r="P531" s="122"/>
      <c r="Q531" s="122"/>
    </row>
    <row r="532" spans="2:17" ht="14.25" customHeight="1" x14ac:dyDescent="0.3">
      <c r="B532" s="23"/>
      <c r="D532" s="25"/>
      <c r="E532" s="25"/>
      <c r="M532" s="12"/>
      <c r="N532" s="122"/>
      <c r="O532" s="122"/>
      <c r="P532" s="122"/>
      <c r="Q532" s="122"/>
    </row>
    <row r="533" spans="2:17" ht="14.25" customHeight="1" x14ac:dyDescent="0.3">
      <c r="B533" s="23"/>
      <c r="D533" s="25"/>
      <c r="E533" s="25"/>
      <c r="M533" s="12"/>
      <c r="N533" s="122"/>
      <c r="O533" s="122"/>
      <c r="P533" s="122"/>
      <c r="Q533" s="122"/>
    </row>
    <row r="534" spans="2:17" ht="14.25" customHeight="1" x14ac:dyDescent="0.3">
      <c r="B534" s="23"/>
      <c r="D534" s="25"/>
      <c r="E534" s="25"/>
      <c r="M534" s="12"/>
      <c r="N534" s="122"/>
      <c r="O534" s="122"/>
      <c r="P534" s="122"/>
      <c r="Q534" s="122"/>
    </row>
    <row r="535" spans="2:17" ht="14.25" customHeight="1" x14ac:dyDescent="0.3">
      <c r="B535" s="23"/>
      <c r="D535" s="25"/>
      <c r="E535" s="25"/>
      <c r="M535" s="12"/>
      <c r="N535" s="122"/>
      <c r="O535" s="122"/>
      <c r="P535" s="122"/>
      <c r="Q535" s="122"/>
    </row>
    <row r="536" spans="2:17" ht="14.25" customHeight="1" x14ac:dyDescent="0.3">
      <c r="B536" s="23"/>
      <c r="D536" s="25"/>
      <c r="E536" s="25"/>
      <c r="M536" s="12"/>
      <c r="N536" s="122"/>
      <c r="O536" s="122"/>
      <c r="P536" s="122"/>
      <c r="Q536" s="122"/>
    </row>
    <row r="537" spans="2:17" ht="14.25" customHeight="1" x14ac:dyDescent="0.3">
      <c r="B537" s="23"/>
      <c r="D537" s="25"/>
      <c r="E537" s="25"/>
      <c r="M537" s="12"/>
      <c r="N537" s="122"/>
      <c r="O537" s="122"/>
      <c r="P537" s="122"/>
      <c r="Q537" s="122"/>
    </row>
    <row r="538" spans="2:17" ht="14.25" customHeight="1" x14ac:dyDescent="0.3">
      <c r="B538" s="23"/>
      <c r="D538" s="25"/>
      <c r="E538" s="25"/>
      <c r="M538" s="12"/>
      <c r="N538" s="122"/>
      <c r="O538" s="122"/>
      <c r="P538" s="122"/>
      <c r="Q538" s="122"/>
    </row>
    <row r="539" spans="2:17" ht="14.25" customHeight="1" x14ac:dyDescent="0.3">
      <c r="B539" s="23"/>
      <c r="D539" s="25"/>
      <c r="E539" s="25"/>
      <c r="M539" s="12"/>
      <c r="N539" s="122"/>
      <c r="O539" s="122"/>
      <c r="P539" s="122"/>
      <c r="Q539" s="122"/>
    </row>
    <row r="540" spans="2:17" ht="14.25" customHeight="1" x14ac:dyDescent="0.3">
      <c r="B540" s="23"/>
      <c r="D540" s="25"/>
      <c r="E540" s="25"/>
      <c r="M540" s="12"/>
      <c r="N540" s="122"/>
      <c r="O540" s="122"/>
      <c r="P540" s="122"/>
      <c r="Q540" s="122"/>
    </row>
    <row r="541" spans="2:17" ht="14.25" customHeight="1" x14ac:dyDescent="0.3">
      <c r="B541" s="23"/>
      <c r="D541" s="25"/>
      <c r="E541" s="25"/>
      <c r="M541" s="12"/>
      <c r="N541" s="122"/>
      <c r="O541" s="122"/>
      <c r="P541" s="122"/>
      <c r="Q541" s="122"/>
    </row>
    <row r="542" spans="2:17" ht="14.25" customHeight="1" x14ac:dyDescent="0.3">
      <c r="B542" s="23"/>
      <c r="D542" s="25"/>
      <c r="E542" s="25"/>
      <c r="M542" s="12"/>
      <c r="N542" s="122"/>
      <c r="O542" s="122"/>
      <c r="P542" s="122"/>
      <c r="Q542" s="122"/>
    </row>
    <row r="543" spans="2:17" ht="14.25" customHeight="1" x14ac:dyDescent="0.3">
      <c r="B543" s="23"/>
      <c r="D543" s="25"/>
      <c r="E543" s="25"/>
      <c r="M543" s="12"/>
      <c r="N543" s="122"/>
      <c r="O543" s="122"/>
      <c r="P543" s="122"/>
      <c r="Q543" s="122"/>
    </row>
    <row r="544" spans="2:17" ht="14.25" customHeight="1" x14ac:dyDescent="0.3">
      <c r="B544" s="23"/>
      <c r="D544" s="25"/>
      <c r="E544" s="25"/>
      <c r="M544" s="12"/>
      <c r="N544" s="122"/>
      <c r="O544" s="122"/>
      <c r="P544" s="122"/>
      <c r="Q544" s="122"/>
    </row>
    <row r="545" spans="2:17" ht="14.25" customHeight="1" x14ac:dyDescent="0.3">
      <c r="B545" s="23"/>
      <c r="D545" s="25"/>
      <c r="E545" s="25"/>
      <c r="M545" s="12"/>
      <c r="N545" s="122"/>
      <c r="O545" s="122"/>
      <c r="P545" s="122"/>
      <c r="Q545" s="122"/>
    </row>
    <row r="546" spans="2:17" ht="14.25" customHeight="1" x14ac:dyDescent="0.3">
      <c r="B546" s="23"/>
      <c r="D546" s="25"/>
      <c r="E546" s="25"/>
      <c r="M546" s="12"/>
      <c r="N546" s="122"/>
      <c r="O546" s="122"/>
      <c r="P546" s="122"/>
      <c r="Q546" s="122"/>
    </row>
    <row r="547" spans="2:17" ht="14.25" customHeight="1" x14ac:dyDescent="0.3">
      <c r="B547" s="23"/>
      <c r="D547" s="25"/>
      <c r="E547" s="25"/>
      <c r="M547" s="12"/>
      <c r="N547" s="122"/>
      <c r="O547" s="122"/>
      <c r="P547" s="122"/>
      <c r="Q547" s="122"/>
    </row>
    <row r="548" spans="2:17" ht="14.25" customHeight="1" x14ac:dyDescent="0.3">
      <c r="B548" s="23"/>
      <c r="D548" s="25"/>
      <c r="E548" s="25"/>
      <c r="M548" s="12"/>
      <c r="N548" s="122"/>
      <c r="O548" s="122"/>
      <c r="P548" s="122"/>
      <c r="Q548" s="122"/>
    </row>
    <row r="549" spans="2:17" ht="14.25" customHeight="1" x14ac:dyDescent="0.3">
      <c r="B549" s="23"/>
      <c r="D549" s="25"/>
      <c r="E549" s="25"/>
      <c r="M549" s="12"/>
      <c r="N549" s="122"/>
      <c r="O549" s="122"/>
      <c r="P549" s="122"/>
      <c r="Q549" s="122"/>
    </row>
    <row r="550" spans="2:17" ht="14.25" customHeight="1" x14ac:dyDescent="0.3">
      <c r="B550" s="23"/>
      <c r="D550" s="25"/>
      <c r="E550" s="25"/>
      <c r="M550" s="12"/>
      <c r="N550" s="122"/>
      <c r="O550" s="122"/>
      <c r="P550" s="122"/>
      <c r="Q550" s="122"/>
    </row>
    <row r="551" spans="2:17" ht="14.25" customHeight="1" x14ac:dyDescent="0.3">
      <c r="B551" s="23"/>
      <c r="D551" s="25"/>
      <c r="E551" s="25"/>
      <c r="M551" s="12"/>
      <c r="N551" s="122"/>
      <c r="O551" s="122"/>
      <c r="P551" s="122"/>
      <c r="Q551" s="122"/>
    </row>
    <row r="552" spans="2:17" ht="14.25" customHeight="1" x14ac:dyDescent="0.3">
      <c r="B552" s="23"/>
      <c r="D552" s="25"/>
      <c r="E552" s="25"/>
      <c r="M552" s="12"/>
      <c r="N552" s="122"/>
      <c r="O552" s="122"/>
      <c r="P552" s="122"/>
      <c r="Q552" s="122"/>
    </row>
    <row r="553" spans="2:17" ht="14.25" customHeight="1" x14ac:dyDescent="0.3">
      <c r="B553" s="23"/>
      <c r="D553" s="25"/>
      <c r="E553" s="25"/>
      <c r="M553" s="12"/>
      <c r="N553" s="122"/>
      <c r="O553" s="122"/>
      <c r="P553" s="122"/>
      <c r="Q553" s="122"/>
    </row>
    <row r="554" spans="2:17" ht="14.25" customHeight="1" x14ac:dyDescent="0.3">
      <c r="B554" s="23"/>
      <c r="D554" s="25"/>
      <c r="E554" s="25"/>
      <c r="M554" s="12"/>
      <c r="N554" s="122"/>
      <c r="O554" s="122"/>
      <c r="P554" s="122"/>
      <c r="Q554" s="122"/>
    </row>
    <row r="555" spans="2:17" ht="14.25" customHeight="1" x14ac:dyDescent="0.3">
      <c r="B555" s="23"/>
      <c r="D555" s="25"/>
      <c r="E555" s="25"/>
      <c r="M555" s="12"/>
      <c r="N555" s="122"/>
      <c r="O555" s="122"/>
      <c r="P555" s="122"/>
      <c r="Q555" s="122"/>
    </row>
    <row r="556" spans="2:17" ht="14.25" customHeight="1" x14ac:dyDescent="0.3">
      <c r="B556" s="23"/>
      <c r="D556" s="25"/>
      <c r="E556" s="25"/>
      <c r="M556" s="12"/>
      <c r="N556" s="122"/>
      <c r="O556" s="122"/>
      <c r="P556" s="122"/>
      <c r="Q556" s="122"/>
    </row>
    <row r="557" spans="2:17" ht="14.25" customHeight="1" x14ac:dyDescent="0.3">
      <c r="B557" s="23"/>
      <c r="D557" s="25"/>
      <c r="E557" s="25"/>
      <c r="M557" s="12"/>
      <c r="N557" s="122"/>
      <c r="O557" s="122"/>
      <c r="P557" s="122"/>
      <c r="Q557" s="122"/>
    </row>
    <row r="558" spans="2:17" ht="14.25" customHeight="1" x14ac:dyDescent="0.3">
      <c r="B558" s="23"/>
      <c r="D558" s="25"/>
      <c r="E558" s="25"/>
      <c r="M558" s="12"/>
      <c r="N558" s="122"/>
      <c r="O558" s="122"/>
      <c r="P558" s="122"/>
      <c r="Q558" s="122"/>
    </row>
    <row r="559" spans="2:17" ht="14.25" customHeight="1" x14ac:dyDescent="0.3">
      <c r="B559" s="23"/>
      <c r="D559" s="25"/>
      <c r="E559" s="25"/>
      <c r="M559" s="12"/>
      <c r="N559" s="122"/>
      <c r="O559" s="122"/>
      <c r="P559" s="122"/>
      <c r="Q559" s="122"/>
    </row>
    <row r="560" spans="2:17" ht="14.25" customHeight="1" x14ac:dyDescent="0.3">
      <c r="B560" s="23"/>
      <c r="D560" s="25"/>
      <c r="E560" s="25"/>
      <c r="M560" s="12"/>
      <c r="N560" s="122"/>
      <c r="O560" s="122"/>
      <c r="P560" s="122"/>
      <c r="Q560" s="122"/>
    </row>
    <row r="561" spans="2:17" ht="14.25" customHeight="1" x14ac:dyDescent="0.3">
      <c r="B561" s="23"/>
      <c r="D561" s="25"/>
      <c r="E561" s="25"/>
      <c r="M561" s="12"/>
      <c r="N561" s="122"/>
      <c r="O561" s="122"/>
      <c r="P561" s="122"/>
      <c r="Q561" s="122"/>
    </row>
    <row r="562" spans="2:17" ht="14.25" customHeight="1" x14ac:dyDescent="0.3">
      <c r="B562" s="23"/>
      <c r="D562" s="25"/>
      <c r="E562" s="25"/>
      <c r="M562" s="12"/>
      <c r="N562" s="122"/>
      <c r="O562" s="122"/>
      <c r="P562" s="122"/>
      <c r="Q562" s="122"/>
    </row>
    <row r="563" spans="2:17" ht="14.25" customHeight="1" x14ac:dyDescent="0.3">
      <c r="B563" s="23"/>
      <c r="D563" s="25"/>
      <c r="E563" s="25"/>
      <c r="M563" s="12"/>
      <c r="N563" s="122"/>
      <c r="O563" s="122"/>
      <c r="P563" s="122"/>
      <c r="Q563" s="122"/>
    </row>
    <row r="564" spans="2:17" ht="14.25" customHeight="1" x14ac:dyDescent="0.3">
      <c r="B564" s="23"/>
      <c r="D564" s="25"/>
      <c r="E564" s="25"/>
      <c r="M564" s="12"/>
      <c r="N564" s="122"/>
      <c r="O564" s="122"/>
      <c r="P564" s="122"/>
      <c r="Q564" s="122"/>
    </row>
    <row r="565" spans="2:17" ht="14.25" customHeight="1" x14ac:dyDescent="0.3">
      <c r="B565" s="23"/>
      <c r="D565" s="25"/>
      <c r="E565" s="25"/>
      <c r="M565" s="12"/>
      <c r="N565" s="122"/>
      <c r="O565" s="122"/>
      <c r="P565" s="122"/>
      <c r="Q565" s="122"/>
    </row>
    <row r="566" spans="2:17" ht="14.25" customHeight="1" x14ac:dyDescent="0.3">
      <c r="B566" s="23"/>
      <c r="D566" s="25"/>
      <c r="E566" s="25"/>
      <c r="M566" s="12"/>
      <c r="N566" s="122"/>
      <c r="O566" s="122"/>
      <c r="P566" s="122"/>
      <c r="Q566" s="122"/>
    </row>
    <row r="567" spans="2:17" ht="14.25" customHeight="1" x14ac:dyDescent="0.3">
      <c r="B567" s="23"/>
      <c r="D567" s="25"/>
      <c r="E567" s="25"/>
      <c r="M567" s="12"/>
      <c r="N567" s="122"/>
      <c r="O567" s="122"/>
      <c r="P567" s="122"/>
      <c r="Q567" s="122"/>
    </row>
    <row r="568" spans="2:17" ht="14.25" customHeight="1" x14ac:dyDescent="0.3">
      <c r="B568" s="23"/>
      <c r="D568" s="25"/>
      <c r="E568" s="25"/>
      <c r="M568" s="12"/>
      <c r="N568" s="122"/>
      <c r="O568" s="122"/>
      <c r="P568" s="122"/>
      <c r="Q568" s="122"/>
    </row>
    <row r="569" spans="2:17" ht="14.25" customHeight="1" x14ac:dyDescent="0.3">
      <c r="B569" s="23"/>
      <c r="D569" s="25"/>
      <c r="E569" s="25"/>
      <c r="M569" s="12"/>
      <c r="N569" s="122"/>
      <c r="O569" s="122"/>
      <c r="P569" s="122"/>
      <c r="Q569" s="122"/>
    </row>
    <row r="570" spans="2:17" ht="14.25" customHeight="1" x14ac:dyDescent="0.3">
      <c r="B570" s="23"/>
      <c r="D570" s="25"/>
      <c r="E570" s="25"/>
      <c r="M570" s="12"/>
      <c r="N570" s="122"/>
      <c r="O570" s="122"/>
      <c r="P570" s="122"/>
      <c r="Q570" s="122"/>
    </row>
    <row r="571" spans="2:17" ht="14.25" customHeight="1" x14ac:dyDescent="0.3">
      <c r="B571" s="23"/>
      <c r="D571" s="25"/>
      <c r="E571" s="25"/>
      <c r="M571" s="12"/>
      <c r="N571" s="122"/>
      <c r="O571" s="122"/>
      <c r="P571" s="122"/>
      <c r="Q571" s="122"/>
    </row>
    <row r="572" spans="2:17" ht="14.25" customHeight="1" x14ac:dyDescent="0.3">
      <c r="B572" s="23"/>
      <c r="D572" s="25"/>
      <c r="E572" s="25"/>
      <c r="M572" s="12"/>
      <c r="N572" s="122"/>
      <c r="O572" s="122"/>
      <c r="P572" s="122"/>
      <c r="Q572" s="122"/>
    </row>
    <row r="573" spans="2:17" ht="14.25" customHeight="1" x14ac:dyDescent="0.3">
      <c r="B573" s="23"/>
      <c r="D573" s="25"/>
      <c r="E573" s="25"/>
      <c r="M573" s="12"/>
      <c r="N573" s="122"/>
      <c r="O573" s="122"/>
      <c r="P573" s="122"/>
      <c r="Q573" s="122"/>
    </row>
    <row r="574" spans="2:17" ht="14.25" customHeight="1" x14ac:dyDescent="0.3">
      <c r="B574" s="23"/>
      <c r="D574" s="25"/>
      <c r="E574" s="25"/>
      <c r="M574" s="12"/>
      <c r="N574" s="122"/>
      <c r="O574" s="122"/>
      <c r="P574" s="122"/>
      <c r="Q574" s="122"/>
    </row>
    <row r="575" spans="2:17" ht="14.25" customHeight="1" x14ac:dyDescent="0.3">
      <c r="B575" s="23"/>
      <c r="D575" s="25"/>
      <c r="E575" s="25"/>
      <c r="M575" s="12"/>
      <c r="N575" s="122"/>
      <c r="O575" s="122"/>
      <c r="P575" s="122"/>
      <c r="Q575" s="122"/>
    </row>
    <row r="576" spans="2:17" ht="14.25" customHeight="1" x14ac:dyDescent="0.3">
      <c r="B576" s="23"/>
      <c r="D576" s="25"/>
      <c r="E576" s="25"/>
      <c r="M576" s="12"/>
      <c r="N576" s="122"/>
      <c r="O576" s="122"/>
      <c r="P576" s="122"/>
      <c r="Q576" s="122"/>
    </row>
    <row r="577" spans="2:17" ht="14.25" customHeight="1" x14ac:dyDescent="0.3">
      <c r="B577" s="23"/>
      <c r="D577" s="25"/>
      <c r="E577" s="25"/>
      <c r="M577" s="12"/>
      <c r="N577" s="122"/>
      <c r="O577" s="122"/>
      <c r="P577" s="122"/>
      <c r="Q577" s="122"/>
    </row>
    <row r="578" spans="2:17" ht="14.25" customHeight="1" x14ac:dyDescent="0.3">
      <c r="B578" s="23"/>
      <c r="D578" s="25"/>
      <c r="E578" s="25"/>
      <c r="M578" s="12"/>
      <c r="N578" s="122"/>
      <c r="O578" s="122"/>
      <c r="P578" s="122"/>
      <c r="Q578" s="122"/>
    </row>
    <row r="579" spans="2:17" ht="14.25" customHeight="1" x14ac:dyDescent="0.3">
      <c r="B579" s="23"/>
      <c r="D579" s="25"/>
      <c r="E579" s="25"/>
      <c r="M579" s="12"/>
      <c r="N579" s="122"/>
      <c r="O579" s="122"/>
      <c r="P579" s="122"/>
      <c r="Q579" s="122"/>
    </row>
    <row r="580" spans="2:17" ht="14.25" customHeight="1" x14ac:dyDescent="0.3">
      <c r="B580" s="23"/>
      <c r="D580" s="25"/>
      <c r="E580" s="25"/>
      <c r="M580" s="12"/>
      <c r="N580" s="122"/>
      <c r="O580" s="122"/>
      <c r="P580" s="122"/>
      <c r="Q580" s="122"/>
    </row>
    <row r="581" spans="2:17" ht="14.25" customHeight="1" x14ac:dyDescent="0.3">
      <c r="B581" s="23"/>
      <c r="D581" s="25"/>
      <c r="E581" s="25"/>
      <c r="M581" s="12"/>
      <c r="N581" s="122"/>
      <c r="O581" s="122"/>
      <c r="P581" s="122"/>
      <c r="Q581" s="122"/>
    </row>
    <row r="582" spans="2:17" ht="14.25" customHeight="1" x14ac:dyDescent="0.3">
      <c r="B582" s="23"/>
      <c r="D582" s="25"/>
      <c r="E582" s="25"/>
      <c r="M582" s="12"/>
      <c r="N582" s="122"/>
      <c r="O582" s="122"/>
      <c r="P582" s="122"/>
      <c r="Q582" s="122"/>
    </row>
    <row r="583" spans="2:17" ht="14.25" customHeight="1" x14ac:dyDescent="0.3">
      <c r="B583" s="23"/>
      <c r="D583" s="25"/>
      <c r="E583" s="25"/>
      <c r="M583" s="12"/>
      <c r="N583" s="122"/>
      <c r="O583" s="122"/>
      <c r="P583" s="122"/>
      <c r="Q583" s="122"/>
    </row>
    <row r="584" spans="2:17" ht="14.25" customHeight="1" x14ac:dyDescent="0.3">
      <c r="B584" s="23"/>
      <c r="D584" s="25"/>
      <c r="E584" s="25"/>
      <c r="M584" s="12"/>
      <c r="N584" s="122"/>
      <c r="O584" s="122"/>
      <c r="P584" s="122"/>
      <c r="Q584" s="122"/>
    </row>
    <row r="585" spans="2:17" ht="14.25" customHeight="1" x14ac:dyDescent="0.3">
      <c r="B585" s="23"/>
      <c r="D585" s="25"/>
      <c r="E585" s="25"/>
      <c r="M585" s="12"/>
      <c r="N585" s="122"/>
      <c r="O585" s="122"/>
      <c r="P585" s="122"/>
      <c r="Q585" s="122"/>
    </row>
    <row r="586" spans="2:17" ht="14.25" customHeight="1" x14ac:dyDescent="0.3">
      <c r="B586" s="23"/>
      <c r="D586" s="25"/>
      <c r="E586" s="25"/>
      <c r="M586" s="12"/>
      <c r="N586" s="122"/>
      <c r="O586" s="122"/>
      <c r="P586" s="122"/>
      <c r="Q586" s="122"/>
    </row>
    <row r="587" spans="2:17" ht="14.25" customHeight="1" x14ac:dyDescent="0.3">
      <c r="B587" s="23"/>
      <c r="D587" s="25"/>
      <c r="E587" s="25"/>
      <c r="M587" s="12"/>
      <c r="N587" s="122"/>
      <c r="O587" s="122"/>
      <c r="P587" s="122"/>
      <c r="Q587" s="122"/>
    </row>
    <row r="588" spans="2:17" ht="14.25" customHeight="1" x14ac:dyDescent="0.3">
      <c r="B588" s="23"/>
      <c r="D588" s="25"/>
      <c r="E588" s="25"/>
      <c r="M588" s="12"/>
      <c r="N588" s="122"/>
      <c r="O588" s="122"/>
      <c r="P588" s="122"/>
      <c r="Q588" s="122"/>
    </row>
    <row r="589" spans="2:17" ht="14.25" customHeight="1" x14ac:dyDescent="0.3">
      <c r="B589" s="23"/>
      <c r="D589" s="25"/>
      <c r="E589" s="25"/>
      <c r="M589" s="12"/>
      <c r="N589" s="122"/>
      <c r="O589" s="122"/>
      <c r="P589" s="122"/>
      <c r="Q589" s="122"/>
    </row>
    <row r="590" spans="2:17" ht="14.25" customHeight="1" x14ac:dyDescent="0.3">
      <c r="B590" s="23"/>
      <c r="D590" s="25"/>
      <c r="E590" s="25"/>
      <c r="M590" s="12"/>
      <c r="N590" s="122"/>
      <c r="O590" s="122"/>
      <c r="P590" s="122"/>
      <c r="Q590" s="122"/>
    </row>
    <row r="591" spans="2:17" ht="14.25" customHeight="1" x14ac:dyDescent="0.3">
      <c r="B591" s="23"/>
      <c r="D591" s="25"/>
      <c r="E591" s="25"/>
      <c r="M591" s="12"/>
      <c r="N591" s="122"/>
      <c r="O591" s="122"/>
      <c r="P591" s="122"/>
      <c r="Q591" s="122"/>
    </row>
    <row r="592" spans="2:17" ht="14.25" customHeight="1" x14ac:dyDescent="0.3">
      <c r="B592" s="23"/>
      <c r="D592" s="25"/>
      <c r="E592" s="25"/>
      <c r="M592" s="12"/>
      <c r="N592" s="122"/>
      <c r="O592" s="122"/>
      <c r="P592" s="122"/>
      <c r="Q592" s="122"/>
    </row>
    <row r="593" spans="2:17" ht="14.25" customHeight="1" x14ac:dyDescent="0.3">
      <c r="B593" s="23"/>
      <c r="D593" s="25"/>
      <c r="E593" s="25"/>
      <c r="M593" s="12"/>
      <c r="N593" s="122"/>
      <c r="O593" s="122"/>
      <c r="P593" s="122"/>
      <c r="Q593" s="122"/>
    </row>
    <row r="594" spans="2:17" ht="14.25" customHeight="1" x14ac:dyDescent="0.3">
      <c r="B594" s="23"/>
      <c r="D594" s="25"/>
      <c r="E594" s="25"/>
      <c r="M594" s="12"/>
      <c r="N594" s="122"/>
      <c r="O594" s="122"/>
      <c r="P594" s="122"/>
      <c r="Q594" s="122"/>
    </row>
    <row r="595" spans="2:17" ht="14.25" customHeight="1" x14ac:dyDescent="0.3">
      <c r="B595" s="23"/>
      <c r="D595" s="25"/>
      <c r="E595" s="25"/>
      <c r="M595" s="12"/>
      <c r="N595" s="122"/>
      <c r="O595" s="122"/>
      <c r="P595" s="122"/>
      <c r="Q595" s="122"/>
    </row>
    <row r="596" spans="2:17" ht="14.25" customHeight="1" x14ac:dyDescent="0.3">
      <c r="B596" s="23"/>
      <c r="D596" s="25"/>
      <c r="E596" s="25"/>
      <c r="M596" s="12"/>
      <c r="N596" s="122"/>
      <c r="O596" s="122"/>
      <c r="P596" s="122"/>
      <c r="Q596" s="122"/>
    </row>
    <row r="597" spans="2:17" ht="14.25" customHeight="1" x14ac:dyDescent="0.3">
      <c r="B597" s="23"/>
      <c r="D597" s="25"/>
      <c r="E597" s="25"/>
      <c r="M597" s="12"/>
      <c r="N597" s="122"/>
      <c r="O597" s="122"/>
      <c r="P597" s="122"/>
      <c r="Q597" s="122"/>
    </row>
    <row r="598" spans="2:17" ht="14.25" customHeight="1" x14ac:dyDescent="0.3">
      <c r="B598" s="23"/>
      <c r="D598" s="25"/>
      <c r="E598" s="25"/>
      <c r="M598" s="12"/>
      <c r="N598" s="122"/>
      <c r="O598" s="122"/>
      <c r="P598" s="122"/>
      <c r="Q598" s="122"/>
    </row>
    <row r="599" spans="2:17" ht="14.25" customHeight="1" x14ac:dyDescent="0.3">
      <c r="B599" s="23"/>
      <c r="D599" s="25"/>
      <c r="E599" s="25"/>
      <c r="M599" s="12"/>
      <c r="N599" s="122"/>
      <c r="O599" s="122"/>
      <c r="P599" s="122"/>
      <c r="Q599" s="122"/>
    </row>
    <row r="600" spans="2:17" ht="14.25" customHeight="1" x14ac:dyDescent="0.3">
      <c r="B600" s="23"/>
      <c r="D600" s="25"/>
      <c r="E600" s="25"/>
      <c r="M600" s="12"/>
      <c r="N600" s="122"/>
      <c r="O600" s="122"/>
      <c r="P600" s="122"/>
      <c r="Q600" s="122"/>
    </row>
    <row r="601" spans="2:17" ht="14.25" customHeight="1" x14ac:dyDescent="0.3">
      <c r="B601" s="23"/>
      <c r="D601" s="25"/>
      <c r="E601" s="25"/>
      <c r="M601" s="12"/>
      <c r="N601" s="122"/>
      <c r="O601" s="122"/>
      <c r="P601" s="122"/>
      <c r="Q601" s="122"/>
    </row>
    <row r="602" spans="2:17" ht="14.25" customHeight="1" x14ac:dyDescent="0.3">
      <c r="B602" s="23"/>
      <c r="D602" s="25"/>
      <c r="E602" s="25"/>
      <c r="M602" s="12"/>
      <c r="N602" s="122"/>
      <c r="O602" s="122"/>
      <c r="P602" s="122"/>
      <c r="Q602" s="122"/>
    </row>
    <row r="603" spans="2:17" ht="14.25" customHeight="1" x14ac:dyDescent="0.3">
      <c r="B603" s="23"/>
      <c r="D603" s="25"/>
      <c r="E603" s="25"/>
      <c r="M603" s="12"/>
      <c r="N603" s="122"/>
      <c r="O603" s="122"/>
      <c r="P603" s="122"/>
      <c r="Q603" s="122"/>
    </row>
    <row r="604" spans="2:17" ht="14.25" customHeight="1" x14ac:dyDescent="0.3">
      <c r="B604" s="23"/>
      <c r="D604" s="25"/>
      <c r="E604" s="25"/>
      <c r="M604" s="12"/>
      <c r="N604" s="122"/>
      <c r="O604" s="122"/>
      <c r="P604" s="122"/>
      <c r="Q604" s="122"/>
    </row>
    <row r="605" spans="2:17" ht="14.25" customHeight="1" x14ac:dyDescent="0.3">
      <c r="B605" s="23"/>
      <c r="D605" s="25"/>
      <c r="E605" s="25"/>
      <c r="M605" s="12"/>
      <c r="N605" s="122"/>
      <c r="O605" s="122"/>
      <c r="P605" s="122"/>
      <c r="Q605" s="122"/>
    </row>
    <row r="606" spans="2:17" ht="14.25" customHeight="1" x14ac:dyDescent="0.3">
      <c r="B606" s="23"/>
      <c r="D606" s="25"/>
      <c r="E606" s="25"/>
      <c r="M606" s="12"/>
      <c r="N606" s="122"/>
      <c r="O606" s="122"/>
      <c r="P606" s="122"/>
      <c r="Q606" s="122"/>
    </row>
    <row r="607" spans="2:17" ht="14.25" customHeight="1" x14ac:dyDescent="0.3">
      <c r="B607" s="23"/>
      <c r="D607" s="25"/>
      <c r="E607" s="25"/>
      <c r="M607" s="12"/>
      <c r="N607" s="122"/>
      <c r="O607" s="122"/>
      <c r="P607" s="122"/>
      <c r="Q607" s="122"/>
    </row>
    <row r="608" spans="2:17" ht="14.25" customHeight="1" x14ac:dyDescent="0.3">
      <c r="B608" s="23"/>
      <c r="D608" s="25"/>
      <c r="E608" s="25"/>
      <c r="M608" s="12"/>
      <c r="N608" s="122"/>
      <c r="O608" s="122"/>
      <c r="P608" s="122"/>
      <c r="Q608" s="122"/>
    </row>
    <row r="609" spans="2:17" ht="14.25" customHeight="1" x14ac:dyDescent="0.3">
      <c r="B609" s="23"/>
      <c r="D609" s="25"/>
      <c r="E609" s="25"/>
      <c r="M609" s="12"/>
      <c r="N609" s="122"/>
      <c r="O609" s="122"/>
      <c r="P609" s="122"/>
      <c r="Q609" s="122"/>
    </row>
    <row r="610" spans="2:17" ht="14.25" customHeight="1" x14ac:dyDescent="0.3">
      <c r="B610" s="23"/>
      <c r="D610" s="25"/>
      <c r="E610" s="25"/>
      <c r="M610" s="12"/>
      <c r="N610" s="122"/>
      <c r="O610" s="122"/>
      <c r="P610" s="122"/>
      <c r="Q610" s="122"/>
    </row>
    <row r="611" spans="2:17" ht="14.25" customHeight="1" x14ac:dyDescent="0.3">
      <c r="B611" s="23"/>
      <c r="D611" s="25"/>
      <c r="E611" s="25"/>
      <c r="M611" s="12"/>
      <c r="N611" s="122"/>
      <c r="O611" s="122"/>
      <c r="P611" s="122"/>
      <c r="Q611" s="122"/>
    </row>
    <row r="612" spans="2:17" ht="14.25" customHeight="1" x14ac:dyDescent="0.3">
      <c r="B612" s="23"/>
      <c r="D612" s="25"/>
      <c r="E612" s="25"/>
      <c r="M612" s="12"/>
      <c r="N612" s="122"/>
      <c r="O612" s="122"/>
      <c r="P612" s="122"/>
      <c r="Q612" s="122"/>
    </row>
    <row r="613" spans="2:17" ht="14.25" customHeight="1" x14ac:dyDescent="0.3">
      <c r="B613" s="23"/>
      <c r="D613" s="25"/>
      <c r="E613" s="25"/>
      <c r="M613" s="12"/>
      <c r="N613" s="122"/>
      <c r="O613" s="122"/>
      <c r="P613" s="122"/>
      <c r="Q613" s="122"/>
    </row>
    <row r="614" spans="2:17" ht="14.25" customHeight="1" x14ac:dyDescent="0.3">
      <c r="B614" s="23"/>
      <c r="D614" s="25"/>
      <c r="E614" s="25"/>
      <c r="M614" s="12"/>
      <c r="N614" s="122"/>
      <c r="O614" s="122"/>
      <c r="P614" s="122"/>
      <c r="Q614" s="122"/>
    </row>
    <row r="615" spans="2:17" ht="14.25" customHeight="1" x14ac:dyDescent="0.3">
      <c r="B615" s="23"/>
      <c r="D615" s="25"/>
      <c r="E615" s="25"/>
      <c r="M615" s="12"/>
      <c r="N615" s="122"/>
      <c r="O615" s="122"/>
      <c r="P615" s="122"/>
      <c r="Q615" s="122"/>
    </row>
    <row r="616" spans="2:17" ht="14.25" customHeight="1" x14ac:dyDescent="0.3">
      <c r="B616" s="23"/>
      <c r="D616" s="25"/>
      <c r="E616" s="25"/>
      <c r="M616" s="12"/>
      <c r="N616" s="122"/>
      <c r="O616" s="122"/>
      <c r="P616" s="122"/>
      <c r="Q616" s="122"/>
    </row>
    <row r="617" spans="2:17" ht="14.25" customHeight="1" x14ac:dyDescent="0.3">
      <c r="B617" s="23"/>
      <c r="D617" s="25"/>
      <c r="E617" s="25"/>
      <c r="M617" s="12"/>
      <c r="N617" s="122"/>
      <c r="O617" s="122"/>
      <c r="P617" s="122"/>
      <c r="Q617" s="122"/>
    </row>
    <row r="618" spans="2:17" ht="14.25" customHeight="1" x14ac:dyDescent="0.3">
      <c r="B618" s="23"/>
      <c r="D618" s="25"/>
      <c r="E618" s="25"/>
      <c r="M618" s="12"/>
      <c r="N618" s="122"/>
      <c r="O618" s="122"/>
      <c r="P618" s="122"/>
      <c r="Q618" s="122"/>
    </row>
    <row r="619" spans="2:17" ht="14.25" customHeight="1" x14ac:dyDescent="0.3">
      <c r="B619" s="23"/>
      <c r="D619" s="25"/>
      <c r="E619" s="25"/>
      <c r="M619" s="12"/>
      <c r="N619" s="122"/>
      <c r="O619" s="122"/>
      <c r="P619" s="122"/>
      <c r="Q619" s="122"/>
    </row>
    <row r="620" spans="2:17" ht="14.25" customHeight="1" x14ac:dyDescent="0.3">
      <c r="B620" s="23"/>
      <c r="D620" s="25"/>
      <c r="E620" s="25"/>
      <c r="M620" s="12"/>
      <c r="N620" s="122"/>
      <c r="O620" s="122"/>
      <c r="P620" s="122"/>
      <c r="Q620" s="122"/>
    </row>
    <row r="621" spans="2:17" ht="14.25" customHeight="1" x14ac:dyDescent="0.3">
      <c r="B621" s="23"/>
      <c r="D621" s="25"/>
      <c r="E621" s="25"/>
      <c r="M621" s="12"/>
      <c r="N621" s="122"/>
      <c r="O621" s="122"/>
      <c r="P621" s="122"/>
      <c r="Q621" s="122"/>
    </row>
    <row r="622" spans="2:17" ht="14.25" customHeight="1" x14ac:dyDescent="0.3">
      <c r="B622" s="23"/>
      <c r="D622" s="25"/>
      <c r="E622" s="25"/>
      <c r="M622" s="12"/>
      <c r="N622" s="122"/>
      <c r="O622" s="122"/>
      <c r="P622" s="122"/>
      <c r="Q622" s="122"/>
    </row>
    <row r="623" spans="2:17" ht="14.25" customHeight="1" x14ac:dyDescent="0.3">
      <c r="B623" s="23"/>
      <c r="D623" s="25"/>
      <c r="E623" s="25"/>
      <c r="M623" s="12"/>
      <c r="N623" s="122"/>
      <c r="O623" s="122"/>
      <c r="P623" s="122"/>
      <c r="Q623" s="122"/>
    </row>
    <row r="624" spans="2:17" ht="14.25" customHeight="1" x14ac:dyDescent="0.3">
      <c r="B624" s="23"/>
      <c r="D624" s="25"/>
      <c r="E624" s="25"/>
      <c r="M624" s="12"/>
      <c r="N624" s="122"/>
      <c r="O624" s="122"/>
      <c r="P624" s="122"/>
      <c r="Q624" s="122"/>
    </row>
    <row r="625" spans="2:17" ht="14.25" customHeight="1" x14ac:dyDescent="0.3">
      <c r="B625" s="23"/>
      <c r="D625" s="25"/>
      <c r="E625" s="25"/>
      <c r="M625" s="12"/>
      <c r="N625" s="122"/>
      <c r="O625" s="122"/>
      <c r="P625" s="122"/>
      <c r="Q625" s="122"/>
    </row>
    <row r="626" spans="2:17" ht="14.25" customHeight="1" x14ac:dyDescent="0.3">
      <c r="B626" s="23"/>
      <c r="D626" s="25"/>
      <c r="E626" s="25"/>
      <c r="M626" s="12"/>
      <c r="N626" s="122"/>
      <c r="O626" s="122"/>
      <c r="P626" s="122"/>
      <c r="Q626" s="122"/>
    </row>
    <row r="627" spans="2:17" ht="14.25" customHeight="1" x14ac:dyDescent="0.3">
      <c r="B627" s="23"/>
      <c r="D627" s="25"/>
      <c r="E627" s="25"/>
      <c r="M627" s="12"/>
      <c r="N627" s="122"/>
      <c r="O627" s="122"/>
      <c r="P627" s="122"/>
      <c r="Q627" s="122"/>
    </row>
    <row r="628" spans="2:17" ht="14.25" customHeight="1" x14ac:dyDescent="0.3">
      <c r="B628" s="23"/>
      <c r="D628" s="25"/>
      <c r="E628" s="25"/>
      <c r="M628" s="12"/>
      <c r="N628" s="122"/>
      <c r="O628" s="122"/>
      <c r="P628" s="122"/>
      <c r="Q628" s="122"/>
    </row>
    <row r="629" spans="2:17" ht="14.25" customHeight="1" x14ac:dyDescent="0.3">
      <c r="B629" s="23"/>
      <c r="D629" s="25"/>
      <c r="E629" s="25"/>
      <c r="M629" s="12"/>
      <c r="N629" s="122"/>
      <c r="O629" s="122"/>
      <c r="P629" s="122"/>
      <c r="Q629" s="122"/>
    </row>
    <row r="630" spans="2:17" ht="14.25" customHeight="1" x14ac:dyDescent="0.3">
      <c r="B630" s="23"/>
      <c r="D630" s="25"/>
      <c r="E630" s="25"/>
      <c r="M630" s="12"/>
      <c r="N630" s="122"/>
      <c r="O630" s="122"/>
      <c r="P630" s="122"/>
      <c r="Q630" s="122"/>
    </row>
    <row r="631" spans="2:17" ht="14.25" customHeight="1" x14ac:dyDescent="0.3">
      <c r="B631" s="23"/>
      <c r="D631" s="25"/>
      <c r="E631" s="25"/>
      <c r="M631" s="12"/>
      <c r="N631" s="122"/>
      <c r="O631" s="122"/>
      <c r="P631" s="122"/>
      <c r="Q631" s="122"/>
    </row>
    <row r="632" spans="2:17" ht="14.25" customHeight="1" x14ac:dyDescent="0.3">
      <c r="B632" s="23"/>
      <c r="D632" s="25"/>
      <c r="E632" s="25"/>
      <c r="M632" s="12"/>
      <c r="N632" s="122"/>
      <c r="O632" s="122"/>
      <c r="P632" s="122"/>
      <c r="Q632" s="122"/>
    </row>
    <row r="633" spans="2:17" ht="14.25" customHeight="1" x14ac:dyDescent="0.3">
      <c r="B633" s="23"/>
      <c r="D633" s="25"/>
      <c r="E633" s="25"/>
      <c r="M633" s="12"/>
      <c r="N633" s="122"/>
      <c r="O633" s="122"/>
      <c r="P633" s="122"/>
      <c r="Q633" s="122"/>
    </row>
    <row r="634" spans="2:17" ht="14.25" customHeight="1" x14ac:dyDescent="0.3">
      <c r="B634" s="23"/>
      <c r="D634" s="25"/>
      <c r="E634" s="25"/>
      <c r="M634" s="12"/>
      <c r="N634" s="122"/>
      <c r="O634" s="122"/>
      <c r="P634" s="122"/>
      <c r="Q634" s="122"/>
    </row>
    <row r="635" spans="2:17" ht="14.25" customHeight="1" x14ac:dyDescent="0.3">
      <c r="B635" s="23"/>
      <c r="D635" s="25"/>
      <c r="E635" s="25"/>
      <c r="M635" s="12"/>
      <c r="N635" s="122"/>
      <c r="O635" s="122"/>
      <c r="P635" s="122"/>
      <c r="Q635" s="122"/>
    </row>
    <row r="636" spans="2:17" ht="14.25" customHeight="1" x14ac:dyDescent="0.3">
      <c r="B636" s="23"/>
      <c r="D636" s="25"/>
      <c r="E636" s="25"/>
      <c r="M636" s="12"/>
      <c r="N636" s="122"/>
      <c r="O636" s="122"/>
      <c r="P636" s="122"/>
      <c r="Q636" s="122"/>
    </row>
    <row r="637" spans="2:17" ht="14.25" customHeight="1" x14ac:dyDescent="0.3">
      <c r="B637" s="23"/>
      <c r="D637" s="25"/>
      <c r="E637" s="25"/>
      <c r="M637" s="12"/>
      <c r="N637" s="122"/>
      <c r="O637" s="122"/>
      <c r="P637" s="122"/>
      <c r="Q637" s="122"/>
    </row>
    <row r="638" spans="2:17" ht="14.25" customHeight="1" x14ac:dyDescent="0.3">
      <c r="B638" s="23"/>
      <c r="D638" s="25"/>
      <c r="E638" s="25"/>
      <c r="M638" s="12"/>
      <c r="N638" s="122"/>
      <c r="O638" s="122"/>
      <c r="P638" s="122"/>
      <c r="Q638" s="122"/>
    </row>
    <row r="639" spans="2:17" ht="14.25" customHeight="1" x14ac:dyDescent="0.3">
      <c r="B639" s="23"/>
      <c r="D639" s="25"/>
      <c r="E639" s="25"/>
      <c r="M639" s="12"/>
      <c r="N639" s="122"/>
      <c r="O639" s="122"/>
      <c r="P639" s="122"/>
      <c r="Q639" s="122"/>
    </row>
    <row r="640" spans="2:17" ht="14.25" customHeight="1" x14ac:dyDescent="0.3">
      <c r="B640" s="23"/>
      <c r="D640" s="25"/>
      <c r="E640" s="25"/>
      <c r="M640" s="12"/>
      <c r="N640" s="122"/>
      <c r="O640" s="122"/>
      <c r="P640" s="122"/>
      <c r="Q640" s="122"/>
    </row>
    <row r="641" spans="2:17" ht="14.25" customHeight="1" x14ac:dyDescent="0.3">
      <c r="B641" s="23"/>
      <c r="D641" s="25"/>
      <c r="E641" s="25"/>
      <c r="M641" s="12"/>
      <c r="N641" s="122"/>
      <c r="O641" s="122"/>
      <c r="P641" s="122"/>
      <c r="Q641" s="122"/>
    </row>
    <row r="642" spans="2:17" ht="14.25" customHeight="1" x14ac:dyDescent="0.3">
      <c r="B642" s="23"/>
      <c r="D642" s="25"/>
      <c r="E642" s="25"/>
      <c r="M642" s="12"/>
      <c r="N642" s="122"/>
      <c r="O642" s="122"/>
      <c r="P642" s="122"/>
      <c r="Q642" s="122"/>
    </row>
    <row r="643" spans="2:17" ht="14.25" customHeight="1" x14ac:dyDescent="0.3">
      <c r="B643" s="23"/>
      <c r="D643" s="25"/>
      <c r="E643" s="25"/>
      <c r="M643" s="12"/>
      <c r="N643" s="122"/>
      <c r="O643" s="122"/>
      <c r="P643" s="122"/>
      <c r="Q643" s="122"/>
    </row>
    <row r="644" spans="2:17" ht="14.25" customHeight="1" x14ac:dyDescent="0.3">
      <c r="B644" s="23"/>
      <c r="D644" s="25"/>
      <c r="E644" s="25"/>
      <c r="M644" s="12"/>
      <c r="N644" s="122"/>
      <c r="O644" s="122"/>
      <c r="P644" s="122"/>
      <c r="Q644" s="122"/>
    </row>
    <row r="645" spans="2:17" ht="14.25" customHeight="1" x14ac:dyDescent="0.3">
      <c r="B645" s="23"/>
      <c r="D645" s="25"/>
      <c r="E645" s="25"/>
      <c r="M645" s="12"/>
      <c r="N645" s="122"/>
      <c r="O645" s="122"/>
      <c r="P645" s="122"/>
      <c r="Q645" s="122"/>
    </row>
    <row r="646" spans="2:17" ht="14.25" customHeight="1" x14ac:dyDescent="0.3">
      <c r="B646" s="23"/>
      <c r="D646" s="25"/>
      <c r="E646" s="25"/>
      <c r="M646" s="12"/>
      <c r="N646" s="122"/>
      <c r="O646" s="122"/>
      <c r="P646" s="122"/>
      <c r="Q646" s="122"/>
    </row>
    <row r="647" spans="2:17" ht="14.25" customHeight="1" x14ac:dyDescent="0.3">
      <c r="B647" s="23"/>
      <c r="D647" s="25"/>
      <c r="E647" s="25"/>
      <c r="M647" s="12"/>
      <c r="N647" s="122"/>
      <c r="O647" s="122"/>
      <c r="P647" s="122"/>
      <c r="Q647" s="122"/>
    </row>
    <row r="648" spans="2:17" ht="14.25" customHeight="1" x14ac:dyDescent="0.3">
      <c r="B648" s="23"/>
      <c r="D648" s="25"/>
      <c r="E648" s="25"/>
      <c r="M648" s="12"/>
      <c r="N648" s="122"/>
      <c r="O648" s="122"/>
      <c r="P648" s="122"/>
      <c r="Q648" s="122"/>
    </row>
    <row r="649" spans="2:17" ht="14.25" customHeight="1" x14ac:dyDescent="0.3">
      <c r="B649" s="23"/>
      <c r="D649" s="25"/>
      <c r="E649" s="25"/>
      <c r="M649" s="12"/>
      <c r="N649" s="122"/>
      <c r="O649" s="122"/>
      <c r="P649" s="122"/>
      <c r="Q649" s="122"/>
    </row>
    <row r="650" spans="2:17" ht="14.25" customHeight="1" x14ac:dyDescent="0.3">
      <c r="B650" s="23"/>
      <c r="D650" s="25"/>
      <c r="E650" s="25"/>
      <c r="M650" s="12"/>
      <c r="N650" s="122"/>
      <c r="O650" s="122"/>
      <c r="P650" s="122"/>
      <c r="Q650" s="122"/>
    </row>
    <row r="651" spans="2:17" ht="14.25" customHeight="1" x14ac:dyDescent="0.3">
      <c r="B651" s="23"/>
      <c r="D651" s="25"/>
      <c r="E651" s="25"/>
      <c r="M651" s="12"/>
      <c r="N651" s="122"/>
      <c r="O651" s="122"/>
      <c r="P651" s="122"/>
      <c r="Q651" s="122"/>
    </row>
    <row r="652" spans="2:17" ht="14.25" customHeight="1" x14ac:dyDescent="0.3">
      <c r="B652" s="23"/>
      <c r="D652" s="25"/>
      <c r="E652" s="25"/>
      <c r="M652" s="12"/>
      <c r="N652" s="122"/>
      <c r="O652" s="122"/>
      <c r="P652" s="122"/>
      <c r="Q652" s="122"/>
    </row>
    <row r="653" spans="2:17" ht="14.25" customHeight="1" x14ac:dyDescent="0.3">
      <c r="B653" s="23"/>
      <c r="D653" s="25"/>
      <c r="E653" s="25"/>
      <c r="M653" s="12"/>
      <c r="N653" s="122"/>
      <c r="O653" s="122"/>
      <c r="P653" s="122"/>
      <c r="Q653" s="122"/>
    </row>
    <row r="654" spans="2:17" ht="14.25" customHeight="1" x14ac:dyDescent="0.3">
      <c r="B654" s="23"/>
      <c r="D654" s="25"/>
      <c r="E654" s="25"/>
      <c r="M654" s="12"/>
      <c r="N654" s="122"/>
      <c r="O654" s="122"/>
      <c r="P654" s="122"/>
      <c r="Q654" s="122"/>
    </row>
    <row r="655" spans="2:17" ht="14.25" customHeight="1" x14ac:dyDescent="0.3">
      <c r="B655" s="23"/>
      <c r="D655" s="25"/>
      <c r="E655" s="25"/>
      <c r="M655" s="12"/>
      <c r="N655" s="122"/>
      <c r="O655" s="122"/>
      <c r="P655" s="122"/>
      <c r="Q655" s="122"/>
    </row>
    <row r="656" spans="2:17" ht="14.25" customHeight="1" x14ac:dyDescent="0.3">
      <c r="B656" s="23"/>
      <c r="D656" s="25"/>
      <c r="E656" s="25"/>
      <c r="M656" s="12"/>
      <c r="N656" s="122"/>
      <c r="O656" s="122"/>
      <c r="P656" s="122"/>
      <c r="Q656" s="122"/>
    </row>
    <row r="657" spans="2:17" ht="14.25" customHeight="1" x14ac:dyDescent="0.3">
      <c r="B657" s="23"/>
      <c r="D657" s="25"/>
      <c r="E657" s="25"/>
      <c r="M657" s="12"/>
      <c r="N657" s="122"/>
      <c r="O657" s="122"/>
      <c r="P657" s="122"/>
      <c r="Q657" s="122"/>
    </row>
    <row r="658" spans="2:17" ht="14.25" customHeight="1" x14ac:dyDescent="0.3">
      <c r="B658" s="23"/>
      <c r="D658" s="25"/>
      <c r="E658" s="25"/>
      <c r="M658" s="12"/>
      <c r="N658" s="122"/>
      <c r="O658" s="122"/>
      <c r="P658" s="122"/>
      <c r="Q658" s="122"/>
    </row>
    <row r="659" spans="2:17" ht="14.25" customHeight="1" x14ac:dyDescent="0.3">
      <c r="B659" s="23"/>
      <c r="D659" s="25"/>
      <c r="E659" s="25"/>
      <c r="M659" s="12"/>
      <c r="N659" s="122"/>
      <c r="O659" s="122"/>
      <c r="P659" s="122"/>
      <c r="Q659" s="122"/>
    </row>
    <row r="660" spans="2:17" ht="14.25" customHeight="1" x14ac:dyDescent="0.3">
      <c r="B660" s="23"/>
      <c r="D660" s="25"/>
      <c r="E660" s="25"/>
      <c r="M660" s="12"/>
      <c r="N660" s="122"/>
      <c r="O660" s="122"/>
      <c r="P660" s="122"/>
      <c r="Q660" s="122"/>
    </row>
    <row r="661" spans="2:17" ht="14.25" customHeight="1" x14ac:dyDescent="0.3">
      <c r="B661" s="23"/>
      <c r="D661" s="25"/>
      <c r="E661" s="25"/>
      <c r="M661" s="12"/>
      <c r="N661" s="122"/>
      <c r="O661" s="122"/>
      <c r="P661" s="122"/>
      <c r="Q661" s="122"/>
    </row>
    <row r="662" spans="2:17" ht="14.25" customHeight="1" x14ac:dyDescent="0.3">
      <c r="B662" s="23"/>
      <c r="D662" s="25"/>
      <c r="E662" s="25"/>
      <c r="M662" s="12"/>
      <c r="N662" s="122"/>
      <c r="O662" s="122"/>
      <c r="P662" s="122"/>
      <c r="Q662" s="122"/>
    </row>
    <row r="663" spans="2:17" ht="14.25" customHeight="1" x14ac:dyDescent="0.3">
      <c r="B663" s="23"/>
      <c r="D663" s="25"/>
      <c r="E663" s="25"/>
      <c r="M663" s="12"/>
      <c r="N663" s="122"/>
      <c r="O663" s="122"/>
      <c r="P663" s="122"/>
      <c r="Q663" s="122"/>
    </row>
    <row r="664" spans="2:17" ht="14.25" customHeight="1" x14ac:dyDescent="0.3">
      <c r="B664" s="23"/>
      <c r="D664" s="25"/>
      <c r="E664" s="25"/>
      <c r="M664" s="12"/>
      <c r="N664" s="122"/>
      <c r="O664" s="122"/>
      <c r="P664" s="122"/>
      <c r="Q664" s="122"/>
    </row>
    <row r="665" spans="2:17" ht="14.25" customHeight="1" x14ac:dyDescent="0.3">
      <c r="B665" s="23"/>
      <c r="D665" s="25"/>
      <c r="E665" s="25"/>
      <c r="M665" s="12"/>
      <c r="N665" s="122"/>
      <c r="O665" s="122"/>
      <c r="P665" s="122"/>
      <c r="Q665" s="122"/>
    </row>
    <row r="666" spans="2:17" ht="14.25" customHeight="1" x14ac:dyDescent="0.3">
      <c r="B666" s="23"/>
      <c r="D666" s="25"/>
      <c r="E666" s="25"/>
      <c r="M666" s="12"/>
      <c r="N666" s="122"/>
      <c r="O666" s="122"/>
      <c r="P666" s="122"/>
      <c r="Q666" s="122"/>
    </row>
    <row r="667" spans="2:17" ht="14.25" customHeight="1" x14ac:dyDescent="0.3">
      <c r="B667" s="23"/>
      <c r="D667" s="25"/>
      <c r="E667" s="25"/>
      <c r="M667" s="12"/>
      <c r="N667" s="122"/>
      <c r="O667" s="122"/>
      <c r="P667" s="122"/>
      <c r="Q667" s="122"/>
    </row>
    <row r="668" spans="2:17" ht="14.25" customHeight="1" x14ac:dyDescent="0.3">
      <c r="B668" s="23"/>
      <c r="D668" s="25"/>
      <c r="E668" s="25"/>
      <c r="M668" s="12"/>
      <c r="N668" s="122"/>
      <c r="O668" s="122"/>
      <c r="P668" s="122"/>
      <c r="Q668" s="122"/>
    </row>
    <row r="669" spans="2:17" ht="14.25" customHeight="1" x14ac:dyDescent="0.3">
      <c r="B669" s="23"/>
      <c r="D669" s="25"/>
      <c r="E669" s="25"/>
      <c r="M669" s="12"/>
      <c r="N669" s="122"/>
      <c r="O669" s="122"/>
      <c r="P669" s="122"/>
      <c r="Q669" s="122"/>
    </row>
    <row r="670" spans="2:17" ht="14.25" customHeight="1" x14ac:dyDescent="0.3">
      <c r="B670" s="23"/>
      <c r="D670" s="25"/>
      <c r="E670" s="25"/>
      <c r="M670" s="12"/>
      <c r="N670" s="122"/>
      <c r="O670" s="122"/>
      <c r="P670" s="122"/>
      <c r="Q670" s="122"/>
    </row>
    <row r="671" spans="2:17" ht="14.25" customHeight="1" x14ac:dyDescent="0.3">
      <c r="B671" s="23"/>
      <c r="D671" s="25"/>
      <c r="E671" s="25"/>
      <c r="M671" s="12"/>
      <c r="N671" s="122"/>
      <c r="O671" s="122"/>
      <c r="P671" s="122"/>
      <c r="Q671" s="122"/>
    </row>
    <row r="672" spans="2:17" ht="14.25" customHeight="1" x14ac:dyDescent="0.3">
      <c r="B672" s="23"/>
      <c r="D672" s="25"/>
      <c r="E672" s="25"/>
      <c r="M672" s="12"/>
      <c r="N672" s="122"/>
      <c r="O672" s="122"/>
      <c r="P672" s="122"/>
      <c r="Q672" s="122"/>
    </row>
    <row r="673" spans="2:17" ht="14.25" customHeight="1" x14ac:dyDescent="0.3">
      <c r="B673" s="23"/>
      <c r="D673" s="25"/>
      <c r="E673" s="25"/>
      <c r="M673" s="12"/>
      <c r="N673" s="122"/>
      <c r="O673" s="122"/>
      <c r="P673" s="122"/>
      <c r="Q673" s="122"/>
    </row>
    <row r="674" spans="2:17" ht="14.25" customHeight="1" x14ac:dyDescent="0.3">
      <c r="B674" s="23"/>
      <c r="D674" s="25"/>
      <c r="E674" s="25"/>
      <c r="M674" s="12"/>
      <c r="N674" s="122"/>
      <c r="O674" s="122"/>
      <c r="P674" s="122"/>
      <c r="Q674" s="122"/>
    </row>
    <row r="675" spans="2:17" ht="14.25" customHeight="1" x14ac:dyDescent="0.3">
      <c r="B675" s="23"/>
      <c r="D675" s="25"/>
      <c r="E675" s="25"/>
      <c r="M675" s="12"/>
      <c r="N675" s="122"/>
      <c r="O675" s="122"/>
      <c r="P675" s="122"/>
      <c r="Q675" s="122"/>
    </row>
    <row r="676" spans="2:17" ht="14.25" customHeight="1" x14ac:dyDescent="0.3">
      <c r="B676" s="23"/>
      <c r="D676" s="25"/>
      <c r="E676" s="25"/>
      <c r="M676" s="12"/>
      <c r="N676" s="122"/>
      <c r="O676" s="122"/>
      <c r="P676" s="122"/>
      <c r="Q676" s="122"/>
    </row>
    <row r="677" spans="2:17" ht="14.25" customHeight="1" x14ac:dyDescent="0.3">
      <c r="B677" s="23"/>
      <c r="D677" s="25"/>
      <c r="E677" s="25"/>
      <c r="M677" s="12"/>
      <c r="N677" s="122"/>
      <c r="O677" s="122"/>
      <c r="P677" s="122"/>
      <c r="Q677" s="122"/>
    </row>
    <row r="678" spans="2:17" ht="14.25" customHeight="1" x14ac:dyDescent="0.3">
      <c r="B678" s="23"/>
      <c r="D678" s="25"/>
      <c r="E678" s="25"/>
      <c r="M678" s="12"/>
      <c r="N678" s="122"/>
      <c r="O678" s="122"/>
      <c r="P678" s="122"/>
      <c r="Q678" s="122"/>
    </row>
    <row r="679" spans="2:17" ht="14.25" customHeight="1" x14ac:dyDescent="0.3">
      <c r="B679" s="23"/>
      <c r="D679" s="25"/>
      <c r="E679" s="25"/>
      <c r="M679" s="12"/>
      <c r="N679" s="122"/>
      <c r="O679" s="122"/>
      <c r="P679" s="122"/>
      <c r="Q679" s="122"/>
    </row>
    <row r="680" spans="2:17" ht="14.25" customHeight="1" x14ac:dyDescent="0.3">
      <c r="B680" s="23"/>
      <c r="D680" s="25"/>
      <c r="E680" s="25"/>
      <c r="M680" s="12"/>
      <c r="N680" s="122"/>
      <c r="O680" s="122"/>
      <c r="P680" s="122"/>
      <c r="Q680" s="122"/>
    </row>
    <row r="681" spans="2:17" ht="14.25" customHeight="1" x14ac:dyDescent="0.3">
      <c r="B681" s="23"/>
      <c r="D681" s="25"/>
      <c r="E681" s="25"/>
      <c r="M681" s="12"/>
      <c r="N681" s="122"/>
      <c r="O681" s="122"/>
      <c r="P681" s="122"/>
      <c r="Q681" s="122"/>
    </row>
    <row r="682" spans="2:17" ht="14.25" customHeight="1" x14ac:dyDescent="0.3">
      <c r="B682" s="23"/>
      <c r="D682" s="25"/>
      <c r="E682" s="25"/>
      <c r="M682" s="12"/>
      <c r="N682" s="122"/>
      <c r="O682" s="122"/>
      <c r="P682" s="122"/>
      <c r="Q682" s="122"/>
    </row>
    <row r="683" spans="2:17" ht="14.25" customHeight="1" x14ac:dyDescent="0.3">
      <c r="B683" s="23"/>
      <c r="D683" s="25"/>
      <c r="E683" s="25"/>
      <c r="M683" s="12"/>
      <c r="N683" s="122"/>
      <c r="O683" s="122"/>
      <c r="P683" s="122"/>
      <c r="Q683" s="122"/>
    </row>
    <row r="684" spans="2:17" ht="14.25" customHeight="1" x14ac:dyDescent="0.3">
      <c r="B684" s="23"/>
      <c r="D684" s="25"/>
      <c r="E684" s="25"/>
      <c r="M684" s="12"/>
      <c r="N684" s="122"/>
      <c r="O684" s="122"/>
      <c r="P684" s="122"/>
      <c r="Q684" s="122"/>
    </row>
    <row r="685" spans="2:17" ht="14.25" customHeight="1" x14ac:dyDescent="0.3">
      <c r="B685" s="23"/>
      <c r="D685" s="25"/>
      <c r="E685" s="25"/>
      <c r="M685" s="12"/>
      <c r="N685" s="122"/>
      <c r="O685" s="122"/>
      <c r="P685" s="122"/>
      <c r="Q685" s="122"/>
    </row>
    <row r="686" spans="2:17" ht="14.25" customHeight="1" x14ac:dyDescent="0.3">
      <c r="B686" s="23"/>
      <c r="D686" s="25"/>
      <c r="E686" s="25"/>
      <c r="M686" s="12"/>
      <c r="N686" s="122"/>
      <c r="O686" s="122"/>
      <c r="P686" s="122"/>
      <c r="Q686" s="122"/>
    </row>
    <row r="687" spans="2:17" ht="14.25" customHeight="1" x14ac:dyDescent="0.3">
      <c r="B687" s="23"/>
      <c r="D687" s="25"/>
      <c r="E687" s="25"/>
      <c r="M687" s="12"/>
      <c r="N687" s="122"/>
      <c r="O687" s="122"/>
      <c r="P687" s="122"/>
      <c r="Q687" s="122"/>
    </row>
    <row r="688" spans="2:17" ht="14.25" customHeight="1" x14ac:dyDescent="0.3">
      <c r="B688" s="23"/>
      <c r="D688" s="25"/>
      <c r="E688" s="25"/>
      <c r="M688" s="12"/>
      <c r="N688" s="122"/>
      <c r="O688" s="122"/>
      <c r="P688" s="122"/>
      <c r="Q688" s="122"/>
    </row>
    <row r="689" spans="2:17" ht="14.25" customHeight="1" x14ac:dyDescent="0.3">
      <c r="B689" s="23"/>
      <c r="D689" s="25"/>
      <c r="E689" s="25"/>
      <c r="M689" s="12"/>
      <c r="N689" s="122"/>
      <c r="O689" s="122"/>
      <c r="P689" s="122"/>
      <c r="Q689" s="122"/>
    </row>
    <row r="690" spans="2:17" ht="14.25" customHeight="1" x14ac:dyDescent="0.3">
      <c r="B690" s="23"/>
      <c r="D690" s="25"/>
      <c r="E690" s="25"/>
      <c r="M690" s="12"/>
      <c r="N690" s="122"/>
      <c r="O690" s="122"/>
      <c r="P690" s="122"/>
      <c r="Q690" s="122"/>
    </row>
    <row r="691" spans="2:17" ht="14.25" customHeight="1" x14ac:dyDescent="0.3">
      <c r="B691" s="23"/>
      <c r="D691" s="25"/>
      <c r="E691" s="25"/>
      <c r="M691" s="12"/>
      <c r="N691" s="122"/>
      <c r="O691" s="122"/>
      <c r="P691" s="122"/>
      <c r="Q691" s="122"/>
    </row>
    <row r="692" spans="2:17" ht="14.25" customHeight="1" x14ac:dyDescent="0.3">
      <c r="B692" s="23"/>
      <c r="D692" s="25"/>
      <c r="E692" s="25"/>
      <c r="M692" s="12"/>
      <c r="N692" s="122"/>
      <c r="O692" s="122"/>
      <c r="P692" s="122"/>
      <c r="Q692" s="122"/>
    </row>
    <row r="693" spans="2:17" ht="14.25" customHeight="1" x14ac:dyDescent="0.3">
      <c r="B693" s="23"/>
      <c r="D693" s="25"/>
      <c r="E693" s="25"/>
      <c r="M693" s="12"/>
      <c r="N693" s="122"/>
      <c r="O693" s="122"/>
      <c r="P693" s="122"/>
      <c r="Q693" s="122"/>
    </row>
    <row r="694" spans="2:17" ht="14.25" customHeight="1" x14ac:dyDescent="0.3">
      <c r="B694" s="23"/>
      <c r="D694" s="25"/>
      <c r="E694" s="25"/>
      <c r="M694" s="12"/>
      <c r="N694" s="122"/>
      <c r="O694" s="122"/>
      <c r="P694" s="122"/>
      <c r="Q694" s="122"/>
    </row>
    <row r="695" spans="2:17" ht="14.25" customHeight="1" x14ac:dyDescent="0.3">
      <c r="B695" s="23"/>
      <c r="D695" s="25"/>
      <c r="E695" s="25"/>
      <c r="M695" s="12"/>
      <c r="N695" s="122"/>
      <c r="O695" s="122"/>
      <c r="P695" s="122"/>
      <c r="Q695" s="122"/>
    </row>
    <row r="696" spans="2:17" ht="14.25" customHeight="1" x14ac:dyDescent="0.3">
      <c r="B696" s="23"/>
      <c r="D696" s="25"/>
      <c r="E696" s="25"/>
      <c r="M696" s="12"/>
      <c r="N696" s="122"/>
      <c r="O696" s="122"/>
      <c r="P696" s="122"/>
      <c r="Q696" s="122"/>
    </row>
    <row r="697" spans="2:17" ht="14.25" customHeight="1" x14ac:dyDescent="0.3">
      <c r="B697" s="23"/>
      <c r="D697" s="25"/>
      <c r="E697" s="25"/>
      <c r="M697" s="12"/>
      <c r="N697" s="122"/>
      <c r="O697" s="122"/>
      <c r="P697" s="122"/>
      <c r="Q697" s="122"/>
    </row>
    <row r="698" spans="2:17" ht="14.25" customHeight="1" x14ac:dyDescent="0.3">
      <c r="B698" s="23"/>
      <c r="D698" s="25"/>
      <c r="E698" s="25"/>
      <c r="M698" s="12"/>
      <c r="N698" s="122"/>
      <c r="O698" s="122"/>
      <c r="P698" s="122"/>
      <c r="Q698" s="122"/>
    </row>
    <row r="699" spans="2:17" ht="14.25" customHeight="1" x14ac:dyDescent="0.3">
      <c r="B699" s="23"/>
      <c r="D699" s="25"/>
      <c r="E699" s="25"/>
      <c r="M699" s="12"/>
      <c r="N699" s="122"/>
      <c r="O699" s="122"/>
      <c r="P699" s="122"/>
      <c r="Q699" s="122"/>
    </row>
    <row r="700" spans="2:17" ht="14.25" customHeight="1" x14ac:dyDescent="0.3">
      <c r="B700" s="23"/>
      <c r="D700" s="25"/>
      <c r="E700" s="25"/>
      <c r="M700" s="12"/>
      <c r="N700" s="122"/>
      <c r="O700" s="122"/>
      <c r="P700" s="122"/>
      <c r="Q700" s="122"/>
    </row>
    <row r="701" spans="2:17" ht="14.25" customHeight="1" x14ac:dyDescent="0.3">
      <c r="B701" s="23"/>
      <c r="D701" s="25"/>
      <c r="E701" s="25"/>
      <c r="M701" s="12"/>
      <c r="N701" s="122"/>
      <c r="O701" s="122"/>
      <c r="P701" s="122"/>
      <c r="Q701" s="122"/>
    </row>
    <row r="702" spans="2:17" ht="14.25" customHeight="1" x14ac:dyDescent="0.3">
      <c r="B702" s="23"/>
      <c r="D702" s="25"/>
      <c r="E702" s="25"/>
      <c r="M702" s="12"/>
      <c r="N702" s="122"/>
      <c r="O702" s="122"/>
      <c r="P702" s="122"/>
      <c r="Q702" s="122"/>
    </row>
    <row r="703" spans="2:17" ht="14.25" customHeight="1" x14ac:dyDescent="0.3">
      <c r="B703" s="23"/>
      <c r="D703" s="25"/>
      <c r="E703" s="25"/>
      <c r="M703" s="12"/>
      <c r="N703" s="122"/>
      <c r="O703" s="122"/>
      <c r="P703" s="122"/>
      <c r="Q703" s="122"/>
    </row>
    <row r="704" spans="2:17" ht="14.25" customHeight="1" x14ac:dyDescent="0.3">
      <c r="B704" s="23"/>
      <c r="D704" s="25"/>
      <c r="E704" s="25"/>
      <c r="M704" s="12"/>
      <c r="N704" s="122"/>
      <c r="O704" s="122"/>
      <c r="P704" s="122"/>
      <c r="Q704" s="122"/>
    </row>
    <row r="705" spans="2:17" ht="14.25" customHeight="1" x14ac:dyDescent="0.3">
      <c r="B705" s="23"/>
      <c r="D705" s="25"/>
      <c r="E705" s="25"/>
      <c r="M705" s="12"/>
      <c r="N705" s="122"/>
      <c r="O705" s="122"/>
      <c r="P705" s="122"/>
      <c r="Q705" s="122"/>
    </row>
    <row r="706" spans="2:17" ht="14.25" customHeight="1" x14ac:dyDescent="0.3">
      <c r="B706" s="23"/>
      <c r="D706" s="25"/>
      <c r="E706" s="25"/>
      <c r="M706" s="12"/>
      <c r="N706" s="122"/>
      <c r="O706" s="122"/>
      <c r="P706" s="122"/>
      <c r="Q706" s="122"/>
    </row>
    <row r="707" spans="2:17" ht="14.25" customHeight="1" x14ac:dyDescent="0.3">
      <c r="B707" s="23"/>
      <c r="D707" s="25"/>
      <c r="E707" s="25"/>
      <c r="M707" s="12"/>
      <c r="N707" s="122"/>
      <c r="O707" s="122"/>
      <c r="P707" s="122"/>
      <c r="Q707" s="122"/>
    </row>
    <row r="708" spans="2:17" ht="14.25" customHeight="1" x14ac:dyDescent="0.3">
      <c r="B708" s="23"/>
      <c r="D708" s="25"/>
      <c r="E708" s="25"/>
      <c r="M708" s="12"/>
      <c r="N708" s="122"/>
      <c r="O708" s="122"/>
      <c r="P708" s="122"/>
      <c r="Q708" s="122"/>
    </row>
    <row r="709" spans="2:17" ht="14.25" customHeight="1" x14ac:dyDescent="0.3">
      <c r="B709" s="23"/>
      <c r="D709" s="25"/>
      <c r="E709" s="25"/>
      <c r="M709" s="12"/>
      <c r="N709" s="122"/>
      <c r="O709" s="122"/>
      <c r="P709" s="122"/>
      <c r="Q709" s="122"/>
    </row>
    <row r="710" spans="2:17" ht="14.25" customHeight="1" x14ac:dyDescent="0.3">
      <c r="B710" s="23"/>
      <c r="D710" s="25"/>
      <c r="E710" s="25"/>
      <c r="M710" s="12"/>
      <c r="N710" s="122"/>
      <c r="O710" s="122"/>
      <c r="P710" s="122"/>
      <c r="Q710" s="122"/>
    </row>
    <row r="711" spans="2:17" ht="14.25" customHeight="1" x14ac:dyDescent="0.3">
      <c r="B711" s="23"/>
      <c r="D711" s="25"/>
      <c r="E711" s="25"/>
      <c r="M711" s="12"/>
      <c r="N711" s="122"/>
      <c r="O711" s="122"/>
      <c r="P711" s="122"/>
      <c r="Q711" s="122"/>
    </row>
    <row r="712" spans="2:17" ht="14.25" customHeight="1" x14ac:dyDescent="0.3">
      <c r="B712" s="23"/>
      <c r="D712" s="25"/>
      <c r="E712" s="25"/>
      <c r="M712" s="12"/>
      <c r="N712" s="122"/>
      <c r="O712" s="122"/>
      <c r="P712" s="122"/>
      <c r="Q712" s="122"/>
    </row>
    <row r="713" spans="2:17" ht="14.25" customHeight="1" x14ac:dyDescent="0.3">
      <c r="B713" s="23"/>
      <c r="D713" s="25"/>
      <c r="E713" s="25"/>
      <c r="M713" s="12"/>
      <c r="N713" s="122"/>
      <c r="O713" s="122"/>
      <c r="P713" s="122"/>
      <c r="Q713" s="122"/>
    </row>
    <row r="714" spans="2:17" ht="14.25" customHeight="1" x14ac:dyDescent="0.3">
      <c r="B714" s="23"/>
      <c r="D714" s="25"/>
      <c r="E714" s="25"/>
      <c r="M714" s="12"/>
      <c r="N714" s="122"/>
      <c r="O714" s="122"/>
      <c r="P714" s="122"/>
      <c r="Q714" s="122"/>
    </row>
    <row r="715" spans="2:17" ht="14.25" customHeight="1" x14ac:dyDescent="0.3">
      <c r="B715" s="23"/>
      <c r="D715" s="25"/>
      <c r="E715" s="25"/>
      <c r="M715" s="12"/>
      <c r="N715" s="122"/>
      <c r="O715" s="122"/>
      <c r="P715" s="122"/>
      <c r="Q715" s="122"/>
    </row>
    <row r="716" spans="2:17" ht="14.25" customHeight="1" x14ac:dyDescent="0.3">
      <c r="B716" s="23"/>
      <c r="D716" s="25"/>
      <c r="E716" s="25"/>
      <c r="M716" s="12"/>
      <c r="N716" s="122"/>
      <c r="O716" s="122"/>
      <c r="P716" s="122"/>
      <c r="Q716" s="122"/>
    </row>
    <row r="717" spans="2:17" ht="14.25" customHeight="1" x14ac:dyDescent="0.3">
      <c r="B717" s="23"/>
      <c r="D717" s="25"/>
      <c r="E717" s="25"/>
      <c r="M717" s="12"/>
      <c r="N717" s="122"/>
      <c r="O717" s="122"/>
      <c r="P717" s="122"/>
      <c r="Q717" s="122"/>
    </row>
    <row r="718" spans="2:17" ht="14.25" customHeight="1" x14ac:dyDescent="0.3">
      <c r="B718" s="23"/>
      <c r="D718" s="25"/>
      <c r="E718" s="25"/>
      <c r="M718" s="12"/>
      <c r="N718" s="122"/>
      <c r="O718" s="122"/>
      <c r="P718" s="122"/>
      <c r="Q718" s="122"/>
    </row>
    <row r="719" spans="2:17" ht="14.25" customHeight="1" x14ac:dyDescent="0.3">
      <c r="B719" s="23"/>
      <c r="D719" s="25"/>
      <c r="E719" s="25"/>
      <c r="M719" s="12"/>
      <c r="N719" s="122"/>
      <c r="O719" s="122"/>
      <c r="P719" s="122"/>
      <c r="Q719" s="122"/>
    </row>
    <row r="720" spans="2:17" ht="14.25" customHeight="1" x14ac:dyDescent="0.3">
      <c r="B720" s="23"/>
      <c r="D720" s="25"/>
      <c r="E720" s="25"/>
      <c r="M720" s="12"/>
      <c r="N720" s="122"/>
      <c r="O720" s="122"/>
      <c r="P720" s="122"/>
      <c r="Q720" s="122"/>
    </row>
    <row r="721" spans="2:17" ht="14.25" customHeight="1" x14ac:dyDescent="0.3">
      <c r="B721" s="23"/>
      <c r="D721" s="25"/>
      <c r="E721" s="25"/>
      <c r="M721" s="12"/>
      <c r="N721" s="122"/>
      <c r="O721" s="122"/>
      <c r="P721" s="122"/>
      <c r="Q721" s="122"/>
    </row>
    <row r="722" spans="2:17" ht="14.25" customHeight="1" x14ac:dyDescent="0.3">
      <c r="B722" s="23"/>
      <c r="D722" s="25"/>
      <c r="E722" s="25"/>
      <c r="M722" s="12"/>
      <c r="N722" s="122"/>
      <c r="O722" s="122"/>
      <c r="P722" s="122"/>
      <c r="Q722" s="122"/>
    </row>
    <row r="723" spans="2:17" ht="14.25" customHeight="1" x14ac:dyDescent="0.3">
      <c r="B723" s="23"/>
      <c r="D723" s="25"/>
      <c r="E723" s="25"/>
      <c r="M723" s="12"/>
      <c r="N723" s="122"/>
      <c r="O723" s="122"/>
      <c r="P723" s="122"/>
      <c r="Q723" s="122"/>
    </row>
    <row r="724" spans="2:17" ht="14.25" customHeight="1" x14ac:dyDescent="0.3">
      <c r="B724" s="23"/>
      <c r="D724" s="25"/>
      <c r="E724" s="25"/>
      <c r="M724" s="12"/>
      <c r="N724" s="122"/>
      <c r="O724" s="122"/>
      <c r="P724" s="122"/>
      <c r="Q724" s="122"/>
    </row>
    <row r="725" spans="2:17" ht="14.25" customHeight="1" x14ac:dyDescent="0.3">
      <c r="B725" s="23"/>
      <c r="D725" s="25"/>
      <c r="E725" s="25"/>
      <c r="M725" s="12"/>
      <c r="N725" s="122"/>
      <c r="O725" s="122"/>
      <c r="P725" s="122"/>
      <c r="Q725" s="122"/>
    </row>
    <row r="726" spans="2:17" ht="14.25" customHeight="1" x14ac:dyDescent="0.3">
      <c r="B726" s="23"/>
      <c r="D726" s="25"/>
      <c r="E726" s="25"/>
      <c r="M726" s="12"/>
      <c r="N726" s="122"/>
      <c r="O726" s="122"/>
      <c r="P726" s="122"/>
      <c r="Q726" s="122"/>
    </row>
    <row r="727" spans="2:17" ht="14.25" customHeight="1" x14ac:dyDescent="0.3">
      <c r="B727" s="23"/>
      <c r="D727" s="25"/>
      <c r="E727" s="25"/>
      <c r="M727" s="12"/>
      <c r="N727" s="122"/>
      <c r="O727" s="122"/>
      <c r="P727" s="122"/>
      <c r="Q727" s="122"/>
    </row>
    <row r="728" spans="2:17" ht="14.25" customHeight="1" x14ac:dyDescent="0.3">
      <c r="B728" s="23"/>
      <c r="D728" s="25"/>
      <c r="E728" s="25"/>
      <c r="M728" s="12"/>
      <c r="N728" s="122"/>
      <c r="O728" s="122"/>
      <c r="P728" s="122"/>
      <c r="Q728" s="122"/>
    </row>
    <row r="729" spans="2:17" ht="14.25" customHeight="1" x14ac:dyDescent="0.3">
      <c r="B729" s="23"/>
      <c r="D729" s="25"/>
      <c r="E729" s="25"/>
      <c r="M729" s="12"/>
      <c r="N729" s="122"/>
      <c r="O729" s="122"/>
      <c r="P729" s="122"/>
      <c r="Q729" s="122"/>
    </row>
    <row r="730" spans="2:17" ht="14.25" customHeight="1" x14ac:dyDescent="0.3">
      <c r="B730" s="23"/>
      <c r="D730" s="25"/>
      <c r="E730" s="25"/>
      <c r="M730" s="12"/>
      <c r="N730" s="122"/>
      <c r="O730" s="122"/>
      <c r="P730" s="122"/>
      <c r="Q730" s="122"/>
    </row>
    <row r="731" spans="2:17" ht="14.25" customHeight="1" x14ac:dyDescent="0.3">
      <c r="B731" s="23"/>
      <c r="D731" s="25"/>
      <c r="E731" s="25"/>
      <c r="M731" s="12"/>
      <c r="N731" s="122"/>
      <c r="O731" s="122"/>
      <c r="P731" s="122"/>
      <c r="Q731" s="122"/>
    </row>
    <row r="732" spans="2:17" ht="14.25" customHeight="1" x14ac:dyDescent="0.3">
      <c r="B732" s="23"/>
      <c r="D732" s="25"/>
      <c r="E732" s="25"/>
      <c r="M732" s="12"/>
      <c r="N732" s="122"/>
      <c r="O732" s="122"/>
      <c r="P732" s="122"/>
      <c r="Q732" s="122"/>
    </row>
    <row r="733" spans="2:17" ht="14.25" customHeight="1" x14ac:dyDescent="0.3">
      <c r="B733" s="23"/>
      <c r="D733" s="25"/>
      <c r="E733" s="25"/>
      <c r="M733" s="12"/>
      <c r="N733" s="122"/>
      <c r="O733" s="122"/>
      <c r="P733" s="122"/>
      <c r="Q733" s="122"/>
    </row>
    <row r="734" spans="2:17" ht="14.25" customHeight="1" x14ac:dyDescent="0.3">
      <c r="B734" s="23"/>
      <c r="D734" s="25"/>
      <c r="E734" s="25"/>
      <c r="M734" s="12"/>
      <c r="N734" s="122"/>
      <c r="O734" s="122"/>
      <c r="P734" s="122"/>
      <c r="Q734" s="122"/>
    </row>
    <row r="735" spans="2:17" ht="14.25" customHeight="1" x14ac:dyDescent="0.3">
      <c r="B735" s="23"/>
      <c r="D735" s="25"/>
      <c r="E735" s="25"/>
      <c r="M735" s="12"/>
      <c r="N735" s="122"/>
      <c r="O735" s="122"/>
      <c r="P735" s="122"/>
      <c r="Q735" s="122"/>
    </row>
    <row r="736" spans="2:17" ht="14.25" customHeight="1" x14ac:dyDescent="0.3">
      <c r="B736" s="23"/>
      <c r="D736" s="25"/>
      <c r="E736" s="25"/>
      <c r="M736" s="12"/>
      <c r="N736" s="122"/>
      <c r="O736" s="122"/>
      <c r="P736" s="122"/>
      <c r="Q736" s="122"/>
    </row>
    <row r="737" spans="2:17" ht="14.25" customHeight="1" x14ac:dyDescent="0.3">
      <c r="B737" s="23"/>
      <c r="D737" s="25"/>
      <c r="E737" s="25"/>
      <c r="M737" s="12"/>
      <c r="N737" s="122"/>
      <c r="O737" s="122"/>
      <c r="P737" s="122"/>
      <c r="Q737" s="122"/>
    </row>
    <row r="738" spans="2:17" ht="14.25" customHeight="1" x14ac:dyDescent="0.3">
      <c r="B738" s="23"/>
      <c r="D738" s="25"/>
      <c r="E738" s="25"/>
      <c r="M738" s="12"/>
      <c r="N738" s="122"/>
      <c r="O738" s="122"/>
      <c r="P738" s="122"/>
      <c r="Q738" s="122"/>
    </row>
    <row r="739" spans="2:17" ht="14.25" customHeight="1" x14ac:dyDescent="0.3">
      <c r="B739" s="23"/>
      <c r="D739" s="25"/>
      <c r="E739" s="25"/>
      <c r="M739" s="12"/>
      <c r="N739" s="122"/>
      <c r="O739" s="122"/>
      <c r="P739" s="122"/>
      <c r="Q739" s="122"/>
    </row>
    <row r="740" spans="2:17" ht="14.25" customHeight="1" x14ac:dyDescent="0.3">
      <c r="B740" s="23"/>
      <c r="D740" s="25"/>
      <c r="E740" s="25"/>
      <c r="M740" s="12"/>
      <c r="N740" s="122"/>
      <c r="O740" s="122"/>
      <c r="P740" s="122"/>
      <c r="Q740" s="122"/>
    </row>
    <row r="741" spans="2:17" ht="14.25" customHeight="1" x14ac:dyDescent="0.3">
      <c r="B741" s="23"/>
      <c r="D741" s="25"/>
      <c r="E741" s="25"/>
      <c r="M741" s="12"/>
      <c r="N741" s="122"/>
      <c r="O741" s="122"/>
      <c r="P741" s="122"/>
      <c r="Q741" s="122"/>
    </row>
    <row r="742" spans="2:17" ht="14.25" customHeight="1" x14ac:dyDescent="0.3">
      <c r="B742" s="23"/>
      <c r="D742" s="25"/>
      <c r="E742" s="25"/>
      <c r="M742" s="12"/>
      <c r="N742" s="122"/>
      <c r="O742" s="122"/>
      <c r="P742" s="122"/>
      <c r="Q742" s="122"/>
    </row>
    <row r="743" spans="2:17" ht="14.25" customHeight="1" x14ac:dyDescent="0.3">
      <c r="B743" s="23"/>
      <c r="D743" s="25"/>
      <c r="E743" s="25"/>
      <c r="M743" s="12"/>
      <c r="N743" s="122"/>
      <c r="O743" s="122"/>
      <c r="P743" s="122"/>
      <c r="Q743" s="122"/>
    </row>
    <row r="744" spans="2:17" ht="14.25" customHeight="1" x14ac:dyDescent="0.3">
      <c r="B744" s="23"/>
      <c r="D744" s="25"/>
      <c r="E744" s="25"/>
      <c r="M744" s="12"/>
      <c r="N744" s="122"/>
      <c r="O744" s="122"/>
      <c r="P744" s="122"/>
      <c r="Q744" s="122"/>
    </row>
    <row r="745" spans="2:17" ht="14.25" customHeight="1" x14ac:dyDescent="0.3">
      <c r="B745" s="23"/>
      <c r="D745" s="25"/>
      <c r="E745" s="25"/>
      <c r="M745" s="12"/>
      <c r="N745" s="122"/>
      <c r="O745" s="122"/>
      <c r="P745" s="122"/>
      <c r="Q745" s="122"/>
    </row>
    <row r="746" spans="2:17" ht="14.25" customHeight="1" x14ac:dyDescent="0.3">
      <c r="B746" s="23"/>
      <c r="D746" s="25"/>
      <c r="E746" s="25"/>
      <c r="M746" s="12"/>
      <c r="N746" s="122"/>
      <c r="O746" s="122"/>
      <c r="P746" s="122"/>
      <c r="Q746" s="122"/>
    </row>
    <row r="747" spans="2:17" ht="14.25" customHeight="1" x14ac:dyDescent="0.3">
      <c r="B747" s="23"/>
      <c r="D747" s="25"/>
      <c r="E747" s="25"/>
      <c r="M747" s="12"/>
      <c r="N747" s="122"/>
      <c r="O747" s="122"/>
      <c r="P747" s="122"/>
      <c r="Q747" s="122"/>
    </row>
    <row r="748" spans="2:17" ht="14.25" customHeight="1" x14ac:dyDescent="0.3">
      <c r="B748" s="23"/>
      <c r="D748" s="25"/>
      <c r="E748" s="25"/>
      <c r="M748" s="12"/>
      <c r="N748" s="122"/>
      <c r="O748" s="122"/>
      <c r="P748" s="122"/>
      <c r="Q748" s="122"/>
    </row>
    <row r="749" spans="2:17" ht="14.25" customHeight="1" x14ac:dyDescent="0.3">
      <c r="B749" s="23"/>
      <c r="D749" s="25"/>
      <c r="E749" s="25"/>
      <c r="M749" s="12"/>
      <c r="N749" s="122"/>
      <c r="O749" s="122"/>
      <c r="P749" s="122"/>
      <c r="Q749" s="122"/>
    </row>
    <row r="750" spans="2:17" ht="14.25" customHeight="1" x14ac:dyDescent="0.3">
      <c r="B750" s="23"/>
      <c r="D750" s="25"/>
      <c r="E750" s="25"/>
      <c r="M750" s="12"/>
      <c r="N750" s="122"/>
      <c r="O750" s="122"/>
      <c r="P750" s="122"/>
      <c r="Q750" s="122"/>
    </row>
    <row r="751" spans="2:17" ht="14.25" customHeight="1" x14ac:dyDescent="0.3">
      <c r="B751" s="23"/>
      <c r="D751" s="25"/>
      <c r="E751" s="25"/>
      <c r="M751" s="12"/>
      <c r="N751" s="122"/>
      <c r="O751" s="122"/>
      <c r="P751" s="122"/>
      <c r="Q751" s="122"/>
    </row>
    <row r="752" spans="2:17" ht="14.25" customHeight="1" x14ac:dyDescent="0.3">
      <c r="B752" s="23"/>
      <c r="D752" s="25"/>
      <c r="E752" s="25"/>
      <c r="M752" s="12"/>
      <c r="N752" s="122"/>
      <c r="O752" s="122"/>
      <c r="P752" s="122"/>
      <c r="Q752" s="122"/>
    </row>
    <row r="753" spans="2:17" ht="14.25" customHeight="1" x14ac:dyDescent="0.3">
      <c r="B753" s="23"/>
      <c r="D753" s="25"/>
      <c r="E753" s="25"/>
      <c r="M753" s="12"/>
      <c r="N753" s="122"/>
      <c r="O753" s="122"/>
      <c r="P753" s="122"/>
      <c r="Q753" s="122"/>
    </row>
    <row r="754" spans="2:17" ht="14.25" customHeight="1" x14ac:dyDescent="0.3">
      <c r="B754" s="23"/>
      <c r="D754" s="25"/>
      <c r="E754" s="25"/>
      <c r="M754" s="12"/>
      <c r="N754" s="122"/>
      <c r="O754" s="122"/>
      <c r="P754" s="122"/>
      <c r="Q754" s="122"/>
    </row>
    <row r="755" spans="2:17" ht="14.25" customHeight="1" x14ac:dyDescent="0.3">
      <c r="B755" s="23"/>
      <c r="D755" s="25"/>
      <c r="E755" s="25"/>
      <c r="M755" s="12"/>
      <c r="N755" s="122"/>
      <c r="O755" s="122"/>
      <c r="P755" s="122"/>
      <c r="Q755" s="122"/>
    </row>
    <row r="756" spans="2:17" ht="14.25" customHeight="1" x14ac:dyDescent="0.3">
      <c r="B756" s="23"/>
      <c r="D756" s="25"/>
      <c r="E756" s="25"/>
      <c r="M756" s="12"/>
      <c r="N756" s="122"/>
      <c r="O756" s="122"/>
      <c r="P756" s="122"/>
      <c r="Q756" s="122"/>
    </row>
    <row r="757" spans="2:17" ht="14.25" customHeight="1" x14ac:dyDescent="0.3">
      <c r="B757" s="23"/>
      <c r="D757" s="25"/>
      <c r="E757" s="25"/>
      <c r="M757" s="12"/>
      <c r="N757" s="122"/>
      <c r="O757" s="122"/>
      <c r="P757" s="122"/>
      <c r="Q757" s="122"/>
    </row>
    <row r="758" spans="2:17" ht="14.25" customHeight="1" x14ac:dyDescent="0.3">
      <c r="B758" s="23"/>
      <c r="D758" s="25"/>
      <c r="E758" s="25"/>
      <c r="M758" s="12"/>
      <c r="N758" s="122"/>
      <c r="O758" s="122"/>
      <c r="P758" s="122"/>
      <c r="Q758" s="122"/>
    </row>
    <row r="759" spans="2:17" ht="14.25" customHeight="1" x14ac:dyDescent="0.3">
      <c r="B759" s="23"/>
      <c r="D759" s="25"/>
      <c r="E759" s="25"/>
      <c r="M759" s="12"/>
      <c r="N759" s="122"/>
      <c r="O759" s="122"/>
      <c r="P759" s="122"/>
      <c r="Q759" s="122"/>
    </row>
    <row r="760" spans="2:17" ht="14.25" customHeight="1" x14ac:dyDescent="0.3">
      <c r="B760" s="23"/>
      <c r="D760" s="25"/>
      <c r="E760" s="25"/>
      <c r="M760" s="12"/>
      <c r="N760" s="122"/>
      <c r="O760" s="122"/>
      <c r="P760" s="122"/>
      <c r="Q760" s="122"/>
    </row>
    <row r="761" spans="2:17" ht="14.25" customHeight="1" x14ac:dyDescent="0.3">
      <c r="B761" s="23"/>
      <c r="D761" s="25"/>
      <c r="E761" s="25"/>
      <c r="M761" s="12"/>
      <c r="N761" s="122"/>
      <c r="O761" s="122"/>
      <c r="P761" s="122"/>
      <c r="Q761" s="122"/>
    </row>
    <row r="762" spans="2:17" ht="14.25" customHeight="1" x14ac:dyDescent="0.3">
      <c r="B762" s="23"/>
      <c r="D762" s="25"/>
      <c r="E762" s="25"/>
      <c r="M762" s="12"/>
      <c r="N762" s="122"/>
      <c r="O762" s="122"/>
      <c r="P762" s="122"/>
      <c r="Q762" s="122"/>
    </row>
    <row r="763" spans="2:17" ht="14.25" customHeight="1" x14ac:dyDescent="0.3">
      <c r="B763" s="23"/>
      <c r="D763" s="25"/>
      <c r="E763" s="25"/>
      <c r="M763" s="12"/>
      <c r="N763" s="122"/>
      <c r="O763" s="122"/>
      <c r="P763" s="122"/>
      <c r="Q763" s="122"/>
    </row>
    <row r="764" spans="2:17" ht="14.25" customHeight="1" x14ac:dyDescent="0.3">
      <c r="B764" s="23"/>
      <c r="D764" s="25"/>
      <c r="E764" s="25"/>
      <c r="M764" s="12"/>
      <c r="N764" s="122"/>
      <c r="O764" s="122"/>
      <c r="P764" s="122"/>
      <c r="Q764" s="122"/>
    </row>
    <row r="765" spans="2:17" ht="14.25" customHeight="1" x14ac:dyDescent="0.3">
      <c r="B765" s="23"/>
      <c r="D765" s="25"/>
      <c r="E765" s="25"/>
      <c r="M765" s="12"/>
      <c r="N765" s="122"/>
      <c r="O765" s="122"/>
      <c r="P765" s="122"/>
      <c r="Q765" s="122"/>
    </row>
    <row r="766" spans="2:17" ht="14.25" customHeight="1" x14ac:dyDescent="0.3">
      <c r="B766" s="23"/>
      <c r="D766" s="25"/>
      <c r="E766" s="25"/>
      <c r="M766" s="12"/>
      <c r="N766" s="122"/>
      <c r="O766" s="122"/>
      <c r="P766" s="122"/>
      <c r="Q766" s="122"/>
    </row>
    <row r="767" spans="2:17" ht="14.25" customHeight="1" x14ac:dyDescent="0.3">
      <c r="B767" s="23"/>
      <c r="D767" s="25"/>
      <c r="E767" s="25"/>
      <c r="M767" s="12"/>
      <c r="N767" s="122"/>
      <c r="O767" s="122"/>
      <c r="P767" s="122"/>
      <c r="Q767" s="122"/>
    </row>
    <row r="768" spans="2:17" ht="14.25" customHeight="1" x14ac:dyDescent="0.3">
      <c r="B768" s="23"/>
      <c r="D768" s="25"/>
      <c r="E768" s="25"/>
      <c r="M768" s="12"/>
      <c r="N768" s="122"/>
      <c r="O768" s="122"/>
      <c r="P768" s="122"/>
      <c r="Q768" s="122"/>
    </row>
    <row r="769" spans="2:17" ht="14.25" customHeight="1" x14ac:dyDescent="0.3">
      <c r="B769" s="23"/>
      <c r="D769" s="25"/>
      <c r="E769" s="25"/>
      <c r="M769" s="12"/>
      <c r="N769" s="122"/>
      <c r="O769" s="122"/>
      <c r="P769" s="122"/>
      <c r="Q769" s="122"/>
    </row>
    <row r="770" spans="2:17" ht="14.25" customHeight="1" x14ac:dyDescent="0.3">
      <c r="B770" s="23"/>
      <c r="D770" s="25"/>
      <c r="E770" s="25"/>
      <c r="M770" s="12"/>
      <c r="N770" s="122"/>
      <c r="O770" s="122"/>
      <c r="P770" s="122"/>
      <c r="Q770" s="122"/>
    </row>
    <row r="771" spans="2:17" ht="14.25" customHeight="1" x14ac:dyDescent="0.3">
      <c r="B771" s="23"/>
      <c r="D771" s="25"/>
      <c r="E771" s="25"/>
      <c r="M771" s="12"/>
      <c r="N771" s="122"/>
      <c r="O771" s="122"/>
      <c r="P771" s="122"/>
      <c r="Q771" s="122"/>
    </row>
    <row r="772" spans="2:17" ht="14.25" customHeight="1" x14ac:dyDescent="0.3">
      <c r="B772" s="23"/>
      <c r="D772" s="25"/>
      <c r="E772" s="25"/>
      <c r="M772" s="12"/>
      <c r="N772" s="122"/>
      <c r="O772" s="122"/>
      <c r="P772" s="122"/>
      <c r="Q772" s="122"/>
    </row>
    <row r="773" spans="2:17" ht="14.25" customHeight="1" x14ac:dyDescent="0.3">
      <c r="B773" s="23"/>
      <c r="D773" s="25"/>
      <c r="E773" s="25"/>
      <c r="M773" s="12"/>
      <c r="N773" s="122"/>
      <c r="O773" s="122"/>
      <c r="P773" s="122"/>
      <c r="Q773" s="122"/>
    </row>
    <row r="774" spans="2:17" ht="14.25" customHeight="1" x14ac:dyDescent="0.3">
      <c r="B774" s="23"/>
      <c r="D774" s="25"/>
      <c r="E774" s="25"/>
      <c r="M774" s="12"/>
      <c r="N774" s="122"/>
      <c r="O774" s="122"/>
      <c r="P774" s="122"/>
      <c r="Q774" s="122"/>
    </row>
    <row r="775" spans="2:17" ht="14.25" customHeight="1" x14ac:dyDescent="0.3">
      <c r="B775" s="23"/>
      <c r="D775" s="25"/>
      <c r="E775" s="25"/>
      <c r="M775" s="12"/>
      <c r="N775" s="122"/>
      <c r="O775" s="122"/>
      <c r="P775" s="122"/>
      <c r="Q775" s="122"/>
    </row>
    <row r="776" spans="2:17" ht="14.25" customHeight="1" x14ac:dyDescent="0.3">
      <c r="B776" s="23"/>
      <c r="D776" s="25"/>
      <c r="E776" s="25"/>
      <c r="M776" s="12"/>
      <c r="N776" s="122"/>
      <c r="O776" s="122"/>
      <c r="P776" s="122"/>
      <c r="Q776" s="122"/>
    </row>
    <row r="777" spans="2:17" ht="14.25" customHeight="1" x14ac:dyDescent="0.3">
      <c r="B777" s="23"/>
      <c r="D777" s="25"/>
      <c r="E777" s="25"/>
      <c r="M777" s="12"/>
      <c r="N777" s="122"/>
      <c r="O777" s="122"/>
      <c r="P777" s="122"/>
      <c r="Q777" s="122"/>
    </row>
    <row r="778" spans="2:17" ht="14.25" customHeight="1" x14ac:dyDescent="0.3">
      <c r="B778" s="23"/>
      <c r="D778" s="25"/>
      <c r="E778" s="25"/>
      <c r="M778" s="12"/>
      <c r="N778" s="122"/>
      <c r="O778" s="122"/>
      <c r="P778" s="122"/>
      <c r="Q778" s="122"/>
    </row>
    <row r="779" spans="2:17" ht="14.25" customHeight="1" x14ac:dyDescent="0.3">
      <c r="B779" s="23"/>
      <c r="D779" s="25"/>
      <c r="E779" s="25"/>
      <c r="M779" s="12"/>
      <c r="N779" s="122"/>
      <c r="O779" s="122"/>
      <c r="P779" s="122"/>
      <c r="Q779" s="122"/>
    </row>
    <row r="780" spans="2:17" ht="14.25" customHeight="1" x14ac:dyDescent="0.3">
      <c r="B780" s="23"/>
      <c r="D780" s="25"/>
      <c r="E780" s="25"/>
      <c r="M780" s="12"/>
      <c r="N780" s="122"/>
      <c r="O780" s="122"/>
      <c r="P780" s="122"/>
      <c r="Q780" s="122"/>
    </row>
    <row r="781" spans="2:17" ht="14.25" customHeight="1" x14ac:dyDescent="0.3">
      <c r="B781" s="23"/>
      <c r="D781" s="25"/>
      <c r="E781" s="25"/>
      <c r="M781" s="12"/>
      <c r="N781" s="122"/>
      <c r="O781" s="122"/>
      <c r="P781" s="122"/>
      <c r="Q781" s="122"/>
    </row>
    <row r="782" spans="2:17" ht="14.25" customHeight="1" x14ac:dyDescent="0.3">
      <c r="B782" s="23"/>
      <c r="D782" s="25"/>
      <c r="E782" s="25"/>
      <c r="M782" s="12"/>
      <c r="N782" s="122"/>
      <c r="O782" s="122"/>
      <c r="P782" s="122"/>
      <c r="Q782" s="122"/>
    </row>
    <row r="783" spans="2:17" ht="14.25" customHeight="1" x14ac:dyDescent="0.3">
      <c r="B783" s="23"/>
      <c r="D783" s="25"/>
      <c r="E783" s="25"/>
      <c r="M783" s="12"/>
      <c r="N783" s="122"/>
      <c r="O783" s="122"/>
      <c r="P783" s="122"/>
      <c r="Q783" s="122"/>
    </row>
    <row r="784" spans="2:17" ht="14.25" customHeight="1" x14ac:dyDescent="0.3">
      <c r="B784" s="23"/>
      <c r="D784" s="25"/>
      <c r="E784" s="25"/>
      <c r="M784" s="12"/>
      <c r="N784" s="122"/>
      <c r="O784" s="122"/>
      <c r="P784" s="122"/>
      <c r="Q784" s="122"/>
    </row>
    <row r="785" spans="2:17" ht="14.25" customHeight="1" x14ac:dyDescent="0.3">
      <c r="B785" s="23"/>
      <c r="D785" s="25"/>
      <c r="E785" s="25"/>
      <c r="M785" s="12"/>
      <c r="N785" s="122"/>
      <c r="O785" s="122"/>
      <c r="P785" s="122"/>
      <c r="Q785" s="122"/>
    </row>
    <row r="786" spans="2:17" ht="14.25" customHeight="1" x14ac:dyDescent="0.3">
      <c r="B786" s="23"/>
      <c r="D786" s="25"/>
      <c r="E786" s="25"/>
      <c r="M786" s="12"/>
      <c r="N786" s="122"/>
      <c r="O786" s="122"/>
      <c r="P786" s="122"/>
      <c r="Q786" s="122"/>
    </row>
    <row r="787" spans="2:17" ht="14.25" customHeight="1" x14ac:dyDescent="0.3">
      <c r="B787" s="23"/>
      <c r="D787" s="25"/>
      <c r="E787" s="25"/>
      <c r="M787" s="12"/>
      <c r="N787" s="122"/>
      <c r="O787" s="122"/>
      <c r="P787" s="122"/>
      <c r="Q787" s="122"/>
    </row>
    <row r="788" spans="2:17" ht="14.25" customHeight="1" x14ac:dyDescent="0.3">
      <c r="B788" s="23"/>
      <c r="D788" s="25"/>
      <c r="E788" s="25"/>
      <c r="M788" s="12"/>
      <c r="N788" s="122"/>
      <c r="O788" s="122"/>
      <c r="P788" s="122"/>
      <c r="Q788" s="122"/>
    </row>
    <row r="789" spans="2:17" ht="14.25" customHeight="1" x14ac:dyDescent="0.3">
      <c r="B789" s="23"/>
      <c r="D789" s="25"/>
      <c r="E789" s="25"/>
      <c r="M789" s="12"/>
      <c r="N789" s="122"/>
      <c r="O789" s="122"/>
      <c r="P789" s="122"/>
      <c r="Q789" s="122"/>
    </row>
    <row r="790" spans="2:17" ht="14.25" customHeight="1" x14ac:dyDescent="0.3">
      <c r="B790" s="23"/>
      <c r="D790" s="25"/>
      <c r="E790" s="25"/>
      <c r="M790" s="12"/>
      <c r="N790" s="122"/>
      <c r="O790" s="122"/>
      <c r="P790" s="122"/>
      <c r="Q790" s="122"/>
    </row>
    <row r="791" spans="2:17" ht="14.25" customHeight="1" x14ac:dyDescent="0.3">
      <c r="B791" s="23"/>
      <c r="D791" s="25"/>
      <c r="E791" s="25"/>
      <c r="M791" s="12"/>
      <c r="N791" s="122"/>
      <c r="O791" s="122"/>
      <c r="P791" s="122"/>
      <c r="Q791" s="122"/>
    </row>
    <row r="792" spans="2:17" ht="14.25" customHeight="1" x14ac:dyDescent="0.3">
      <c r="B792" s="23"/>
      <c r="D792" s="25"/>
      <c r="E792" s="25"/>
      <c r="M792" s="12"/>
      <c r="N792" s="122"/>
      <c r="O792" s="122"/>
      <c r="P792" s="122"/>
      <c r="Q792" s="122"/>
    </row>
    <row r="793" spans="2:17" ht="14.25" customHeight="1" x14ac:dyDescent="0.3">
      <c r="B793" s="23"/>
      <c r="D793" s="25"/>
      <c r="E793" s="25"/>
      <c r="M793" s="12"/>
      <c r="N793" s="122"/>
      <c r="O793" s="122"/>
      <c r="P793" s="122"/>
      <c r="Q793" s="122"/>
    </row>
    <row r="794" spans="2:17" ht="14.25" customHeight="1" x14ac:dyDescent="0.3">
      <c r="B794" s="23"/>
      <c r="D794" s="25"/>
      <c r="E794" s="25"/>
      <c r="M794" s="12"/>
      <c r="N794" s="122"/>
      <c r="O794" s="122"/>
      <c r="P794" s="122"/>
      <c r="Q794" s="122"/>
    </row>
    <row r="795" spans="2:17" ht="14.25" customHeight="1" x14ac:dyDescent="0.3">
      <c r="B795" s="23"/>
      <c r="D795" s="25"/>
      <c r="E795" s="25"/>
      <c r="M795" s="12"/>
      <c r="N795" s="122"/>
      <c r="O795" s="122"/>
      <c r="P795" s="122"/>
      <c r="Q795" s="122"/>
    </row>
    <row r="796" spans="2:17" ht="14.25" customHeight="1" x14ac:dyDescent="0.3">
      <c r="B796" s="23"/>
      <c r="D796" s="25"/>
      <c r="E796" s="25"/>
      <c r="M796" s="12"/>
      <c r="N796" s="122"/>
      <c r="O796" s="122"/>
      <c r="P796" s="122"/>
      <c r="Q796" s="122"/>
    </row>
    <row r="797" spans="2:17" ht="14.25" customHeight="1" x14ac:dyDescent="0.3">
      <c r="B797" s="23"/>
      <c r="D797" s="25"/>
      <c r="E797" s="25"/>
      <c r="M797" s="12"/>
      <c r="N797" s="122"/>
      <c r="O797" s="122"/>
      <c r="P797" s="122"/>
      <c r="Q797" s="122"/>
    </row>
    <row r="798" spans="2:17" ht="14.25" customHeight="1" x14ac:dyDescent="0.3">
      <c r="B798" s="23"/>
      <c r="D798" s="25"/>
      <c r="E798" s="25"/>
      <c r="M798" s="12"/>
      <c r="N798" s="122"/>
      <c r="O798" s="122"/>
      <c r="P798" s="122"/>
      <c r="Q798" s="122"/>
    </row>
    <row r="799" spans="2:17" ht="14.25" customHeight="1" x14ac:dyDescent="0.3">
      <c r="B799" s="23"/>
      <c r="D799" s="25"/>
      <c r="E799" s="25"/>
      <c r="M799" s="12"/>
      <c r="N799" s="122"/>
      <c r="O799" s="122"/>
      <c r="P799" s="122"/>
      <c r="Q799" s="122"/>
    </row>
    <row r="800" spans="2:17" ht="14.25" customHeight="1" x14ac:dyDescent="0.3">
      <c r="B800" s="23"/>
      <c r="D800" s="25"/>
      <c r="E800" s="25"/>
      <c r="M800" s="12"/>
      <c r="N800" s="122"/>
      <c r="O800" s="122"/>
      <c r="P800" s="122"/>
      <c r="Q800" s="122"/>
    </row>
    <row r="801" spans="2:17" ht="14.25" customHeight="1" x14ac:dyDescent="0.3">
      <c r="B801" s="23"/>
      <c r="D801" s="25"/>
      <c r="E801" s="25"/>
      <c r="M801" s="12"/>
      <c r="N801" s="122"/>
      <c r="O801" s="122"/>
      <c r="P801" s="122"/>
      <c r="Q801" s="122"/>
    </row>
    <row r="802" spans="2:17" ht="14.25" customHeight="1" x14ac:dyDescent="0.3">
      <c r="B802" s="23"/>
      <c r="D802" s="25"/>
      <c r="E802" s="25"/>
      <c r="M802" s="12"/>
      <c r="N802" s="122"/>
      <c r="O802" s="122"/>
      <c r="P802" s="122"/>
      <c r="Q802" s="122"/>
    </row>
    <row r="803" spans="2:17" ht="14.25" customHeight="1" x14ac:dyDescent="0.3">
      <c r="B803" s="23"/>
      <c r="D803" s="25"/>
      <c r="E803" s="25"/>
      <c r="M803" s="12"/>
      <c r="N803" s="122"/>
      <c r="O803" s="122"/>
      <c r="P803" s="122"/>
      <c r="Q803" s="122"/>
    </row>
    <row r="804" spans="2:17" ht="14.25" customHeight="1" x14ac:dyDescent="0.3">
      <c r="B804" s="23"/>
      <c r="D804" s="25"/>
      <c r="E804" s="25"/>
      <c r="M804" s="12"/>
      <c r="N804" s="122"/>
      <c r="O804" s="122"/>
      <c r="P804" s="122"/>
      <c r="Q804" s="122"/>
    </row>
    <row r="805" spans="2:17" ht="14.25" customHeight="1" x14ac:dyDescent="0.3">
      <c r="B805" s="23"/>
      <c r="D805" s="25"/>
      <c r="E805" s="25"/>
      <c r="M805" s="12"/>
      <c r="N805" s="122"/>
      <c r="O805" s="122"/>
      <c r="P805" s="122"/>
      <c r="Q805" s="122"/>
    </row>
    <row r="806" spans="2:17" ht="14.25" customHeight="1" x14ac:dyDescent="0.3">
      <c r="B806" s="23"/>
      <c r="D806" s="25"/>
      <c r="E806" s="25"/>
      <c r="M806" s="12"/>
      <c r="N806" s="122"/>
      <c r="O806" s="122"/>
      <c r="P806" s="122"/>
      <c r="Q806" s="122"/>
    </row>
    <row r="807" spans="2:17" ht="14.25" customHeight="1" x14ac:dyDescent="0.3">
      <c r="B807" s="23"/>
      <c r="D807" s="25"/>
      <c r="E807" s="25"/>
      <c r="M807" s="12"/>
      <c r="N807" s="122"/>
      <c r="O807" s="122"/>
      <c r="P807" s="122"/>
      <c r="Q807" s="122"/>
    </row>
    <row r="808" spans="2:17" ht="14.25" customHeight="1" x14ac:dyDescent="0.3">
      <c r="B808" s="23"/>
      <c r="D808" s="25"/>
      <c r="E808" s="25"/>
      <c r="M808" s="12"/>
      <c r="N808" s="122"/>
      <c r="O808" s="122"/>
      <c r="P808" s="122"/>
      <c r="Q808" s="122"/>
    </row>
    <row r="809" spans="2:17" ht="14.25" customHeight="1" x14ac:dyDescent="0.3">
      <c r="B809" s="23"/>
      <c r="D809" s="25"/>
      <c r="E809" s="25"/>
      <c r="M809" s="12"/>
      <c r="N809" s="122"/>
      <c r="O809" s="122"/>
      <c r="P809" s="122"/>
      <c r="Q809" s="122"/>
    </row>
    <row r="810" spans="2:17" ht="14.25" customHeight="1" x14ac:dyDescent="0.3">
      <c r="B810" s="23"/>
      <c r="D810" s="25"/>
      <c r="E810" s="25"/>
      <c r="M810" s="12"/>
      <c r="N810" s="122"/>
      <c r="O810" s="122"/>
      <c r="P810" s="122"/>
      <c r="Q810" s="122"/>
    </row>
    <row r="811" spans="2:17" ht="14.25" customHeight="1" x14ac:dyDescent="0.3">
      <c r="B811" s="23"/>
      <c r="D811" s="25"/>
      <c r="E811" s="25"/>
      <c r="M811" s="12"/>
      <c r="N811" s="122"/>
      <c r="O811" s="122"/>
      <c r="P811" s="122"/>
      <c r="Q811" s="122"/>
    </row>
    <row r="812" spans="2:17" ht="14.25" customHeight="1" x14ac:dyDescent="0.3">
      <c r="B812" s="23"/>
      <c r="D812" s="25"/>
      <c r="E812" s="25"/>
      <c r="M812" s="12"/>
      <c r="N812" s="122"/>
      <c r="O812" s="122"/>
      <c r="P812" s="122"/>
      <c r="Q812" s="122"/>
    </row>
    <row r="813" spans="2:17" ht="14.25" customHeight="1" x14ac:dyDescent="0.3">
      <c r="B813" s="23"/>
      <c r="D813" s="25"/>
      <c r="E813" s="25"/>
      <c r="M813" s="12"/>
      <c r="N813" s="122"/>
      <c r="O813" s="122"/>
      <c r="P813" s="122"/>
      <c r="Q813" s="122"/>
    </row>
    <row r="814" spans="2:17" ht="14.25" customHeight="1" x14ac:dyDescent="0.3">
      <c r="B814" s="23"/>
      <c r="D814" s="25"/>
      <c r="E814" s="25"/>
      <c r="M814" s="12"/>
      <c r="N814" s="122"/>
      <c r="O814" s="122"/>
      <c r="P814" s="122"/>
      <c r="Q814" s="122"/>
    </row>
    <row r="815" spans="2:17" ht="14.25" customHeight="1" x14ac:dyDescent="0.3">
      <c r="B815" s="23"/>
      <c r="D815" s="25"/>
      <c r="E815" s="25"/>
      <c r="M815" s="12"/>
      <c r="N815" s="122"/>
      <c r="O815" s="122"/>
      <c r="P815" s="122"/>
      <c r="Q815" s="122"/>
    </row>
    <row r="816" spans="2:17" ht="14.25" customHeight="1" x14ac:dyDescent="0.3">
      <c r="B816" s="23"/>
      <c r="D816" s="25"/>
      <c r="E816" s="25"/>
      <c r="M816" s="12"/>
      <c r="N816" s="122"/>
      <c r="O816" s="122"/>
      <c r="P816" s="122"/>
      <c r="Q816" s="122"/>
    </row>
    <row r="817" spans="2:17" ht="14.25" customHeight="1" x14ac:dyDescent="0.3">
      <c r="B817" s="23"/>
      <c r="D817" s="25"/>
      <c r="E817" s="25"/>
      <c r="M817" s="12"/>
      <c r="N817" s="122"/>
      <c r="O817" s="122"/>
      <c r="P817" s="122"/>
      <c r="Q817" s="122"/>
    </row>
    <row r="818" spans="2:17" ht="14.25" customHeight="1" x14ac:dyDescent="0.3">
      <c r="B818" s="23"/>
      <c r="D818" s="25"/>
      <c r="E818" s="25"/>
      <c r="M818" s="12"/>
      <c r="N818" s="122"/>
      <c r="O818" s="122"/>
      <c r="P818" s="122"/>
      <c r="Q818" s="122"/>
    </row>
    <row r="819" spans="2:17" ht="14.25" customHeight="1" x14ac:dyDescent="0.3">
      <c r="B819" s="23"/>
      <c r="D819" s="25"/>
      <c r="E819" s="25"/>
      <c r="M819" s="12"/>
      <c r="N819" s="122"/>
      <c r="O819" s="122"/>
      <c r="P819" s="122"/>
      <c r="Q819" s="122"/>
    </row>
    <row r="820" spans="2:17" ht="14.25" customHeight="1" x14ac:dyDescent="0.3">
      <c r="B820" s="23"/>
      <c r="D820" s="25"/>
      <c r="E820" s="25"/>
      <c r="M820" s="12"/>
      <c r="N820" s="122"/>
      <c r="O820" s="122"/>
      <c r="P820" s="122"/>
      <c r="Q820" s="122"/>
    </row>
    <row r="821" spans="2:17" ht="14.25" customHeight="1" x14ac:dyDescent="0.3">
      <c r="B821" s="23"/>
      <c r="D821" s="25"/>
      <c r="E821" s="25"/>
      <c r="M821" s="12"/>
      <c r="N821" s="122"/>
      <c r="O821" s="122"/>
      <c r="P821" s="122"/>
      <c r="Q821" s="122"/>
    </row>
    <row r="822" spans="2:17" ht="14.25" customHeight="1" x14ac:dyDescent="0.3">
      <c r="B822" s="23"/>
      <c r="D822" s="25"/>
      <c r="E822" s="25"/>
      <c r="M822" s="12"/>
      <c r="N822" s="122"/>
      <c r="O822" s="122"/>
      <c r="P822" s="122"/>
      <c r="Q822" s="122"/>
    </row>
    <row r="823" spans="2:17" ht="14.25" customHeight="1" x14ac:dyDescent="0.3">
      <c r="B823" s="23"/>
      <c r="D823" s="25"/>
      <c r="E823" s="25"/>
      <c r="M823" s="12"/>
      <c r="N823" s="122"/>
      <c r="O823" s="122"/>
      <c r="P823" s="122"/>
      <c r="Q823" s="122"/>
    </row>
    <row r="824" spans="2:17" ht="14.25" customHeight="1" x14ac:dyDescent="0.3">
      <c r="B824" s="23"/>
      <c r="D824" s="25"/>
      <c r="E824" s="25"/>
      <c r="M824" s="12"/>
      <c r="N824" s="122"/>
      <c r="O824" s="122"/>
      <c r="P824" s="122"/>
      <c r="Q824" s="122"/>
    </row>
    <row r="825" spans="2:17" ht="14.25" customHeight="1" x14ac:dyDescent="0.3">
      <c r="B825" s="23"/>
      <c r="D825" s="25"/>
      <c r="E825" s="25"/>
      <c r="M825" s="12"/>
      <c r="N825" s="122"/>
      <c r="O825" s="122"/>
      <c r="P825" s="122"/>
      <c r="Q825" s="122"/>
    </row>
    <row r="826" spans="2:17" ht="14.25" customHeight="1" x14ac:dyDescent="0.3">
      <c r="B826" s="23"/>
      <c r="D826" s="25"/>
      <c r="E826" s="25"/>
      <c r="M826" s="12"/>
      <c r="N826" s="122"/>
      <c r="O826" s="122"/>
      <c r="P826" s="122"/>
      <c r="Q826" s="122"/>
    </row>
    <row r="827" spans="2:17" ht="14.25" customHeight="1" x14ac:dyDescent="0.3">
      <c r="B827" s="23"/>
      <c r="D827" s="25"/>
      <c r="E827" s="25"/>
      <c r="M827" s="12"/>
      <c r="N827" s="122"/>
      <c r="O827" s="122"/>
      <c r="P827" s="122"/>
      <c r="Q827" s="122"/>
    </row>
    <row r="828" spans="2:17" ht="14.25" customHeight="1" x14ac:dyDescent="0.3">
      <c r="B828" s="23"/>
      <c r="D828" s="25"/>
      <c r="E828" s="25"/>
      <c r="M828" s="12"/>
      <c r="N828" s="122"/>
      <c r="O828" s="122"/>
      <c r="P828" s="122"/>
      <c r="Q828" s="122"/>
    </row>
    <row r="829" spans="2:17" ht="14.25" customHeight="1" x14ac:dyDescent="0.3">
      <c r="B829" s="23"/>
      <c r="D829" s="25"/>
      <c r="E829" s="25"/>
      <c r="M829" s="12"/>
      <c r="N829" s="122"/>
      <c r="O829" s="122"/>
      <c r="P829" s="122"/>
      <c r="Q829" s="122"/>
    </row>
    <row r="830" spans="2:17" ht="14.25" customHeight="1" x14ac:dyDescent="0.3">
      <c r="B830" s="23"/>
      <c r="D830" s="25"/>
      <c r="E830" s="25"/>
      <c r="M830" s="12"/>
      <c r="N830" s="122"/>
      <c r="O830" s="122"/>
      <c r="P830" s="122"/>
      <c r="Q830" s="122"/>
    </row>
    <row r="831" spans="2:17" ht="14.25" customHeight="1" x14ac:dyDescent="0.3">
      <c r="B831" s="23"/>
      <c r="D831" s="25"/>
      <c r="E831" s="25"/>
      <c r="M831" s="12"/>
      <c r="N831" s="122"/>
      <c r="O831" s="122"/>
      <c r="P831" s="122"/>
      <c r="Q831" s="122"/>
    </row>
    <row r="832" spans="2:17" ht="14.25" customHeight="1" x14ac:dyDescent="0.3">
      <c r="B832" s="23"/>
      <c r="D832" s="25"/>
      <c r="E832" s="25"/>
      <c r="M832" s="12"/>
      <c r="N832" s="122"/>
      <c r="O832" s="122"/>
      <c r="P832" s="122"/>
      <c r="Q832" s="122"/>
    </row>
    <row r="833" spans="2:17" ht="14.25" customHeight="1" x14ac:dyDescent="0.3">
      <c r="B833" s="23"/>
      <c r="D833" s="25"/>
      <c r="E833" s="25"/>
      <c r="M833" s="12"/>
      <c r="N833" s="122"/>
      <c r="O833" s="122"/>
      <c r="P833" s="122"/>
      <c r="Q833" s="122"/>
    </row>
    <row r="834" spans="2:17" ht="14.25" customHeight="1" x14ac:dyDescent="0.3">
      <c r="B834" s="23"/>
      <c r="D834" s="25"/>
      <c r="E834" s="25"/>
      <c r="M834" s="12"/>
      <c r="N834" s="122"/>
      <c r="O834" s="122"/>
      <c r="P834" s="122"/>
      <c r="Q834" s="122"/>
    </row>
    <row r="835" spans="2:17" ht="14.25" customHeight="1" x14ac:dyDescent="0.3">
      <c r="B835" s="23"/>
      <c r="D835" s="25"/>
      <c r="E835" s="25"/>
      <c r="M835" s="12"/>
      <c r="N835" s="122"/>
      <c r="O835" s="122"/>
      <c r="P835" s="122"/>
      <c r="Q835" s="122"/>
    </row>
    <row r="836" spans="2:17" ht="14.25" customHeight="1" x14ac:dyDescent="0.3">
      <c r="B836" s="23"/>
      <c r="D836" s="25"/>
      <c r="E836" s="25"/>
      <c r="M836" s="12"/>
      <c r="N836" s="122"/>
      <c r="O836" s="122"/>
      <c r="P836" s="122"/>
      <c r="Q836" s="122"/>
    </row>
    <row r="837" spans="2:17" ht="14.25" customHeight="1" x14ac:dyDescent="0.3">
      <c r="B837" s="23"/>
      <c r="D837" s="25"/>
      <c r="E837" s="25"/>
      <c r="M837" s="12"/>
      <c r="N837" s="122"/>
      <c r="O837" s="122"/>
      <c r="P837" s="122"/>
      <c r="Q837" s="122"/>
    </row>
    <row r="838" spans="2:17" ht="14.25" customHeight="1" x14ac:dyDescent="0.3">
      <c r="B838" s="23"/>
      <c r="D838" s="25"/>
      <c r="E838" s="25"/>
      <c r="M838" s="12"/>
      <c r="N838" s="122"/>
      <c r="O838" s="122"/>
      <c r="P838" s="122"/>
      <c r="Q838" s="122"/>
    </row>
    <row r="839" spans="2:17" ht="14.25" customHeight="1" x14ac:dyDescent="0.3">
      <c r="B839" s="23"/>
      <c r="D839" s="25"/>
      <c r="E839" s="25"/>
      <c r="M839" s="12"/>
      <c r="N839" s="122"/>
      <c r="O839" s="122"/>
      <c r="P839" s="122"/>
      <c r="Q839" s="122"/>
    </row>
    <row r="840" spans="2:17" ht="14.25" customHeight="1" x14ac:dyDescent="0.3">
      <c r="B840" s="23"/>
      <c r="D840" s="25"/>
      <c r="E840" s="25"/>
      <c r="M840" s="12"/>
      <c r="N840" s="122"/>
      <c r="O840" s="122"/>
      <c r="P840" s="122"/>
      <c r="Q840" s="122"/>
    </row>
    <row r="841" spans="2:17" ht="14.25" customHeight="1" x14ac:dyDescent="0.3">
      <c r="B841" s="23"/>
      <c r="D841" s="25"/>
      <c r="E841" s="25"/>
      <c r="M841" s="12"/>
      <c r="N841" s="122"/>
      <c r="O841" s="122"/>
      <c r="P841" s="122"/>
      <c r="Q841" s="122"/>
    </row>
    <row r="842" spans="2:17" ht="14.25" customHeight="1" x14ac:dyDescent="0.3">
      <c r="B842" s="23"/>
      <c r="D842" s="25"/>
      <c r="E842" s="25"/>
      <c r="M842" s="12"/>
      <c r="N842" s="122"/>
      <c r="O842" s="122"/>
      <c r="P842" s="122"/>
      <c r="Q842" s="122"/>
    </row>
    <row r="843" spans="2:17" ht="14.25" customHeight="1" x14ac:dyDescent="0.3">
      <c r="B843" s="23"/>
      <c r="D843" s="25"/>
      <c r="E843" s="25"/>
      <c r="M843" s="12"/>
      <c r="N843" s="122"/>
      <c r="O843" s="122"/>
      <c r="P843" s="122"/>
      <c r="Q843" s="122"/>
    </row>
    <row r="844" spans="2:17" ht="14.25" customHeight="1" x14ac:dyDescent="0.3">
      <c r="B844" s="23"/>
      <c r="D844" s="25"/>
      <c r="E844" s="25"/>
      <c r="M844" s="12"/>
      <c r="N844" s="122"/>
      <c r="O844" s="122"/>
      <c r="P844" s="122"/>
      <c r="Q844" s="122"/>
    </row>
    <row r="845" spans="2:17" ht="14.25" customHeight="1" x14ac:dyDescent="0.3">
      <c r="B845" s="23"/>
      <c r="D845" s="25"/>
      <c r="E845" s="25"/>
      <c r="M845" s="12"/>
      <c r="N845" s="122"/>
      <c r="O845" s="122"/>
      <c r="P845" s="122"/>
      <c r="Q845" s="122"/>
    </row>
    <row r="846" spans="2:17" ht="14.25" customHeight="1" x14ac:dyDescent="0.3">
      <c r="B846" s="23"/>
      <c r="D846" s="25"/>
      <c r="E846" s="25"/>
      <c r="M846" s="12"/>
      <c r="N846" s="122"/>
      <c r="O846" s="122"/>
      <c r="P846" s="122"/>
      <c r="Q846" s="122"/>
    </row>
    <row r="847" spans="2:17" ht="14.25" customHeight="1" x14ac:dyDescent="0.3">
      <c r="B847" s="23"/>
      <c r="D847" s="25"/>
      <c r="E847" s="25"/>
      <c r="M847" s="12"/>
      <c r="N847" s="122"/>
      <c r="O847" s="122"/>
      <c r="P847" s="122"/>
      <c r="Q847" s="122"/>
    </row>
    <row r="848" spans="2:17" ht="14.25" customHeight="1" x14ac:dyDescent="0.3">
      <c r="B848" s="23"/>
      <c r="D848" s="25"/>
      <c r="E848" s="25"/>
      <c r="M848" s="12"/>
      <c r="N848" s="122"/>
      <c r="O848" s="122"/>
      <c r="P848" s="122"/>
      <c r="Q848" s="122"/>
    </row>
    <row r="849" spans="2:17" ht="14.25" customHeight="1" x14ac:dyDescent="0.3">
      <c r="B849" s="23"/>
      <c r="D849" s="25"/>
      <c r="E849" s="25"/>
      <c r="M849" s="12"/>
      <c r="N849" s="122"/>
      <c r="O849" s="122"/>
      <c r="P849" s="122"/>
      <c r="Q849" s="122"/>
    </row>
    <row r="850" spans="2:17" ht="14.25" customHeight="1" x14ac:dyDescent="0.3">
      <c r="B850" s="23"/>
      <c r="D850" s="25"/>
      <c r="E850" s="25"/>
      <c r="M850" s="12"/>
      <c r="N850" s="122"/>
      <c r="O850" s="122"/>
      <c r="P850" s="122"/>
      <c r="Q850" s="122"/>
    </row>
    <row r="851" spans="2:17" ht="14.25" customHeight="1" x14ac:dyDescent="0.3">
      <c r="B851" s="23"/>
      <c r="D851" s="25"/>
      <c r="E851" s="25"/>
      <c r="M851" s="12"/>
      <c r="N851" s="122"/>
      <c r="O851" s="122"/>
      <c r="P851" s="122"/>
      <c r="Q851" s="122"/>
    </row>
    <row r="852" spans="2:17" ht="14.25" customHeight="1" x14ac:dyDescent="0.3">
      <c r="B852" s="23"/>
      <c r="D852" s="25"/>
      <c r="E852" s="25"/>
      <c r="M852" s="12"/>
      <c r="N852" s="122"/>
      <c r="O852" s="122"/>
      <c r="P852" s="122"/>
      <c r="Q852" s="122"/>
    </row>
    <row r="853" spans="2:17" ht="14.25" customHeight="1" x14ac:dyDescent="0.3">
      <c r="B853" s="23"/>
      <c r="D853" s="25"/>
      <c r="E853" s="25"/>
      <c r="M853" s="12"/>
      <c r="N853" s="122"/>
      <c r="O853" s="122"/>
      <c r="P853" s="122"/>
      <c r="Q853" s="122"/>
    </row>
    <row r="854" spans="2:17" ht="14.25" customHeight="1" x14ac:dyDescent="0.3">
      <c r="B854" s="23"/>
      <c r="D854" s="25"/>
      <c r="E854" s="25"/>
      <c r="M854" s="12"/>
      <c r="N854" s="122"/>
      <c r="O854" s="122"/>
      <c r="P854" s="122"/>
      <c r="Q854" s="122"/>
    </row>
    <row r="855" spans="2:17" ht="14.25" customHeight="1" x14ac:dyDescent="0.3">
      <c r="B855" s="23"/>
      <c r="D855" s="25"/>
      <c r="E855" s="25"/>
      <c r="M855" s="12"/>
      <c r="N855" s="122"/>
      <c r="O855" s="122"/>
      <c r="P855" s="122"/>
      <c r="Q855" s="122"/>
    </row>
    <row r="856" spans="2:17" ht="14.25" customHeight="1" x14ac:dyDescent="0.3">
      <c r="B856" s="23"/>
      <c r="D856" s="25"/>
      <c r="E856" s="25"/>
      <c r="M856" s="12"/>
      <c r="N856" s="122"/>
      <c r="O856" s="122"/>
      <c r="P856" s="122"/>
      <c r="Q856" s="122"/>
    </row>
    <row r="857" spans="2:17" ht="14.25" customHeight="1" x14ac:dyDescent="0.3">
      <c r="B857" s="23"/>
      <c r="D857" s="25"/>
      <c r="E857" s="25"/>
      <c r="M857" s="12"/>
      <c r="N857" s="122"/>
      <c r="O857" s="122"/>
      <c r="P857" s="122"/>
      <c r="Q857" s="122"/>
    </row>
    <row r="858" spans="2:17" ht="14.25" customHeight="1" x14ac:dyDescent="0.3">
      <c r="B858" s="23"/>
      <c r="D858" s="25"/>
      <c r="E858" s="25"/>
      <c r="M858" s="12"/>
      <c r="N858" s="122"/>
      <c r="O858" s="122"/>
      <c r="P858" s="122"/>
      <c r="Q858" s="122"/>
    </row>
    <row r="859" spans="2:17" ht="14.25" customHeight="1" x14ac:dyDescent="0.3">
      <c r="B859" s="23"/>
      <c r="D859" s="25"/>
      <c r="E859" s="25"/>
      <c r="M859" s="12"/>
      <c r="N859" s="122"/>
      <c r="O859" s="122"/>
      <c r="P859" s="122"/>
      <c r="Q859" s="122"/>
    </row>
    <row r="860" spans="2:17" ht="14.25" customHeight="1" x14ac:dyDescent="0.3">
      <c r="B860" s="23"/>
      <c r="D860" s="25"/>
      <c r="E860" s="25"/>
      <c r="M860" s="12"/>
      <c r="N860" s="122"/>
      <c r="O860" s="122"/>
      <c r="P860" s="122"/>
      <c r="Q860" s="122"/>
    </row>
    <row r="861" spans="2:17" ht="14.25" customHeight="1" x14ac:dyDescent="0.3">
      <c r="B861" s="23"/>
      <c r="D861" s="25"/>
      <c r="E861" s="25"/>
      <c r="M861" s="12"/>
      <c r="N861" s="122"/>
      <c r="O861" s="122"/>
      <c r="P861" s="122"/>
      <c r="Q861" s="122"/>
    </row>
    <row r="862" spans="2:17" ht="14.25" customHeight="1" x14ac:dyDescent="0.3">
      <c r="B862" s="23"/>
      <c r="D862" s="25"/>
      <c r="E862" s="25"/>
      <c r="M862" s="12"/>
      <c r="N862" s="122"/>
      <c r="O862" s="122"/>
      <c r="P862" s="122"/>
      <c r="Q862" s="122"/>
    </row>
    <row r="863" spans="2:17" ht="14.25" customHeight="1" x14ac:dyDescent="0.3">
      <c r="B863" s="23"/>
      <c r="D863" s="25"/>
      <c r="E863" s="25"/>
      <c r="M863" s="12"/>
      <c r="N863" s="122"/>
      <c r="O863" s="122"/>
      <c r="P863" s="122"/>
      <c r="Q863" s="122"/>
    </row>
    <row r="864" spans="2:17" ht="14.25" customHeight="1" x14ac:dyDescent="0.3">
      <c r="B864" s="23"/>
      <c r="D864" s="25"/>
      <c r="E864" s="25"/>
      <c r="M864" s="12"/>
      <c r="N864" s="122"/>
      <c r="O864" s="122"/>
      <c r="P864" s="122"/>
      <c r="Q864" s="122"/>
    </row>
    <row r="865" spans="2:17" ht="14.25" customHeight="1" x14ac:dyDescent="0.3">
      <c r="B865" s="23"/>
      <c r="D865" s="25"/>
      <c r="E865" s="25"/>
      <c r="M865" s="12"/>
      <c r="N865" s="122"/>
      <c r="O865" s="122"/>
      <c r="P865" s="122"/>
      <c r="Q865" s="122"/>
    </row>
    <row r="866" spans="2:17" ht="14.25" customHeight="1" x14ac:dyDescent="0.3">
      <c r="B866" s="23"/>
      <c r="D866" s="25"/>
      <c r="E866" s="25"/>
      <c r="M866" s="12"/>
      <c r="N866" s="122"/>
      <c r="O866" s="122"/>
      <c r="P866" s="122"/>
      <c r="Q866" s="122"/>
    </row>
    <row r="867" spans="2:17" ht="14.25" customHeight="1" x14ac:dyDescent="0.3">
      <c r="B867" s="23"/>
      <c r="D867" s="25"/>
      <c r="E867" s="25"/>
      <c r="M867" s="12"/>
      <c r="N867" s="122"/>
      <c r="O867" s="122"/>
      <c r="P867" s="122"/>
      <c r="Q867" s="122"/>
    </row>
    <row r="868" spans="2:17" ht="14.25" customHeight="1" x14ac:dyDescent="0.3">
      <c r="B868" s="23"/>
      <c r="D868" s="25"/>
      <c r="E868" s="25"/>
      <c r="M868" s="12"/>
      <c r="N868" s="122"/>
      <c r="O868" s="122"/>
      <c r="P868" s="122"/>
      <c r="Q868" s="122"/>
    </row>
    <row r="869" spans="2:17" ht="14.25" customHeight="1" x14ac:dyDescent="0.3">
      <c r="B869" s="23"/>
      <c r="D869" s="25"/>
      <c r="E869" s="25"/>
      <c r="M869" s="12"/>
      <c r="N869" s="122"/>
      <c r="O869" s="122"/>
      <c r="P869" s="122"/>
      <c r="Q869" s="122"/>
    </row>
    <row r="870" spans="2:17" ht="14.25" customHeight="1" x14ac:dyDescent="0.3">
      <c r="B870" s="23"/>
      <c r="D870" s="25"/>
      <c r="E870" s="25"/>
      <c r="M870" s="12"/>
      <c r="N870" s="122"/>
      <c r="O870" s="122"/>
      <c r="P870" s="122"/>
      <c r="Q870" s="122"/>
    </row>
    <row r="871" spans="2:17" ht="14.25" customHeight="1" x14ac:dyDescent="0.3">
      <c r="B871" s="23"/>
      <c r="D871" s="25"/>
      <c r="E871" s="25"/>
      <c r="M871" s="12"/>
      <c r="N871" s="122"/>
      <c r="O871" s="122"/>
      <c r="P871" s="122"/>
      <c r="Q871" s="122"/>
    </row>
    <row r="872" spans="2:17" ht="14.25" customHeight="1" x14ac:dyDescent="0.3">
      <c r="B872" s="23"/>
      <c r="D872" s="25"/>
      <c r="E872" s="25"/>
      <c r="M872" s="12"/>
      <c r="N872" s="122"/>
      <c r="O872" s="122"/>
      <c r="P872" s="122"/>
      <c r="Q872" s="122"/>
    </row>
    <row r="873" spans="2:17" ht="14.25" customHeight="1" x14ac:dyDescent="0.3">
      <c r="B873" s="23"/>
      <c r="D873" s="25"/>
      <c r="E873" s="25"/>
      <c r="M873" s="12"/>
      <c r="N873" s="122"/>
      <c r="O873" s="122"/>
      <c r="P873" s="122"/>
      <c r="Q873" s="122"/>
    </row>
    <row r="874" spans="2:17" ht="14.25" customHeight="1" x14ac:dyDescent="0.3">
      <c r="B874" s="23"/>
      <c r="D874" s="25"/>
      <c r="E874" s="25"/>
      <c r="M874" s="12"/>
      <c r="N874" s="122"/>
      <c r="O874" s="122"/>
      <c r="P874" s="122"/>
      <c r="Q874" s="122"/>
    </row>
    <row r="875" spans="2:17" ht="14.25" customHeight="1" x14ac:dyDescent="0.3">
      <c r="B875" s="23"/>
      <c r="D875" s="25"/>
      <c r="E875" s="25"/>
      <c r="M875" s="12"/>
      <c r="N875" s="122"/>
      <c r="O875" s="122"/>
      <c r="P875" s="122"/>
      <c r="Q875" s="122"/>
    </row>
    <row r="876" spans="2:17" ht="14.25" customHeight="1" x14ac:dyDescent="0.3">
      <c r="B876" s="23"/>
      <c r="D876" s="25"/>
      <c r="E876" s="25"/>
      <c r="M876" s="12"/>
      <c r="N876" s="122"/>
      <c r="O876" s="122"/>
      <c r="P876" s="122"/>
      <c r="Q876" s="122"/>
    </row>
    <row r="877" spans="2:17" ht="14.25" customHeight="1" x14ac:dyDescent="0.3">
      <c r="B877" s="23"/>
      <c r="D877" s="25"/>
      <c r="E877" s="25"/>
      <c r="M877" s="12"/>
      <c r="N877" s="122"/>
      <c r="O877" s="122"/>
      <c r="P877" s="122"/>
      <c r="Q877" s="122"/>
    </row>
    <row r="878" spans="2:17" ht="14.25" customHeight="1" x14ac:dyDescent="0.3">
      <c r="B878" s="23"/>
      <c r="D878" s="25"/>
      <c r="E878" s="25"/>
      <c r="M878" s="12"/>
      <c r="N878" s="122"/>
      <c r="O878" s="122"/>
      <c r="P878" s="122"/>
      <c r="Q878" s="122"/>
    </row>
    <row r="879" spans="2:17" ht="14.25" customHeight="1" x14ac:dyDescent="0.3">
      <c r="B879" s="23"/>
      <c r="D879" s="25"/>
      <c r="E879" s="25"/>
      <c r="M879" s="12"/>
      <c r="N879" s="122"/>
      <c r="O879" s="122"/>
      <c r="P879" s="122"/>
      <c r="Q879" s="122"/>
    </row>
    <row r="880" spans="2:17" ht="14.25" customHeight="1" x14ac:dyDescent="0.3">
      <c r="B880" s="23"/>
      <c r="D880" s="25"/>
      <c r="E880" s="25"/>
      <c r="M880" s="12"/>
      <c r="N880" s="122"/>
      <c r="O880" s="122"/>
      <c r="P880" s="122"/>
      <c r="Q880" s="122"/>
    </row>
    <row r="881" spans="2:17" ht="14.25" customHeight="1" x14ac:dyDescent="0.3">
      <c r="B881" s="23"/>
      <c r="D881" s="25"/>
      <c r="E881" s="25"/>
      <c r="M881" s="12"/>
      <c r="N881" s="122"/>
      <c r="O881" s="122"/>
      <c r="P881" s="122"/>
      <c r="Q881" s="122"/>
    </row>
    <row r="882" spans="2:17" ht="14.25" customHeight="1" x14ac:dyDescent="0.3">
      <c r="B882" s="23"/>
      <c r="D882" s="25"/>
      <c r="E882" s="25"/>
      <c r="M882" s="12"/>
      <c r="N882" s="122"/>
      <c r="O882" s="122"/>
      <c r="P882" s="122"/>
      <c r="Q882" s="122"/>
    </row>
    <row r="883" spans="2:17" ht="14.25" customHeight="1" x14ac:dyDescent="0.3">
      <c r="B883" s="23"/>
      <c r="D883" s="25"/>
      <c r="E883" s="25"/>
      <c r="M883" s="12"/>
      <c r="N883" s="122"/>
      <c r="O883" s="122"/>
      <c r="P883" s="122"/>
      <c r="Q883" s="122"/>
    </row>
    <row r="884" spans="2:17" ht="14.25" customHeight="1" x14ac:dyDescent="0.3">
      <c r="B884" s="23"/>
      <c r="D884" s="25"/>
      <c r="E884" s="25"/>
      <c r="M884" s="12"/>
      <c r="N884" s="122"/>
      <c r="O884" s="122"/>
      <c r="P884" s="122"/>
      <c r="Q884" s="122"/>
    </row>
    <row r="885" spans="2:17" ht="14.25" customHeight="1" x14ac:dyDescent="0.3">
      <c r="B885" s="23"/>
      <c r="D885" s="25"/>
      <c r="E885" s="25"/>
      <c r="M885" s="12"/>
      <c r="N885" s="122"/>
      <c r="O885" s="122"/>
      <c r="P885" s="122"/>
      <c r="Q885" s="122"/>
    </row>
    <row r="886" spans="2:17" ht="14.25" customHeight="1" x14ac:dyDescent="0.3">
      <c r="B886" s="23"/>
      <c r="D886" s="25"/>
      <c r="E886" s="25"/>
      <c r="M886" s="12"/>
      <c r="N886" s="122"/>
      <c r="O886" s="122"/>
      <c r="P886" s="122"/>
      <c r="Q886" s="122"/>
    </row>
    <row r="887" spans="2:17" ht="14.25" customHeight="1" x14ac:dyDescent="0.3">
      <c r="B887" s="23"/>
      <c r="D887" s="25"/>
      <c r="E887" s="25"/>
      <c r="M887" s="12"/>
      <c r="N887" s="122"/>
      <c r="O887" s="122"/>
      <c r="P887" s="122"/>
      <c r="Q887" s="122"/>
    </row>
    <row r="888" spans="2:17" ht="14.25" customHeight="1" x14ac:dyDescent="0.3">
      <c r="B888" s="23"/>
      <c r="D888" s="25"/>
      <c r="E888" s="25"/>
      <c r="M888" s="12"/>
      <c r="N888" s="122"/>
      <c r="O888" s="122"/>
      <c r="P888" s="122"/>
      <c r="Q888" s="122"/>
    </row>
    <row r="889" spans="2:17" ht="14.25" customHeight="1" x14ac:dyDescent="0.3">
      <c r="B889" s="23"/>
      <c r="D889" s="25"/>
      <c r="E889" s="25"/>
      <c r="M889" s="12"/>
      <c r="N889" s="122"/>
      <c r="O889" s="122"/>
      <c r="P889" s="122"/>
      <c r="Q889" s="122"/>
    </row>
    <row r="890" spans="2:17" ht="14.25" customHeight="1" x14ac:dyDescent="0.3">
      <c r="B890" s="23"/>
      <c r="D890" s="25"/>
      <c r="E890" s="25"/>
      <c r="M890" s="12"/>
      <c r="N890" s="122"/>
      <c r="O890" s="122"/>
      <c r="P890" s="122"/>
      <c r="Q890" s="122"/>
    </row>
    <row r="891" spans="2:17" ht="14.25" customHeight="1" x14ac:dyDescent="0.3">
      <c r="B891" s="23"/>
      <c r="D891" s="25"/>
      <c r="E891" s="25"/>
      <c r="M891" s="12"/>
      <c r="N891" s="122"/>
      <c r="O891" s="122"/>
      <c r="P891" s="122"/>
      <c r="Q891" s="122"/>
    </row>
    <row r="892" spans="2:17" ht="14.25" customHeight="1" x14ac:dyDescent="0.3">
      <c r="B892" s="23"/>
      <c r="D892" s="25"/>
      <c r="E892" s="25"/>
      <c r="M892" s="12"/>
      <c r="N892" s="122"/>
      <c r="O892" s="122"/>
      <c r="P892" s="122"/>
      <c r="Q892" s="122"/>
    </row>
    <row r="893" spans="2:17" ht="14.25" customHeight="1" x14ac:dyDescent="0.3">
      <c r="B893" s="23"/>
      <c r="D893" s="25"/>
      <c r="E893" s="25"/>
      <c r="M893" s="12"/>
      <c r="N893" s="122"/>
      <c r="O893" s="122"/>
      <c r="P893" s="122"/>
      <c r="Q893" s="122"/>
    </row>
    <row r="894" spans="2:17" ht="14.25" customHeight="1" x14ac:dyDescent="0.3">
      <c r="B894" s="23"/>
      <c r="D894" s="25"/>
      <c r="E894" s="25"/>
      <c r="M894" s="12"/>
      <c r="N894" s="122"/>
      <c r="O894" s="122"/>
      <c r="P894" s="122"/>
      <c r="Q894" s="122"/>
    </row>
    <row r="895" spans="2:17" ht="14.25" customHeight="1" x14ac:dyDescent="0.3">
      <c r="B895" s="23"/>
      <c r="D895" s="25"/>
      <c r="E895" s="25"/>
      <c r="M895" s="12"/>
      <c r="N895" s="122"/>
      <c r="O895" s="122"/>
      <c r="P895" s="122"/>
      <c r="Q895" s="122"/>
    </row>
    <row r="896" spans="2:17" ht="14.25" customHeight="1" x14ac:dyDescent="0.3">
      <c r="B896" s="23"/>
      <c r="D896" s="25"/>
      <c r="E896" s="25"/>
      <c r="M896" s="12"/>
      <c r="N896" s="122"/>
      <c r="O896" s="122"/>
      <c r="P896" s="122"/>
      <c r="Q896" s="122"/>
    </row>
    <row r="897" spans="2:17" ht="14.25" customHeight="1" x14ac:dyDescent="0.3">
      <c r="B897" s="23"/>
      <c r="D897" s="25"/>
      <c r="E897" s="25"/>
      <c r="M897" s="12"/>
      <c r="N897" s="122"/>
      <c r="O897" s="122"/>
      <c r="P897" s="122"/>
      <c r="Q897" s="122"/>
    </row>
    <row r="898" spans="2:17" ht="14.25" customHeight="1" x14ac:dyDescent="0.3">
      <c r="B898" s="23"/>
      <c r="D898" s="25"/>
      <c r="E898" s="25"/>
      <c r="M898" s="12"/>
      <c r="N898" s="122"/>
      <c r="O898" s="122"/>
      <c r="P898" s="122"/>
      <c r="Q898" s="122"/>
    </row>
    <row r="899" spans="2:17" ht="14.25" customHeight="1" x14ac:dyDescent="0.3">
      <c r="B899" s="23"/>
      <c r="D899" s="25"/>
      <c r="E899" s="25"/>
      <c r="M899" s="12"/>
      <c r="N899" s="122"/>
      <c r="O899" s="122"/>
      <c r="P899" s="122"/>
      <c r="Q899" s="122"/>
    </row>
    <row r="900" spans="2:17" ht="14.25" customHeight="1" x14ac:dyDescent="0.3">
      <c r="B900" s="23"/>
      <c r="D900" s="25"/>
      <c r="E900" s="25"/>
      <c r="M900" s="12"/>
      <c r="N900" s="122"/>
      <c r="O900" s="122"/>
      <c r="P900" s="122"/>
      <c r="Q900" s="122"/>
    </row>
    <row r="901" spans="2:17" ht="14.25" customHeight="1" x14ac:dyDescent="0.3">
      <c r="B901" s="23"/>
      <c r="D901" s="25"/>
      <c r="E901" s="25"/>
      <c r="M901" s="12"/>
      <c r="N901" s="122"/>
      <c r="O901" s="122"/>
      <c r="P901" s="122"/>
      <c r="Q901" s="122"/>
    </row>
    <row r="902" spans="2:17" ht="14.25" customHeight="1" x14ac:dyDescent="0.3">
      <c r="B902" s="23"/>
      <c r="D902" s="25"/>
      <c r="E902" s="25"/>
      <c r="M902" s="12"/>
      <c r="N902" s="122"/>
      <c r="O902" s="122"/>
      <c r="P902" s="122"/>
      <c r="Q902" s="122"/>
    </row>
    <row r="903" spans="2:17" ht="14.25" customHeight="1" x14ac:dyDescent="0.3">
      <c r="B903" s="23"/>
      <c r="D903" s="25"/>
      <c r="E903" s="25"/>
      <c r="M903" s="12"/>
      <c r="N903" s="122"/>
      <c r="O903" s="122"/>
      <c r="P903" s="122"/>
      <c r="Q903" s="122"/>
    </row>
    <row r="904" spans="2:17" ht="14.25" customHeight="1" x14ac:dyDescent="0.3">
      <c r="B904" s="23"/>
      <c r="D904" s="25"/>
      <c r="E904" s="25"/>
      <c r="M904" s="12"/>
      <c r="N904" s="122"/>
      <c r="O904" s="122"/>
      <c r="P904" s="122"/>
      <c r="Q904" s="122"/>
    </row>
    <row r="905" spans="2:17" ht="14.25" customHeight="1" x14ac:dyDescent="0.3">
      <c r="B905" s="23"/>
      <c r="D905" s="25"/>
      <c r="E905" s="25"/>
      <c r="M905" s="12"/>
      <c r="N905" s="122"/>
      <c r="O905" s="122"/>
      <c r="P905" s="122"/>
      <c r="Q905" s="122"/>
    </row>
    <row r="906" spans="2:17" ht="14.25" customHeight="1" x14ac:dyDescent="0.3">
      <c r="B906" s="23"/>
      <c r="D906" s="25"/>
      <c r="E906" s="25"/>
      <c r="M906" s="12"/>
      <c r="N906" s="122"/>
      <c r="O906" s="122"/>
      <c r="P906" s="122"/>
      <c r="Q906" s="122"/>
    </row>
    <row r="907" spans="2:17" ht="14.25" customHeight="1" x14ac:dyDescent="0.3">
      <c r="B907" s="23"/>
      <c r="D907" s="25"/>
      <c r="E907" s="25"/>
      <c r="M907" s="12"/>
      <c r="N907" s="122"/>
      <c r="O907" s="122"/>
      <c r="P907" s="122"/>
      <c r="Q907" s="122"/>
    </row>
    <row r="908" spans="2:17" ht="14.25" customHeight="1" x14ac:dyDescent="0.3">
      <c r="B908" s="23"/>
      <c r="D908" s="25"/>
      <c r="E908" s="25"/>
      <c r="M908" s="12"/>
      <c r="N908" s="122"/>
      <c r="O908" s="122"/>
      <c r="P908" s="122"/>
      <c r="Q908" s="122"/>
    </row>
    <row r="909" spans="2:17" ht="14.25" customHeight="1" x14ac:dyDescent="0.3">
      <c r="B909" s="23"/>
      <c r="D909" s="25"/>
      <c r="E909" s="25"/>
      <c r="M909" s="12"/>
      <c r="N909" s="122"/>
      <c r="O909" s="122"/>
      <c r="P909" s="122"/>
      <c r="Q909" s="122"/>
    </row>
    <row r="910" spans="2:17" ht="14.25" customHeight="1" x14ac:dyDescent="0.3">
      <c r="B910" s="23"/>
      <c r="D910" s="25"/>
      <c r="E910" s="25"/>
      <c r="M910" s="12"/>
      <c r="N910" s="122"/>
      <c r="O910" s="122"/>
      <c r="P910" s="122"/>
      <c r="Q910" s="122"/>
    </row>
    <row r="911" spans="2:17" ht="14.25" customHeight="1" x14ac:dyDescent="0.3">
      <c r="B911" s="23"/>
      <c r="D911" s="25"/>
      <c r="E911" s="25"/>
      <c r="M911" s="12"/>
      <c r="N911" s="122"/>
      <c r="O911" s="122"/>
      <c r="P911" s="122"/>
      <c r="Q911" s="122"/>
    </row>
    <row r="912" spans="2:17" ht="14.25" customHeight="1" x14ac:dyDescent="0.3">
      <c r="B912" s="23"/>
      <c r="D912" s="25"/>
      <c r="E912" s="25"/>
      <c r="M912" s="12"/>
      <c r="N912" s="122"/>
      <c r="O912" s="122"/>
      <c r="P912" s="122"/>
      <c r="Q912" s="122"/>
    </row>
    <row r="913" spans="2:17" ht="14.25" customHeight="1" x14ac:dyDescent="0.3">
      <c r="B913" s="23"/>
      <c r="D913" s="25"/>
      <c r="E913" s="25"/>
      <c r="M913" s="12"/>
      <c r="N913" s="122"/>
      <c r="O913" s="122"/>
      <c r="P913" s="122"/>
      <c r="Q913" s="122"/>
    </row>
    <row r="914" spans="2:17" ht="14.25" customHeight="1" x14ac:dyDescent="0.3">
      <c r="B914" s="23"/>
      <c r="D914" s="25"/>
      <c r="E914" s="25"/>
      <c r="M914" s="12"/>
      <c r="N914" s="122"/>
      <c r="O914" s="122"/>
      <c r="P914" s="122"/>
      <c r="Q914" s="122"/>
    </row>
    <row r="915" spans="2:17" ht="14.25" customHeight="1" x14ac:dyDescent="0.3">
      <c r="B915" s="23"/>
      <c r="D915" s="25"/>
      <c r="E915" s="25"/>
      <c r="M915" s="12"/>
      <c r="N915" s="122"/>
      <c r="O915" s="122"/>
      <c r="P915" s="122"/>
      <c r="Q915" s="122"/>
    </row>
    <row r="916" spans="2:17" ht="14.25" customHeight="1" x14ac:dyDescent="0.3">
      <c r="B916" s="23"/>
      <c r="D916" s="25"/>
      <c r="E916" s="25"/>
      <c r="M916" s="12"/>
      <c r="N916" s="122"/>
      <c r="O916" s="122"/>
      <c r="P916" s="122"/>
      <c r="Q916" s="122"/>
    </row>
    <row r="917" spans="2:17" ht="14.25" customHeight="1" x14ac:dyDescent="0.3">
      <c r="B917" s="23"/>
      <c r="D917" s="25"/>
      <c r="E917" s="25"/>
      <c r="M917" s="12"/>
      <c r="N917" s="122"/>
      <c r="O917" s="122"/>
      <c r="P917" s="122"/>
      <c r="Q917" s="122"/>
    </row>
    <row r="918" spans="2:17" ht="14.25" customHeight="1" x14ac:dyDescent="0.3">
      <c r="B918" s="23"/>
      <c r="D918" s="25"/>
      <c r="E918" s="25"/>
      <c r="M918" s="12"/>
      <c r="N918" s="122"/>
      <c r="O918" s="122"/>
      <c r="P918" s="122"/>
      <c r="Q918" s="122"/>
    </row>
    <row r="919" spans="2:17" ht="14.25" customHeight="1" x14ac:dyDescent="0.3">
      <c r="B919" s="23"/>
      <c r="D919" s="25"/>
      <c r="E919" s="25"/>
      <c r="M919" s="12"/>
      <c r="N919" s="122"/>
      <c r="O919" s="122"/>
      <c r="P919" s="122"/>
      <c r="Q919" s="122"/>
    </row>
    <row r="920" spans="2:17" ht="14.25" customHeight="1" x14ac:dyDescent="0.3">
      <c r="B920" s="23"/>
      <c r="D920" s="25"/>
      <c r="E920" s="25"/>
      <c r="M920" s="12"/>
      <c r="N920" s="122"/>
      <c r="O920" s="122"/>
      <c r="P920" s="122"/>
      <c r="Q920" s="122"/>
    </row>
    <row r="921" spans="2:17" ht="14.25" customHeight="1" x14ac:dyDescent="0.3">
      <c r="B921" s="23"/>
      <c r="D921" s="25"/>
      <c r="E921" s="25"/>
      <c r="M921" s="12"/>
      <c r="N921" s="122"/>
      <c r="O921" s="122"/>
      <c r="P921" s="122"/>
      <c r="Q921" s="122"/>
    </row>
    <row r="922" spans="2:17" ht="14.25" customHeight="1" x14ac:dyDescent="0.3">
      <c r="B922" s="23"/>
      <c r="D922" s="25"/>
      <c r="E922" s="25"/>
      <c r="M922" s="12"/>
      <c r="N922" s="122"/>
      <c r="O922" s="122"/>
      <c r="P922" s="122"/>
      <c r="Q922" s="122"/>
    </row>
    <row r="923" spans="2:17" ht="14.25" customHeight="1" x14ac:dyDescent="0.3">
      <c r="B923" s="23"/>
      <c r="D923" s="25"/>
      <c r="E923" s="25"/>
      <c r="M923" s="12"/>
      <c r="N923" s="122"/>
      <c r="O923" s="122"/>
      <c r="P923" s="122"/>
      <c r="Q923" s="122"/>
    </row>
    <row r="924" spans="2:17" ht="14.25" customHeight="1" x14ac:dyDescent="0.3">
      <c r="B924" s="23"/>
      <c r="D924" s="25"/>
      <c r="E924" s="25"/>
      <c r="M924" s="12"/>
      <c r="N924" s="122"/>
      <c r="O924" s="122"/>
      <c r="P924" s="122"/>
      <c r="Q924" s="122"/>
    </row>
    <row r="925" spans="2:17" ht="14.25" customHeight="1" x14ac:dyDescent="0.3">
      <c r="B925" s="23"/>
      <c r="D925" s="25"/>
      <c r="E925" s="25"/>
      <c r="M925" s="12"/>
      <c r="N925" s="122"/>
      <c r="O925" s="122"/>
      <c r="P925" s="122"/>
      <c r="Q925" s="122"/>
    </row>
    <row r="926" spans="2:17" ht="14.25" customHeight="1" x14ac:dyDescent="0.3">
      <c r="B926" s="23"/>
      <c r="D926" s="25"/>
      <c r="E926" s="25"/>
      <c r="M926" s="12"/>
      <c r="N926" s="122"/>
      <c r="O926" s="122"/>
      <c r="P926" s="122"/>
      <c r="Q926" s="122"/>
    </row>
    <row r="927" spans="2:17" ht="14.25" customHeight="1" x14ac:dyDescent="0.3">
      <c r="B927" s="23"/>
      <c r="D927" s="25"/>
      <c r="E927" s="25"/>
      <c r="M927" s="12"/>
      <c r="N927" s="122"/>
      <c r="O927" s="122"/>
      <c r="P927" s="122"/>
      <c r="Q927" s="122"/>
    </row>
    <row r="928" spans="2:17" ht="14.25" customHeight="1" x14ac:dyDescent="0.3">
      <c r="B928" s="23"/>
      <c r="D928" s="25"/>
      <c r="E928" s="25"/>
      <c r="M928" s="12"/>
      <c r="N928" s="122"/>
      <c r="O928" s="122"/>
      <c r="P928" s="122"/>
      <c r="Q928" s="122"/>
    </row>
    <row r="929" spans="2:17" ht="14.25" customHeight="1" x14ac:dyDescent="0.3">
      <c r="B929" s="23"/>
      <c r="D929" s="25"/>
      <c r="E929" s="25"/>
      <c r="M929" s="12"/>
      <c r="N929" s="122"/>
      <c r="O929" s="122"/>
      <c r="P929" s="122"/>
      <c r="Q929" s="122"/>
    </row>
    <row r="930" spans="2:17" ht="14.25" customHeight="1" x14ac:dyDescent="0.3">
      <c r="B930" s="23"/>
      <c r="D930" s="25"/>
      <c r="E930" s="25"/>
      <c r="M930" s="12"/>
      <c r="N930" s="122"/>
      <c r="O930" s="122"/>
      <c r="P930" s="122"/>
      <c r="Q930" s="122"/>
    </row>
    <row r="931" spans="2:17" ht="14.25" customHeight="1" x14ac:dyDescent="0.3">
      <c r="B931" s="23"/>
      <c r="D931" s="25"/>
      <c r="E931" s="25"/>
      <c r="M931" s="12"/>
      <c r="N931" s="122"/>
      <c r="O931" s="122"/>
      <c r="P931" s="122"/>
      <c r="Q931" s="122"/>
    </row>
    <row r="932" spans="2:17" ht="14.25" customHeight="1" x14ac:dyDescent="0.3">
      <c r="B932" s="23"/>
      <c r="D932" s="25"/>
      <c r="E932" s="25"/>
      <c r="M932" s="12"/>
      <c r="N932" s="122"/>
      <c r="O932" s="122"/>
      <c r="P932" s="122"/>
      <c r="Q932" s="122"/>
    </row>
    <row r="933" spans="2:17" ht="14.25" customHeight="1" x14ac:dyDescent="0.3">
      <c r="B933" s="23"/>
      <c r="D933" s="25"/>
      <c r="E933" s="25"/>
      <c r="M933" s="12"/>
      <c r="N933" s="122"/>
      <c r="O933" s="122"/>
      <c r="P933" s="122"/>
      <c r="Q933" s="122"/>
    </row>
    <row r="934" spans="2:17" ht="14.25" customHeight="1" x14ac:dyDescent="0.3">
      <c r="B934" s="23"/>
      <c r="D934" s="25"/>
      <c r="E934" s="25"/>
      <c r="M934" s="12"/>
      <c r="N934" s="122"/>
      <c r="O934" s="122"/>
      <c r="P934" s="122"/>
      <c r="Q934" s="122"/>
    </row>
    <row r="935" spans="2:17" ht="14.25" customHeight="1" x14ac:dyDescent="0.3">
      <c r="B935" s="23"/>
      <c r="D935" s="25"/>
      <c r="E935" s="25"/>
      <c r="M935" s="12"/>
      <c r="N935" s="122"/>
      <c r="O935" s="122"/>
      <c r="P935" s="122"/>
      <c r="Q935" s="122"/>
    </row>
    <row r="936" spans="2:17" ht="14.25" customHeight="1" x14ac:dyDescent="0.3">
      <c r="B936" s="23"/>
      <c r="D936" s="25"/>
      <c r="E936" s="25"/>
      <c r="M936" s="12"/>
      <c r="N936" s="122"/>
      <c r="O936" s="122"/>
      <c r="P936" s="122"/>
      <c r="Q936" s="122"/>
    </row>
    <row r="937" spans="2:17" ht="14.25" customHeight="1" x14ac:dyDescent="0.3">
      <c r="B937" s="23"/>
      <c r="D937" s="25"/>
      <c r="E937" s="25"/>
      <c r="M937" s="12"/>
      <c r="N937" s="122"/>
      <c r="O937" s="122"/>
      <c r="P937" s="122"/>
      <c r="Q937" s="122"/>
    </row>
    <row r="938" spans="2:17" ht="14.25" customHeight="1" x14ac:dyDescent="0.3">
      <c r="B938" s="23"/>
      <c r="D938" s="25"/>
      <c r="E938" s="25"/>
      <c r="M938" s="12"/>
      <c r="N938" s="122"/>
      <c r="O938" s="122"/>
      <c r="P938" s="122"/>
      <c r="Q938" s="122"/>
    </row>
    <row r="939" spans="2:17" ht="14.25" customHeight="1" x14ac:dyDescent="0.3">
      <c r="B939" s="23"/>
      <c r="D939" s="25"/>
      <c r="E939" s="25"/>
      <c r="M939" s="12"/>
      <c r="N939" s="122"/>
      <c r="O939" s="122"/>
      <c r="P939" s="122"/>
      <c r="Q939" s="122"/>
    </row>
    <row r="940" spans="2:17" ht="14.25" customHeight="1" x14ac:dyDescent="0.3">
      <c r="B940" s="23"/>
      <c r="D940" s="25"/>
      <c r="E940" s="25"/>
      <c r="M940" s="12"/>
      <c r="N940" s="122"/>
      <c r="O940" s="122"/>
      <c r="P940" s="122"/>
      <c r="Q940" s="122"/>
    </row>
    <row r="941" spans="2:17" ht="14.25" customHeight="1" x14ac:dyDescent="0.3">
      <c r="B941" s="23"/>
      <c r="D941" s="25"/>
      <c r="E941" s="25"/>
      <c r="M941" s="12"/>
      <c r="N941" s="122"/>
      <c r="O941" s="122"/>
      <c r="P941" s="122"/>
      <c r="Q941" s="122"/>
    </row>
    <row r="942" spans="2:17" ht="14.25" customHeight="1" x14ac:dyDescent="0.3">
      <c r="B942" s="23"/>
      <c r="D942" s="25"/>
      <c r="E942" s="25"/>
      <c r="M942" s="12"/>
      <c r="N942" s="122"/>
      <c r="O942" s="122"/>
      <c r="P942" s="122"/>
      <c r="Q942" s="122"/>
    </row>
    <row r="943" spans="2:17" ht="14.25" customHeight="1" x14ac:dyDescent="0.3">
      <c r="B943" s="23"/>
      <c r="D943" s="25"/>
      <c r="E943" s="25"/>
      <c r="M943" s="12"/>
      <c r="N943" s="122"/>
      <c r="O943" s="122"/>
      <c r="P943" s="122"/>
      <c r="Q943" s="122"/>
    </row>
    <row r="944" spans="2:17" ht="14.25" customHeight="1" x14ac:dyDescent="0.3">
      <c r="B944" s="23"/>
      <c r="D944" s="25"/>
      <c r="E944" s="25"/>
      <c r="M944" s="12"/>
      <c r="N944" s="122"/>
      <c r="O944" s="122"/>
      <c r="P944" s="122"/>
      <c r="Q944" s="122"/>
    </row>
    <row r="945" spans="2:17" ht="14.25" customHeight="1" x14ac:dyDescent="0.3">
      <c r="B945" s="23"/>
      <c r="D945" s="25"/>
      <c r="E945" s="25"/>
      <c r="M945" s="12"/>
      <c r="N945" s="122"/>
      <c r="O945" s="122"/>
      <c r="P945" s="122"/>
      <c r="Q945" s="122"/>
    </row>
    <row r="946" spans="2:17" ht="14.25" customHeight="1" x14ac:dyDescent="0.3">
      <c r="B946" s="23"/>
      <c r="D946" s="25"/>
      <c r="E946" s="25"/>
      <c r="M946" s="12"/>
      <c r="N946" s="122"/>
      <c r="O946" s="122"/>
      <c r="P946" s="122"/>
      <c r="Q946" s="122"/>
    </row>
    <row r="947" spans="2:17" ht="14.25" customHeight="1" x14ac:dyDescent="0.3">
      <c r="B947" s="23"/>
      <c r="D947" s="25"/>
      <c r="E947" s="25"/>
      <c r="M947" s="12"/>
      <c r="N947" s="122"/>
      <c r="O947" s="122"/>
      <c r="P947" s="122"/>
      <c r="Q947" s="122"/>
    </row>
    <row r="948" spans="2:17" ht="14.25" customHeight="1" x14ac:dyDescent="0.3">
      <c r="B948" s="23"/>
      <c r="D948" s="25"/>
      <c r="E948" s="25"/>
      <c r="M948" s="12"/>
      <c r="N948" s="122"/>
      <c r="O948" s="122"/>
      <c r="P948" s="122"/>
      <c r="Q948" s="122"/>
    </row>
    <row r="949" spans="2:17" ht="14.25" customHeight="1" x14ac:dyDescent="0.3">
      <c r="B949" s="23"/>
      <c r="D949" s="25"/>
      <c r="E949" s="25"/>
      <c r="M949" s="12"/>
      <c r="N949" s="122"/>
      <c r="O949" s="122"/>
      <c r="P949" s="122"/>
      <c r="Q949" s="122"/>
    </row>
    <row r="950" spans="2:17" ht="14.25" customHeight="1" x14ac:dyDescent="0.3">
      <c r="B950" s="23"/>
      <c r="D950" s="25"/>
      <c r="E950" s="25"/>
      <c r="M950" s="12"/>
      <c r="N950" s="122"/>
      <c r="O950" s="122"/>
      <c r="P950" s="122"/>
      <c r="Q950" s="122"/>
    </row>
    <row r="951" spans="2:17" ht="14.25" customHeight="1" x14ac:dyDescent="0.3">
      <c r="B951" s="23"/>
      <c r="D951" s="25"/>
      <c r="E951" s="25"/>
      <c r="M951" s="12"/>
      <c r="N951" s="122"/>
      <c r="O951" s="122"/>
      <c r="P951" s="122"/>
      <c r="Q951" s="122"/>
    </row>
    <row r="952" spans="2:17" ht="14.25" customHeight="1" x14ac:dyDescent="0.3">
      <c r="B952" s="23"/>
      <c r="D952" s="25"/>
      <c r="E952" s="25"/>
      <c r="M952" s="12"/>
      <c r="N952" s="122"/>
      <c r="O952" s="122"/>
      <c r="P952" s="122"/>
      <c r="Q952" s="122"/>
    </row>
    <row r="953" spans="2:17" ht="14.25" customHeight="1" x14ac:dyDescent="0.3">
      <c r="B953" s="23"/>
      <c r="D953" s="25"/>
      <c r="E953" s="25"/>
      <c r="M953" s="12"/>
      <c r="N953" s="122"/>
      <c r="O953" s="122"/>
      <c r="P953" s="122"/>
      <c r="Q953" s="122"/>
    </row>
    <row r="954" spans="2:17" ht="14.25" customHeight="1" x14ac:dyDescent="0.3">
      <c r="B954" s="23"/>
      <c r="D954" s="25"/>
      <c r="E954" s="25"/>
      <c r="M954" s="12"/>
      <c r="N954" s="122"/>
      <c r="O954" s="122"/>
      <c r="P954" s="122"/>
      <c r="Q954" s="122"/>
    </row>
    <row r="955" spans="2:17" ht="14.25" customHeight="1" x14ac:dyDescent="0.3">
      <c r="B955" s="23"/>
      <c r="D955" s="25"/>
      <c r="E955" s="25"/>
      <c r="M955" s="12"/>
      <c r="N955" s="122"/>
      <c r="O955" s="122"/>
      <c r="P955" s="122"/>
      <c r="Q955" s="122"/>
    </row>
    <row r="956" spans="2:17" ht="14.25" customHeight="1" x14ac:dyDescent="0.3">
      <c r="B956" s="23"/>
      <c r="D956" s="25"/>
      <c r="E956" s="25"/>
      <c r="M956" s="12"/>
      <c r="N956" s="122"/>
      <c r="O956" s="122"/>
      <c r="P956" s="122"/>
      <c r="Q956" s="122"/>
    </row>
    <row r="957" spans="2:17" ht="14.25" customHeight="1" x14ac:dyDescent="0.3">
      <c r="B957" s="23"/>
      <c r="D957" s="25"/>
      <c r="E957" s="25"/>
      <c r="M957" s="12"/>
      <c r="N957" s="122"/>
      <c r="O957" s="122"/>
      <c r="P957" s="122"/>
      <c r="Q957" s="122"/>
    </row>
    <row r="958" spans="2:17" ht="14.25" customHeight="1" x14ac:dyDescent="0.3">
      <c r="B958" s="23"/>
      <c r="D958" s="25"/>
      <c r="E958" s="25"/>
      <c r="M958" s="12"/>
      <c r="N958" s="122"/>
      <c r="O958" s="122"/>
      <c r="P958" s="122"/>
      <c r="Q958" s="122"/>
    </row>
    <row r="959" spans="2:17" ht="14.25" customHeight="1" x14ac:dyDescent="0.3">
      <c r="B959" s="23"/>
      <c r="D959" s="25"/>
      <c r="E959" s="25"/>
      <c r="M959" s="12"/>
      <c r="N959" s="122"/>
      <c r="O959" s="122"/>
      <c r="P959" s="122"/>
      <c r="Q959" s="122"/>
    </row>
    <row r="960" spans="2:17" ht="14.25" customHeight="1" x14ac:dyDescent="0.3">
      <c r="B960" s="23"/>
      <c r="D960" s="25"/>
      <c r="E960" s="25"/>
      <c r="M960" s="12"/>
      <c r="N960" s="122"/>
      <c r="O960" s="122"/>
      <c r="P960" s="122"/>
      <c r="Q960" s="122"/>
    </row>
    <row r="961" spans="2:17" ht="14.25" customHeight="1" x14ac:dyDescent="0.3">
      <c r="B961" s="23"/>
      <c r="D961" s="25"/>
      <c r="E961" s="25"/>
      <c r="M961" s="12"/>
      <c r="N961" s="122"/>
      <c r="O961" s="122"/>
      <c r="P961" s="122"/>
      <c r="Q961" s="122"/>
    </row>
    <row r="962" spans="2:17" ht="14.25" customHeight="1" x14ac:dyDescent="0.3">
      <c r="B962" s="23"/>
      <c r="D962" s="25"/>
      <c r="E962" s="25"/>
      <c r="M962" s="12"/>
      <c r="N962" s="122"/>
      <c r="O962" s="122"/>
      <c r="P962" s="122"/>
      <c r="Q962" s="122"/>
    </row>
    <row r="963" spans="2:17" ht="14.25" customHeight="1" x14ac:dyDescent="0.3">
      <c r="B963" s="23"/>
      <c r="D963" s="25"/>
      <c r="E963" s="25"/>
      <c r="M963" s="12"/>
      <c r="N963" s="122"/>
      <c r="O963" s="122"/>
      <c r="P963" s="122"/>
      <c r="Q963" s="122"/>
    </row>
    <row r="964" spans="2:17" ht="14.25" customHeight="1" x14ac:dyDescent="0.3">
      <c r="B964" s="23"/>
      <c r="D964" s="25"/>
      <c r="E964" s="25"/>
      <c r="M964" s="12"/>
      <c r="N964" s="122"/>
      <c r="O964" s="122"/>
      <c r="P964" s="122"/>
      <c r="Q964" s="122"/>
    </row>
    <row r="965" spans="2:17" ht="14.25" customHeight="1" x14ac:dyDescent="0.3">
      <c r="B965" s="23"/>
      <c r="D965" s="25"/>
      <c r="E965" s="25"/>
      <c r="M965" s="12"/>
      <c r="N965" s="122"/>
      <c r="O965" s="122"/>
      <c r="P965" s="122"/>
      <c r="Q965" s="122"/>
    </row>
    <row r="966" spans="2:17" ht="14.25" customHeight="1" x14ac:dyDescent="0.3">
      <c r="B966" s="23"/>
      <c r="D966" s="25"/>
      <c r="E966" s="25"/>
      <c r="M966" s="12"/>
      <c r="N966" s="122"/>
      <c r="O966" s="122"/>
      <c r="P966" s="122"/>
      <c r="Q966" s="122"/>
    </row>
    <row r="967" spans="2:17" ht="14.25" customHeight="1" x14ac:dyDescent="0.3">
      <c r="B967" s="23"/>
      <c r="D967" s="25"/>
      <c r="E967" s="25"/>
      <c r="M967" s="12"/>
      <c r="N967" s="122"/>
      <c r="O967" s="122"/>
      <c r="P967" s="122"/>
      <c r="Q967" s="122"/>
    </row>
    <row r="968" spans="2:17" ht="14.25" customHeight="1" x14ac:dyDescent="0.3">
      <c r="B968" s="23"/>
      <c r="D968" s="25"/>
      <c r="E968" s="25"/>
      <c r="M968" s="12"/>
      <c r="N968" s="122"/>
      <c r="O968" s="122"/>
      <c r="P968" s="122"/>
      <c r="Q968" s="122"/>
    </row>
    <row r="969" spans="2:17" ht="14.25" customHeight="1" x14ac:dyDescent="0.3">
      <c r="B969" s="23"/>
      <c r="D969" s="25"/>
      <c r="E969" s="25"/>
      <c r="M969" s="12"/>
      <c r="N969" s="122"/>
      <c r="O969" s="122"/>
      <c r="P969" s="122"/>
      <c r="Q969" s="122"/>
    </row>
    <row r="970" spans="2:17" ht="14.25" customHeight="1" x14ac:dyDescent="0.3">
      <c r="B970" s="23"/>
      <c r="D970" s="25"/>
      <c r="E970" s="25"/>
      <c r="M970" s="12"/>
      <c r="N970" s="122"/>
      <c r="O970" s="122"/>
      <c r="P970" s="122"/>
      <c r="Q970" s="122"/>
    </row>
    <row r="971" spans="2:17" ht="14.25" customHeight="1" x14ac:dyDescent="0.3">
      <c r="B971" s="23"/>
      <c r="D971" s="25"/>
      <c r="E971" s="25"/>
      <c r="M971" s="12"/>
      <c r="N971" s="122"/>
      <c r="O971" s="122"/>
      <c r="P971" s="122"/>
      <c r="Q971" s="122"/>
    </row>
    <row r="972" spans="2:17" ht="14.25" customHeight="1" x14ac:dyDescent="0.3">
      <c r="B972" s="23"/>
      <c r="D972" s="25"/>
      <c r="E972" s="25"/>
      <c r="M972" s="12"/>
      <c r="N972" s="122"/>
      <c r="O972" s="122"/>
      <c r="P972" s="122"/>
      <c r="Q972" s="122"/>
    </row>
    <row r="973" spans="2:17" ht="14.25" customHeight="1" x14ac:dyDescent="0.3">
      <c r="B973" s="23"/>
      <c r="D973" s="25"/>
      <c r="E973" s="25"/>
      <c r="M973" s="12"/>
      <c r="N973" s="122"/>
      <c r="O973" s="122"/>
      <c r="P973" s="122"/>
      <c r="Q973" s="122"/>
    </row>
    <row r="974" spans="2:17" ht="14.25" customHeight="1" x14ac:dyDescent="0.3">
      <c r="B974" s="23"/>
      <c r="D974" s="25"/>
      <c r="E974" s="25"/>
      <c r="M974" s="12"/>
      <c r="N974" s="122"/>
      <c r="O974" s="122"/>
      <c r="P974" s="122"/>
      <c r="Q974" s="122"/>
    </row>
    <row r="975" spans="2:17" ht="14.25" customHeight="1" x14ac:dyDescent="0.3">
      <c r="B975" s="23"/>
      <c r="D975" s="25"/>
      <c r="E975" s="25"/>
      <c r="M975" s="12"/>
      <c r="N975" s="122"/>
      <c r="O975" s="122"/>
      <c r="P975" s="122"/>
      <c r="Q975" s="122"/>
    </row>
    <row r="976" spans="2:17" ht="14.25" customHeight="1" x14ac:dyDescent="0.3">
      <c r="B976" s="23"/>
      <c r="D976" s="25"/>
      <c r="E976" s="25"/>
      <c r="M976" s="12"/>
      <c r="N976" s="122"/>
      <c r="O976" s="122"/>
      <c r="P976" s="122"/>
      <c r="Q976" s="122"/>
    </row>
    <row r="977" spans="2:17" ht="14.25" customHeight="1" x14ac:dyDescent="0.3">
      <c r="B977" s="23"/>
      <c r="D977" s="25"/>
      <c r="E977" s="25"/>
      <c r="M977" s="12"/>
      <c r="N977" s="122"/>
      <c r="O977" s="122"/>
      <c r="P977" s="122"/>
      <c r="Q977" s="122"/>
    </row>
    <row r="978" spans="2:17" ht="14.25" customHeight="1" x14ac:dyDescent="0.3">
      <c r="B978" s="23"/>
      <c r="D978" s="25"/>
      <c r="E978" s="25"/>
      <c r="M978" s="12"/>
      <c r="N978" s="122"/>
      <c r="O978" s="122"/>
      <c r="P978" s="122"/>
      <c r="Q978" s="122"/>
    </row>
    <row r="979" spans="2:17" ht="14.25" customHeight="1" x14ac:dyDescent="0.3">
      <c r="B979" s="23"/>
      <c r="D979" s="25"/>
      <c r="E979" s="25"/>
      <c r="M979" s="12"/>
      <c r="N979" s="122"/>
      <c r="O979" s="122"/>
      <c r="P979" s="122"/>
      <c r="Q979" s="122"/>
    </row>
    <row r="980" spans="2:17" ht="14.25" customHeight="1" x14ac:dyDescent="0.3">
      <c r="B980" s="23"/>
      <c r="D980" s="25"/>
      <c r="E980" s="25"/>
      <c r="M980" s="12"/>
      <c r="N980" s="122"/>
      <c r="O980" s="122"/>
      <c r="P980" s="122"/>
      <c r="Q980" s="122"/>
    </row>
    <row r="981" spans="2:17" ht="14.25" customHeight="1" x14ac:dyDescent="0.3">
      <c r="B981" s="23"/>
      <c r="D981" s="25"/>
      <c r="E981" s="25"/>
      <c r="M981" s="12"/>
      <c r="N981" s="122"/>
      <c r="O981" s="122"/>
      <c r="P981" s="122"/>
      <c r="Q981" s="122"/>
    </row>
    <row r="982" spans="2:17" ht="14.25" customHeight="1" x14ac:dyDescent="0.3">
      <c r="B982" s="23"/>
      <c r="D982" s="25"/>
      <c r="E982" s="25"/>
      <c r="M982" s="12"/>
      <c r="N982" s="122"/>
      <c r="O982" s="122"/>
      <c r="P982" s="122"/>
      <c r="Q982" s="122"/>
    </row>
    <row r="983" spans="2:17" ht="14.25" customHeight="1" x14ac:dyDescent="0.3">
      <c r="B983" s="23"/>
      <c r="D983" s="25"/>
      <c r="E983" s="25"/>
      <c r="M983" s="12"/>
      <c r="N983" s="122"/>
      <c r="O983" s="122"/>
      <c r="P983" s="122"/>
      <c r="Q983" s="122"/>
    </row>
    <row r="984" spans="2:17" ht="14.25" customHeight="1" x14ac:dyDescent="0.3">
      <c r="B984" s="23"/>
      <c r="D984" s="25"/>
      <c r="E984" s="25"/>
      <c r="M984" s="12"/>
      <c r="N984" s="122"/>
      <c r="O984" s="122"/>
      <c r="P984" s="122"/>
      <c r="Q984" s="122"/>
    </row>
    <row r="985" spans="2:17" ht="14.25" customHeight="1" x14ac:dyDescent="0.3">
      <c r="B985" s="23"/>
      <c r="D985" s="25"/>
      <c r="E985" s="25"/>
      <c r="M985" s="12"/>
      <c r="N985" s="122"/>
      <c r="O985" s="122"/>
      <c r="P985" s="122"/>
      <c r="Q985" s="122"/>
    </row>
    <row r="986" spans="2:17" ht="14.25" customHeight="1" x14ac:dyDescent="0.3">
      <c r="B986" s="23"/>
      <c r="D986" s="25"/>
      <c r="E986" s="25"/>
      <c r="M986" s="12"/>
      <c r="N986" s="122"/>
      <c r="O986" s="122"/>
      <c r="P986" s="122"/>
      <c r="Q986" s="122"/>
    </row>
    <row r="987" spans="2:17" ht="14.25" customHeight="1" x14ac:dyDescent="0.3">
      <c r="B987" s="23"/>
      <c r="D987" s="25"/>
      <c r="E987" s="25"/>
      <c r="M987" s="12"/>
      <c r="N987" s="122"/>
      <c r="O987" s="122"/>
      <c r="P987" s="122"/>
      <c r="Q987" s="122"/>
    </row>
    <row r="988" spans="2:17" ht="14.25" customHeight="1" x14ac:dyDescent="0.3">
      <c r="B988" s="23"/>
      <c r="D988" s="25"/>
      <c r="E988" s="25"/>
      <c r="M988" s="12"/>
      <c r="N988" s="122"/>
      <c r="O988" s="122"/>
      <c r="P988" s="122"/>
      <c r="Q988" s="122"/>
    </row>
    <row r="989" spans="2:17" ht="14.25" customHeight="1" x14ac:dyDescent="0.3">
      <c r="B989" s="23"/>
      <c r="D989" s="25"/>
      <c r="E989" s="25"/>
      <c r="M989" s="12"/>
      <c r="N989" s="122"/>
      <c r="O989" s="122"/>
      <c r="P989" s="122"/>
      <c r="Q989" s="122"/>
    </row>
    <row r="990" spans="2:17" ht="14.25" customHeight="1" x14ac:dyDescent="0.3">
      <c r="B990" s="23"/>
      <c r="D990" s="25"/>
      <c r="E990" s="25"/>
      <c r="M990" s="12"/>
      <c r="N990" s="122"/>
      <c r="O990" s="122"/>
      <c r="P990" s="122"/>
      <c r="Q990" s="122"/>
    </row>
    <row r="991" spans="2:17" ht="14.25" customHeight="1" x14ac:dyDescent="0.3">
      <c r="B991" s="23"/>
      <c r="D991" s="25"/>
      <c r="E991" s="25"/>
      <c r="M991" s="12"/>
      <c r="N991" s="122"/>
      <c r="O991" s="122"/>
      <c r="P991" s="122"/>
      <c r="Q991" s="122"/>
    </row>
    <row r="992" spans="2:17" ht="14.25" customHeight="1" x14ac:dyDescent="0.3">
      <c r="B992" s="23"/>
      <c r="D992" s="25"/>
      <c r="E992" s="25"/>
      <c r="M992" s="12"/>
      <c r="N992" s="122"/>
      <c r="O992" s="122"/>
      <c r="P992" s="122"/>
      <c r="Q992" s="122"/>
    </row>
    <row r="993" spans="2:17" ht="14.25" customHeight="1" x14ac:dyDescent="0.3">
      <c r="B993" s="23"/>
      <c r="D993" s="25"/>
      <c r="E993" s="25"/>
      <c r="M993" s="12"/>
      <c r="N993" s="122"/>
      <c r="O993" s="122"/>
      <c r="P993" s="122"/>
      <c r="Q993" s="122"/>
    </row>
    <row r="994" spans="2:17" ht="14.25" customHeight="1" x14ac:dyDescent="0.3">
      <c r="B994" s="23"/>
      <c r="D994" s="25"/>
      <c r="E994" s="25"/>
      <c r="M994" s="12"/>
      <c r="N994" s="122"/>
      <c r="O994" s="122"/>
      <c r="P994" s="122"/>
      <c r="Q994" s="122"/>
    </row>
    <row r="995" spans="2:17" ht="14.25" customHeight="1" x14ac:dyDescent="0.3">
      <c r="B995" s="23"/>
      <c r="D995" s="25"/>
      <c r="E995" s="25"/>
      <c r="M995" s="12"/>
      <c r="N995" s="122"/>
      <c r="O995" s="122"/>
      <c r="P995" s="122"/>
      <c r="Q995" s="122"/>
    </row>
    <row r="996" spans="2:17" ht="14.25" customHeight="1" x14ac:dyDescent="0.3">
      <c r="B996" s="23"/>
      <c r="D996" s="25"/>
      <c r="E996" s="25"/>
      <c r="M996" s="12"/>
      <c r="N996" s="122"/>
      <c r="O996" s="122"/>
      <c r="P996" s="122"/>
      <c r="Q996" s="122"/>
    </row>
    <row r="997" spans="2:17" ht="14.25" customHeight="1" x14ac:dyDescent="0.3">
      <c r="B997" s="23"/>
      <c r="D997" s="25"/>
      <c r="E997" s="25"/>
      <c r="M997" s="12"/>
      <c r="N997" s="122"/>
      <c r="O997" s="122"/>
      <c r="P997" s="122"/>
      <c r="Q997" s="122"/>
    </row>
    <row r="998" spans="2:17" ht="14.25" customHeight="1" x14ac:dyDescent="0.3">
      <c r="B998" s="23"/>
      <c r="D998" s="25"/>
      <c r="E998" s="25"/>
      <c r="M998" s="12"/>
      <c r="N998" s="122"/>
      <c r="O998" s="122"/>
      <c r="P998" s="122"/>
      <c r="Q998" s="122"/>
    </row>
    <row r="999" spans="2:17" ht="14.25" customHeight="1" x14ac:dyDescent="0.3">
      <c r="B999" s="23"/>
      <c r="D999" s="25"/>
      <c r="E999" s="25"/>
      <c r="M999" s="12"/>
      <c r="N999" s="122"/>
      <c r="O999" s="122"/>
      <c r="P999" s="122"/>
      <c r="Q999" s="122"/>
    </row>
    <row r="1000" spans="2:17" ht="14.25" customHeight="1" x14ac:dyDescent="0.3">
      <c r="B1000" s="23"/>
      <c r="D1000" s="25"/>
      <c r="E1000" s="25"/>
      <c r="M1000" s="12"/>
      <c r="N1000" s="122"/>
      <c r="O1000" s="122"/>
      <c r="P1000" s="122"/>
      <c r="Q1000" s="122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B2" sqref="B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60" t="s">
        <v>562</v>
      </c>
      <c r="B1" s="361">
        <f>SUM(D1:D3)</f>
        <v>284749.59999999998</v>
      </c>
      <c r="C1" s="362" t="s">
        <v>563</v>
      </c>
      <c r="D1" s="363">
        <v>162500</v>
      </c>
      <c r="E1" s="364" t="s">
        <v>564</v>
      </c>
      <c r="F1" s="365" t="s">
        <v>565</v>
      </c>
      <c r="G1" s="365" t="s">
        <v>566</v>
      </c>
      <c r="H1" s="365" t="s">
        <v>567</v>
      </c>
      <c r="I1" s="361" t="s">
        <v>568</v>
      </c>
      <c r="J1" s="364" t="s">
        <v>569</v>
      </c>
      <c r="K1" s="365" t="s">
        <v>570</v>
      </c>
      <c r="L1" s="361" t="s">
        <v>254</v>
      </c>
      <c r="M1" s="571" t="s">
        <v>571</v>
      </c>
      <c r="N1" s="554"/>
      <c r="Q1" s="25"/>
      <c r="R1" s="25"/>
      <c r="S1" s="25"/>
    </row>
    <row r="2" spans="1:19" ht="14.4" x14ac:dyDescent="0.3">
      <c r="A2" s="366" t="s">
        <v>572</v>
      </c>
      <c r="B2" s="367">
        <v>0.65</v>
      </c>
      <c r="C2" s="368" t="s">
        <v>573</v>
      </c>
      <c r="D2" s="369">
        <v>104249.60000000001</v>
      </c>
      <c r="E2" s="370" t="s">
        <v>574</v>
      </c>
      <c r="F2" s="371">
        <v>2420</v>
      </c>
      <c r="G2" s="371">
        <v>3519</v>
      </c>
      <c r="H2" s="371">
        <v>4397</v>
      </c>
      <c r="I2" s="369">
        <v>3120</v>
      </c>
      <c r="J2" s="372" t="s">
        <v>575</v>
      </c>
      <c r="K2" s="373">
        <f>'Combined Retirement'!B22</f>
        <v>34444.46742778919</v>
      </c>
      <c r="L2" s="374">
        <f>'Combined Retirement'!B24</f>
        <v>2870.372285649099</v>
      </c>
      <c r="M2" s="370" t="s">
        <v>576</v>
      </c>
      <c r="N2" s="375">
        <f>'Combined Retirement'!N1</f>
        <v>0.21977797398773583</v>
      </c>
      <c r="Q2" s="25"/>
      <c r="R2" s="25"/>
      <c r="S2" s="25"/>
    </row>
    <row r="3" spans="1:19" ht="14.4" x14ac:dyDescent="0.3">
      <c r="A3" s="376" t="s">
        <v>577</v>
      </c>
      <c r="B3" s="377">
        <f>B1*(1+B2)</f>
        <v>469836.83999999991</v>
      </c>
      <c r="C3" s="378" t="s">
        <v>578</v>
      </c>
      <c r="D3" s="379">
        <v>18000</v>
      </c>
      <c r="E3" s="380" t="s">
        <v>579</v>
      </c>
      <c r="F3" s="381">
        <v>2192</v>
      </c>
      <c r="G3" s="381">
        <v>3197</v>
      </c>
      <c r="H3" s="381">
        <v>4019</v>
      </c>
      <c r="I3" s="379">
        <v>2765</v>
      </c>
      <c r="J3" s="382" t="s">
        <v>580</v>
      </c>
      <c r="K3" s="383">
        <f>'Combined Retirement'!C22</f>
        <v>42305.438109374998</v>
      </c>
      <c r="L3" s="377">
        <f>'Combined Retirement'!C24</f>
        <v>3525.4531757812501</v>
      </c>
      <c r="M3" s="380" t="s">
        <v>581</v>
      </c>
      <c r="N3" s="384">
        <f>'Combined Retirement'!R1</f>
        <v>103259.78879999998</v>
      </c>
      <c r="Q3" s="25"/>
      <c r="R3" s="25"/>
      <c r="S3" s="25"/>
    </row>
    <row r="4" spans="1:19" ht="14.4" x14ac:dyDescent="0.3">
      <c r="A4" s="385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60"/>
      <c r="B5" s="386" t="s">
        <v>582</v>
      </c>
      <c r="C5" s="386" t="s">
        <v>583</v>
      </c>
      <c r="D5" s="386" t="s">
        <v>584</v>
      </c>
      <c r="E5" s="361" t="s">
        <v>585</v>
      </c>
      <c r="F5" s="387" t="s">
        <v>586</v>
      </c>
      <c r="G5" s="388" t="s">
        <v>587</v>
      </c>
      <c r="H5" s="23"/>
      <c r="I5" s="23"/>
      <c r="J5" s="23"/>
      <c r="K5" s="23"/>
      <c r="L5" s="23"/>
      <c r="M5" s="389" t="s">
        <v>588</v>
      </c>
      <c r="N5" s="365">
        <f>N11</f>
        <v>39153.069999999992</v>
      </c>
      <c r="O5" s="390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66" t="s">
        <v>589</v>
      </c>
      <c r="B6" s="391">
        <v>58.5</v>
      </c>
      <c r="C6" s="392">
        <f t="array" ref="C6">INDEX(B11:B1171,MATCH(MIN(ABS(B11:B1171-B6)),ABS(B11:B1171-B6),0))</f>
        <v>58.540725530458587</v>
      </c>
      <c r="D6" s="393">
        <f t="array" ref="D6">INDEX(A11:A1171,MATCH(C6,B11:B1171,0),0)</f>
        <v>51288</v>
      </c>
      <c r="E6" s="394">
        <f ca="1">'Isaac 401k'!B4</f>
        <v>46.333333333333336</v>
      </c>
      <c r="F6" s="395">
        <f ca="1">'Isaac 401k'!D4</f>
        <v>68181</v>
      </c>
      <c r="G6" s="396">
        <f ca="1">(F6-B9)/365.25</f>
        <v>104.79123887748118</v>
      </c>
      <c r="H6" s="23"/>
      <c r="I6" s="23"/>
      <c r="J6" s="571" t="s">
        <v>590</v>
      </c>
      <c r="K6" s="554"/>
      <c r="L6" s="23"/>
      <c r="M6" s="397" t="s">
        <v>591</v>
      </c>
      <c r="N6" s="373">
        <f>N3/12</f>
        <v>8604.982399999999</v>
      </c>
      <c r="O6" s="398">
        <f t="shared" si="0"/>
        <v>103259.78879999998</v>
      </c>
      <c r="P6" s="25"/>
      <c r="Q6" s="25"/>
      <c r="R6" s="25"/>
      <c r="S6" s="25"/>
    </row>
    <row r="7" spans="1:19" ht="14.4" x14ac:dyDescent="0.3">
      <c r="A7" s="376" t="s">
        <v>592</v>
      </c>
      <c r="B7" s="399">
        <v>53.9</v>
      </c>
      <c r="C7" s="400">
        <f t="array" ref="C7">INDEX(C11:C1171,MATCH(MIN(ABS(C11:C1171-B7)),ABS(C11:C1171-B7),0))</f>
        <v>53.930184804928132</v>
      </c>
      <c r="D7" s="401">
        <f t="array" ref="D7">INDEX(A11:A1171,MATCH(C7,C11:C1171,0),0)</f>
        <v>51288</v>
      </c>
      <c r="E7" s="402">
        <f ca="1">'Lorri 401b'!B4</f>
        <v>46.833333333333336</v>
      </c>
      <c r="F7" s="403">
        <f ca="1">'Lorri 401b'!D4</f>
        <v>68362</v>
      </c>
      <c r="G7" s="404">
        <f ca="1">(F7-C9)/365.25</f>
        <v>100.67624914442163</v>
      </c>
      <c r="H7" s="23"/>
      <c r="I7" s="23"/>
      <c r="J7" s="405">
        <v>0.27938000000000002</v>
      </c>
      <c r="K7" s="406">
        <f>1-J7</f>
        <v>0.72062000000000004</v>
      </c>
      <c r="L7" s="23"/>
      <c r="M7" s="407" t="s">
        <v>593</v>
      </c>
      <c r="N7" s="383">
        <f>N5-N6</f>
        <v>30548.087599999992</v>
      </c>
      <c r="O7" s="408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6261826.1342525426</v>
      </c>
      <c r="K9" s="25">
        <f t="shared" si="1"/>
        <v>10801790.855273625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594</v>
      </c>
      <c r="C10" s="11" t="s">
        <v>595</v>
      </c>
      <c r="E10" s="25" t="s">
        <v>563</v>
      </c>
      <c r="F10" s="25" t="s">
        <v>575</v>
      </c>
      <c r="G10" s="25" t="s">
        <v>580</v>
      </c>
      <c r="H10" s="25" t="s">
        <v>596</v>
      </c>
      <c r="I10" s="25" t="s">
        <v>597</v>
      </c>
      <c r="J10" s="25" t="s">
        <v>598</v>
      </c>
      <c r="K10" s="25" t="s">
        <v>599</v>
      </c>
      <c r="L10" s="25"/>
      <c r="N10" s="25" t="s">
        <v>600</v>
      </c>
      <c r="O10" s="25" t="s">
        <v>601</v>
      </c>
      <c r="P10" s="25" t="s">
        <v>602</v>
      </c>
      <c r="Q10" s="25" t="s">
        <v>603</v>
      </c>
      <c r="R10" s="25" t="s">
        <v>604</v>
      </c>
      <c r="S10" s="25" t="s">
        <v>605</v>
      </c>
    </row>
    <row r="11" spans="1:19" ht="14.4" x14ac:dyDescent="0.3">
      <c r="A11" s="37">
        <v>51288</v>
      </c>
      <c r="B11" s="409">
        <f t="shared" ref="B11:C11" si="2">($A11-B$9)/365.25</f>
        <v>58.540725530458587</v>
      </c>
      <c r="C11" s="409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3525.4531757812501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31188.244538569645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7964.8254614303487</v>
      </c>
      <c r="P11" s="25">
        <f t="shared" ref="P11:P265" si="6">N11-O11</f>
        <v>31188.244538569645</v>
      </c>
      <c r="Q11" s="25">
        <f t="array" aca="1" ref="Q11" ca="1">INDEX('Isaac 401k'!L:L,MATCH('Retirement Calculator'!A11,'Isaac 401k'!N:N,0),0)</f>
        <v>3057580.5376224988</v>
      </c>
      <c r="R11" s="25">
        <f t="array" aca="1" ref="R11" ca="1">INDEX('Lorri 401b'!L:L,MATCH('Retirement Calculator'!A11,'Lorri 401b'!N:N,0),0)</f>
        <v>3277077.9763874072</v>
      </c>
      <c r="S11" s="25">
        <f t="shared" ref="S11:S265" ca="1" si="7">SUM(Q11:R11)</f>
        <v>6334658.514009906</v>
      </c>
    </row>
    <row r="12" spans="1:19" ht="14.4" x14ac:dyDescent="0.3">
      <c r="A12" s="37">
        <v>51318</v>
      </c>
      <c r="B12" s="409">
        <f t="shared" ref="B12:C12" si="8">($A12-B$9)/365.25</f>
        <v>58.622861054072551</v>
      </c>
      <c r="C12" s="409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3525.4531757812501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31188.244538569645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7964.8254614303487</v>
      </c>
      <c r="P12" s="25">
        <f t="shared" si="6"/>
        <v>31188.244538569645</v>
      </c>
      <c r="Q12" s="25">
        <f t="array" aca="1" ref="Q12" ca="1">INDEX('Isaac 401k'!L:L,MATCH('Retirement Calculator'!A12,'Isaac 401k'!N:N,0),0)</f>
        <v>3039002.2609717785</v>
      </c>
      <c r="R12" s="25">
        <f t="array" aca="1" ref="R12" ca="1">INDEX('Lorri 401b'!L:L,MATCH('Retirement Calculator'!A12,'Lorri 401b'!N:N,0),0)</f>
        <v>3290732.467955688</v>
      </c>
      <c r="S12" s="25">
        <f t="shared" ca="1" si="7"/>
        <v>6329734.728927467</v>
      </c>
    </row>
    <row r="13" spans="1:19" ht="14.4" x14ac:dyDescent="0.3">
      <c r="A13" s="37">
        <v>51349</v>
      </c>
      <c r="B13" s="409">
        <f t="shared" ref="B13:C13" si="9">($A13-B$9)/365.25</f>
        <v>58.70773442847365</v>
      </c>
      <c r="C13" s="409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3525.4531757812501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31188.244538569645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7964.8254614303487</v>
      </c>
      <c r="P13" s="25">
        <f t="shared" si="6"/>
        <v>31188.244538569645</v>
      </c>
      <c r="Q13" s="25">
        <f t="array" aca="1" ref="Q13" ca="1">INDEX('Isaac 401k'!L:L,MATCH('Retirement Calculator'!A13,'Isaac 401k'!N:N,0),0)</f>
        <v>3020346.5748350136</v>
      </c>
      <c r="R13" s="25">
        <f t="array" aca="1" ref="R13" ca="1">INDEX('Lorri 401b'!L:L,MATCH('Retirement Calculator'!A13,'Lorri 401b'!N:N,0),0)</f>
        <v>3304443.8532388369</v>
      </c>
      <c r="S13" s="25">
        <f t="shared" ca="1" si="7"/>
        <v>6324790.4280738505</v>
      </c>
    </row>
    <row r="14" spans="1:19" ht="14.4" x14ac:dyDescent="0.3">
      <c r="A14" s="37">
        <v>51380</v>
      </c>
      <c r="B14" s="409">
        <f t="shared" ref="B14:C14" si="10">($A14-B$9)/365.25</f>
        <v>58.792607802874741</v>
      </c>
      <c r="C14" s="409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3525.4531757812501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31188.244538569645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7964.8254614303487</v>
      </c>
      <c r="P14" s="25">
        <f t="shared" si="6"/>
        <v>31188.244538569645</v>
      </c>
      <c r="Q14" s="25">
        <f t="array" aca="1" ref="Q14" ca="1">INDEX('Isaac 401k'!L:L,MATCH('Retirement Calculator'!A14,'Isaac 401k'!N:N,0),0)</f>
        <v>3001613.1566726789</v>
      </c>
      <c r="R14" s="25">
        <f t="array" aca="1" ref="R14" ca="1">INDEX('Lorri 401b'!L:L,MATCH('Retirement Calculator'!A14,'Lorri 401b'!N:N,0),0)</f>
        <v>3318212.3692939985</v>
      </c>
      <c r="S14" s="25">
        <f t="shared" ca="1" si="7"/>
        <v>6319825.5259666778</v>
      </c>
    </row>
    <row r="15" spans="1:19" ht="14.4" x14ac:dyDescent="0.3">
      <c r="A15" s="37">
        <v>51410</v>
      </c>
      <c r="B15" s="409">
        <f t="shared" ref="B15:C15" si="11">($A15-B$9)/365.25</f>
        <v>58.874743326488705</v>
      </c>
      <c r="C15" s="409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3525.4531757812501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31188.244538569645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7964.8254614303487</v>
      </c>
      <c r="P15" s="25">
        <f t="shared" si="6"/>
        <v>31188.244538569645</v>
      </c>
      <c r="Q15" s="25">
        <f t="array" aca="1" ref="Q15" ca="1">INDEX('Isaac 401k'!L:L,MATCH('Retirement Calculator'!A15,'Isaac 401k'!N:N,0),0)</f>
        <v>2982801.6826013345</v>
      </c>
      <c r="R15" s="25">
        <f t="array" aca="1" ref="R15" ca="1">INDEX('Lorri 401b'!L:L,MATCH('Retirement Calculator'!A15,'Lorri 401b'!N:N,0),0)</f>
        <v>3332038.2541660569</v>
      </c>
      <c r="S15" s="25">
        <f t="shared" ca="1" si="7"/>
        <v>6314839.9367673919</v>
      </c>
    </row>
    <row r="16" spans="1:19" ht="14.4" x14ac:dyDescent="0.3">
      <c r="A16" s="37">
        <v>51441</v>
      </c>
      <c r="B16" s="409">
        <f t="shared" ref="B16:C16" si="12">($A16-B$9)/365.25</f>
        <v>58.959616700889804</v>
      </c>
      <c r="C16" s="409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3525.4531757812501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31188.244538569645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7964.8254614303487</v>
      </c>
      <c r="P16" s="25">
        <f t="shared" si="6"/>
        <v>31188.244538569645</v>
      </c>
      <c r="Q16" s="25">
        <f t="array" aca="1" ref="Q16" ca="1">INDEX('Isaac 401k'!L:L,MATCH('Retirement Calculator'!A16,'Isaac 401k'!N:N,0),0)</f>
        <v>2963911.8273880263</v>
      </c>
      <c r="R16" s="25">
        <f t="array" aca="1" ref="R16" ca="1">INDEX('Lorri 401b'!L:L,MATCH('Retirement Calculator'!A16,'Lorri 401b'!N:N,0),0)</f>
        <v>3345921.7468917486</v>
      </c>
      <c r="S16" s="25">
        <f t="shared" ca="1" si="7"/>
        <v>6309833.5742797749</v>
      </c>
    </row>
    <row r="17" spans="1:19" ht="14.4" x14ac:dyDescent="0.3">
      <c r="A17" s="37">
        <v>51471</v>
      </c>
      <c r="B17" s="409">
        <f t="shared" ref="B17:C17" si="13">($A17-B$9)/365.25</f>
        <v>59.041752224503767</v>
      </c>
      <c r="C17" s="409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3525.4531757812501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31188.244538569645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7964.8254614303487</v>
      </c>
      <c r="P17" s="25">
        <f t="shared" si="6"/>
        <v>31188.244538569645</v>
      </c>
      <c r="Q17" s="25">
        <f t="array" aca="1" ref="Q17" ca="1">INDEX('Isaac 401k'!L:L,MATCH('Retirement Calculator'!A17,'Isaac 401k'!N:N,0),0)</f>
        <v>2944943.2644446627</v>
      </c>
      <c r="R17" s="25">
        <f t="array" aca="1" ref="R17" ca="1">INDEX('Lorri 401b'!L:L,MATCH('Retirement Calculator'!A17,'Lorri 401b'!N:N,0),0)</f>
        <v>3359863.0875037974</v>
      </c>
      <c r="S17" s="25">
        <f t="shared" ca="1" si="7"/>
        <v>6304806.3519484606</v>
      </c>
    </row>
    <row r="18" spans="1:19" ht="14.4" x14ac:dyDescent="0.3">
      <c r="A18" s="37">
        <v>51502</v>
      </c>
      <c r="B18" s="409">
        <f t="shared" ref="B18:C18" si="14">($A18-B$9)/365.25</f>
        <v>59.126625598904859</v>
      </c>
      <c r="C18" s="409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3525.4531757812501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31188.244538569645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7964.8254614303487</v>
      </c>
      <c r="P18" s="25">
        <f t="shared" si="6"/>
        <v>31188.244538569645</v>
      </c>
      <c r="Q18" s="25">
        <f t="array" aca="1" ref="Q18" ca="1">INDEX('Isaac 401k'!L:L,MATCH('Retirement Calculator'!A18,'Isaac 401k'!N:N,0),0)</f>
        <v>2925895.6658223681</v>
      </c>
      <c r="R18" s="25">
        <f t="array" aca="1" ref="R18" ca="1">INDEX('Lorri 401b'!L:L,MATCH('Retirement Calculator'!A18,'Lorri 401b'!N:N,0),0)</f>
        <v>3373862.5170350634</v>
      </c>
      <c r="S18" s="25">
        <f t="shared" ca="1" si="7"/>
        <v>6299758.1828574315</v>
      </c>
    </row>
    <row r="19" spans="1:19" ht="14.4" x14ac:dyDescent="0.3">
      <c r="A19" s="37">
        <v>51533</v>
      </c>
      <c r="B19" s="409">
        <f t="shared" ref="B19:C19" si="15">($A19-B$9)/365.25</f>
        <v>59.211498973305957</v>
      </c>
      <c r="C19" s="409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3525.4531757812501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31188.244538569645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7964.8254614303487</v>
      </c>
      <c r="P19" s="25">
        <f t="shared" si="6"/>
        <v>31188.244538569645</v>
      </c>
      <c r="Q19" s="25">
        <f t="array" aca="1" ref="Q19" ca="1">INDEX('Isaac 401k'!L:L,MATCH('Retirement Calculator'!A19,'Isaac 401k'!N:N,0),0)</f>
        <v>2906768.702205814</v>
      </c>
      <c r="R19" s="25">
        <f t="array" aca="1" ref="R19" ca="1">INDEX('Lorri 401b'!L:L,MATCH('Retirement Calculator'!A19,'Lorri 401b'!N:N,0),0)</f>
        <v>3387920.2775227092</v>
      </c>
      <c r="S19" s="25">
        <f t="shared" ca="1" si="7"/>
        <v>6294688.9797285236</v>
      </c>
    </row>
    <row r="20" spans="1:19" ht="14.4" x14ac:dyDescent="0.3">
      <c r="A20" s="37">
        <v>51561</v>
      </c>
      <c r="B20" s="409">
        <f t="shared" ref="B20:C20" si="16">($A20-B$9)/365.25</f>
        <v>59.288158795345652</v>
      </c>
      <c r="C20" s="409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3525.4531757812501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31188.244538569645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7964.8254614303487</v>
      </c>
      <c r="P20" s="25">
        <f t="shared" si="6"/>
        <v>31188.244538569645</v>
      </c>
      <c r="Q20" s="25">
        <f t="array" aca="1" ref="Q20" ca="1">INDEX('Isaac 401k'!L:L,MATCH('Retirement Calculator'!A20,'Isaac 401k'!N:N,0),0)</f>
        <v>2887562.0429075244</v>
      </c>
      <c r="R20" s="25">
        <f t="array" aca="1" ref="R20" ca="1">INDEX('Lorri 401b'!L:L,MATCH('Retirement Calculator'!A20,'Lorri 401b'!N:N,0),0)</f>
        <v>3402036.6120123873</v>
      </c>
      <c r="S20" s="25">
        <f t="shared" ca="1" si="7"/>
        <v>6289598.6549199112</v>
      </c>
    </row>
    <row r="21" spans="1:19" ht="15.75" customHeight="1" x14ac:dyDescent="0.3">
      <c r="A21" s="37">
        <v>51592</v>
      </c>
      <c r="B21" s="409">
        <f t="shared" ref="B21:C21" si="17">($A21-B$9)/365.25</f>
        <v>59.37303216974675</v>
      </c>
      <c r="C21" s="409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3525.4531757812501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31188.244538569645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7964.8254614303487</v>
      </c>
      <c r="P21" s="25">
        <f t="shared" si="6"/>
        <v>31188.244538569645</v>
      </c>
      <c r="Q21" s="25">
        <f t="array" aca="1" ref="Q21" ca="1">INDEX('Isaac 401k'!L:L,MATCH('Retirement Calculator'!A21,'Isaac 401k'!N:N,0),0)</f>
        <v>2868275.3558621584</v>
      </c>
      <c r="R21" s="25">
        <f t="array" aca="1" ref="R21" ca="1">INDEX('Lorri 401b'!L:L,MATCH('Retirement Calculator'!A21,'Lorri 401b'!N:N,0),0)</f>
        <v>3416211.7645624387</v>
      </c>
      <c r="S21" s="25">
        <f t="shared" ca="1" si="7"/>
        <v>6284487.1204245966</v>
      </c>
    </row>
    <row r="22" spans="1:19" ht="15.75" customHeight="1" x14ac:dyDescent="0.3">
      <c r="A22" s="37">
        <v>51622</v>
      </c>
      <c r="B22" s="409">
        <f t="shared" ref="B22:C22" si="18">($A22-B$9)/365.25</f>
        <v>59.455167693360714</v>
      </c>
      <c r="C22" s="409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3525.4531757812501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31188.244538569645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7964.8254614303487</v>
      </c>
      <c r="P22" s="25">
        <f t="shared" si="6"/>
        <v>31188.244538569645</v>
      </c>
      <c r="Q22" s="25">
        <f t="array" aca="1" ref="Q22" ca="1">INDEX('Isaac 401k'!L:L,MATCH('Retirement Calculator'!A22,'Isaac 401k'!N:N,0),0)</f>
        <v>2848908.3076207703</v>
      </c>
      <c r="R22" s="25">
        <f t="array" aca="1" ref="R22" ca="1">INDEX('Lorri 401b'!L:L,MATCH('Retirement Calculator'!A22,'Lorri 401b'!N:N,0),0)</f>
        <v>3430445.9802481155</v>
      </c>
      <c r="S22" s="25">
        <f t="shared" ca="1" si="7"/>
        <v>6279354.2878688853</v>
      </c>
    </row>
    <row r="23" spans="1:19" ht="15.75" customHeight="1" x14ac:dyDescent="0.3">
      <c r="A23" s="37">
        <v>51653</v>
      </c>
      <c r="B23" s="409">
        <f t="shared" ref="B23:C23" si="19">($A23-B$9)/365.25</f>
        <v>59.540041067761805</v>
      </c>
      <c r="C23" s="409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3525.4531757812501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31188.244538569645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7964.8254614303487</v>
      </c>
      <c r="P23" s="25">
        <f t="shared" si="6"/>
        <v>31188.244538569645</v>
      </c>
      <c r="Q23" s="25">
        <f t="array" aca="1" ref="Q23" ca="1">INDEX('Isaac 401k'!L:L,MATCH('Retirement Calculator'!A23,'Isaac 401k'!N:N,0),0)</f>
        <v>2829460.563345043</v>
      </c>
      <c r="R23" s="25">
        <f t="array" aca="1" ref="R23" ca="1">INDEX('Lorri 401b'!L:L,MATCH('Retirement Calculator'!A23,'Lorri 401b'!N:N,0),0)</f>
        <v>3444739.5051658158</v>
      </c>
      <c r="S23" s="25">
        <f t="shared" ca="1" si="7"/>
        <v>6274200.0685108583</v>
      </c>
    </row>
    <row r="24" spans="1:19" ht="15.75" customHeight="1" x14ac:dyDescent="0.3">
      <c r="A24" s="37">
        <v>51683</v>
      </c>
      <c r="B24" s="409">
        <f t="shared" ref="B24:C24" si="20">($A24-B$9)/365.25</f>
        <v>59.622176591375769</v>
      </c>
      <c r="C24" s="409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3525.4531757812501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31188.244538569645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7964.8254614303487</v>
      </c>
      <c r="P24" s="25">
        <f t="shared" si="6"/>
        <v>31188.244538569645</v>
      </c>
      <c r="Q24" s="25">
        <f t="array" aca="1" ref="Q24" ca="1">INDEX('Isaac 401k'!L:L,MATCH('Retirement Calculator'!A24,'Isaac 401k'!N:N,0),0)</f>
        <v>2809931.7868015002</v>
      </c>
      <c r="R24" s="25">
        <f t="array" aca="1" ref="R24" ca="1">INDEX('Lorri 401b'!L:L,MATCH('Retirement Calculator'!A24,'Lorri 401b'!N:N,0),0)</f>
        <v>3459092.5864373399</v>
      </c>
      <c r="S24" s="25">
        <f t="shared" ca="1" si="7"/>
        <v>6269024.3732388401</v>
      </c>
    </row>
    <row r="25" spans="1:19" ht="15.75" customHeight="1" x14ac:dyDescent="0.3">
      <c r="A25" s="37">
        <v>51714</v>
      </c>
      <c r="B25" s="409">
        <f t="shared" ref="B25:C25" si="21">($A25-B$9)/365.25</f>
        <v>59.707049965776868</v>
      </c>
      <c r="C25" s="409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3525.4531757812501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31188.244538569645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7964.8254614303487</v>
      </c>
      <c r="P25" s="25">
        <f t="shared" si="6"/>
        <v>31188.244538569645</v>
      </c>
      <c r="Q25" s="25">
        <f t="array" aca="1" ref="Q25" ca="1">INDEX('Isaac 401k'!L:L,MATCH('Retirement Calculator'!A25,'Isaac 401k'!N:N,0),0)</f>
        <v>2790321.6403556927</v>
      </c>
      <c r="R25" s="25">
        <f t="array" aca="1" ref="R25" ca="1">INDEX('Lorri 401b'!L:L,MATCH('Retirement Calculator'!A25,'Lorri 401b'!N:N,0),0)</f>
        <v>3473505.4722141623</v>
      </c>
      <c r="S25" s="25">
        <f t="shared" ca="1" si="7"/>
        <v>6263827.1125698555</v>
      </c>
    </row>
    <row r="26" spans="1:19" ht="15.75" customHeight="1" x14ac:dyDescent="0.3">
      <c r="A26" s="37">
        <v>51745</v>
      </c>
      <c r="B26" s="409">
        <f t="shared" ref="B26:C26" si="22">($A26-B$9)/365.25</f>
        <v>59.791923340177959</v>
      </c>
      <c r="C26" s="409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3525.4531757812501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31188.244538569645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7964.8254614303487</v>
      </c>
      <c r="P26" s="25">
        <f t="shared" si="6"/>
        <v>31188.244538569645</v>
      </c>
      <c r="Q26" s="25">
        <f t="array" aca="1" ref="Q26" ca="1">INDEX('Isaac 401k'!L:L,MATCH('Retirement Calculator'!A26,'Isaac 401k'!N:N,0),0)</f>
        <v>2770629.7849663608</v>
      </c>
      <c r="R26" s="25">
        <f t="array" aca="1" ref="R26" ca="1">INDEX('Lorri 401b'!L:L,MATCH('Retirement Calculator'!A26,'Lorri 401b'!N:N,0),0)</f>
        <v>3487978.4116817215</v>
      </c>
      <c r="S26" s="25">
        <f t="shared" ca="1" si="7"/>
        <v>6258608.1966480818</v>
      </c>
    </row>
    <row r="27" spans="1:19" ht="15.75" customHeight="1" x14ac:dyDescent="0.3">
      <c r="A27" s="37">
        <v>51775</v>
      </c>
      <c r="B27" s="409">
        <f t="shared" ref="B27:C27" si="23">($A27-B$9)/365.25</f>
        <v>59.874058863791923</v>
      </c>
      <c r="C27" s="409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3525.4531757812501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31188.244538569645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7964.8254614303487</v>
      </c>
      <c r="P27" s="25">
        <f t="shared" si="6"/>
        <v>31188.244538569645</v>
      </c>
      <c r="Q27" s="25">
        <f t="array" aca="1" ref="Q27" ca="1">INDEX('Isaac 401k'!L:L,MATCH('Retirement Calculator'!A27,'Isaac 401k'!N:N,0),0)</f>
        <v>2750855.8801795733</v>
      </c>
      <c r="R27" s="25">
        <f t="array" aca="1" ref="R27" ca="1">INDEX('Lorri 401b'!L:L,MATCH('Retirement Calculator'!A27,'Lorri 401b'!N:N,0),0)</f>
        <v>3502511.6550637288</v>
      </c>
      <c r="S27" s="25">
        <f t="shared" ca="1" si="7"/>
        <v>6253367.5352433026</v>
      </c>
    </row>
    <row r="28" spans="1:19" ht="15.75" customHeight="1" x14ac:dyDescent="0.3">
      <c r="A28" s="37">
        <v>51806</v>
      </c>
      <c r="B28" s="409">
        <f t="shared" ref="B28:C28" si="24">($A28-B$9)/365.25</f>
        <v>59.958932238193022</v>
      </c>
      <c r="C28" s="409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3525.4531757812501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31188.244538569645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7964.8254614303487</v>
      </c>
      <c r="P28" s="25">
        <f t="shared" si="6"/>
        <v>31188.244538569645</v>
      </c>
      <c r="Q28" s="25">
        <f t="array" aca="1" ref="Q28" ca="1">INDEX('Isaac 401k'!L:L,MATCH('Retirement Calculator'!A28,'Isaac 401k'!N:N,0),0)</f>
        <v>2730999.5841228408</v>
      </c>
      <c r="R28" s="25">
        <f t="array" aca="1" ref="R28" ca="1">INDEX('Lorri 401b'!L:L,MATCH('Retirement Calculator'!A28,'Lorri 401b'!N:N,0),0)</f>
        <v>3517105.4536264944</v>
      </c>
      <c r="S28" s="25">
        <f t="shared" ca="1" si="7"/>
        <v>6248105.0377493352</v>
      </c>
    </row>
    <row r="29" spans="1:19" ht="15.75" customHeight="1" x14ac:dyDescent="0.3">
      <c r="A29" s="37">
        <v>51836</v>
      </c>
      <c r="B29" s="409">
        <f t="shared" ref="B29:C29" si="25">($A29-B$9)/365.25</f>
        <v>60.041067761806978</v>
      </c>
      <c r="C29" s="409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3525.4531757812501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31188.244538569645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7964.8254614303487</v>
      </c>
      <c r="P29" s="25">
        <f t="shared" si="6"/>
        <v>31188.244538569645</v>
      </c>
      <c r="Q29" s="25">
        <f t="array" aca="1" ref="Q29" ca="1">INDEX('Isaac 401k'!L:L,MATCH('Retirement Calculator'!A29,'Isaac 401k'!N:N,0),0)</f>
        <v>2711060.5534992055</v>
      </c>
      <c r="R29" s="25">
        <f t="array" aca="1" ref="R29" ca="1">INDEX('Lorri 401b'!L:L,MATCH('Retirement Calculator'!A29,'Lorri 401b'!N:N,0),0)</f>
        <v>3531760.0596832712</v>
      </c>
      <c r="S29" s="25">
        <f t="shared" ca="1" si="7"/>
        <v>6242820.6131824767</v>
      </c>
    </row>
    <row r="30" spans="1:19" ht="15.75" customHeight="1" x14ac:dyDescent="0.3">
      <c r="A30" s="37">
        <v>51867</v>
      </c>
      <c r="B30" s="409">
        <f t="shared" ref="B30:C30" si="26">($A30-B$9)/365.25</f>
        <v>60.125941136208077</v>
      </c>
      <c r="C30" s="409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3525.4531757812501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31188.244538569645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7964.8254614303487</v>
      </c>
      <c r="P30" s="25">
        <f t="shared" si="6"/>
        <v>31188.244538569645</v>
      </c>
      <c r="Q30" s="25">
        <f t="array" aca="1" ref="Q30" ca="1">INDEX('Isaac 401k'!L:L,MATCH('Retirement Calculator'!A30,'Isaac 401k'!N:N,0),0)</f>
        <v>2691038.443581305</v>
      </c>
      <c r="R30" s="25">
        <f t="array" aca="1" ref="R30" ca="1">INDEX('Lorri 401b'!L:L,MATCH('Retirement Calculator'!A30,'Lorri 401b'!N:N,0),0)</f>
        <v>3546475.7265986181</v>
      </c>
      <c r="S30" s="25">
        <f t="shared" ca="1" si="7"/>
        <v>6237514.1701799231</v>
      </c>
    </row>
    <row r="31" spans="1:19" ht="15.75" customHeight="1" x14ac:dyDescent="0.3">
      <c r="A31" s="37">
        <v>51898</v>
      </c>
      <c r="B31" s="409">
        <f t="shared" ref="B31:C31" si="27">($A31-B$9)/365.25</f>
        <v>60.210814510609168</v>
      </c>
      <c r="C31" s="409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3525.4531757812501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31188.244538569645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7964.8254614303487</v>
      </c>
      <c r="P31" s="25">
        <f t="shared" si="6"/>
        <v>31188.244538569645</v>
      </c>
      <c r="Q31" s="25">
        <f t="array" aca="1" ref="Q31" ca="1">INDEX('Isaac 401k'!L:L,MATCH('Retirement Calculator'!A31,'Isaac 401k'!N:N,0),0)</f>
        <v>2670932.9082054133</v>
      </c>
      <c r="R31" s="25">
        <f t="array" aca="1" ref="R31" ca="1">INDEX('Lorri 401b'!L:L,MATCH('Retirement Calculator'!A31,'Lorri 401b'!N:N,0),0)</f>
        <v>3561252.7087927791</v>
      </c>
      <c r="S31" s="25">
        <f t="shared" ca="1" si="7"/>
        <v>6232185.6169981919</v>
      </c>
    </row>
    <row r="32" spans="1:19" ht="15.75" customHeight="1" x14ac:dyDescent="0.3">
      <c r="A32" s="37">
        <v>51926</v>
      </c>
      <c r="B32" s="409">
        <f t="shared" ref="B32:C32" si="28">($A32-B$9)/365.25</f>
        <v>60.28747433264887</v>
      </c>
      <c r="C32" s="409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3525.4531757812501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31188.244538569645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7964.8254614303487</v>
      </c>
      <c r="P32" s="25">
        <f t="shared" si="6"/>
        <v>31188.244538569645</v>
      </c>
      <c r="Q32" s="25">
        <f t="array" aca="1" ref="Q32" ca="1">INDEX('Isaac 401k'!L:L,MATCH('Retirement Calculator'!A32,'Isaac 401k'!N:N,0),0)</f>
        <v>2650743.5997654554</v>
      </c>
      <c r="R32" s="25">
        <f t="array" aca="1" ref="R32" ca="1">INDEX('Lorri 401b'!L:L,MATCH('Retirement Calculator'!A32,'Lorri 401b'!N:N,0),0)</f>
        <v>3576091.2617460825</v>
      </c>
      <c r="S32" s="25">
        <f t="shared" ca="1" si="7"/>
        <v>6226834.8615115378</v>
      </c>
    </row>
    <row r="33" spans="1:19" ht="15.75" customHeight="1" x14ac:dyDescent="0.3">
      <c r="A33" s="37">
        <v>51957</v>
      </c>
      <c r="B33" s="409">
        <f t="shared" ref="B33:C33" si="29">($A33-B$9)/365.25</f>
        <v>60.372347707049968</v>
      </c>
      <c r="C33" s="409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3525.4531757812501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31188.244538569645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7964.8254614303487</v>
      </c>
      <c r="P33" s="25">
        <f t="shared" si="6"/>
        <v>31188.244538569645</v>
      </c>
      <c r="Q33" s="25">
        <f t="array" aca="1" ref="Q33" ca="1">INDEX('Isaac 401k'!L:L,MATCH('Retirement Calculator'!A33,'Isaac 401k'!N:N,0),0)</f>
        <v>2630470.1692069974</v>
      </c>
      <c r="R33" s="25">
        <f t="array" aca="1" ref="R33" ca="1">INDEX('Lorri 401b'!L:L,MATCH('Retirement Calculator'!A33,'Lorri 401b'!N:N,0),0)</f>
        <v>3590991.6420033579</v>
      </c>
      <c r="S33" s="25">
        <f t="shared" ca="1" si="7"/>
        <v>6221461.8112103548</v>
      </c>
    </row>
    <row r="34" spans="1:19" ht="15.75" customHeight="1" x14ac:dyDescent="0.3">
      <c r="A34" s="37">
        <v>51987</v>
      </c>
      <c r="B34" s="409">
        <f t="shared" ref="B34:C34" si="30">($A34-B$9)/365.25</f>
        <v>60.454483230663932</v>
      </c>
      <c r="C34" s="409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3525.4531757812501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31188.244538569645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7964.8254614303487</v>
      </c>
      <c r="P34" s="25">
        <f t="shared" si="6"/>
        <v>31188.244538569645</v>
      </c>
      <c r="Q34" s="25">
        <f t="array" aca="1" ref="Q34" ca="1">INDEX('Isaac 401k'!L:L,MATCH('Retirement Calculator'!A34,'Isaac 401k'!N:N,0),0)</f>
        <v>2610112.2660212126</v>
      </c>
      <c r="R34" s="25">
        <f t="array" aca="1" ref="R34" ca="1">INDEX('Lorri 401b'!L:L,MATCH('Retirement Calculator'!A34,'Lorri 401b'!N:N,0),0)</f>
        <v>3605954.1071783719</v>
      </c>
      <c r="S34" s="25">
        <f t="shared" ca="1" si="7"/>
        <v>6216066.373199584</v>
      </c>
    </row>
    <row r="35" spans="1:19" ht="15.75" customHeight="1" x14ac:dyDescent="0.3">
      <c r="A35" s="37">
        <v>52018</v>
      </c>
      <c r="B35" s="409">
        <f t="shared" ref="B35:C35" si="31">($A35-B$9)/365.25</f>
        <v>60.539356605065024</v>
      </c>
      <c r="C35" s="409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3525.4531757812501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31188.244538569645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7964.8254614303487</v>
      </c>
      <c r="P35" s="25">
        <f t="shared" si="6"/>
        <v>31188.244538569645</v>
      </c>
      <c r="Q35" s="25">
        <f t="array" aca="1" ref="Q35" ca="1">INDEX('Isaac 401k'!L:L,MATCH('Retirement Calculator'!A35,'Isaac 401k'!N:N,0),0)</f>
        <v>2589669.5382388206</v>
      </c>
      <c r="R35" s="25">
        <f t="array" aca="1" ref="R35" ca="1">INDEX('Lorri 401b'!L:L,MATCH('Retirement Calculator'!A35,'Lorri 401b'!N:N,0),0)</f>
        <v>3620978.9159582816</v>
      </c>
      <c r="S35" s="25">
        <f t="shared" ca="1" si="7"/>
        <v>6210648.4541971022</v>
      </c>
    </row>
    <row r="36" spans="1:19" ht="15.75" customHeight="1" x14ac:dyDescent="0.3">
      <c r="A36" s="37">
        <v>52048</v>
      </c>
      <c r="B36" s="409">
        <f t="shared" ref="B36:C36" si="32">($A36-B$9)/365.25</f>
        <v>60.621492128678987</v>
      </c>
      <c r="C36" s="409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3525.4531757812501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31188.244538569645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7964.8254614303487</v>
      </c>
      <c r="P36" s="25">
        <f t="shared" si="6"/>
        <v>31188.244538569645</v>
      </c>
      <c r="Q36" s="25">
        <f t="array" aca="1" ref="Q36" ca="1">INDEX('Isaac 401k'!L:L,MATCH('Retirement Calculator'!A36,'Isaac 401k'!N:N,0),0)</f>
        <v>2569141.632424002</v>
      </c>
      <c r="R36" s="25">
        <f t="array" aca="1" ref="R36" ca="1">INDEX('Lorri 401b'!L:L,MATCH('Retirement Calculator'!A36,'Lorri 401b'!N:N,0),0)</f>
        <v>3636066.3281081077</v>
      </c>
      <c r="S36" s="25">
        <f t="shared" ca="1" si="7"/>
        <v>6205207.9605321102</v>
      </c>
    </row>
    <row r="37" spans="1:19" ht="15.75" customHeight="1" x14ac:dyDescent="0.3">
      <c r="A37" s="37">
        <v>52079</v>
      </c>
      <c r="B37" s="409">
        <f t="shared" ref="B37:C37" si="33">($A37-B$9)/365.25</f>
        <v>60.706365503080079</v>
      </c>
      <c r="C37" s="409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3525.4531757812501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31188.244538569645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7964.8254614303487</v>
      </c>
      <c r="P37" s="25">
        <f t="shared" si="6"/>
        <v>31188.244538569645</v>
      </c>
      <c r="Q37" s="25">
        <f t="array" aca="1" ref="Q37" ca="1">INDEX('Isaac 401k'!L:L,MATCH('Retirement Calculator'!A37,'Isaac 401k'!N:N,0),0)</f>
        <v>2548528.1936682882</v>
      </c>
      <c r="R37" s="25">
        <f t="array" aca="1" ref="R37" ca="1">INDEX('Lorri 401b'!L:L,MATCH('Retirement Calculator'!A37,'Lorri 401b'!N:N,0),0)</f>
        <v>3651216.6044752249</v>
      </c>
      <c r="S37" s="25">
        <f t="shared" ca="1" si="7"/>
        <v>6199744.7981435135</v>
      </c>
    </row>
    <row r="38" spans="1:19" ht="15.75" customHeight="1" x14ac:dyDescent="0.3">
      <c r="A38" s="37">
        <v>52110</v>
      </c>
      <c r="B38" s="409">
        <f t="shared" ref="B38:C38" si="34">($A38-B$9)/365.25</f>
        <v>60.791238877481177</v>
      </c>
      <c r="C38" s="409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3525.4531757812501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31188.244538569645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7964.8254614303487</v>
      </c>
      <c r="P38" s="25">
        <f t="shared" si="6"/>
        <v>31188.244538569645</v>
      </c>
      <c r="Q38" s="25">
        <f t="array" aca="1" ref="Q38" ca="1">INDEX('Isaac 401k'!L:L,MATCH('Retirement Calculator'!A38,'Isaac 401k'!N:N,0),0)</f>
        <v>2527828.8655844256</v>
      </c>
      <c r="R38" s="25">
        <f t="array" aca="1" ref="R38" ca="1">INDEX('Lorri 401b'!L:L,MATCH('Retirement Calculator'!A38,'Lorri 401b'!N:N,0),0)</f>
        <v>3666430.0069938716</v>
      </c>
      <c r="S38" s="25">
        <f t="shared" ca="1" si="7"/>
        <v>6194258.8725782968</v>
      </c>
    </row>
    <row r="39" spans="1:19" ht="15.75" customHeight="1" x14ac:dyDescent="0.3">
      <c r="A39" s="37">
        <v>52140</v>
      </c>
      <c r="B39" s="409">
        <f t="shared" ref="B39:C39" si="35">($A39-B$9)/365.25</f>
        <v>60.873374401095141</v>
      </c>
      <c r="C39" s="409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3525.4531757812501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31188.244538569645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7964.8254614303487</v>
      </c>
      <c r="P39" s="25">
        <f t="shared" si="6"/>
        <v>31188.244538569645</v>
      </c>
      <c r="Q39" s="25">
        <f t="array" aca="1" ref="Q39" ca="1">INDEX('Isaac 401k'!L:L,MATCH('Retirement Calculator'!A39,'Isaac 401k'!N:N,0),0)</f>
        <v>2507043.2903002137</v>
      </c>
      <c r="R39" s="25">
        <f t="array" aca="1" ref="R39" ca="1">INDEX('Lorri 401b'!L:L,MATCH('Retirement Calculator'!A39,'Lorri 401b'!N:N,0),0)</f>
        <v>3681706.7986896792</v>
      </c>
      <c r="S39" s="25">
        <f t="shared" ca="1" si="7"/>
        <v>6188750.088989893</v>
      </c>
    </row>
    <row r="40" spans="1:19" ht="15.75" customHeight="1" x14ac:dyDescent="0.3">
      <c r="A40" s="37">
        <v>52171</v>
      </c>
      <c r="B40" s="409">
        <f t="shared" ref="B40:C40" si="36">($A40-B$9)/365.25</f>
        <v>60.958247775496233</v>
      </c>
      <c r="C40" s="409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3525.4531757812501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31188.244538569645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7964.8254614303487</v>
      </c>
      <c r="P40" s="25">
        <f t="shared" si="6"/>
        <v>31188.244538569645</v>
      </c>
      <c r="Q40" s="25">
        <f t="array" aca="1" ref="Q40" ca="1">INDEX('Isaac 401k'!L:L,MATCH('Retirement Calculator'!A40,'Isaac 401k'!N:N,0),0)</f>
        <v>2486171.1084523173</v>
      </c>
      <c r="R40" s="25">
        <f t="array" aca="1" ref="R40" ca="1">INDEX('Lorri 401b'!L:L,MATCH('Retirement Calculator'!A40,'Lorri 401b'!N:N,0),0)</f>
        <v>3697047.2436842197</v>
      </c>
      <c r="S40" s="25">
        <f t="shared" ca="1" si="7"/>
        <v>6183218.3521365374</v>
      </c>
    </row>
    <row r="41" spans="1:19" ht="15.75" customHeight="1" x14ac:dyDescent="0.3">
      <c r="A41" s="37">
        <v>52201</v>
      </c>
      <c r="B41" s="409">
        <f t="shared" ref="B41:C41" si="37">($A41-B$9)/365.25</f>
        <v>61.040383299110196</v>
      </c>
      <c r="C41" s="409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3525.4531757812501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31188.244538569645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7964.8254614303487</v>
      </c>
      <c r="P41" s="25">
        <f t="shared" si="6"/>
        <v>31188.244538569645</v>
      </c>
      <c r="Q41" s="25">
        <f t="array" aca="1" ref="Q41" ca="1">INDEX('Isaac 401k'!L:L,MATCH('Retirement Calculator'!A41,'Isaac 401k'!N:N,0),0)</f>
        <v>2465211.9591800547</v>
      </c>
      <c r="R41" s="25">
        <f t="array" aca="1" ref="R41" ca="1">INDEX('Lorri 401b'!L:L,MATCH('Retirement Calculator'!A41,'Lorri 401b'!N:N,0),0)</f>
        <v>3712451.6071995706</v>
      </c>
      <c r="S41" s="25">
        <f t="shared" ca="1" si="7"/>
        <v>6177663.5663796254</v>
      </c>
    </row>
    <row r="42" spans="1:19" ht="15.75" customHeight="1" x14ac:dyDescent="0.3">
      <c r="A42" s="37">
        <v>52232</v>
      </c>
      <c r="B42" s="409">
        <f t="shared" ref="B42:C42" si="38">($A42-B$9)/365.25</f>
        <v>61.125256673511295</v>
      </c>
      <c r="C42" s="409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3525.4531757812501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31188.244538569645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7964.8254614303487</v>
      </c>
      <c r="P42" s="25">
        <f t="shared" si="6"/>
        <v>31188.244538569645</v>
      </c>
      <c r="Q42" s="25">
        <f t="array" aca="1" ref="Q42" ca="1">INDEX('Isaac 401k'!L:L,MATCH('Retirement Calculator'!A42,'Isaac 401k'!N:N,0),0)</f>
        <v>2444165.4801191576</v>
      </c>
      <c r="R42" s="25">
        <f t="array" aca="1" ref="R42" ca="1">INDEX('Lorri 401b'!L:L,MATCH('Retirement Calculator'!A42,'Lorri 401b'!N:N,0),0)</f>
        <v>3727920.1555629023</v>
      </c>
      <c r="S42" s="25">
        <f t="shared" ca="1" si="7"/>
        <v>6172085.6356820595</v>
      </c>
    </row>
    <row r="43" spans="1:19" ht="15.75" customHeight="1" x14ac:dyDescent="0.3">
      <c r="A43" s="37">
        <v>52263</v>
      </c>
      <c r="B43" s="409">
        <f t="shared" ref="B43:C43" si="39">($A43-B$9)/365.25</f>
        <v>61.210130047912386</v>
      </c>
      <c r="C43" s="409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3525.4531757812501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31188.244538569645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7964.8254614303487</v>
      </c>
      <c r="P43" s="25">
        <f t="shared" si="6"/>
        <v>31188.244538569645</v>
      </c>
      <c r="Q43" s="25">
        <f t="array" aca="1" ref="Q43" ca="1">INDEX('Isaac 401k'!L:L,MATCH('Retirement Calculator'!A43,'Isaac 401k'!N:N,0),0)</f>
        <v>2423031.3073955067</v>
      </c>
      <c r="R43" s="25">
        <f t="array" aca="1" ref="R43" ca="1">INDEX('Lorri 401b'!L:L,MATCH('Retirement Calculator'!A43,'Lorri 401b'!N:N,0),0)</f>
        <v>3743453.156211081</v>
      </c>
      <c r="S43" s="25">
        <f t="shared" ca="1" si="7"/>
        <v>6166484.4636065876</v>
      </c>
    </row>
    <row r="44" spans="1:19" ht="15.75" customHeight="1" x14ac:dyDescent="0.3">
      <c r="A44" s="37">
        <v>52291</v>
      </c>
      <c r="B44" s="409">
        <f t="shared" ref="B44:C44" si="40">($A44-B$9)/365.25</f>
        <v>61.286789869952088</v>
      </c>
      <c r="C44" s="409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3525.4531757812501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31188.244538569645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7964.8254614303487</v>
      </c>
      <c r="P44" s="25">
        <f t="shared" si="6"/>
        <v>31188.244538569645</v>
      </c>
      <c r="Q44" s="25">
        <f t="array" aca="1" ref="Q44" ca="1">INDEX('Isaac 401k'!L:L,MATCH('Retirement Calculator'!A44,'Isaac 401k'!N:N,0),0)</f>
        <v>2401809.0756188408</v>
      </c>
      <c r="R44" s="25">
        <f t="array" aca="1" ref="R44" ca="1">INDEX('Lorri 401b'!L:L,MATCH('Retirement Calculator'!A44,'Lorri 401b'!N:N,0),0)</f>
        <v>3759050.8776952936</v>
      </c>
      <c r="S44" s="25">
        <f t="shared" ca="1" si="7"/>
        <v>6160859.9533141349</v>
      </c>
    </row>
    <row r="45" spans="1:19" ht="15.75" customHeight="1" x14ac:dyDescent="0.3">
      <c r="A45" s="37">
        <v>52322</v>
      </c>
      <c r="B45" s="409">
        <f t="shared" ref="B45:C45" si="41">($A45-B$9)/365.25</f>
        <v>61.371663244353179</v>
      </c>
      <c r="C45" s="409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3525.4531757812501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31188.244538569645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7964.8254614303487</v>
      </c>
      <c r="P45" s="25">
        <f t="shared" si="6"/>
        <v>31188.244538569645</v>
      </c>
      <c r="Q45" s="25">
        <f t="array" aca="1" ref="Q45" ca="1">INDEX('Isaac 401k'!L:L,MATCH('Retirement Calculator'!A45,'Isaac 401k'!N:N,0),0)</f>
        <v>2380498.4178764387</v>
      </c>
      <c r="R45" s="25">
        <f t="array" aca="1" ref="R45" ca="1">INDEX('Lorri 401b'!L:L,MATCH('Retirement Calculator'!A45,'Lorri 401b'!N:N,0),0)</f>
        <v>3774713.5896856906</v>
      </c>
      <c r="S45" s="25">
        <f t="shared" ca="1" si="7"/>
        <v>6155212.0075621288</v>
      </c>
    </row>
    <row r="46" spans="1:19" ht="15.75" customHeight="1" x14ac:dyDescent="0.3">
      <c r="A46" s="37">
        <v>52352</v>
      </c>
      <c r="B46" s="409">
        <f t="shared" ref="B46:C46" si="42">($A46-B$9)/365.25</f>
        <v>61.453798767967143</v>
      </c>
      <c r="C46" s="409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3525.4531757812501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31188.244538569645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7964.8254614303487</v>
      </c>
      <c r="P46" s="25">
        <f t="shared" si="6"/>
        <v>31188.244538569645</v>
      </c>
      <c r="Q46" s="25">
        <f t="array" aca="1" ref="Q46" ca="1">INDEX('Isaac 401k'!L:L,MATCH('Retirement Calculator'!A46,'Isaac 401k'!N:N,0),0)</f>
        <v>2359098.9657267765</v>
      </c>
      <c r="R46" s="25">
        <f t="array" aca="1" ref="R46" ca="1">INDEX('Lorri 401b'!L:L,MATCH('Retirement Calculator'!A46,'Lorri 401b'!N:N,0),0)</f>
        <v>3790441.5629760479</v>
      </c>
      <c r="S46" s="25">
        <f t="shared" ca="1" si="7"/>
        <v>6149540.5287028244</v>
      </c>
    </row>
    <row r="47" spans="1:19" ht="15.75" customHeight="1" x14ac:dyDescent="0.3">
      <c r="A47" s="37">
        <v>52383</v>
      </c>
      <c r="B47" s="409">
        <f t="shared" ref="B47:C47" si="43">($A47-B$9)/365.25</f>
        <v>61.538672142368242</v>
      </c>
      <c r="C47" s="409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3525.4531757812501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31188.244538569645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7964.8254614303487</v>
      </c>
      <c r="P47" s="25">
        <f t="shared" si="6"/>
        <v>31188.244538569645</v>
      </c>
      <c r="Q47" s="25">
        <f t="array" aca="1" ref="Q47" ca="1">INDEX('Isaac 401k'!L:L,MATCH('Retirement Calculator'!A47,'Isaac 401k'!N:N,0),0)</f>
        <v>2337610.3491931576</v>
      </c>
      <c r="R47" s="25">
        <f t="array" aca="1" ref="R47" ca="1">INDEX('Lorri 401b'!L:L,MATCH('Retirement Calculator'!A47,'Lorri 401b'!N:N,0),0)</f>
        <v>3806235.0694884481</v>
      </c>
      <c r="S47" s="25">
        <f t="shared" ca="1" si="7"/>
        <v>6143845.4186816057</v>
      </c>
    </row>
    <row r="48" spans="1:19" ht="15.75" customHeight="1" x14ac:dyDescent="0.3">
      <c r="A48" s="37">
        <v>52413</v>
      </c>
      <c r="B48" s="409">
        <f t="shared" ref="B48:C48" si="44">($A48-B$9)/365.25</f>
        <v>61.620807665982205</v>
      </c>
      <c r="C48" s="409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3525.4531757812501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31188.244538569645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7964.8254614303487</v>
      </c>
      <c r="P48" s="25">
        <f t="shared" si="6"/>
        <v>31188.244538569645</v>
      </c>
      <c r="Q48" s="25">
        <f t="array" aca="1" ref="Q48" ca="1">INDEX('Isaac 401k'!L:L,MATCH('Retirement Calculator'!A48,'Isaac 401k'!N:N,0),0)</f>
        <v>2316032.1967573152</v>
      </c>
      <c r="R48" s="25">
        <f t="array" aca="1" ref="R48" ca="1">INDEX('Lorri 401b'!L:L,MATCH('Retirement Calculator'!A48,'Lorri 401b'!N:N,0),0)</f>
        <v>3822094.3822779832</v>
      </c>
      <c r="S48" s="25">
        <f t="shared" ca="1" si="7"/>
        <v>6138126.5790352989</v>
      </c>
    </row>
    <row r="49" spans="1:19" ht="15.75" customHeight="1" x14ac:dyDescent="0.3">
      <c r="A49" s="37">
        <v>52444</v>
      </c>
      <c r="B49" s="409">
        <f t="shared" ref="B49:C49" si="45">($A49-B$9)/365.25</f>
        <v>61.705681040383297</v>
      </c>
      <c r="C49" s="409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3525.4531757812501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31188.244538569645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7964.8254614303487</v>
      </c>
      <c r="P49" s="25">
        <f t="shared" si="6"/>
        <v>31188.244538569645</v>
      </c>
      <c r="Q49" s="25">
        <f t="array" aca="1" ref="Q49" ca="1">INDEX('Isaac 401k'!L:L,MATCH('Retirement Calculator'!A49,'Isaac 401k'!N:N,0),0)</f>
        <v>2294364.1353529901</v>
      </c>
      <c r="R49" s="25">
        <f t="array" aca="1" ref="R49" ca="1">INDEX('Lorri 401b'!L:L,MATCH('Retirement Calculator'!A49,'Lorri 401b'!N:N,0),0)</f>
        <v>3838019.775537475</v>
      </c>
      <c r="S49" s="25">
        <f t="shared" ca="1" si="7"/>
        <v>6132383.9108904656</v>
      </c>
    </row>
    <row r="50" spans="1:19" ht="15.75" customHeight="1" x14ac:dyDescent="0.3">
      <c r="A50" s="37">
        <v>52475</v>
      </c>
      <c r="B50" s="409">
        <f t="shared" ref="B50:C50" si="46">($A50-B$9)/365.25</f>
        <v>61.790554414784395</v>
      </c>
      <c r="C50" s="409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3525.4531757812501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31188.244538569645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7964.8254614303487</v>
      </c>
      <c r="P50" s="25">
        <f t="shared" si="6"/>
        <v>31188.244538569645</v>
      </c>
      <c r="Q50" s="25">
        <f t="array" aca="1" ref="Q50" ca="1">INDEX('Isaac 401k'!L:L,MATCH('Retirement Calculator'!A50,'Isaac 401k'!N:N,0),0)</f>
        <v>2272605.7903594803</v>
      </c>
      <c r="R50" s="25">
        <f t="array" aca="1" ref="R50" ca="1">INDEX('Lorri 401b'!L:L,MATCH('Retirement Calculator'!A50,'Lorri 401b'!N:N,0),0)</f>
        <v>3854011.5246022143</v>
      </c>
      <c r="S50" s="25">
        <f t="shared" ca="1" si="7"/>
        <v>6126617.3149616942</v>
      </c>
    </row>
    <row r="51" spans="1:19" ht="15.75" customHeight="1" x14ac:dyDescent="0.3">
      <c r="A51" s="37">
        <v>52505</v>
      </c>
      <c r="B51" s="409">
        <f t="shared" ref="B51:C51" si="47">($A51-B$9)/365.25</f>
        <v>61.872689938398359</v>
      </c>
      <c r="C51" s="409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3525.4531757812501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31188.244538569645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7964.8254614303487</v>
      </c>
      <c r="P51" s="25">
        <f t="shared" si="6"/>
        <v>31188.244538569645</v>
      </c>
      <c r="Q51" s="25">
        <f t="array" aca="1" ref="Q51" ca="1">INDEX('Isaac 401k'!L:L,MATCH('Retirement Calculator'!A51,'Isaac 401k'!N:N,0),0)</f>
        <v>2250756.7855951642</v>
      </c>
      <c r="R51" s="25">
        <f t="array" aca="1" ref="R51" ca="1">INDEX('Lorri 401b'!L:L,MATCH('Retirement Calculator'!A51,'Lorri 401b'!N:N,0),0)</f>
        <v>3870069.9059547237</v>
      </c>
      <c r="S51" s="25">
        <f t="shared" ca="1" si="7"/>
        <v>6120826.6915498879</v>
      </c>
    </row>
    <row r="52" spans="1:19" ht="15.75" customHeight="1" x14ac:dyDescent="0.3">
      <c r="A52" s="37">
        <v>52536</v>
      </c>
      <c r="B52" s="409">
        <f t="shared" ref="B52:C52" si="48">($A52-B$9)/365.25</f>
        <v>61.957563312799451</v>
      </c>
      <c r="C52" s="409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3525.4531757812501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31188.244538569645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7964.8254614303487</v>
      </c>
      <c r="P52" s="25">
        <f t="shared" si="6"/>
        <v>31188.244538569645</v>
      </c>
      <c r="Q52" s="25">
        <f t="array" aca="1" ref="Q52" ca="1">INDEX('Isaac 401k'!L:L,MATCH('Retirement Calculator'!A52,'Isaac 401k'!N:N,0),0)</f>
        <v>2228816.7433109968</v>
      </c>
      <c r="R52" s="25">
        <f t="array" aca="1" ref="R52" ca="1">INDEX('Lorri 401b'!L:L,MATCH('Retirement Calculator'!A52,'Lorri 401b'!N:N,0),0)</f>
        <v>3886195.1972295349</v>
      </c>
      <c r="S52" s="25">
        <f t="shared" ca="1" si="7"/>
        <v>6115011.9405405317</v>
      </c>
    </row>
    <row r="53" spans="1:19" ht="15.75" customHeight="1" x14ac:dyDescent="0.3">
      <c r="A53" s="37">
        <v>52566</v>
      </c>
      <c r="B53" s="409">
        <f t="shared" ref="B53:C53" si="49">($A53-B$9)/365.25</f>
        <v>62.039698836413415</v>
      </c>
      <c r="C53" s="409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3525.4531757812501</v>
      </c>
      <c r="H53" s="25">
        <f>IF(B53&lt;62,0,'Combined Retirement'!$I$14)</f>
        <v>2192</v>
      </c>
      <c r="I53" s="25">
        <f>IF(C53&lt;62,0,'Combined Retirement'!$I$13)</f>
        <v>0</v>
      </c>
      <c r="J53" s="25">
        <f t="shared" si="3"/>
        <v>30565.244538569641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8587.8254614303496</v>
      </c>
      <c r="P53" s="25">
        <f t="shared" si="6"/>
        <v>30565.244538569641</v>
      </c>
      <c r="Q53" s="25">
        <f t="array" aca="1" ref="Q53" ca="1">INDEX('Isaac 401k'!L:L,MATCH('Retirement Calculator'!A53,'Isaac 401k'!N:N,0),0)</f>
        <v>2207410.8800173122</v>
      </c>
      <c r="R53" s="25">
        <f t="array" aca="1" ref="R53" ca="1">INDEX('Lorri 401b'!L:L,MATCH('Retirement Calculator'!A53,'Lorri 401b'!N:N,0),0)</f>
        <v>3902387.6772179911</v>
      </c>
      <c r="S53" s="25">
        <f t="shared" ca="1" si="7"/>
        <v>6109798.5572353033</v>
      </c>
    </row>
    <row r="54" spans="1:19" ht="15.75" customHeight="1" x14ac:dyDescent="0.3">
      <c r="A54" s="37">
        <v>52597</v>
      </c>
      <c r="B54" s="409">
        <f t="shared" ref="B54:C54" si="50">($A54-B$9)/365.25</f>
        <v>62.124572210814513</v>
      </c>
      <c r="C54" s="409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3525.4531757812501</v>
      </c>
      <c r="H54" s="25">
        <f>IF(B54&lt;62,0,'Combined Retirement'!$I$14)</f>
        <v>2192</v>
      </c>
      <c r="I54" s="25">
        <f>IF(C54&lt;62,0,'Combined Retirement'!$I$13)</f>
        <v>0</v>
      </c>
      <c r="J54" s="25">
        <f t="shared" si="3"/>
        <v>30565.244538569641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8587.8254614303496</v>
      </c>
      <c r="P54" s="25">
        <f t="shared" si="6"/>
        <v>30565.244538569641</v>
      </c>
      <c r="Q54" s="25">
        <f t="array" aca="1" ref="Q54" ca="1">INDEX('Isaac 401k'!L:L,MATCH('Retirement Calculator'!A54,'Isaac 401k'!N:N,0),0)</f>
        <v>2185915.8256265707</v>
      </c>
      <c r="R54" s="25">
        <f t="array" aca="1" ref="R54" ca="1">INDEX('Lorri 401b'!L:L,MATCH('Retirement Calculator'!A54,'Lorri 401b'!N:N,0),0)</f>
        <v>3918647.625873066</v>
      </c>
      <c r="S54" s="25">
        <f t="shared" ca="1" si="7"/>
        <v>6104563.4514996372</v>
      </c>
    </row>
    <row r="55" spans="1:19" ht="15.75" customHeight="1" x14ac:dyDescent="0.3">
      <c r="A55" s="37">
        <v>52628</v>
      </c>
      <c r="B55" s="409">
        <f t="shared" ref="B55:C55" si="51">($A55-B$9)/365.25</f>
        <v>62.209445585215605</v>
      </c>
      <c r="C55" s="409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3525.4531757812501</v>
      </c>
      <c r="H55" s="25">
        <f>IF(B55&lt;62,0,'Combined Retirement'!$I$14)</f>
        <v>2192</v>
      </c>
      <c r="I55" s="25">
        <f>IF(C55&lt;62,0,'Combined Retirement'!$I$13)</f>
        <v>0</v>
      </c>
      <c r="J55" s="25">
        <f t="shared" si="3"/>
        <v>30565.244538569641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8587.8254614303496</v>
      </c>
      <c r="P55" s="25">
        <f t="shared" si="6"/>
        <v>30565.244538569641</v>
      </c>
      <c r="Q55" s="25">
        <f t="array" aca="1" ref="Q55" ca="1">INDEX('Isaac 401k'!L:L,MATCH('Retirement Calculator'!A55,'Isaac 401k'!N:N,0),0)</f>
        <v>2164331.2085092007</v>
      </c>
      <c r="R55" s="25">
        <f t="array" aca="1" ref="R55" ca="1">INDEX('Lorri 401b'!L:L,MATCH('Retirement Calculator'!A55,'Lorri 401b'!N:N,0),0)</f>
        <v>3934975.3243142036</v>
      </c>
      <c r="S55" s="25">
        <f t="shared" ca="1" si="7"/>
        <v>6099306.5328234043</v>
      </c>
    </row>
    <row r="56" spans="1:19" ht="15.75" customHeight="1" x14ac:dyDescent="0.3">
      <c r="A56" s="37">
        <v>52657</v>
      </c>
      <c r="B56" s="409">
        <f t="shared" ref="B56:C56" si="52">($A56-B$9)/365.25</f>
        <v>62.288843258042434</v>
      </c>
      <c r="C56" s="409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3525.4531757812501</v>
      </c>
      <c r="H56" s="25">
        <f>IF(B56&lt;62,0,'Combined Retirement'!$I$14)</f>
        <v>2192</v>
      </c>
      <c r="I56" s="25">
        <f>IF(C56&lt;62,0,'Combined Retirement'!$I$13)</f>
        <v>0</v>
      </c>
      <c r="J56" s="25">
        <f t="shared" si="3"/>
        <v>30565.244538569641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8587.8254614303496</v>
      </c>
      <c r="P56" s="25">
        <f t="shared" si="6"/>
        <v>30565.244538569641</v>
      </c>
      <c r="Q56" s="25">
        <f t="array" aca="1" ref="Q56" ca="1">INDEX('Isaac 401k'!L:L,MATCH('Retirement Calculator'!A56,'Isaac 401k'!N:N,0),0)</f>
        <v>2142656.6554871751</v>
      </c>
      <c r="R56" s="25">
        <f t="array" aca="1" ref="R56" ca="1">INDEX('Lorri 401b'!L:L,MATCH('Retirement Calculator'!A56,'Lorri 401b'!N:N,0),0)</f>
        <v>3951371.0548321796</v>
      </c>
      <c r="S56" s="25">
        <f t="shared" ca="1" si="7"/>
        <v>6094027.7103193551</v>
      </c>
    </row>
    <row r="57" spans="1:19" ht="15.75" customHeight="1" x14ac:dyDescent="0.3">
      <c r="A57" s="37">
        <v>52688</v>
      </c>
      <c r="B57" s="409">
        <f t="shared" ref="B57:C57" si="53">($A57-B$9)/365.25</f>
        <v>62.373716632443532</v>
      </c>
      <c r="C57" s="409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3525.4531757812501</v>
      </c>
      <c r="H57" s="25">
        <f>IF(B57&lt;62,0,'Combined Retirement'!$I$14)</f>
        <v>2192</v>
      </c>
      <c r="I57" s="25">
        <f>IF(C57&lt;62,0,'Combined Retirement'!$I$13)</f>
        <v>0</v>
      </c>
      <c r="J57" s="25">
        <f t="shared" si="3"/>
        <v>30565.244538569641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8587.8254614303496</v>
      </c>
      <c r="P57" s="25">
        <f t="shared" si="6"/>
        <v>30565.244538569641</v>
      </c>
      <c r="Q57" s="25">
        <f t="array" aca="1" ref="Q57" ca="1">INDEX('Isaac 401k'!L:L,MATCH('Retirement Calculator'!A57,'Isaac 401k'!N:N,0),0)</f>
        <v>2120891.7918275576</v>
      </c>
      <c r="R57" s="25">
        <f t="array" aca="1" ref="R57" ca="1">INDEX('Lorri 401b'!L:L,MATCH('Retirement Calculator'!A57,'Lorri 401b'!N:N,0),0)</f>
        <v>3967835.1008939804</v>
      </c>
      <c r="S57" s="25">
        <f t="shared" ca="1" si="7"/>
        <v>6088726.8927215375</v>
      </c>
    </row>
    <row r="58" spans="1:19" ht="15.75" customHeight="1" x14ac:dyDescent="0.3">
      <c r="A58" s="37">
        <v>52718</v>
      </c>
      <c r="B58" s="409">
        <f t="shared" ref="B58:C58" si="54">($A58-B$9)/365.25</f>
        <v>62.455852156057496</v>
      </c>
      <c r="C58" s="409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3525.4531757812501</v>
      </c>
      <c r="H58" s="25">
        <f>IF(B58&lt;62,0,'Combined Retirement'!$I$14)</f>
        <v>2192</v>
      </c>
      <c r="I58" s="25">
        <f>IF(C58&lt;62,0,'Combined Retirement'!$I$13)</f>
        <v>0</v>
      </c>
      <c r="J58" s="25">
        <f t="shared" si="3"/>
        <v>30565.244538569641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8587.8254614303496</v>
      </c>
      <c r="P58" s="25">
        <f t="shared" si="6"/>
        <v>30565.244538569641</v>
      </c>
      <c r="Q58" s="25">
        <f t="array" aca="1" ref="Q58" ca="1">INDEX('Isaac 401k'!L:L,MATCH('Retirement Calculator'!A58,'Isaac 401k'!N:N,0),0)</f>
        <v>2099036.2412360255</v>
      </c>
      <c r="R58" s="25">
        <f t="array" aca="1" ref="R58" ca="1">INDEX('Lorri 401b'!L:L,MATCH('Retirement Calculator'!A58,'Lorri 401b'!N:N,0),0)</f>
        <v>3984367.7471477054</v>
      </c>
      <c r="S58" s="25">
        <f t="shared" ca="1" si="7"/>
        <v>6083403.9883837309</v>
      </c>
    </row>
    <row r="59" spans="1:19" ht="15.75" customHeight="1" x14ac:dyDescent="0.3">
      <c r="A59" s="37">
        <v>52749</v>
      </c>
      <c r="B59" s="409">
        <f t="shared" ref="B59:C59" si="55">($A59-B$9)/365.25</f>
        <v>62.540725530458587</v>
      </c>
      <c r="C59" s="409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3525.4531757812501</v>
      </c>
      <c r="H59" s="25">
        <f>IF(B59&lt;62,0,'Combined Retirement'!$I$14)</f>
        <v>2192</v>
      </c>
      <c r="I59" s="25">
        <f>IF(C59&lt;62,0,'Combined Retirement'!$I$13)</f>
        <v>0</v>
      </c>
      <c r="J59" s="25">
        <f t="shared" si="3"/>
        <v>30565.244538569641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8587.8254614303496</v>
      </c>
      <c r="P59" s="25">
        <f t="shared" si="6"/>
        <v>30565.244538569641</v>
      </c>
      <c r="Q59" s="25">
        <f t="array" aca="1" ref="Q59" ca="1">INDEX('Isaac 401k'!L:L,MATCH('Retirement Calculator'!A59,'Isaac 401k'!N:N,0),0)</f>
        <v>2077089.625850362</v>
      </c>
      <c r="R59" s="25">
        <f t="array" aca="1" ref="R59" ca="1">INDEX('Lorri 401b'!L:L,MATCH('Retirement Calculator'!A59,'Lorri 401b'!N:N,0),0)</f>
        <v>4000969.2794274874</v>
      </c>
      <c r="S59" s="25">
        <f t="shared" ca="1" si="7"/>
        <v>6078058.9052778492</v>
      </c>
    </row>
    <row r="60" spans="1:19" ht="15.75" customHeight="1" x14ac:dyDescent="0.3">
      <c r="A60" s="37">
        <v>52779</v>
      </c>
      <c r="B60" s="409">
        <f t="shared" ref="B60:C60" si="56">($A60-B$9)/365.25</f>
        <v>62.622861054072551</v>
      </c>
      <c r="C60" s="409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3525.4531757812501</v>
      </c>
      <c r="H60" s="25">
        <f>IF(B60&lt;62,0,'Combined Retirement'!$I$14)</f>
        <v>2192</v>
      </c>
      <c r="I60" s="25">
        <f>IF(C60&lt;62,0,'Combined Retirement'!$I$13)</f>
        <v>0</v>
      </c>
      <c r="J60" s="25">
        <f t="shared" si="3"/>
        <v>30565.244538569641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8587.8254614303496</v>
      </c>
      <c r="P60" s="25">
        <f t="shared" si="6"/>
        <v>30565.244538569641</v>
      </c>
      <c r="Q60" s="25">
        <f t="array" aca="1" ref="Q60" ca="1">INDEX('Isaac 401k'!L:L,MATCH('Retirement Calculator'!A60,'Isaac 401k'!N:N,0),0)</f>
        <v>2055051.5662339248</v>
      </c>
      <c r="R60" s="25">
        <f t="array" aca="1" ref="R60" ca="1">INDEX('Lorri 401b'!L:L,MATCH('Retirement Calculator'!A60,'Lorri 401b'!N:N,0),0)</f>
        <v>4017639.9847584353</v>
      </c>
      <c r="S60" s="25">
        <f t="shared" ca="1" si="7"/>
        <v>6072691.5509923603</v>
      </c>
    </row>
    <row r="61" spans="1:19" ht="15.75" customHeight="1" x14ac:dyDescent="0.3">
      <c r="A61" s="37">
        <v>52810</v>
      </c>
      <c r="B61" s="409">
        <f t="shared" ref="B61:C61" si="57">($A61-B$9)/365.25</f>
        <v>62.70773442847365</v>
      </c>
      <c r="C61" s="409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3525.4531757812501</v>
      </c>
      <c r="H61" s="25">
        <f>IF(B61&lt;62,0,'Combined Retirement'!$I$14)</f>
        <v>2192</v>
      </c>
      <c r="I61" s="25">
        <f>IF(C61&lt;62,0,'Combined Retirement'!$I$13)</f>
        <v>0</v>
      </c>
      <c r="J61" s="25">
        <f t="shared" si="3"/>
        <v>30565.244538569641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8587.8254614303496</v>
      </c>
      <c r="P61" s="25">
        <f t="shared" si="6"/>
        <v>30565.244538569641</v>
      </c>
      <c r="Q61" s="25">
        <f t="array" aca="1" ref="Q61" ca="1">INDEX('Isaac 401k'!L:L,MATCH('Retirement Calculator'!A61,'Isaac 401k'!N:N,0),0)</f>
        <v>2032921.6813690858</v>
      </c>
      <c r="R61" s="25">
        <f t="array" aca="1" ref="R61" ca="1">INDEX('Lorri 401b'!L:L,MATCH('Retirement Calculator'!A61,'Lorri 401b'!N:N,0),0)</f>
        <v>4034380.1513615954</v>
      </c>
      <c r="S61" s="25">
        <f t="shared" ca="1" si="7"/>
        <v>6067301.8327306807</v>
      </c>
    </row>
    <row r="62" spans="1:19" ht="15.75" customHeight="1" x14ac:dyDescent="0.3">
      <c r="A62" s="37">
        <v>52841</v>
      </c>
      <c r="B62" s="409">
        <f t="shared" ref="B62:C62" si="58">($A62-B$9)/365.25</f>
        <v>62.792607802874741</v>
      </c>
      <c r="C62" s="409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3525.4531757812501</v>
      </c>
      <c r="H62" s="25">
        <f>IF(B62&lt;62,0,'Combined Retirement'!$I$14)</f>
        <v>2192</v>
      </c>
      <c r="I62" s="25">
        <f>IF(C62&lt;62,0,'Combined Retirement'!$I$13)</f>
        <v>0</v>
      </c>
      <c r="J62" s="25">
        <f t="shared" si="3"/>
        <v>30565.244538569641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8587.8254614303496</v>
      </c>
      <c r="P62" s="25">
        <f t="shared" si="6"/>
        <v>30565.244538569641</v>
      </c>
      <c r="Q62" s="25">
        <f t="array" aca="1" ref="Q62" ca="1">INDEX('Isaac 401k'!L:L,MATCH('Retirement Calculator'!A62,'Isaac 401k'!N:N,0),0)</f>
        <v>2010699.5886506434</v>
      </c>
      <c r="R62" s="25">
        <f t="array" aca="1" ref="R62" ca="1">INDEX('Lorri 401b'!L:L,MATCH('Retirement Calculator'!A62,'Lorri 401b'!N:N,0),0)</f>
        <v>4051190.0686589354</v>
      </c>
      <c r="S62" s="25">
        <f t="shared" ca="1" si="7"/>
        <v>6061889.6573095787</v>
      </c>
    </row>
    <row r="63" spans="1:19" ht="15.75" customHeight="1" x14ac:dyDescent="0.3">
      <c r="A63" s="37">
        <v>52871</v>
      </c>
      <c r="B63" s="409">
        <f t="shared" ref="B63:C63" si="59">($A63-B$9)/365.25</f>
        <v>62.874743326488705</v>
      </c>
      <c r="C63" s="409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3525.4531757812501</v>
      </c>
      <c r="H63" s="25">
        <f>IF(B63&lt;62,0,'Combined Retirement'!$I$14)</f>
        <v>2192</v>
      </c>
      <c r="I63" s="25">
        <f>IF(C63&lt;62,0,'Combined Retirement'!$I$13)</f>
        <v>0</v>
      </c>
      <c r="J63" s="25">
        <f t="shared" si="3"/>
        <v>30565.244538569641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8587.8254614303496</v>
      </c>
      <c r="P63" s="25">
        <f t="shared" si="6"/>
        <v>30565.244538569641</v>
      </c>
      <c r="Q63" s="25">
        <f t="array" aca="1" ref="Q63" ca="1">INDEX('Isaac 401k'!L:L,MATCH('Retirement Calculator'!A63,'Isaac 401k'!N:N,0),0)</f>
        <v>1988384.9038792073</v>
      </c>
      <c r="R63" s="25">
        <f t="array" aca="1" ref="R63" ca="1">INDEX('Lorri 401b'!L:L,MATCH('Retirement Calculator'!A63,'Lorri 401b'!N:N,0),0)</f>
        <v>4068070.0272783474</v>
      </c>
      <c r="S63" s="25">
        <f t="shared" ca="1" si="7"/>
        <v>6056454.9311575545</v>
      </c>
    </row>
    <row r="64" spans="1:19" ht="15.75" customHeight="1" x14ac:dyDescent="0.3">
      <c r="A64" s="37">
        <v>52902</v>
      </c>
      <c r="B64" s="409">
        <f t="shared" ref="B64:C64" si="60">($A64-B$9)/365.25</f>
        <v>62.959616700889804</v>
      </c>
      <c r="C64" s="409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3525.4531757812501</v>
      </c>
      <c r="H64" s="25">
        <f>IF(B64&lt;62,0,'Combined Retirement'!$I$14)</f>
        <v>2192</v>
      </c>
      <c r="I64" s="25">
        <f>IF(C64&lt;62,0,'Combined Retirement'!$I$13)</f>
        <v>0</v>
      </c>
      <c r="J64" s="25">
        <f t="shared" si="3"/>
        <v>30565.244538569641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8587.8254614303496</v>
      </c>
      <c r="P64" s="25">
        <f t="shared" si="6"/>
        <v>30565.244538569641</v>
      </c>
      <c r="Q64" s="25">
        <f t="array" aca="1" ref="Q64" ca="1">INDEX('Isaac 401k'!L:L,MATCH('Retirement Calculator'!A64,'Isaac 401k'!N:N,0),0)</f>
        <v>1965977.2412545572</v>
      </c>
      <c r="R64" s="25">
        <f t="array" aca="1" ref="R64" ca="1">INDEX('Lorri 401b'!L:L,MATCH('Retirement Calculator'!A64,'Lorri 401b'!N:N,0),0)</f>
        <v>4085020.3190586739</v>
      </c>
      <c r="S64" s="25">
        <f t="shared" ca="1" si="7"/>
        <v>6050997.5603132313</v>
      </c>
    </row>
    <row r="65" spans="1:19" ht="15.75" customHeight="1" x14ac:dyDescent="0.3">
      <c r="A65" s="37">
        <v>52932</v>
      </c>
      <c r="B65" s="409">
        <f t="shared" ref="B65:C65" si="61">($A65-B$9)/365.25</f>
        <v>63.041752224503767</v>
      </c>
      <c r="C65" s="409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3525.4531757812501</v>
      </c>
      <c r="H65" s="25">
        <f>IF(B65&lt;62,0,'Combined Retirement'!$I$14)</f>
        <v>2192</v>
      </c>
      <c r="I65" s="25">
        <f>IF(C65&lt;62,0,'Combined Retirement'!$I$13)</f>
        <v>0</v>
      </c>
      <c r="J65" s="25">
        <f t="shared" si="3"/>
        <v>30565.244538569641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8587.8254614303496</v>
      </c>
      <c r="P65" s="25">
        <f t="shared" si="6"/>
        <v>30565.244538569641</v>
      </c>
      <c r="Q65" s="25">
        <f t="array" aca="1" ref="Q65" ca="1">INDEX('Isaac 401k'!L:L,MATCH('Retirement Calculator'!A65,'Isaac 401k'!N:N,0),0)</f>
        <v>1943476.2133689709</v>
      </c>
      <c r="R65" s="25">
        <f t="array" aca="1" ref="R65" ca="1">INDEX('Lorri 401b'!L:L,MATCH('Retirement Calculator'!A65,'Lorri 401b'!N:N,0),0)</f>
        <v>4102041.2370547517</v>
      </c>
      <c r="S65" s="25">
        <f t="shared" ca="1" si="7"/>
        <v>6045517.4504237231</v>
      </c>
    </row>
    <row r="66" spans="1:19" ht="15.75" customHeight="1" x14ac:dyDescent="0.3">
      <c r="A66" s="37">
        <v>52963</v>
      </c>
      <c r="B66" s="409">
        <f t="shared" ref="B66:C66" si="62">($A66-B$9)/365.25</f>
        <v>63.126625598904859</v>
      </c>
      <c r="C66" s="409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3525.4531757812501</v>
      </c>
      <c r="H66" s="25">
        <f>IF(B66&lt;62,0,'Combined Retirement'!$I$14)</f>
        <v>2192</v>
      </c>
      <c r="I66" s="25">
        <f>IF(C66&lt;62,0,'Combined Retirement'!$I$13)</f>
        <v>0</v>
      </c>
      <c r="J66" s="25">
        <f t="shared" si="3"/>
        <v>30565.244538569641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8587.8254614303496</v>
      </c>
      <c r="P66" s="25">
        <f t="shared" si="6"/>
        <v>30565.244538569641</v>
      </c>
      <c r="Q66" s="25">
        <f t="array" aca="1" ref="Q66" ca="1">INDEX('Isaac 401k'!L:L,MATCH('Retirement Calculator'!A66,'Isaac 401k'!N:N,0),0)</f>
        <v>1920881.4312005281</v>
      </c>
      <c r="R66" s="25">
        <f t="array" aca="1" ref="R66" ca="1">INDEX('Lorri 401b'!L:L,MATCH('Retirement Calculator'!A66,'Lorri 401b'!N:N,0),0)</f>
        <v>4119133.0755424798</v>
      </c>
      <c r="S66" s="25">
        <f t="shared" ca="1" si="7"/>
        <v>6040014.5067430083</v>
      </c>
    </row>
    <row r="67" spans="1:19" ht="15.75" customHeight="1" x14ac:dyDescent="0.3">
      <c r="A67" s="37">
        <v>52994</v>
      </c>
      <c r="B67" s="409">
        <f t="shared" ref="B67:C67" si="63">($A67-B$9)/365.25</f>
        <v>63.211498973305957</v>
      </c>
      <c r="C67" s="409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3525.4531757812501</v>
      </c>
      <c r="H67" s="25">
        <f>IF(B67&lt;62,0,'Combined Retirement'!$I$14)</f>
        <v>2192</v>
      </c>
      <c r="I67" s="25">
        <f>IF(C67&lt;62,0,'Combined Retirement'!$I$13)</f>
        <v>0</v>
      </c>
      <c r="J67" s="25">
        <f t="shared" si="3"/>
        <v>30565.244538569641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8587.8254614303496</v>
      </c>
      <c r="P67" s="25">
        <f t="shared" si="6"/>
        <v>30565.244538569641</v>
      </c>
      <c r="Q67" s="25">
        <f t="array" aca="1" ref="Q67" ca="1">INDEX('Isaac 401k'!L:L,MATCH('Retirement Calculator'!A67,'Isaac 401k'!N:N,0),0)</f>
        <v>1898192.5041063833</v>
      </c>
      <c r="R67" s="25">
        <f t="array" aca="1" ref="R67" ca="1">INDEX('Lorri 401b'!L:L,MATCH('Retirement Calculator'!A67,'Lorri 401b'!N:N,0),0)</f>
        <v>4136296.1300239069</v>
      </c>
      <c r="S67" s="25">
        <f t="shared" ca="1" si="7"/>
        <v>6034488.6341302898</v>
      </c>
    </row>
    <row r="68" spans="1:19" ht="15.75" customHeight="1" x14ac:dyDescent="0.3">
      <c r="A68" s="37">
        <v>53022</v>
      </c>
      <c r="B68" s="409">
        <f t="shared" ref="B68:C68" si="64">($A68-B$9)/365.25</f>
        <v>63.288158795345652</v>
      </c>
      <c r="C68" s="409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3525.4531757812501</v>
      </c>
      <c r="H68" s="25">
        <f>IF(B68&lt;62,0,'Combined Retirement'!$I$14)</f>
        <v>2192</v>
      </c>
      <c r="I68" s="25">
        <f>IF(C68&lt;62,0,'Combined Retirement'!$I$13)</f>
        <v>0</v>
      </c>
      <c r="J68" s="25">
        <f t="shared" si="3"/>
        <v>30565.244538569641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8587.8254614303496</v>
      </c>
      <c r="P68" s="25">
        <f t="shared" si="6"/>
        <v>30565.244538569641</v>
      </c>
      <c r="Q68" s="25">
        <f t="array" aca="1" ref="Q68" ca="1">INDEX('Isaac 401k'!L:L,MATCH('Retirement Calculator'!A68,'Isaac 401k'!N:N,0),0)</f>
        <v>1875409.0398160128</v>
      </c>
      <c r="R68" s="25">
        <f t="array" aca="1" ref="R68" ca="1">INDEX('Lorri 401b'!L:L,MATCH('Retirement Calculator'!A68,'Lorri 401b'!N:N,0),0)</f>
        <v>4153530.69723234</v>
      </c>
      <c r="S68" s="25">
        <f t="shared" ca="1" si="7"/>
        <v>6028939.7370483531</v>
      </c>
    </row>
    <row r="69" spans="1:19" ht="15.75" customHeight="1" x14ac:dyDescent="0.3">
      <c r="A69" s="37">
        <v>53053</v>
      </c>
      <c r="B69" s="409">
        <f t="shared" ref="B69:C69" si="65">($A69-B$9)/365.25</f>
        <v>63.37303216974675</v>
      </c>
      <c r="C69" s="409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3525.4531757812501</v>
      </c>
      <c r="H69" s="25">
        <f>IF(B69&lt;62,0,'Combined Retirement'!$I$14)</f>
        <v>2192</v>
      </c>
      <c r="I69" s="25">
        <f>IF(C69&lt;62,0,'Combined Retirement'!$I$13)</f>
        <v>0</v>
      </c>
      <c r="J69" s="25">
        <f t="shared" si="3"/>
        <v>30565.244538569641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8587.8254614303496</v>
      </c>
      <c r="P69" s="25">
        <f t="shared" si="6"/>
        <v>30565.244538569641</v>
      </c>
      <c r="Q69" s="25">
        <f t="array" aca="1" ref="Q69" ca="1">INDEX('Isaac 401k'!L:L,MATCH('Retirement Calculator'!A69,'Isaac 401k'!N:N,0),0)</f>
        <v>1852530.6444244327</v>
      </c>
      <c r="R69" s="25">
        <f t="array" aca="1" ref="R69" ca="1">INDEX('Lorri 401b'!L:L,MATCH('Retirement Calculator'!A69,'Lorri 401b'!N:N,0),0)</f>
        <v>4170837.0751374746</v>
      </c>
      <c r="S69" s="25">
        <f t="shared" ca="1" si="7"/>
        <v>6023367.7195619075</v>
      </c>
    </row>
    <row r="70" spans="1:19" ht="15.75" customHeight="1" x14ac:dyDescent="0.3">
      <c r="A70" s="37">
        <v>53083</v>
      </c>
      <c r="B70" s="409">
        <f t="shared" ref="B70:C70" si="66">($A70-B$9)/365.25</f>
        <v>63.455167693360714</v>
      </c>
      <c r="C70" s="409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3525.4531757812501</v>
      </c>
      <c r="H70" s="25">
        <f>IF(B70&lt;62,0,'Combined Retirement'!$I$14)</f>
        <v>2192</v>
      </c>
      <c r="I70" s="25">
        <f>IF(C70&lt;62,0,'Combined Retirement'!$I$13)</f>
        <v>0</v>
      </c>
      <c r="J70" s="25">
        <f t="shared" si="3"/>
        <v>30565.244538569641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8587.8254614303496</v>
      </c>
      <c r="P70" s="25">
        <f t="shared" si="6"/>
        <v>30565.244538569641</v>
      </c>
      <c r="Q70" s="25">
        <f t="array" aca="1" ref="Q70" ca="1">INDEX('Isaac 401k'!L:L,MATCH('Retirement Calculator'!A70,'Isaac 401k'!N:N,0),0)</f>
        <v>1829556.9223853876</v>
      </c>
      <c r="R70" s="25">
        <f t="array" aca="1" ref="R70" ca="1">INDEX('Lorri 401b'!L:L,MATCH('Retirement Calculator'!A70,'Lorri 401b'!N:N,0),0)</f>
        <v>4188215.5629505473</v>
      </c>
      <c r="S70" s="25">
        <f t="shared" ca="1" si="7"/>
        <v>6017772.4853359349</v>
      </c>
    </row>
    <row r="71" spans="1:19" ht="15.75" customHeight="1" x14ac:dyDescent="0.3">
      <c r="A71" s="37">
        <v>53114</v>
      </c>
      <c r="B71" s="409">
        <f t="shared" ref="B71:C71" si="67">($A71-B$9)/365.25</f>
        <v>63.540041067761805</v>
      </c>
      <c r="C71" s="409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3525.4531757812501</v>
      </c>
      <c r="H71" s="25">
        <f>IF(B71&lt;62,0,'Combined Retirement'!$I$14)</f>
        <v>2192</v>
      </c>
      <c r="I71" s="25">
        <f>IF(C71&lt;62,0,'Combined Retirement'!$I$13)</f>
        <v>0</v>
      </c>
      <c r="J71" s="25">
        <f t="shared" si="3"/>
        <v>30565.244538569641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8587.8254614303496</v>
      </c>
      <c r="P71" s="25">
        <f t="shared" si="6"/>
        <v>30565.244538569641</v>
      </c>
      <c r="Q71" s="25">
        <f t="array" aca="1" ref="Q71" ca="1">INDEX('Isaac 401k'!L:L,MATCH('Retirement Calculator'!A71,'Isaac 401k'!N:N,0),0)</f>
        <v>1806487.4765045131</v>
      </c>
      <c r="R71" s="25">
        <f t="array" aca="1" ref="R71" ca="1">INDEX('Lorri 401b'!L:L,MATCH('Retirement Calculator'!A71,'Lorri 401b'!N:N,0),0)</f>
        <v>4205666.461129508</v>
      </c>
      <c r="S71" s="25">
        <f t="shared" ca="1" si="7"/>
        <v>6012153.937634021</v>
      </c>
    </row>
    <row r="72" spans="1:19" ht="15.75" customHeight="1" x14ac:dyDescent="0.3">
      <c r="A72" s="37">
        <v>53144</v>
      </c>
      <c r="B72" s="409">
        <f t="shared" ref="B72:C72" si="68">($A72-B$9)/365.25</f>
        <v>63.622176591375769</v>
      </c>
      <c r="C72" s="409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3525.4531757812501</v>
      </c>
      <c r="H72" s="25">
        <f>IF(B72&lt;62,0,'Combined Retirement'!$I$14)</f>
        <v>2192</v>
      </c>
      <c r="I72" s="25">
        <f>IF(C72&lt;62,0,'Combined Retirement'!$I$13)</f>
        <v>0</v>
      </c>
      <c r="J72" s="25">
        <f t="shared" si="3"/>
        <v>30565.244538569641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8587.8254614303496</v>
      </c>
      <c r="P72" s="25">
        <f t="shared" si="6"/>
        <v>30565.244538569641</v>
      </c>
      <c r="Q72" s="25">
        <f t="array" aca="1" ref="Q72" ca="1">INDEX('Isaac 401k'!L:L,MATCH('Retirement Calculator'!A72,'Isaac 401k'!N:N,0),0)</f>
        <v>1783321.9079324682</v>
      </c>
      <c r="R72" s="25">
        <f t="array" aca="1" ref="R72" ca="1">INDEX('Lorri 401b'!L:L,MATCH('Retirement Calculator'!A72,'Lorri 401b'!N:N,0),0)</f>
        <v>4223190.0713842139</v>
      </c>
      <c r="S72" s="25">
        <f t="shared" ca="1" si="7"/>
        <v>6006511.9793166816</v>
      </c>
    </row>
    <row r="73" spans="1:19" ht="15.75" customHeight="1" x14ac:dyDescent="0.3">
      <c r="A73" s="37">
        <v>53175</v>
      </c>
      <c r="B73" s="409">
        <f t="shared" ref="B73:C73" si="69">($A73-B$9)/365.25</f>
        <v>63.707049965776868</v>
      </c>
      <c r="C73" s="409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3525.4531757812501</v>
      </c>
      <c r="H73" s="25">
        <f>IF(B73&lt;62,0,'Combined Retirement'!$I$14)</f>
        <v>2192</v>
      </c>
      <c r="I73" s="25">
        <f>IF(C73&lt;62,0,'Combined Retirement'!$I$13)</f>
        <v>0</v>
      </c>
      <c r="J73" s="25">
        <f t="shared" si="3"/>
        <v>30565.244538569641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8587.8254614303496</v>
      </c>
      <c r="P73" s="25">
        <f t="shared" si="6"/>
        <v>30565.244538569641</v>
      </c>
      <c r="Q73" s="25">
        <f t="array" aca="1" ref="Q73" ca="1">INDEX('Isaac 401k'!L:L,MATCH('Retirement Calculator'!A73,'Isaac 401k'!N:N,0),0)</f>
        <v>1760059.81615804</v>
      </c>
      <c r="R73" s="25">
        <f t="array" aca="1" ref="R73" ca="1">INDEX('Lorri 401b'!L:L,MATCH('Retirement Calculator'!A73,'Lorri 401b'!N:N,0),0)</f>
        <v>4240786.6966816485</v>
      </c>
      <c r="S73" s="25">
        <f t="shared" ca="1" si="7"/>
        <v>6000846.512839688</v>
      </c>
    </row>
    <row r="74" spans="1:19" ht="15.75" customHeight="1" x14ac:dyDescent="0.3">
      <c r="A74" s="37">
        <v>53206</v>
      </c>
      <c r="B74" s="409">
        <f t="shared" ref="B74:C74" si="70">($A74-B$9)/365.25</f>
        <v>63.791923340177959</v>
      </c>
      <c r="C74" s="409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3525.4531757812501</v>
      </c>
      <c r="H74" s="25">
        <f>IF(B74&lt;62,0,'Combined Retirement'!$I$14)</f>
        <v>2192</v>
      </c>
      <c r="I74" s="25">
        <f>IF(C74&lt;62,0,'Combined Retirement'!$I$13)</f>
        <v>0</v>
      </c>
      <c r="J74" s="25">
        <f t="shared" si="3"/>
        <v>30565.244538569641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8587.8254614303496</v>
      </c>
      <c r="P74" s="25">
        <f t="shared" si="6"/>
        <v>30565.244538569641</v>
      </c>
      <c r="Q74" s="25">
        <f t="array" aca="1" ref="Q74" ca="1">INDEX('Isaac 401k'!L:L,MATCH('Retirement Calculator'!A74,'Isaac 401k'!N:N,0),0)</f>
        <v>1736700.7990012181</v>
      </c>
      <c r="R74" s="25">
        <f t="array" aca="1" ref="R74" ca="1">INDEX('Lorri 401b'!L:L,MATCH('Retirement Calculator'!A74,'Lorri 401b'!N:N,0),0)</f>
        <v>4258456.6412511552</v>
      </c>
      <c r="S74" s="25">
        <f t="shared" ca="1" si="7"/>
        <v>5995157.440252373</v>
      </c>
    </row>
    <row r="75" spans="1:19" ht="15.75" customHeight="1" x14ac:dyDescent="0.3">
      <c r="A75" s="37">
        <v>53236</v>
      </c>
      <c r="B75" s="409">
        <f t="shared" ref="B75:C75" si="71">($A75-B$9)/365.25</f>
        <v>63.874058863791923</v>
      </c>
      <c r="C75" s="409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3525.4531757812501</v>
      </c>
      <c r="H75" s="25">
        <f>IF(B75&lt;62,0,'Combined Retirement'!$I$14)</f>
        <v>2192</v>
      </c>
      <c r="I75" s="25">
        <f>IF(C75&lt;62,0,'Combined Retirement'!$I$13)</f>
        <v>0</v>
      </c>
      <c r="J75" s="25">
        <f t="shared" si="3"/>
        <v>30565.244538569641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8587.8254614303496</v>
      </c>
      <c r="P75" s="25">
        <f t="shared" si="6"/>
        <v>30565.244538569641</v>
      </c>
      <c r="Q75" s="25">
        <f t="array" aca="1" ref="Q75" ca="1">INDEX('Isaac 401k'!L:L,MATCH('Retirement Calculator'!A75,'Isaac 401k'!N:N,0),0)</f>
        <v>1713244.4526062428</v>
      </c>
      <c r="R75" s="25">
        <f t="array" aca="1" ref="R75" ca="1">INDEX('Lorri 401b'!L:L,MATCH('Retirement Calculator'!A75,'Lorri 401b'!N:N,0),0)</f>
        <v>4276200.2105897013</v>
      </c>
      <c r="S75" s="25">
        <f t="shared" ca="1" si="7"/>
        <v>5989444.6631959444</v>
      </c>
    </row>
    <row r="76" spans="1:19" ht="15.75" customHeight="1" x14ac:dyDescent="0.3">
      <c r="A76" s="37">
        <v>53267</v>
      </c>
      <c r="B76" s="409">
        <f t="shared" ref="B76:C76" si="72">($A76-B$9)/365.25</f>
        <v>63.958932238193022</v>
      </c>
      <c r="C76" s="409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3525.4531757812501</v>
      </c>
      <c r="H76" s="25">
        <f>IF(B76&lt;62,0,'Combined Retirement'!$I$14)</f>
        <v>2192</v>
      </c>
      <c r="I76" s="25">
        <f>IF(C76&lt;62,0,'Combined Retirement'!$I$13)</f>
        <v>0</v>
      </c>
      <c r="J76" s="25">
        <f t="shared" si="3"/>
        <v>30565.244538569641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8587.8254614303496</v>
      </c>
      <c r="P76" s="25">
        <f t="shared" si="6"/>
        <v>30565.244538569641</v>
      </c>
      <c r="Q76" s="25">
        <f t="array" aca="1" ref="Q76" ca="1">INDEX('Isaac 401k'!L:L,MATCH('Retirement Calculator'!A76,'Isaac 401k'!N:N,0),0)</f>
        <v>1689690.371434622</v>
      </c>
      <c r="R76" s="25">
        <f t="array" aca="1" ref="R76" ca="1">INDEX('Lorri 401b'!L:L,MATCH('Retirement Calculator'!A76,'Lorri 401b'!N:N,0),0)</f>
        <v>4294017.711467158</v>
      </c>
      <c r="S76" s="25">
        <f t="shared" ca="1" si="7"/>
        <v>5983708.0829017796</v>
      </c>
    </row>
    <row r="77" spans="1:19" ht="15.75" customHeight="1" x14ac:dyDescent="0.3">
      <c r="A77" s="37">
        <v>53297</v>
      </c>
      <c r="B77" s="409">
        <f t="shared" ref="B77:C77" si="73">($A77-B$9)/365.25</f>
        <v>64.041067761806985</v>
      </c>
      <c r="C77" s="409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3525.4531757812501</v>
      </c>
      <c r="H77" s="25">
        <f>IF(B77&lt;62,0,'Combined Retirement'!$I$14)</f>
        <v>2192</v>
      </c>
      <c r="I77" s="25">
        <f>IF(C77&lt;62,0,'Combined Retirement'!$I$13)</f>
        <v>0</v>
      </c>
      <c r="J77" s="25">
        <f t="shared" si="3"/>
        <v>30565.244538569641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8587.8254614303496</v>
      </c>
      <c r="P77" s="25">
        <f t="shared" si="6"/>
        <v>30565.244538569641</v>
      </c>
      <c r="Q77" s="25">
        <f t="array" aca="1" ref="Q77" ca="1">INDEX('Isaac 401k'!L:L,MATCH('Retirement Calculator'!A77,'Isaac 401k'!N:N,0),0)</f>
        <v>1666038.1482581194</v>
      </c>
      <c r="R77" s="25">
        <f t="array" aca="1" ref="R77" ca="1">INDEX('Lorri 401b'!L:L,MATCH('Retirement Calculator'!A77,'Lorri 401b'!N:N,0),0)</f>
        <v>4311909.4519316042</v>
      </c>
      <c r="S77" s="25">
        <f t="shared" ca="1" si="7"/>
        <v>5977947.6001897231</v>
      </c>
    </row>
    <row r="78" spans="1:19" ht="15.75" customHeight="1" x14ac:dyDescent="0.3">
      <c r="A78" s="37">
        <v>53328</v>
      </c>
      <c r="B78" s="409">
        <f t="shared" ref="B78:C78" si="74">($A78-B$9)/365.25</f>
        <v>64.12594113620807</v>
      </c>
      <c r="C78" s="409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3525.4531757812501</v>
      </c>
      <c r="H78" s="25">
        <f>IF(B78&lt;62,0,'Combined Retirement'!$I$14)</f>
        <v>2192</v>
      </c>
      <c r="I78" s="25">
        <f>IF(C78&lt;62,0,'Combined Retirement'!$I$13)</f>
        <v>0</v>
      </c>
      <c r="J78" s="25">
        <f t="shared" si="3"/>
        <v>8539.3180191855863</v>
      </c>
      <c r="K78" s="25">
        <f t="shared" si="4"/>
        <v>22025.926519384055</v>
      </c>
      <c r="L78" s="25"/>
      <c r="N78" s="25">
        <f>'Combined Retirement'!$C$18/12</f>
        <v>39153.069999999992</v>
      </c>
      <c r="O78" s="25">
        <f t="shared" si="5"/>
        <v>8587.8254614303496</v>
      </c>
      <c r="P78" s="25">
        <f t="shared" si="6"/>
        <v>30565.244538569641</v>
      </c>
      <c r="Q78" s="25">
        <f t="array" aca="1" ref="Q78" ca="1">INDEX('Isaac 401k'!L:L,MATCH('Retirement Calculator'!A78,'Isaac 401k'!N:N,0),0)</f>
        <v>1664405.0753649292</v>
      </c>
      <c r="R78" s="25">
        <f t="array" aca="1" ref="R78" ca="1">INDEX('Lorri 401b'!L:L,MATCH('Retirement Calculator'!A78,'Lorri 401b'!N:N,0),0)</f>
        <v>4307758.0401014378</v>
      </c>
      <c r="S78" s="25">
        <f t="shared" ca="1" si="7"/>
        <v>5972163.1154663675</v>
      </c>
    </row>
    <row r="79" spans="1:19" ht="15.75" customHeight="1" x14ac:dyDescent="0.3">
      <c r="A79" s="37">
        <v>53359</v>
      </c>
      <c r="B79" s="409">
        <f t="shared" ref="B79:C79" si="75">($A79-B$9)/365.25</f>
        <v>64.210814510609168</v>
      </c>
      <c r="C79" s="409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3525.4531757812501</v>
      </c>
      <c r="H79" s="25">
        <f>IF(B79&lt;62,0,'Combined Retirement'!$I$14)</f>
        <v>2192</v>
      </c>
      <c r="I79" s="25">
        <f>IF(C79&lt;62,0,'Combined Retirement'!$I$13)</f>
        <v>0</v>
      </c>
      <c r="J79" s="25">
        <f t="shared" si="3"/>
        <v>8539.3180191855863</v>
      </c>
      <c r="K79" s="25">
        <f t="shared" si="4"/>
        <v>22025.926519384055</v>
      </c>
      <c r="L79" s="25"/>
      <c r="N79" s="25">
        <f>'Combined Retirement'!$C$18/12</f>
        <v>39153.069999999992</v>
      </c>
      <c r="O79" s="25">
        <f t="shared" si="5"/>
        <v>8587.8254614303496</v>
      </c>
      <c r="P79" s="25">
        <f t="shared" si="6"/>
        <v>30565.244538569641</v>
      </c>
      <c r="Q79" s="25">
        <f t="array" aca="1" ref="Q79" ca="1">INDEX('Isaac 401k'!L:L,MATCH('Retirement Calculator'!A79,'Isaac 401k'!N:N,0),0)</f>
        <v>1662765.1980013507</v>
      </c>
      <c r="R79" s="25">
        <f t="array" aca="1" ref="R79" ca="1">INDEX('Lorri 401b'!L:L,MATCH('Retirement Calculator'!A79,'Lorri 401b'!N:N,0),0)</f>
        <v>4303589.330721979</v>
      </c>
      <c r="S79" s="25">
        <f t="shared" ca="1" si="7"/>
        <v>5966354.5287233293</v>
      </c>
    </row>
    <row r="80" spans="1:19" ht="15.75" customHeight="1" x14ac:dyDescent="0.3">
      <c r="A80" s="37">
        <v>53387</v>
      </c>
      <c r="B80" s="409">
        <f t="shared" ref="B80:C80" si="76">($A80-B$9)/365.25</f>
        <v>64.28747433264887</v>
      </c>
      <c r="C80" s="409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3525.4531757812501</v>
      </c>
      <c r="H80" s="25">
        <f>IF(B80&lt;62,0,'Combined Retirement'!$I$14)</f>
        <v>2192</v>
      </c>
      <c r="I80" s="25">
        <f>IF(C80&lt;62,0,'Combined Retirement'!$I$13)</f>
        <v>0</v>
      </c>
      <c r="J80" s="25">
        <f t="shared" si="3"/>
        <v>8539.3180191855863</v>
      </c>
      <c r="K80" s="25">
        <f t="shared" si="4"/>
        <v>22025.926519384055</v>
      </c>
      <c r="L80" s="25"/>
      <c r="N80" s="25">
        <f>'Combined Retirement'!$C$18/12</f>
        <v>39153.069999999992</v>
      </c>
      <c r="O80" s="25">
        <f t="shared" si="5"/>
        <v>8587.8254614303496</v>
      </c>
      <c r="P80" s="25">
        <f t="shared" si="6"/>
        <v>30565.244538569641</v>
      </c>
      <c r="Q80" s="25">
        <f t="array" aca="1" ref="Q80" ca="1">INDEX('Isaac 401k'!L:L,MATCH('Retirement Calculator'!A80,'Isaac 401k'!N:N,0),0)</f>
        <v>1661118.4878154241</v>
      </c>
      <c r="R80" s="25">
        <f t="array" aca="1" ref="R80" ca="1">INDEX('Lorri 401b'!L:L,MATCH('Retirement Calculator'!A80,'Lorri 401b'!N:N,0),0)</f>
        <v>4299403.2517201062</v>
      </c>
      <c r="S80" s="25">
        <f t="shared" ca="1" si="7"/>
        <v>5960521.7395355301</v>
      </c>
    </row>
    <row r="81" spans="1:19" ht="15.75" customHeight="1" x14ac:dyDescent="0.3">
      <c r="A81" s="37">
        <v>53418</v>
      </c>
      <c r="B81" s="409">
        <f t="shared" ref="B81:C81" si="77">($A81-B$9)/365.25</f>
        <v>64.372347707049968</v>
      </c>
      <c r="C81" s="409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3525.4531757812501</v>
      </c>
      <c r="H81" s="25">
        <f>IF(B81&lt;62,0,'Combined Retirement'!$I$14)</f>
        <v>2192</v>
      </c>
      <c r="I81" s="25">
        <f>IF(C81&lt;62,0,'Combined Retirement'!$I$13)</f>
        <v>0</v>
      </c>
      <c r="J81" s="25">
        <f t="shared" si="3"/>
        <v>8539.3180191855863</v>
      </c>
      <c r="K81" s="25">
        <f t="shared" si="4"/>
        <v>22025.926519384055</v>
      </c>
      <c r="L81" s="25"/>
      <c r="N81" s="25">
        <f>'Combined Retirement'!$C$18/12</f>
        <v>39153.069999999992</v>
      </c>
      <c r="O81" s="25">
        <f t="shared" si="5"/>
        <v>8587.8254614303496</v>
      </c>
      <c r="P81" s="25">
        <f t="shared" si="6"/>
        <v>30565.244538569641</v>
      </c>
      <c r="Q81" s="25">
        <f t="array" aca="1" ref="Q81" ca="1">INDEX('Isaac 401k'!L:L,MATCH('Retirement Calculator'!A81,'Isaac 401k'!N:N,0),0)</f>
        <v>1659464.9163370561</v>
      </c>
      <c r="R81" s="25">
        <f t="array" aca="1" ref="R81" ca="1">INDEX('Lorri 401b'!L:L,MATCH('Retirement Calculator'!A81,'Lorri 401b'!N:N,0),0)</f>
        <v>4295199.730722392</v>
      </c>
      <c r="S81" s="25">
        <f t="shared" ca="1" si="7"/>
        <v>5954664.6470594481</v>
      </c>
    </row>
    <row r="82" spans="1:19" ht="15.75" customHeight="1" x14ac:dyDescent="0.3">
      <c r="A82" s="37">
        <v>53448</v>
      </c>
      <c r="B82" s="409">
        <f t="shared" ref="B82:C82" si="78">($A82-B$9)/365.25</f>
        <v>64.454483230663925</v>
      </c>
      <c r="C82" s="409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3525.4531757812501</v>
      </c>
      <c r="H82" s="25">
        <f>IF(B82&lt;62,0,'Combined Retirement'!$I$14)</f>
        <v>2192</v>
      </c>
      <c r="I82" s="25">
        <f>IF(C82&lt;62,0,'Combined Retirement'!$I$13)</f>
        <v>0</v>
      </c>
      <c r="J82" s="25">
        <f t="shared" si="3"/>
        <v>8539.3180191855863</v>
      </c>
      <c r="K82" s="25">
        <f t="shared" si="4"/>
        <v>22025.926519384055</v>
      </c>
      <c r="L82" s="25"/>
      <c r="N82" s="25">
        <f>'Combined Retirement'!$C$18/12</f>
        <v>39153.069999999992</v>
      </c>
      <c r="O82" s="25">
        <f t="shared" si="5"/>
        <v>8587.8254614303496</v>
      </c>
      <c r="P82" s="25">
        <f t="shared" si="6"/>
        <v>30565.244538569641</v>
      </c>
      <c r="Q82" s="25">
        <f t="array" aca="1" ref="Q82" ca="1">INDEX('Isaac 401k'!L:L,MATCH('Retirement Calculator'!A82,'Isaac 401k'!N:N,0),0)</f>
        <v>1657804.4549775282</v>
      </c>
      <c r="R82" s="25">
        <f t="array" aca="1" ref="R82" ca="1">INDEX('Lorri 401b'!L:L,MATCH('Retirement Calculator'!A82,'Lorri 401b'!N:N,0),0)</f>
        <v>4290978.695053854</v>
      </c>
      <c r="S82" s="25">
        <f t="shared" ca="1" si="7"/>
        <v>5948783.1500313822</v>
      </c>
    </row>
    <row r="83" spans="1:19" ht="15.75" customHeight="1" x14ac:dyDescent="0.3">
      <c r="A83" s="37">
        <v>53479</v>
      </c>
      <c r="B83" s="409">
        <f t="shared" ref="B83:C83" si="79">($A83-B$9)/365.25</f>
        <v>64.539356605065024</v>
      </c>
      <c r="C83" s="409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3525.4531757812501</v>
      </c>
      <c r="H83" s="25">
        <f>IF(B83&lt;62,0,'Combined Retirement'!$I$14)</f>
        <v>2192</v>
      </c>
      <c r="I83" s="25">
        <f>IF(C83&lt;62,0,'Combined Retirement'!$I$13)</f>
        <v>0</v>
      </c>
      <c r="J83" s="25">
        <f t="shared" si="3"/>
        <v>8539.3180191855863</v>
      </c>
      <c r="K83" s="25">
        <f t="shared" si="4"/>
        <v>22025.926519384055</v>
      </c>
      <c r="L83" s="25"/>
      <c r="N83" s="25">
        <f>'Combined Retirement'!$C$18/12</f>
        <v>39153.069999999992</v>
      </c>
      <c r="O83" s="25">
        <f t="shared" si="5"/>
        <v>8587.8254614303496</v>
      </c>
      <c r="P83" s="25">
        <f t="shared" si="6"/>
        <v>30565.244538569641</v>
      </c>
      <c r="Q83" s="25">
        <f t="array" aca="1" ref="Q83" ca="1">INDEX('Isaac 401k'!L:L,MATCH('Retirement Calculator'!A83,'Isaac 401k'!N:N,0),0)</f>
        <v>1656137.0750290023</v>
      </c>
      <c r="R83" s="25">
        <f t="array" aca="1" ref="R83" ca="1">INDEX('Lorri 401b'!L:L,MATCH('Retirement Calculator'!A83,'Lorri 401b'!N:N,0),0)</f>
        <v>4286740.0717366971</v>
      </c>
      <c r="S83" s="25">
        <f t="shared" ca="1" si="7"/>
        <v>5942877.1467656996</v>
      </c>
    </row>
    <row r="84" spans="1:19" ht="15.75" customHeight="1" x14ac:dyDescent="0.3">
      <c r="A84" s="37">
        <v>53509</v>
      </c>
      <c r="B84" s="409">
        <f t="shared" ref="B84:C84" si="80">($A84-B$9)/365.25</f>
        <v>64.62149212867898</v>
      </c>
      <c r="C84" s="409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3525.4531757812501</v>
      </c>
      <c r="H84" s="25">
        <f>IF(B84&lt;62,0,'Combined Retirement'!$I$14)</f>
        <v>2192</v>
      </c>
      <c r="I84" s="25">
        <f>IF(C84&lt;62,0,'Combined Retirement'!$I$13)</f>
        <v>0</v>
      </c>
      <c r="J84" s="25">
        <f t="shared" si="3"/>
        <v>8539.3180191855863</v>
      </c>
      <c r="K84" s="25">
        <f t="shared" si="4"/>
        <v>22025.926519384055</v>
      </c>
      <c r="L84" s="25"/>
      <c r="N84" s="25">
        <f>'Combined Retirement'!$C$18/12</f>
        <v>39153.069999999992</v>
      </c>
      <c r="O84" s="25">
        <f t="shared" si="5"/>
        <v>8587.8254614303496</v>
      </c>
      <c r="P84" s="25">
        <f t="shared" si="6"/>
        <v>30565.244538569641</v>
      </c>
      <c r="Q84" s="25">
        <f t="array" aca="1" ref="Q84" ca="1">INDEX('Isaac 401k'!L:L,MATCH('Retirement Calculator'!A84,'Isaac 401k'!N:N,0),0)</f>
        <v>1654462.7476640241</v>
      </c>
      <c r="R84" s="25">
        <f t="array" aca="1" ref="R84" ca="1">INDEX('Lorri 401b'!L:L,MATCH('Retirement Calculator'!A84,'Lorri 401b'!N:N,0),0)</f>
        <v>4282483.7874890519</v>
      </c>
      <c r="S84" s="25">
        <f t="shared" ca="1" si="7"/>
        <v>5936946.5351530761</v>
      </c>
    </row>
    <row r="85" spans="1:19" ht="15.75" customHeight="1" x14ac:dyDescent="0.3">
      <c r="A85" s="37">
        <v>53540</v>
      </c>
      <c r="B85" s="409">
        <f t="shared" ref="B85:C85" si="81">($A85-B$9)/365.25</f>
        <v>64.706365503080079</v>
      </c>
      <c r="C85" s="409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3525.4531757812501</v>
      </c>
      <c r="H85" s="25">
        <f>IF(B85&lt;62,0,'Combined Retirement'!$I$14)</f>
        <v>2192</v>
      </c>
      <c r="I85" s="25">
        <f>IF(C85&lt;62,0,'Combined Retirement'!$I$13)</f>
        <v>0</v>
      </c>
      <c r="J85" s="25">
        <f t="shared" si="3"/>
        <v>8539.3180191855863</v>
      </c>
      <c r="K85" s="25">
        <f t="shared" si="4"/>
        <v>22025.926519384055</v>
      </c>
      <c r="L85" s="25"/>
      <c r="N85" s="25">
        <f>'Combined Retirement'!$C$18/12</f>
        <v>39153.069999999992</v>
      </c>
      <c r="O85" s="25">
        <f t="shared" si="5"/>
        <v>8587.8254614303496</v>
      </c>
      <c r="P85" s="25">
        <f t="shared" si="6"/>
        <v>30565.244538569641</v>
      </c>
      <c r="Q85" s="25">
        <f t="array" aca="1" ref="Q85" ca="1">INDEX('Isaac 401k'!L:L,MATCH('Retirement Calculator'!A85,'Isaac 401k'!N:N,0),0)</f>
        <v>1652781.4439350253</v>
      </c>
      <c r="R85" s="25">
        <f t="array" aca="1" ref="R85" ca="1">INDEX('Lorri 401b'!L:L,MATCH('Retirement Calculator'!A85,'Lorri 401b'!N:N,0),0)</f>
        <v>4278209.7687237086</v>
      </c>
      <c r="S85" s="25">
        <f t="shared" ca="1" si="7"/>
        <v>5930991.2126587341</v>
      </c>
    </row>
    <row r="86" spans="1:19" ht="15.75" customHeight="1" x14ac:dyDescent="0.3">
      <c r="A86" s="37">
        <v>53571</v>
      </c>
      <c r="B86" s="409">
        <f t="shared" ref="B86:C86" si="82">($A86-B$9)/365.25</f>
        <v>64.791238877481177</v>
      </c>
      <c r="C86" s="409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3525.4531757812501</v>
      </c>
      <c r="H86" s="25">
        <f>IF(B86&lt;62,0,'Combined Retirement'!$I$14)</f>
        <v>2192</v>
      </c>
      <c r="I86" s="25">
        <f>IF(C86&lt;62,0,'Combined Retirement'!$I$13)</f>
        <v>0</v>
      </c>
      <c r="J86" s="25">
        <f t="shared" si="3"/>
        <v>8539.3180191855863</v>
      </c>
      <c r="K86" s="25">
        <f t="shared" si="4"/>
        <v>22025.926519384055</v>
      </c>
      <c r="L86" s="25"/>
      <c r="N86" s="25">
        <f>'Combined Retirement'!$C$18/12</f>
        <v>39153.069999999992</v>
      </c>
      <c r="O86" s="25">
        <f t="shared" si="5"/>
        <v>8587.8254614303496</v>
      </c>
      <c r="P86" s="25">
        <f t="shared" si="6"/>
        <v>30565.244538569641</v>
      </c>
      <c r="Q86" s="25">
        <f t="array" aca="1" ref="Q86" ca="1">INDEX('Isaac 401k'!L:L,MATCH('Retirement Calculator'!A86,'Isaac 401k'!N:N,0),0)</f>
        <v>1651093.1347738223</v>
      </c>
      <c r="R86" s="25">
        <f t="array" aca="1" ref="R86" ca="1">INDEX('Lorri 401b'!L:L,MATCH('Retirement Calculator'!A86,'Lorri 401b'!N:N,0),0)</f>
        <v>4273917.9415468425</v>
      </c>
      <c r="S86" s="25">
        <f t="shared" ca="1" si="7"/>
        <v>5925011.076320665</v>
      </c>
    </row>
    <row r="87" spans="1:19" ht="15.75" customHeight="1" x14ac:dyDescent="0.3">
      <c r="A87" s="37">
        <v>53601</v>
      </c>
      <c r="B87" s="409">
        <f t="shared" ref="B87:C87" si="83">($A87-B$9)/365.25</f>
        <v>64.873374401095134</v>
      </c>
      <c r="C87" s="409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3525.4531757812501</v>
      </c>
      <c r="H87" s="25">
        <f>IF(B87&lt;62,0,'Combined Retirement'!$I$14)</f>
        <v>2192</v>
      </c>
      <c r="I87" s="25">
        <f>IF(C87&lt;62,0,'Combined Retirement'!$I$13)</f>
        <v>0</v>
      </c>
      <c r="J87" s="25">
        <f t="shared" si="3"/>
        <v>8539.3180191855863</v>
      </c>
      <c r="K87" s="25">
        <f t="shared" si="4"/>
        <v>22025.926519384055</v>
      </c>
      <c r="L87" s="25"/>
      <c r="N87" s="25">
        <f>'Combined Retirement'!$C$18/12</f>
        <v>39153.069999999992</v>
      </c>
      <c r="O87" s="25">
        <f t="shared" si="5"/>
        <v>8587.8254614303496</v>
      </c>
      <c r="P87" s="25">
        <f t="shared" si="6"/>
        <v>30565.244538569641</v>
      </c>
      <c r="Q87" s="25">
        <f t="array" aca="1" ref="Q87" ca="1">INDEX('Isaac 401k'!L:L,MATCH('Retirement Calculator'!A87,'Isaac 401k'!N:N,0),0)</f>
        <v>1649397.7909911142</v>
      </c>
      <c r="R87" s="25">
        <f t="array" aca="1" ref="R87" ca="1">INDEX('Lorri 401b'!L:L,MATCH('Retirement Calculator'!A87,'Lorri 401b'!N:N,0),0)</f>
        <v>4269608.2317567402</v>
      </c>
      <c r="S87" s="25">
        <f t="shared" ca="1" si="7"/>
        <v>5919006.0227478547</v>
      </c>
    </row>
    <row r="88" spans="1:19" ht="15.75" customHeight="1" x14ac:dyDescent="0.3">
      <c r="A88" s="37">
        <v>53632</v>
      </c>
      <c r="B88" s="409">
        <f t="shared" ref="B88:C88" si="84">($A88-B$9)/365.25</f>
        <v>64.958247775496233</v>
      </c>
      <c r="C88" s="409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3525.4531757812501</v>
      </c>
      <c r="H88" s="25">
        <f>IF(B88&lt;62,0,'Combined Retirement'!$I$14)</f>
        <v>2192</v>
      </c>
      <c r="I88" s="25">
        <f>IF(C88&lt;62,0,'Combined Retirement'!$I$13)</f>
        <v>0</v>
      </c>
      <c r="J88" s="25">
        <f t="shared" si="3"/>
        <v>8539.3180191855863</v>
      </c>
      <c r="K88" s="25">
        <f t="shared" si="4"/>
        <v>22025.926519384055</v>
      </c>
      <c r="L88" s="25"/>
      <c r="N88" s="25">
        <f>'Combined Retirement'!$C$18/12</f>
        <v>39153.069999999992</v>
      </c>
      <c r="O88" s="25">
        <f t="shared" si="5"/>
        <v>8587.8254614303496</v>
      </c>
      <c r="P88" s="25">
        <f t="shared" si="6"/>
        <v>30565.244538569641</v>
      </c>
      <c r="Q88" s="25">
        <f t="array" aca="1" ref="Q88" ca="1">INDEX('Isaac 401k'!L:L,MATCH('Retirement Calculator'!A88,'Isaac 401k'!N:N,0),0)</f>
        <v>1647695.3832759783</v>
      </c>
      <c r="R88" s="25">
        <f t="array" aca="1" ref="R88" ca="1">INDEX('Lorri 401b'!L:L,MATCH('Retirement Calculator'!A88,'Lorri 401b'!N:N,0),0)</f>
        <v>4265280.5648425119</v>
      </c>
      <c r="S88" s="25">
        <f t="shared" ca="1" si="7"/>
        <v>5912975.9481184902</v>
      </c>
    </row>
    <row r="89" spans="1:19" ht="15.75" customHeight="1" x14ac:dyDescent="0.3">
      <c r="A89" s="37">
        <v>53662</v>
      </c>
      <c r="B89" s="409">
        <f t="shared" ref="B89:C89" si="85">($A89-B$9)/365.25</f>
        <v>65.040383299110204</v>
      </c>
      <c r="C89" s="409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3525.4531757812501</v>
      </c>
      <c r="H89" s="25">
        <f>IF(B89&lt;62,0,'Combined Retirement'!$I$14)</f>
        <v>2192</v>
      </c>
      <c r="I89" s="25">
        <f>IF(C89&lt;62,0,'Combined Retirement'!$I$13)</f>
        <v>0</v>
      </c>
      <c r="J89" s="25">
        <f t="shared" si="3"/>
        <v>8539.3180191855863</v>
      </c>
      <c r="K89" s="25">
        <f t="shared" si="4"/>
        <v>22025.926519384055</v>
      </c>
      <c r="L89" s="25"/>
      <c r="N89" s="25">
        <f>'Combined Retirement'!$C$18/12</f>
        <v>39153.069999999992</v>
      </c>
      <c r="O89" s="25">
        <f t="shared" si="5"/>
        <v>8587.8254614303496</v>
      </c>
      <c r="P89" s="25">
        <f t="shared" si="6"/>
        <v>30565.244538569641</v>
      </c>
      <c r="Q89" s="25">
        <f t="array" aca="1" ref="Q89" ca="1">INDEX('Isaac 401k'!L:L,MATCH('Retirement Calculator'!A89,'Isaac 401k'!N:N,0),0)</f>
        <v>1645985.8821953626</v>
      </c>
      <c r="R89" s="25">
        <f t="array" aca="1" ref="R89" ca="1">INDEX('Lorri 401b'!L:L,MATCH('Retirement Calculator'!A89,'Lorri 401b'!N:N,0),0)</f>
        <v>4260934.8659828082</v>
      </c>
      <c r="S89" s="25">
        <f t="shared" ca="1" si="7"/>
        <v>5906920.748178171</v>
      </c>
    </row>
    <row r="90" spans="1:19" ht="15.75" customHeight="1" x14ac:dyDescent="0.3">
      <c r="A90" s="37">
        <v>53693</v>
      </c>
      <c r="B90" s="409">
        <f t="shared" ref="B90:C90" si="86">($A90-B$9)/365.25</f>
        <v>65.125256673511288</v>
      </c>
      <c r="C90" s="409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3525.4531757812501</v>
      </c>
      <c r="H90" s="25">
        <f>IF(B90&lt;62,0,'Combined Retirement'!$I$14)</f>
        <v>2192</v>
      </c>
      <c r="I90" s="25">
        <f>IF(C90&lt;62,0,'Combined Retirement'!$I$13)</f>
        <v>0</v>
      </c>
      <c r="J90" s="25">
        <f t="shared" si="3"/>
        <v>8539.3180191855863</v>
      </c>
      <c r="K90" s="25">
        <f t="shared" si="4"/>
        <v>22025.926519384055</v>
      </c>
      <c r="L90" s="25"/>
      <c r="N90" s="25">
        <f>'Combined Retirement'!$C$18/12</f>
        <v>39153.069999999992</v>
      </c>
      <c r="O90" s="25">
        <f t="shared" si="5"/>
        <v>8587.8254614303496</v>
      </c>
      <c r="P90" s="25">
        <f t="shared" si="6"/>
        <v>30565.244538569641</v>
      </c>
      <c r="Q90" s="25">
        <f t="array" aca="1" ref="Q90" ca="1">INDEX('Isaac 401k'!L:L,MATCH('Retirement Calculator'!A90,'Isaac 401k'!N:N,0),0)</f>
        <v>1644269.2581935776</v>
      </c>
      <c r="R90" s="25">
        <f t="array" aca="1" ref="R90" ca="1">INDEX('Lorri 401b'!L:L,MATCH('Retirement Calculator'!A90,'Lorri 401b'!N:N,0),0)</f>
        <v>4256571.0600445224</v>
      </c>
      <c r="S90" s="25">
        <f t="shared" ca="1" si="7"/>
        <v>5900840.3182381</v>
      </c>
    </row>
    <row r="91" spans="1:19" ht="15.75" customHeight="1" x14ac:dyDescent="0.3">
      <c r="A91" s="37">
        <v>53724</v>
      </c>
      <c r="B91" s="409">
        <f t="shared" ref="B91:C91" si="87">($A91-B$9)/365.25</f>
        <v>65.210130047912386</v>
      </c>
      <c r="C91" s="409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3525.4531757812501</v>
      </c>
      <c r="H91" s="25">
        <f>IF(B91&lt;62,0,'Combined Retirement'!$I$14)</f>
        <v>2192</v>
      </c>
      <c r="I91" s="25">
        <f>IF(C91&lt;62,0,'Combined Retirement'!$I$13)</f>
        <v>0</v>
      </c>
      <c r="J91" s="25">
        <f t="shared" si="3"/>
        <v>8539.3180191855863</v>
      </c>
      <c r="K91" s="25">
        <f t="shared" si="4"/>
        <v>22025.926519384055</v>
      </c>
      <c r="L91" s="25"/>
      <c r="N91" s="25">
        <f>'Combined Retirement'!$C$18/12</f>
        <v>39153.069999999992</v>
      </c>
      <c r="O91" s="25">
        <f t="shared" si="5"/>
        <v>8587.8254614303496</v>
      </c>
      <c r="P91" s="25">
        <f t="shared" si="6"/>
        <v>30565.244538569641</v>
      </c>
      <c r="Q91" s="25">
        <f t="array" aca="1" ref="Q91" ca="1">INDEX('Isaac 401k'!L:L,MATCH('Retirement Calculator'!A91,'Isaac 401k'!N:N,0),0)</f>
        <v>1642545.4815917853</v>
      </c>
      <c r="R91" s="25">
        <f t="array" aca="1" ref="R91" ca="1">INDEX('Lorri 401b'!L:L,MATCH('Retirement Calculator'!A91,'Lorri 401b'!N:N,0),0)</f>
        <v>4252189.0715814931</v>
      </c>
      <c r="S91" s="25">
        <f t="shared" ca="1" si="7"/>
        <v>5894734.5531732785</v>
      </c>
    </row>
    <row r="92" spans="1:19" ht="15.75" customHeight="1" x14ac:dyDescent="0.3">
      <c r="A92" s="37">
        <v>53752</v>
      </c>
      <c r="B92" s="409">
        <f t="shared" ref="B92:C92" si="88">($A92-B$9)/365.25</f>
        <v>65.286789869952088</v>
      </c>
      <c r="C92" s="409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3525.4531757812501</v>
      </c>
      <c r="H92" s="25">
        <f>IF(B92&lt;62,0,'Combined Retirement'!$I$14)</f>
        <v>2192</v>
      </c>
      <c r="I92" s="25">
        <f>IF(C92&lt;62,0,'Combined Retirement'!$I$13)</f>
        <v>0</v>
      </c>
      <c r="J92" s="25">
        <f t="shared" si="3"/>
        <v>8539.3180191855863</v>
      </c>
      <c r="K92" s="25">
        <f t="shared" si="4"/>
        <v>22025.926519384055</v>
      </c>
      <c r="L92" s="25"/>
      <c r="N92" s="25">
        <f>'Combined Retirement'!$C$18/12</f>
        <v>39153.069999999992</v>
      </c>
      <c r="O92" s="25">
        <f t="shared" si="5"/>
        <v>8587.8254614303496</v>
      </c>
      <c r="P92" s="25">
        <f t="shared" si="6"/>
        <v>30565.244538569641</v>
      </c>
      <c r="Q92" s="25">
        <f t="array" aca="1" ref="Q92" ca="1">INDEX('Isaac 401k'!L:L,MATCH('Retirement Calculator'!A92,'Isaac 401k'!N:N,0),0)</f>
        <v>1640814.5225874854</v>
      </c>
      <c r="R92" s="25">
        <f t="array" aca="1" ref="R92" ca="1">INDEX('Lorri 401b'!L:L,MATCH('Retirement Calculator'!A92,'Lorri 401b'!N:N,0),0)</f>
        <v>4247788.8248332012</v>
      </c>
      <c r="S92" s="25">
        <f t="shared" ca="1" si="7"/>
        <v>5888603.3474206869</v>
      </c>
    </row>
    <row r="93" spans="1:19" ht="15.75" customHeight="1" x14ac:dyDescent="0.3">
      <c r="A93" s="37">
        <v>53783</v>
      </c>
      <c r="B93" s="409">
        <f t="shared" ref="B93:C93" si="89">($A93-B$9)/365.25</f>
        <v>65.371663244353186</v>
      </c>
      <c r="C93" s="409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3525.4531757812501</v>
      </c>
      <c r="H93" s="25">
        <f>IF(B93&lt;62,0,'Combined Retirement'!$I$14)</f>
        <v>2192</v>
      </c>
      <c r="I93" s="25">
        <f>IF(C93&lt;62,0,'Combined Retirement'!$I$13)</f>
        <v>0</v>
      </c>
      <c r="J93" s="25">
        <f t="shared" si="3"/>
        <v>8539.3180191855863</v>
      </c>
      <c r="K93" s="25">
        <f t="shared" si="4"/>
        <v>22025.926519384055</v>
      </c>
      <c r="L93" s="25"/>
      <c r="N93" s="25">
        <f>'Combined Retirement'!$C$18/12</f>
        <v>39153.069999999992</v>
      </c>
      <c r="O93" s="25">
        <f t="shared" si="5"/>
        <v>8587.8254614303496</v>
      </c>
      <c r="P93" s="25">
        <f t="shared" si="6"/>
        <v>30565.244538569641</v>
      </c>
      <c r="Q93" s="25">
        <f t="array" aca="1" ref="Q93" ca="1">INDEX('Isaac 401k'!L:L,MATCH('Retirement Calculator'!A93,'Isaac 401k'!N:N,0),0)</f>
        <v>1639076.351254001</v>
      </c>
      <c r="R93" s="25">
        <f t="array" aca="1" ref="R93" ca="1">INDEX('Lorri 401b'!L:L,MATCH('Retirement Calculator'!A93,'Lorri 401b'!N:N,0),0)</f>
        <v>4243370.2437234586</v>
      </c>
      <c r="S93" s="25">
        <f t="shared" ca="1" si="7"/>
        <v>5882446.5949774599</v>
      </c>
    </row>
    <row r="94" spans="1:19" ht="15.75" customHeight="1" x14ac:dyDescent="0.3">
      <c r="A94" s="37">
        <v>53813</v>
      </c>
      <c r="B94" s="409">
        <f t="shared" ref="B94:C94" si="90">($A94-B$9)/365.25</f>
        <v>65.453798767967143</v>
      </c>
      <c r="C94" s="409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3525.4531757812501</v>
      </c>
      <c r="H94" s="25">
        <f>IF(B94&lt;62,0,'Combined Retirement'!$I$14)</f>
        <v>2192</v>
      </c>
      <c r="I94" s="25">
        <f>IF(C94&lt;62,0,'Combined Retirement'!$I$13)</f>
        <v>0</v>
      </c>
      <c r="J94" s="25">
        <f t="shared" si="3"/>
        <v>8539.3180191855863</v>
      </c>
      <c r="K94" s="25">
        <f t="shared" si="4"/>
        <v>22025.926519384055</v>
      </c>
      <c r="L94" s="25"/>
      <c r="N94" s="25">
        <f>'Combined Retirement'!$C$18/12</f>
        <v>39153.069999999992</v>
      </c>
      <c r="O94" s="25">
        <f t="shared" si="5"/>
        <v>8587.8254614303496</v>
      </c>
      <c r="P94" s="25">
        <f t="shared" si="6"/>
        <v>30565.244538569641</v>
      </c>
      <c r="Q94" s="25">
        <f t="array" aca="1" ref="Q94" ca="1">INDEX('Isaac 401k'!L:L,MATCH('Retirement Calculator'!A94,'Isaac 401k'!N:N,0),0)</f>
        <v>1637330.9375399605</v>
      </c>
      <c r="R94" s="25">
        <f t="array" aca="1" ref="R94" ca="1">INDEX('Lorri 401b'!L:L,MATCH('Retirement Calculator'!A94,'Lorri 401b'!N:N,0),0)</f>
        <v>4238933.2518590922</v>
      </c>
      <c r="S94" s="25">
        <f t="shared" ca="1" si="7"/>
        <v>5876264.1893990524</v>
      </c>
    </row>
    <row r="95" spans="1:19" ht="15.75" customHeight="1" x14ac:dyDescent="0.3">
      <c r="A95" s="37">
        <v>53844</v>
      </c>
      <c r="B95" s="409">
        <f t="shared" ref="B95:C95" si="91">($A95-B$9)/365.25</f>
        <v>65.538672142368242</v>
      </c>
      <c r="C95" s="409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3525.4531757812501</v>
      </c>
      <c r="H95" s="25">
        <f>IF(B95&lt;62,0,'Combined Retirement'!$I$14)</f>
        <v>2192</v>
      </c>
      <c r="I95" s="25">
        <f>IF(C95&lt;62,0,'Combined Retirement'!$I$13)</f>
        <v>0</v>
      </c>
      <c r="J95" s="25">
        <f t="shared" si="3"/>
        <v>8539.3180191855863</v>
      </c>
      <c r="K95" s="25">
        <f t="shared" si="4"/>
        <v>22025.926519384055</v>
      </c>
      <c r="L95" s="25"/>
      <c r="N95" s="25">
        <f>'Combined Retirement'!$C$18/12</f>
        <v>39153.069999999992</v>
      </c>
      <c r="O95" s="25">
        <f t="shared" si="5"/>
        <v>8587.8254614303496</v>
      </c>
      <c r="P95" s="25">
        <f t="shared" si="6"/>
        <v>30565.244538569641</v>
      </c>
      <c r="Q95" s="25">
        <f t="array" aca="1" ref="Q95" ca="1">INDEX('Isaac 401k'!L:L,MATCH('Retirement Calculator'!A95,'Isaac 401k'!N:N,0),0)</f>
        <v>1635578.251268778</v>
      </c>
      <c r="R95" s="25">
        <f t="array" aca="1" ref="R95" ca="1">INDEX('Lorri 401b'!L:L,MATCH('Retirement Calculator'!A95,'Lorri 401b'!N:N,0),0)</f>
        <v>4234477.7725286242</v>
      </c>
      <c r="S95" s="25">
        <f t="shared" ca="1" si="7"/>
        <v>5870056.0237974022</v>
      </c>
    </row>
    <row r="96" spans="1:19" ht="15.75" customHeight="1" x14ac:dyDescent="0.3">
      <c r="A96" s="37">
        <v>53874</v>
      </c>
      <c r="B96" s="409">
        <f t="shared" ref="B96:C96" si="92">($A96-B$9)/365.25</f>
        <v>65.620807665982198</v>
      </c>
      <c r="C96" s="409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3525.4531757812501</v>
      </c>
      <c r="H96" s="25">
        <f>IF(B96&lt;62,0,'Combined Retirement'!$I$14)</f>
        <v>2192</v>
      </c>
      <c r="I96" s="25">
        <f>IF(C96&lt;62,0,'Combined Retirement'!$I$13)</f>
        <v>0</v>
      </c>
      <c r="J96" s="25">
        <f t="shared" si="3"/>
        <v>8539.3180191855863</v>
      </c>
      <c r="K96" s="25">
        <f t="shared" si="4"/>
        <v>22025.926519384055</v>
      </c>
      <c r="L96" s="25"/>
      <c r="N96" s="25">
        <f>'Combined Retirement'!$C$18/12</f>
        <v>39153.069999999992</v>
      </c>
      <c r="O96" s="25">
        <f t="shared" si="5"/>
        <v>8587.8254614303496</v>
      </c>
      <c r="P96" s="25">
        <f t="shared" si="6"/>
        <v>30565.244538569641</v>
      </c>
      <c r="Q96" s="25">
        <f t="array" aca="1" ref="Q96" ca="1">INDEX('Isaac 401k'!L:L,MATCH('Retirement Calculator'!A96,'Isaac 401k'!N:N,0),0)</f>
        <v>1633818.2621381322</v>
      </c>
      <c r="R96" s="25">
        <f t="array" aca="1" ref="R96" ca="1">INDEX('Lorri 401b'!L:L,MATCH('Retirement Calculator'!A96,'Lorri 401b'!N:N,0),0)</f>
        <v>4230003.7287009461</v>
      </c>
      <c r="S96" s="25">
        <f t="shared" ca="1" si="7"/>
        <v>5863821.9908390781</v>
      </c>
    </row>
    <row r="97" spans="1:19" ht="15.75" customHeight="1" x14ac:dyDescent="0.3">
      <c r="A97" s="37">
        <v>53905</v>
      </c>
      <c r="B97" s="409">
        <f t="shared" ref="B97:C97" si="93">($A97-B$9)/365.25</f>
        <v>65.705681040383297</v>
      </c>
      <c r="C97" s="409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3525.4531757812501</v>
      </c>
      <c r="H97" s="25">
        <f>IF(B97&lt;62,0,'Combined Retirement'!$I$14)</f>
        <v>2192</v>
      </c>
      <c r="I97" s="25">
        <f>IF(C97&lt;62,0,'Combined Retirement'!$I$13)</f>
        <v>0</v>
      </c>
      <c r="J97" s="25">
        <f t="shared" si="3"/>
        <v>8539.3180191855863</v>
      </c>
      <c r="K97" s="25">
        <f t="shared" si="4"/>
        <v>22025.926519384055</v>
      </c>
      <c r="L97" s="25"/>
      <c r="N97" s="25">
        <f>'Combined Retirement'!$C$18/12</f>
        <v>39153.069999999992</v>
      </c>
      <c r="O97" s="25">
        <f t="shared" si="5"/>
        <v>8587.8254614303496</v>
      </c>
      <c r="P97" s="25">
        <f t="shared" si="6"/>
        <v>30565.244538569641</v>
      </c>
      <c r="Q97" s="25">
        <f t="array" aca="1" ref="Q97" ca="1">INDEX('Isaac 401k'!L:L,MATCH('Retirement Calculator'!A97,'Isaac 401k'!N:N,0),0)</f>
        <v>1632050.9397194423</v>
      </c>
      <c r="R97" s="25">
        <f t="array" aca="1" ref="R97" ca="1">INDEX('Lorri 401b'!L:L,MATCH('Retirement Calculator'!A97,'Lorri 401b'!N:N,0),0)</f>
        <v>4225511.0430239858</v>
      </c>
      <c r="S97" s="25">
        <f t="shared" ca="1" si="7"/>
        <v>5857561.9827434281</v>
      </c>
    </row>
    <row r="98" spans="1:19" ht="15.75" customHeight="1" x14ac:dyDescent="0.3">
      <c r="A98" s="37">
        <v>53936</v>
      </c>
      <c r="B98" s="409">
        <f t="shared" ref="B98:C98" si="94">($A98-B$9)/365.25</f>
        <v>65.790554414784395</v>
      </c>
      <c r="C98" s="409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3525.4531757812501</v>
      </c>
      <c r="H98" s="25">
        <f>IF(B98&lt;62,0,'Combined Retirement'!$I$14)</f>
        <v>2192</v>
      </c>
      <c r="I98" s="25">
        <f>IF(C98&lt;62,0,'Combined Retirement'!$I$13)</f>
        <v>0</v>
      </c>
      <c r="J98" s="25">
        <f t="shared" si="3"/>
        <v>8539.3180191855863</v>
      </c>
      <c r="K98" s="25">
        <f t="shared" si="4"/>
        <v>22025.926519384055</v>
      </c>
      <c r="L98" s="25"/>
      <c r="N98" s="25">
        <f>'Combined Retirement'!$C$18/12</f>
        <v>39153.069999999992</v>
      </c>
      <c r="O98" s="25">
        <f t="shared" si="5"/>
        <v>8587.8254614303496</v>
      </c>
      <c r="P98" s="25">
        <f t="shared" si="6"/>
        <v>30565.244538569641</v>
      </c>
      <c r="Q98" s="25">
        <f t="array" aca="1" ref="Q98" ca="1">INDEX('Isaac 401k'!L:L,MATCH('Retirement Calculator'!A98,'Isaac 401k'!N:N,0),0)</f>
        <v>1630276.2534573411</v>
      </c>
      <c r="R98" s="25">
        <f t="array" aca="1" ref="R98" ca="1">INDEX('Lorri 401b'!L:L,MATCH('Retirement Calculator'!A98,'Lorri 401b'!N:N,0),0)</f>
        <v>4220999.6378233712</v>
      </c>
      <c r="S98" s="25">
        <f t="shared" ca="1" si="7"/>
        <v>5851275.8912807126</v>
      </c>
    </row>
    <row r="99" spans="1:19" ht="15.75" customHeight="1" x14ac:dyDescent="0.3">
      <c r="A99" s="37">
        <v>53966</v>
      </c>
      <c r="B99" s="409">
        <f t="shared" ref="B99:C99" si="95">($A99-B$9)/365.25</f>
        <v>65.872689938398352</v>
      </c>
      <c r="C99" s="409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3525.4531757812501</v>
      </c>
      <c r="H99" s="25">
        <f>IF(B99&lt;62,0,'Combined Retirement'!$I$14)</f>
        <v>2192</v>
      </c>
      <c r="I99" s="25">
        <f>IF(C99&lt;62,0,'Combined Retirement'!$I$13)</f>
        <v>0</v>
      </c>
      <c r="J99" s="25">
        <f t="shared" si="3"/>
        <v>8539.3180191855863</v>
      </c>
      <c r="K99" s="25">
        <f t="shared" si="4"/>
        <v>22025.926519384055</v>
      </c>
      <c r="L99" s="25"/>
      <c r="N99" s="25">
        <f>'Combined Retirement'!$C$18/12</f>
        <v>39153.069999999992</v>
      </c>
      <c r="O99" s="25">
        <f t="shared" si="5"/>
        <v>8587.8254614303496</v>
      </c>
      <c r="P99" s="25">
        <f t="shared" si="6"/>
        <v>30565.244538569641</v>
      </c>
      <c r="Q99" s="25">
        <f t="array" aca="1" ref="Q99" ca="1">INDEX('Isaac 401k'!L:L,MATCH('Retirement Calculator'!A99,'Isaac 401k'!N:N,0),0)</f>
        <v>1628494.1726691478</v>
      </c>
      <c r="R99" s="25">
        <f t="array" aca="1" ref="R99" ca="1">INDEX('Lorri 401b'!L:L,MATCH('Retirement Calculator'!A99,'Lorri 401b'!N:N,0),0)</f>
        <v>4216469.4351010872</v>
      </c>
      <c r="S99" s="25">
        <f t="shared" ca="1" si="7"/>
        <v>5844963.6077702353</v>
      </c>
    </row>
    <row r="100" spans="1:19" ht="15.75" customHeight="1" x14ac:dyDescent="0.3">
      <c r="A100" s="37">
        <v>53997</v>
      </c>
      <c r="B100" s="409">
        <f t="shared" ref="B100:C100" si="96">($A100-B$9)/365.25</f>
        <v>65.957563312799451</v>
      </c>
      <c r="C100" s="409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3525.4531757812501</v>
      </c>
      <c r="H100" s="25">
        <f>IF(B100&lt;62,0,'Combined Retirement'!$I$14)</f>
        <v>2192</v>
      </c>
      <c r="I100" s="25">
        <f>IF(C100&lt;62,0,'Combined Retirement'!$I$13)</f>
        <v>0</v>
      </c>
      <c r="J100" s="25">
        <f t="shared" si="3"/>
        <v>8539.3180191855863</v>
      </c>
      <c r="K100" s="25">
        <f t="shared" si="4"/>
        <v>22025.926519384055</v>
      </c>
      <c r="L100" s="25"/>
      <c r="N100" s="25">
        <f>'Combined Retirement'!$C$18/12</f>
        <v>39153.069999999992</v>
      </c>
      <c r="O100" s="25">
        <f t="shared" si="5"/>
        <v>8587.8254614303496</v>
      </c>
      <c r="P100" s="25">
        <f t="shared" si="6"/>
        <v>30565.244538569641</v>
      </c>
      <c r="Q100" s="25">
        <f t="array" aca="1" ref="Q100" ca="1">INDEX('Isaac 401k'!L:L,MATCH('Retirement Calculator'!A100,'Isaac 401k'!N:N,0),0)</f>
        <v>1626704.6665443371</v>
      </c>
      <c r="R100" s="25">
        <f t="array" aca="1" ref="R100" ca="1">INDEX('Lorri 401b'!L:L,MATCH('Retirement Calculator'!A100,'Lorri 401b'!N:N,0),0)</f>
        <v>4211920.3565341271</v>
      </c>
      <c r="S100" s="25">
        <f t="shared" ca="1" si="7"/>
        <v>5838625.023078464</v>
      </c>
    </row>
    <row r="101" spans="1:19" ht="15.75" customHeight="1" x14ac:dyDescent="0.3">
      <c r="A101" s="37">
        <v>54027</v>
      </c>
      <c r="B101" s="409">
        <f t="shared" ref="B101:C101" si="97">($A101-B$9)/365.25</f>
        <v>66.039698836413422</v>
      </c>
      <c r="C101" s="409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3525.4531757812501</v>
      </c>
      <c r="H101" s="25">
        <f>IF(B101&lt;62,0,'Combined Retirement'!$I$14)</f>
        <v>2192</v>
      </c>
      <c r="I101" s="25">
        <f>IF(C101&lt;62,0,'Combined Retirement'!$I$13)</f>
        <v>0</v>
      </c>
      <c r="J101" s="25">
        <f t="shared" si="3"/>
        <v>8539.3180191855863</v>
      </c>
      <c r="K101" s="25">
        <f t="shared" si="4"/>
        <v>22025.926519384055</v>
      </c>
      <c r="L101" s="25"/>
      <c r="N101" s="25">
        <f>'Combined Retirement'!$C$18/12</f>
        <v>39153.069999999992</v>
      </c>
      <c r="O101" s="25">
        <f t="shared" si="5"/>
        <v>8587.8254614303496</v>
      </c>
      <c r="P101" s="25">
        <f t="shared" si="6"/>
        <v>30565.244538569641</v>
      </c>
      <c r="Q101" s="25">
        <f t="array" aca="1" ref="Q101" ca="1">INDEX('Isaac 401k'!L:L,MATCH('Retirement Calculator'!A101,'Isaac 401k'!N:N,0),0)</f>
        <v>1624907.7041440061</v>
      </c>
      <c r="R101" s="25">
        <f t="array" aca="1" ref="R101" ca="1">INDEX('Lorri 401b'!L:L,MATCH('Retirement Calculator'!A101,'Lorri 401b'!N:N,0),0)</f>
        <v>4207352.3234731378</v>
      </c>
      <c r="S101" s="25">
        <f t="shared" ca="1" si="7"/>
        <v>5832260.0276171435</v>
      </c>
    </row>
    <row r="102" spans="1:19" ht="15.75" customHeight="1" x14ac:dyDescent="0.3">
      <c r="A102" s="37">
        <v>54058</v>
      </c>
      <c r="B102" s="409">
        <f t="shared" ref="B102:C102" si="98">($A102-B$9)/365.25</f>
        <v>66.124572210814506</v>
      </c>
      <c r="C102" s="409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3525.4531757812501</v>
      </c>
      <c r="H102" s="25">
        <f>IF(B102&lt;62,0,'Combined Retirement'!$I$14)</f>
        <v>2192</v>
      </c>
      <c r="I102" s="25">
        <f>IF(C102&lt;62,0,'Combined Retirement'!$I$13)</f>
        <v>0</v>
      </c>
      <c r="J102" s="25">
        <f t="shared" si="3"/>
        <v>8539.3180191855863</v>
      </c>
      <c r="K102" s="25">
        <f t="shared" si="4"/>
        <v>22025.926519384055</v>
      </c>
      <c r="L102" s="25"/>
      <c r="N102" s="25">
        <f>'Combined Retirement'!$C$18/12</f>
        <v>39153.069999999992</v>
      </c>
      <c r="O102" s="25">
        <f t="shared" si="5"/>
        <v>8587.8254614303496</v>
      </c>
      <c r="P102" s="25">
        <f t="shared" si="6"/>
        <v>30565.244538569641</v>
      </c>
      <c r="Q102" s="25">
        <f t="array" aca="1" ref="Q102" ca="1">INDEX('Isaac 401k'!L:L,MATCH('Retirement Calculator'!A102,'Isaac 401k'!N:N,0),0)</f>
        <v>1623103.2544003406</v>
      </c>
      <c r="R102" s="25">
        <f t="array" aca="1" ref="R102" ca="1">INDEX('Lorri 401b'!L:L,MATCH('Retirement Calculator'!A102,'Lorri 401b'!N:N,0),0)</f>
        <v>4202765.2569410605</v>
      </c>
      <c r="S102" s="25">
        <f t="shared" ca="1" si="7"/>
        <v>5825868.5113414014</v>
      </c>
    </row>
    <row r="103" spans="1:19" ht="15.75" customHeight="1" x14ac:dyDescent="0.3">
      <c r="A103" s="37">
        <v>54089</v>
      </c>
      <c r="B103" s="409">
        <f t="shared" ref="B103:C103" si="99">($A103-B$9)/365.25</f>
        <v>66.209445585215605</v>
      </c>
      <c r="C103" s="409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3525.4531757812501</v>
      </c>
      <c r="H103" s="25">
        <f>IF(B103&lt;62,0,'Combined Retirement'!$I$14)</f>
        <v>2192</v>
      </c>
      <c r="I103" s="25">
        <f>IF(C103&lt;62,0,'Combined Retirement'!$I$13)</f>
        <v>0</v>
      </c>
      <c r="J103" s="25">
        <f t="shared" si="3"/>
        <v>8539.3180191855863</v>
      </c>
      <c r="K103" s="25">
        <f t="shared" si="4"/>
        <v>22025.926519384055</v>
      </c>
      <c r="L103" s="25"/>
      <c r="N103" s="25">
        <f>'Combined Retirement'!$C$18/12</f>
        <v>39153.069999999992</v>
      </c>
      <c r="O103" s="25">
        <f t="shared" si="5"/>
        <v>8587.8254614303496</v>
      </c>
      <c r="P103" s="25">
        <f t="shared" si="6"/>
        <v>30565.244538569641</v>
      </c>
      <c r="Q103" s="25">
        <f t="array" aca="1" ref="Q103" ca="1">INDEX('Isaac 401k'!L:L,MATCH('Retirement Calculator'!A103,'Isaac 401k'!N:N,0),0)</f>
        <v>1621291.2861160764</v>
      </c>
      <c r="R103" s="25">
        <f t="array" aca="1" ref="R103" ca="1">INDEX('Lorri 401b'!L:L,MATCH('Retirement Calculator'!A103,'Lorri 401b'!N:N,0),0)</f>
        <v>4198159.0776317669</v>
      </c>
      <c r="S103" s="25">
        <f t="shared" ca="1" si="7"/>
        <v>5819450.3637478435</v>
      </c>
    </row>
    <row r="104" spans="1:19" ht="15.75" customHeight="1" x14ac:dyDescent="0.3">
      <c r="A104" s="37">
        <v>54118</v>
      </c>
      <c r="B104" s="409">
        <f t="shared" ref="B104:C104" si="100">($A104-B$9)/365.25</f>
        <v>66.288843258042434</v>
      </c>
      <c r="C104" s="409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3525.4531757812501</v>
      </c>
      <c r="H104" s="25">
        <f>IF(B104&lt;62,0,'Combined Retirement'!$I$14)</f>
        <v>2192</v>
      </c>
      <c r="I104" s="25">
        <f>IF(C104&lt;62,0,'Combined Retirement'!$I$13)</f>
        <v>0</v>
      </c>
      <c r="J104" s="25">
        <f t="shared" si="3"/>
        <v>8539.3180191855863</v>
      </c>
      <c r="K104" s="25">
        <f t="shared" si="4"/>
        <v>22025.926519384055</v>
      </c>
      <c r="L104" s="25"/>
      <c r="N104" s="25">
        <f>'Combined Retirement'!$C$18/12</f>
        <v>39153.069999999992</v>
      </c>
      <c r="O104" s="25">
        <f t="shared" si="5"/>
        <v>8587.8254614303496</v>
      </c>
      <c r="P104" s="25">
        <f t="shared" si="6"/>
        <v>30565.244538569641</v>
      </c>
      <c r="Q104" s="25">
        <f t="array" aca="1" ref="Q104" ca="1">INDEX('Isaac 401k'!L:L,MATCH('Retirement Calculator'!A104,'Isaac 401k'!N:N,0),0)</f>
        <v>1619471.767963961</v>
      </c>
      <c r="R104" s="25">
        <f t="array" aca="1" ref="R104" ca="1">INDEX('Lorri 401b'!L:L,MATCH('Retirement Calculator'!A104,'Lorri 401b'!N:N,0),0)</f>
        <v>4193533.7059086845</v>
      </c>
      <c r="S104" s="25">
        <f t="shared" ca="1" si="7"/>
        <v>5813005.4738726458</v>
      </c>
    </row>
    <row r="105" spans="1:19" ht="15.75" customHeight="1" x14ac:dyDescent="0.3">
      <c r="A105" s="37">
        <v>54149</v>
      </c>
      <c r="B105" s="409">
        <f t="shared" ref="B105:C105" si="101">($A105-B$9)/365.25</f>
        <v>66.373716632443532</v>
      </c>
      <c r="C105" s="409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3525.4531757812501</v>
      </c>
      <c r="H105" s="25">
        <f>IF(B105&lt;62,0,'Combined Retirement'!$I$14)</f>
        <v>2192</v>
      </c>
      <c r="I105" s="25">
        <f>IF(C105&lt;62,0,'Combined Retirement'!$I$13)</f>
        <v>0</v>
      </c>
      <c r="J105" s="25">
        <f t="shared" si="3"/>
        <v>8539.3180191855863</v>
      </c>
      <c r="K105" s="25">
        <f t="shared" si="4"/>
        <v>22025.926519384055</v>
      </c>
      <c r="L105" s="25"/>
      <c r="N105" s="25">
        <f>'Combined Retirement'!$C$18/12</f>
        <v>39153.069999999992</v>
      </c>
      <c r="O105" s="25">
        <f t="shared" si="5"/>
        <v>8587.8254614303496</v>
      </c>
      <c r="P105" s="25">
        <f t="shared" si="6"/>
        <v>30565.244538569641</v>
      </c>
      <c r="Q105" s="25">
        <f t="array" aca="1" ref="Q105" ca="1">INDEX('Isaac 401k'!L:L,MATCH('Retirement Calculator'!A105,'Isaac 401k'!N:N,0),0)</f>
        <v>1617644.6684862119</v>
      </c>
      <c r="R105" s="25">
        <f t="array" aca="1" ref="R105" ca="1">INDEX('Lorri 401b'!L:L,MATCH('Retirement Calculator'!A105,'Lorri 401b'!N:N,0),0)</f>
        <v>4188889.0618034224</v>
      </c>
      <c r="S105" s="25">
        <f t="shared" ca="1" si="7"/>
        <v>5806533.7302896343</v>
      </c>
    </row>
    <row r="106" spans="1:19" ht="15.75" customHeight="1" x14ac:dyDescent="0.3">
      <c r="A106" s="37">
        <v>54179</v>
      </c>
      <c r="B106" s="409">
        <f t="shared" ref="B106:C106" si="102">($A106-B$9)/365.25</f>
        <v>66.455852156057489</v>
      </c>
      <c r="C106" s="409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3525.4531757812501</v>
      </c>
      <c r="H106" s="25">
        <f>IF(B106&lt;62,0,'Combined Retirement'!$I$14)</f>
        <v>2192</v>
      </c>
      <c r="I106" s="25">
        <f>IF(C106&lt;62,0,'Combined Retirement'!$I$13)</f>
        <v>0</v>
      </c>
      <c r="J106" s="25">
        <f t="shared" si="3"/>
        <v>8539.3180191855863</v>
      </c>
      <c r="K106" s="25">
        <f t="shared" si="4"/>
        <v>22025.926519384055</v>
      </c>
      <c r="L106" s="25"/>
      <c r="N106" s="25">
        <f>'Combined Retirement'!$C$18/12</f>
        <v>39153.069999999992</v>
      </c>
      <c r="O106" s="25">
        <f t="shared" si="5"/>
        <v>8587.8254614303496</v>
      </c>
      <c r="P106" s="25">
        <f t="shared" si="6"/>
        <v>30565.244538569641</v>
      </c>
      <c r="Q106" s="25">
        <f t="array" aca="1" ref="Q106" ca="1">INDEX('Isaac 401k'!L:L,MATCH('Retirement Calculator'!A106,'Isaac 401k'!N:N,0),0)</f>
        <v>1615809.9560939721</v>
      </c>
      <c r="R106" s="25">
        <f t="array" aca="1" ref="R106" ca="1">INDEX('Lorri 401b'!L:L,MATCH('Retirement Calculator'!A106,'Lorri 401b'!N:N,0),0)</f>
        <v>4184225.0650143884</v>
      </c>
      <c r="S106" s="25">
        <f t="shared" ca="1" si="7"/>
        <v>5800035.021108361</v>
      </c>
    </row>
    <row r="107" spans="1:19" ht="15.75" customHeight="1" x14ac:dyDescent="0.3">
      <c r="A107" s="37">
        <v>54210</v>
      </c>
      <c r="B107" s="409">
        <f t="shared" ref="B107:C107" si="103">($A107-B$9)/365.25</f>
        <v>66.540725530458587</v>
      </c>
      <c r="C107" s="409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3525.4531757812501</v>
      </c>
      <c r="H107" s="25">
        <f>IF(B107&lt;62,0,'Combined Retirement'!$I$14)</f>
        <v>2192</v>
      </c>
      <c r="I107" s="25">
        <f>IF(C107&lt;62,0,'Combined Retirement'!$I$13)</f>
        <v>0</v>
      </c>
      <c r="J107" s="25">
        <f t="shared" si="3"/>
        <v>8539.3180191855863</v>
      </c>
      <c r="K107" s="25">
        <f t="shared" si="4"/>
        <v>22025.926519384055</v>
      </c>
      <c r="L107" s="25"/>
      <c r="N107" s="25">
        <f>'Combined Retirement'!$C$18/12</f>
        <v>39153.069999999992</v>
      </c>
      <c r="O107" s="25">
        <f t="shared" si="5"/>
        <v>8587.8254614303496</v>
      </c>
      <c r="P107" s="25">
        <f t="shared" si="6"/>
        <v>30565.244538569641</v>
      </c>
      <c r="Q107" s="25">
        <f t="array" aca="1" ref="Q107" ca="1">INDEX('Isaac 401k'!L:L,MATCH('Retirement Calculator'!A107,'Isaac 401k'!N:N,0),0)</f>
        <v>1613967.5990667646</v>
      </c>
      <c r="R107" s="25">
        <f t="array" aca="1" ref="R107" ca="1">INDEX('Lorri 401b'!L:L,MATCH('Retirement Calculator'!A107,'Lorri 401b'!N:N,0),0)</f>
        <v>4179541.6349054002</v>
      </c>
      <c r="S107" s="25">
        <f t="shared" ca="1" si="7"/>
        <v>5793509.2339721648</v>
      </c>
    </row>
    <row r="108" spans="1:19" ht="15.75" customHeight="1" x14ac:dyDescent="0.3">
      <c r="A108" s="37">
        <v>54240</v>
      </c>
      <c r="B108" s="409">
        <f t="shared" ref="B108:C108" si="104">($A108-B$9)/365.25</f>
        <v>66.622861054072558</v>
      </c>
      <c r="C108" s="409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3525.4531757812501</v>
      </c>
      <c r="H108" s="25">
        <f>IF(B108&lt;62,0,'Combined Retirement'!$I$14)</f>
        <v>2192</v>
      </c>
      <c r="I108" s="25">
        <f>IF(C108&lt;62,0,'Combined Retirement'!$I$13)</f>
        <v>2420</v>
      </c>
      <c r="J108" s="25">
        <f t="shared" si="3"/>
        <v>7863.2184191855868</v>
      </c>
      <c r="K108" s="25">
        <f t="shared" si="4"/>
        <v>20282.026119384056</v>
      </c>
      <c r="L108" s="25"/>
      <c r="N108" s="25">
        <f>'Combined Retirement'!$C$18/12</f>
        <v>39153.069999999992</v>
      </c>
      <c r="O108" s="25">
        <f t="shared" si="5"/>
        <v>11007.82546143035</v>
      </c>
      <c r="P108" s="25">
        <f t="shared" si="6"/>
        <v>28145.244538569641</v>
      </c>
      <c r="Q108" s="25">
        <f t="array" aca="1" ref="Q108" ca="1">INDEX('Isaac 401k'!L:L,MATCH('Retirement Calculator'!A108,'Isaac 401k'!N:N,0),0)</f>
        <v>1612796.4822336105</v>
      </c>
      <c r="R108" s="25">
        <f t="array" aca="1" ref="R108" ca="1">INDEX('Lorri 401b'!L:L,MATCH('Retirement Calculator'!A108,'Lorri 401b'!N:N,0),0)</f>
        <v>4176589.8571559582</v>
      </c>
      <c r="S108" s="25">
        <f t="shared" ca="1" si="7"/>
        <v>5789386.3393895682</v>
      </c>
    </row>
    <row r="109" spans="1:19" ht="15.75" customHeight="1" x14ac:dyDescent="0.3">
      <c r="A109" s="37">
        <v>54271</v>
      </c>
      <c r="B109" s="409">
        <f t="shared" ref="B109:C109" si="105">($A109-B$9)/365.25</f>
        <v>66.707734428473643</v>
      </c>
      <c r="C109" s="409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3525.4531757812501</v>
      </c>
      <c r="H109" s="25">
        <f>IF(B109&lt;62,0,'Combined Retirement'!$I$14)</f>
        <v>2192</v>
      </c>
      <c r="I109" s="25">
        <f>IF(C109&lt;62,0,'Combined Retirement'!$I$13)</f>
        <v>2420</v>
      </c>
      <c r="J109" s="25">
        <f t="shared" si="3"/>
        <v>7863.2184191855868</v>
      </c>
      <c r="K109" s="25">
        <f t="shared" si="4"/>
        <v>20282.026119384056</v>
      </c>
      <c r="L109" s="25"/>
      <c r="N109" s="25">
        <f>'Combined Retirement'!$C$18/12</f>
        <v>39153.069999999992</v>
      </c>
      <c r="O109" s="25">
        <f t="shared" si="5"/>
        <v>11007.82546143035</v>
      </c>
      <c r="P109" s="25">
        <f t="shared" si="6"/>
        <v>28145.244538569641</v>
      </c>
      <c r="Q109" s="25">
        <f t="array" aca="1" ref="Q109" ca="1">INDEX('Isaac 401k'!L:L,MATCH('Retirement Calculator'!A109,'Isaac 401k'!N:N,0),0)</f>
        <v>1611620.4857469851</v>
      </c>
      <c r="R109" s="25">
        <f t="array" aca="1" ref="R109" ca="1">INDEX('Lorri 401b'!L:L,MATCH('Retirement Calculator'!A109,'Lorri 401b'!N:N,0),0)</f>
        <v>4173625.7803325597</v>
      </c>
      <c r="S109" s="25">
        <f t="shared" ca="1" si="7"/>
        <v>5785246.266079545</v>
      </c>
    </row>
    <row r="110" spans="1:19" ht="15.75" customHeight="1" x14ac:dyDescent="0.3">
      <c r="A110" s="37">
        <v>54302</v>
      </c>
      <c r="B110" s="409">
        <f t="shared" ref="B110:C110" si="106">($A110-B$9)/365.25</f>
        <v>66.792607802874741</v>
      </c>
      <c r="C110" s="409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3525.4531757812501</v>
      </c>
      <c r="H110" s="25">
        <f>IF(B110&lt;62,0,'Combined Retirement'!$I$14)</f>
        <v>2192</v>
      </c>
      <c r="I110" s="25">
        <f>IF(C110&lt;62,0,'Combined Retirement'!$I$13)</f>
        <v>2420</v>
      </c>
      <c r="J110" s="25">
        <f t="shared" si="3"/>
        <v>7863.2184191855868</v>
      </c>
      <c r="K110" s="25">
        <f t="shared" si="4"/>
        <v>20282.026119384056</v>
      </c>
      <c r="L110" s="25"/>
      <c r="N110" s="25">
        <f>'Combined Retirement'!$C$18/12</f>
        <v>39153.069999999992</v>
      </c>
      <c r="O110" s="25">
        <f t="shared" si="5"/>
        <v>11007.82546143035</v>
      </c>
      <c r="P110" s="25">
        <f t="shared" si="6"/>
        <v>28145.244538569641</v>
      </c>
      <c r="Q110" s="25">
        <f t="array" aca="1" ref="Q110" ca="1">INDEX('Isaac 401k'!L:L,MATCH('Retirement Calculator'!A110,'Isaac 401k'!N:N,0),0)</f>
        <v>1610439.5892749985</v>
      </c>
      <c r="R110" s="25">
        <f t="array" aca="1" ref="R110" ca="1">INDEX('Lorri 401b'!L:L,MATCH('Retirement Calculator'!A110,'Lorri 401b'!N:N,0),0)</f>
        <v>4170649.3531890642</v>
      </c>
      <c r="S110" s="25">
        <f t="shared" ca="1" si="7"/>
        <v>5781088.9424640629</v>
      </c>
    </row>
    <row r="111" spans="1:19" ht="15.75" customHeight="1" x14ac:dyDescent="0.3">
      <c r="A111" s="37">
        <v>54332</v>
      </c>
      <c r="B111" s="409">
        <f t="shared" ref="B111:C111" si="107">($A111-B$9)/365.25</f>
        <v>66.874743326488712</v>
      </c>
      <c r="C111" s="409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3525.4531757812501</v>
      </c>
      <c r="H111" s="25">
        <f>IF(B111&lt;62,0,'Combined Retirement'!$I$14)</f>
        <v>2192</v>
      </c>
      <c r="I111" s="25">
        <f>IF(C111&lt;62,0,'Combined Retirement'!$I$13)</f>
        <v>2420</v>
      </c>
      <c r="J111" s="25">
        <f t="shared" si="3"/>
        <v>7863.2184191855868</v>
      </c>
      <c r="K111" s="25">
        <f t="shared" si="4"/>
        <v>20282.026119384056</v>
      </c>
      <c r="L111" s="25"/>
      <c r="N111" s="25">
        <f>'Combined Retirement'!$C$18/12</f>
        <v>39153.069999999992</v>
      </c>
      <c r="O111" s="25">
        <f t="shared" si="5"/>
        <v>11007.82546143035</v>
      </c>
      <c r="P111" s="25">
        <f t="shared" si="6"/>
        <v>28145.244538569641</v>
      </c>
      <c r="Q111" s="25">
        <f t="array" aca="1" ref="Q111" ca="1">INDEX('Isaac 401k'!L:L,MATCH('Retirement Calculator'!A111,'Isaac 401k'!N:N,0),0)</f>
        <v>1609253.7724010455</v>
      </c>
      <c r="R111" s="25">
        <f t="array" aca="1" ref="R111" ca="1">INDEX('Lorri 401b'!L:L,MATCH('Retirement Calculator'!A111,'Lorri 401b'!N:N,0),0)</f>
        <v>4167660.5242658039</v>
      </c>
      <c r="S111" s="25">
        <f t="shared" ca="1" si="7"/>
        <v>5776914.2966668494</v>
      </c>
    </row>
    <row r="112" spans="1:19" ht="15.75" customHeight="1" x14ac:dyDescent="0.3">
      <c r="A112" s="37">
        <v>54363</v>
      </c>
      <c r="B112" s="409">
        <f t="shared" ref="B112:C112" si="108">($A112-B$9)/365.25</f>
        <v>66.959616700889796</v>
      </c>
      <c r="C112" s="409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3525.4531757812501</v>
      </c>
      <c r="H112" s="25">
        <f>IF(B112&lt;62,0,'Combined Retirement'!$I$14)</f>
        <v>2192</v>
      </c>
      <c r="I112" s="25">
        <f>IF(C112&lt;62,0,'Combined Retirement'!$I$13)</f>
        <v>2420</v>
      </c>
      <c r="J112" s="25">
        <f t="shared" si="3"/>
        <v>7863.2184191855868</v>
      </c>
      <c r="K112" s="25">
        <f t="shared" si="4"/>
        <v>20282.026119384056</v>
      </c>
      <c r="L112" s="25"/>
      <c r="N112" s="25">
        <f>'Combined Retirement'!$C$18/12</f>
        <v>39153.069999999992</v>
      </c>
      <c r="O112" s="25">
        <f t="shared" si="5"/>
        <v>11007.82546143035</v>
      </c>
      <c r="P112" s="25">
        <f t="shared" si="6"/>
        <v>28145.244538569641</v>
      </c>
      <c r="Q112" s="25">
        <f t="array" aca="1" ref="Q112" ca="1">INDEX('Isaac 401k'!L:L,MATCH('Retirement Calculator'!A112,'Isaac 401k'!N:N,0),0)</f>
        <v>1608063.014623451</v>
      </c>
      <c r="R112" s="25">
        <f t="array" aca="1" ref="R112" ca="1">INDEX('Lorri 401b'!L:L,MATCH('Retirement Calculator'!A112,'Lorri 401b'!N:N,0),0)</f>
        <v>4164659.2418886968</v>
      </c>
      <c r="S112" s="25">
        <f t="shared" ca="1" si="7"/>
        <v>5772722.2565121483</v>
      </c>
    </row>
    <row r="113" spans="1:19" ht="15.75" customHeight="1" x14ac:dyDescent="0.3">
      <c r="A113" s="37">
        <v>54393</v>
      </c>
      <c r="B113" s="409">
        <f t="shared" ref="B113:C113" si="109">($A113-B$9)/365.25</f>
        <v>67.041752224503767</v>
      </c>
      <c r="C113" s="409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3525.4531757812501</v>
      </c>
      <c r="H113" s="25">
        <f>IF(B113&lt;62,0,'Combined Retirement'!$I$14)</f>
        <v>2192</v>
      </c>
      <c r="I113" s="25">
        <f>IF(C113&lt;62,0,'Combined Retirement'!$I$13)</f>
        <v>2420</v>
      </c>
      <c r="J113" s="25">
        <f t="shared" si="3"/>
        <v>7863.2184191855868</v>
      </c>
      <c r="K113" s="25">
        <f t="shared" si="4"/>
        <v>20282.026119384056</v>
      </c>
      <c r="L113" s="25"/>
      <c r="N113" s="25">
        <f>'Combined Retirement'!$C$18/12</f>
        <v>39153.069999999992</v>
      </c>
      <c r="O113" s="25">
        <f t="shared" si="5"/>
        <v>11007.82546143035</v>
      </c>
      <c r="P113" s="25">
        <f t="shared" si="6"/>
        <v>28145.244538569641</v>
      </c>
      <c r="Q113" s="25">
        <f t="array" aca="1" ref="Q113" ca="1">INDEX('Isaac 401k'!L:L,MATCH('Retirement Calculator'!A113,'Isaac 401k'!N:N,0),0)</f>
        <v>1606867.2953551165</v>
      </c>
      <c r="R113" s="25">
        <f t="array" aca="1" ref="R113" ca="1">INDEX('Lorri 401b'!L:L,MATCH('Retirement Calculator'!A113,'Lorri 401b'!N:N,0),0)</f>
        <v>4161645.4541683518</v>
      </c>
      <c r="S113" s="25">
        <f t="shared" ca="1" si="7"/>
        <v>5768512.7495234683</v>
      </c>
    </row>
    <row r="114" spans="1:19" ht="15.75" customHeight="1" x14ac:dyDescent="0.3">
      <c r="A114" s="37">
        <v>54424</v>
      </c>
      <c r="B114" s="409">
        <f t="shared" ref="B114:C114" si="110">($A114-B$9)/365.25</f>
        <v>67.126625598904866</v>
      </c>
      <c r="C114" s="409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3525.4531757812501</v>
      </c>
      <c r="H114" s="25">
        <f>IF(B114&lt;62,0,'Combined Retirement'!$I$14)</f>
        <v>2192</v>
      </c>
      <c r="I114" s="25">
        <f>IF(C114&lt;62,0,'Combined Retirement'!$I$13)</f>
        <v>2420</v>
      </c>
      <c r="J114" s="25">
        <f t="shared" si="3"/>
        <v>7863.2184191855868</v>
      </c>
      <c r="K114" s="25">
        <f t="shared" si="4"/>
        <v>20282.026119384056</v>
      </c>
      <c r="L114" s="25"/>
      <c r="N114" s="25">
        <f>'Combined Retirement'!$C$18/12</f>
        <v>39153.069999999992</v>
      </c>
      <c r="O114" s="25">
        <f t="shared" si="5"/>
        <v>11007.82546143035</v>
      </c>
      <c r="P114" s="25">
        <f t="shared" si="6"/>
        <v>28145.244538569641</v>
      </c>
      <c r="Q114" s="25">
        <f t="array" aca="1" ref="Q114" ca="1">INDEX('Isaac 401k'!L:L,MATCH('Retirement Calculator'!A114,'Isaac 401k'!N:N,0),0)</f>
        <v>1605666.5939231638</v>
      </c>
      <c r="R114" s="25">
        <f t="array" aca="1" ref="R114" ca="1">INDEX('Lorri 401b'!L:L,MATCH('Retirement Calculator'!A114,'Lorri 401b'!N:N,0),0)</f>
        <v>4158619.1089991718</v>
      </c>
      <c r="S114" s="25">
        <f t="shared" ca="1" si="7"/>
        <v>5764285.7029223358</v>
      </c>
    </row>
    <row r="115" spans="1:19" ht="15.75" customHeight="1" x14ac:dyDescent="0.3">
      <c r="A115" s="37">
        <v>54455</v>
      </c>
      <c r="B115" s="409">
        <f t="shared" ref="B115:C115" si="111">($A115-B$9)/365.25</f>
        <v>67.21149897330595</v>
      </c>
      <c r="C115" s="409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3525.4531757812501</v>
      </c>
      <c r="H115" s="25">
        <f>IF(B115&lt;62,0,'Combined Retirement'!$I$14)</f>
        <v>2192</v>
      </c>
      <c r="I115" s="25">
        <f>IF(C115&lt;62,0,'Combined Retirement'!$I$13)</f>
        <v>2420</v>
      </c>
      <c r="J115" s="25">
        <f t="shared" si="3"/>
        <v>7863.2184191855868</v>
      </c>
      <c r="K115" s="25">
        <f t="shared" si="4"/>
        <v>20282.026119384056</v>
      </c>
      <c r="L115" s="25"/>
      <c r="N115" s="25">
        <f>'Combined Retirement'!$C$18/12</f>
        <v>39153.069999999992</v>
      </c>
      <c r="O115" s="25">
        <f t="shared" si="5"/>
        <v>11007.82546143035</v>
      </c>
      <c r="P115" s="25">
        <f t="shared" si="6"/>
        <v>28145.244538569641</v>
      </c>
      <c r="Q115" s="25">
        <f t="array" aca="1" ref="Q115" ca="1">INDEX('Isaac 401k'!L:L,MATCH('Retirement Calculator'!A115,'Isaac 401k'!N:N,0),0)</f>
        <v>1604460.8895685782</v>
      </c>
      <c r="R115" s="25">
        <f t="array" aca="1" ref="R115" ca="1">INDEX('Lorri 401b'!L:L,MATCH('Retirement Calculator'!A115,'Lorri 401b'!N:N,0),0)</f>
        <v>4155580.1540584536</v>
      </c>
      <c r="S115" s="25">
        <f t="shared" ca="1" si="7"/>
        <v>5760041.0436270321</v>
      </c>
    </row>
    <row r="116" spans="1:19" ht="15.75" customHeight="1" x14ac:dyDescent="0.3">
      <c r="A116" s="37">
        <v>54483</v>
      </c>
      <c r="B116" s="409">
        <f t="shared" ref="B116:C116" si="112">($A116-B$9)/365.25</f>
        <v>67.288158795345652</v>
      </c>
      <c r="C116" s="409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3525.4531757812501</v>
      </c>
      <c r="H116" s="25">
        <f>IF(B116&lt;62,0,'Combined Retirement'!$I$14)</f>
        <v>2192</v>
      </c>
      <c r="I116" s="25">
        <f>IF(C116&lt;62,0,'Combined Retirement'!$I$13)</f>
        <v>2420</v>
      </c>
      <c r="J116" s="25">
        <f t="shared" si="3"/>
        <v>7863.2184191855868</v>
      </c>
      <c r="K116" s="25">
        <f t="shared" si="4"/>
        <v>20282.026119384056</v>
      </c>
      <c r="L116" s="25"/>
      <c r="N116" s="25">
        <f>'Combined Retirement'!$C$18/12</f>
        <v>39153.069999999992</v>
      </c>
      <c r="O116" s="25">
        <f t="shared" si="5"/>
        <v>11007.82546143035</v>
      </c>
      <c r="P116" s="25">
        <f t="shared" si="6"/>
        <v>28145.244538569641</v>
      </c>
      <c r="Q116" s="25">
        <f t="array" aca="1" ref="Q116" ca="1">INDEX('Isaac 401k'!L:L,MATCH('Retirement Calculator'!A116,'Isaac 401k'!N:N,0),0)</f>
        <v>1603250.1614458484</v>
      </c>
      <c r="R116" s="25">
        <f t="array" aca="1" ref="R116" ca="1">INDEX('Lorri 401b'!L:L,MATCH('Retirement Calculator'!A116,'Lorri 401b'!N:N,0),0)</f>
        <v>4152528.5368054826</v>
      </c>
      <c r="S116" s="25">
        <f t="shared" ca="1" si="7"/>
        <v>5755778.6982513312</v>
      </c>
    </row>
    <row r="117" spans="1:19" ht="15.75" customHeight="1" x14ac:dyDescent="0.3">
      <c r="A117" s="37">
        <v>54514</v>
      </c>
      <c r="B117" s="409">
        <f t="shared" ref="B117:C117" si="113">($A117-B$9)/365.25</f>
        <v>67.37303216974675</v>
      </c>
      <c r="C117" s="409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3525.4531757812501</v>
      </c>
      <c r="H117" s="25">
        <f>IF(B117&lt;62,0,'Combined Retirement'!$I$14)</f>
        <v>2192</v>
      </c>
      <c r="I117" s="25">
        <f>IF(C117&lt;62,0,'Combined Retirement'!$I$13)</f>
        <v>2420</v>
      </c>
      <c r="J117" s="25">
        <f t="shared" si="3"/>
        <v>7863.2184191855868</v>
      </c>
      <c r="K117" s="25">
        <f t="shared" si="4"/>
        <v>20282.026119384056</v>
      </c>
      <c r="L117" s="25"/>
      <c r="N117" s="25">
        <f>'Combined Retirement'!$C$18/12</f>
        <v>39153.069999999992</v>
      </c>
      <c r="O117" s="25">
        <f t="shared" si="5"/>
        <v>11007.82546143035</v>
      </c>
      <c r="P117" s="25">
        <f t="shared" si="6"/>
        <v>28145.244538569641</v>
      </c>
      <c r="Q117" s="25">
        <f t="array" aca="1" ref="Q117" ca="1">INDEX('Isaac 401k'!L:L,MATCH('Retirement Calculator'!A117,'Isaac 401k'!N:N,0),0)</f>
        <v>1602034.3886226073</v>
      </c>
      <c r="R117" s="25">
        <f t="array" aca="1" ref="R117" ca="1">INDEX('Lorri 401b'!L:L,MATCH('Retirement Calculator'!A117,'Lorri 401b'!N:N,0),0)</f>
        <v>4149464.2044806238</v>
      </c>
      <c r="S117" s="25">
        <f t="shared" ca="1" si="7"/>
        <v>5751498.5931032309</v>
      </c>
    </row>
    <row r="118" spans="1:19" ht="15.75" customHeight="1" x14ac:dyDescent="0.3">
      <c r="A118" s="37">
        <v>54544</v>
      </c>
      <c r="B118" s="409">
        <f t="shared" ref="B118:C118" si="114">($A118-B$9)/365.25</f>
        <v>67.455167693360707</v>
      </c>
      <c r="C118" s="409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3525.4531757812501</v>
      </c>
      <c r="H118" s="25">
        <f>IF(B118&lt;62,0,'Combined Retirement'!$I$14)</f>
        <v>2192</v>
      </c>
      <c r="I118" s="25">
        <f>IF(C118&lt;62,0,'Combined Retirement'!$I$13)</f>
        <v>2420</v>
      </c>
      <c r="J118" s="25">
        <f t="shared" si="3"/>
        <v>7863.2184191855868</v>
      </c>
      <c r="K118" s="25">
        <f t="shared" si="4"/>
        <v>20282.026119384056</v>
      </c>
      <c r="L118" s="25"/>
      <c r="N118" s="25">
        <f>'Combined Retirement'!$C$18/12</f>
        <v>39153.069999999992</v>
      </c>
      <c r="O118" s="25">
        <f t="shared" si="5"/>
        <v>11007.82546143035</v>
      </c>
      <c r="P118" s="25">
        <f t="shared" si="6"/>
        <v>28145.244538569641</v>
      </c>
      <c r="Q118" s="25">
        <f t="array" aca="1" ref="Q118" ca="1">INDEX('Isaac 401k'!L:L,MATCH('Retirement Calculator'!A118,'Isaac 401k'!N:N,0),0)</f>
        <v>1600813.5500792693</v>
      </c>
      <c r="R118" s="25">
        <f t="array" aca="1" ref="R118" ca="1">INDEX('Lorri 401b'!L:L,MATCH('Retirement Calculator'!A118,'Lorri 401b'!N:N,0),0)</f>
        <v>4146387.1041044118</v>
      </c>
      <c r="S118" s="25">
        <f t="shared" ca="1" si="7"/>
        <v>5747200.6541836811</v>
      </c>
    </row>
    <row r="119" spans="1:19" ht="15.75" customHeight="1" x14ac:dyDescent="0.3">
      <c r="A119" s="37">
        <v>54575</v>
      </c>
      <c r="B119" s="409">
        <f t="shared" ref="B119:C119" si="115">($A119-B$9)/365.25</f>
        <v>67.540041067761805</v>
      </c>
      <c r="C119" s="409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3525.4531757812501</v>
      </c>
      <c r="H119" s="25">
        <f>IF(B119&lt;62,0,'Combined Retirement'!$I$14)</f>
        <v>2192</v>
      </c>
      <c r="I119" s="25">
        <f>IF(C119&lt;62,0,'Combined Retirement'!$I$13)</f>
        <v>2420</v>
      </c>
      <c r="J119" s="25">
        <f t="shared" si="3"/>
        <v>7863.2184191855868</v>
      </c>
      <c r="K119" s="25">
        <f t="shared" si="4"/>
        <v>20282.026119384056</v>
      </c>
      <c r="L119" s="25"/>
      <c r="N119" s="25">
        <f>'Combined Retirement'!$C$18/12</f>
        <v>39153.069999999992</v>
      </c>
      <c r="O119" s="25">
        <f t="shared" si="5"/>
        <v>11007.82546143035</v>
      </c>
      <c r="P119" s="25">
        <f t="shared" si="6"/>
        <v>28145.244538569641</v>
      </c>
      <c r="Q119" s="25">
        <f t="array" aca="1" ref="Q119" ca="1">INDEX('Isaac 401k'!L:L,MATCH('Retirement Calculator'!A119,'Isaac 401k'!N:N,0),0)</f>
        <v>1599587.6247086674</v>
      </c>
      <c r="R119" s="25">
        <f t="array" aca="1" ref="R119" ca="1">INDEX('Lorri 401b'!L:L,MATCH('Retirement Calculator'!A119,'Lorri 401b'!N:N,0),0)</f>
        <v>4143297.1824766323</v>
      </c>
      <c r="S119" s="25">
        <f t="shared" ca="1" si="7"/>
        <v>5742884.8071852997</v>
      </c>
    </row>
    <row r="120" spans="1:19" ht="15.75" customHeight="1" x14ac:dyDescent="0.3">
      <c r="A120" s="37">
        <v>54605</v>
      </c>
      <c r="B120" s="409">
        <f t="shared" ref="B120:C120" si="116">($A120-B$9)/365.25</f>
        <v>67.622176591375776</v>
      </c>
      <c r="C120" s="409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3525.4531757812501</v>
      </c>
      <c r="H120" s="25">
        <f>IF(B120&lt;62,0,'Combined Retirement'!$I$14)</f>
        <v>2192</v>
      </c>
      <c r="I120" s="25">
        <f>IF(C120&lt;62,0,'Combined Retirement'!$I$13)</f>
        <v>2420</v>
      </c>
      <c r="J120" s="25">
        <f t="shared" si="3"/>
        <v>7863.2184191855868</v>
      </c>
      <c r="K120" s="25">
        <f t="shared" si="4"/>
        <v>20282.026119384056</v>
      </c>
      <c r="L120" s="25"/>
      <c r="N120" s="25">
        <f>'Combined Retirement'!$C$18/12</f>
        <v>39153.069999999992</v>
      </c>
      <c r="O120" s="25">
        <f t="shared" si="5"/>
        <v>11007.82546143035</v>
      </c>
      <c r="P120" s="25">
        <f t="shared" si="6"/>
        <v>28145.244538569641</v>
      </c>
      <c r="Q120" s="25">
        <f t="array" aca="1" ref="Q120" ca="1">INDEX('Isaac 401k'!L:L,MATCH('Retirement Calculator'!A120,'Isaac 401k'!N:N,0),0)</f>
        <v>1598356.5913156879</v>
      </c>
      <c r="R120" s="25">
        <f t="array" aca="1" ref="R120" ca="1">INDEX('Lorri 401b'!L:L,MATCH('Retirement Calculator'!A120,'Lorri 401b'!N:N,0),0)</f>
        <v>4140194.3861754034</v>
      </c>
      <c r="S120" s="25">
        <f t="shared" ca="1" si="7"/>
        <v>5738550.977491091</v>
      </c>
    </row>
    <row r="121" spans="1:19" ht="15.75" customHeight="1" x14ac:dyDescent="0.3">
      <c r="A121" s="37">
        <v>54636</v>
      </c>
      <c r="B121" s="409">
        <f t="shared" ref="B121:C121" si="117">($A121-B$9)/365.25</f>
        <v>67.707049965776861</v>
      </c>
      <c r="C121" s="409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3525.4531757812501</v>
      </c>
      <c r="H121" s="25">
        <f>IF(B121&lt;62,0,'Combined Retirement'!$I$14)</f>
        <v>2192</v>
      </c>
      <c r="I121" s="25">
        <f>IF(C121&lt;62,0,'Combined Retirement'!$I$13)</f>
        <v>2420</v>
      </c>
      <c r="J121" s="25">
        <f t="shared" si="3"/>
        <v>7863.2184191855868</v>
      </c>
      <c r="K121" s="25">
        <f t="shared" si="4"/>
        <v>20282.026119384056</v>
      </c>
      <c r="L121" s="25"/>
      <c r="N121" s="25">
        <f>'Combined Retirement'!$C$18/12</f>
        <v>39153.069999999992</v>
      </c>
      <c r="O121" s="25">
        <f t="shared" si="5"/>
        <v>11007.82546143035</v>
      </c>
      <c r="P121" s="25">
        <f t="shared" si="6"/>
        <v>28145.244538569641</v>
      </c>
      <c r="Q121" s="25">
        <f t="array" aca="1" ref="Q121" ca="1">INDEX('Isaac 401k'!L:L,MATCH('Retirement Calculator'!A121,'Isaac 401k'!N:N,0),0)</f>
        <v>1597120.4286169044</v>
      </c>
      <c r="R121" s="25">
        <f t="array" aca="1" ref="R121" ca="1">INDEX('Lorri 401b'!L:L,MATCH('Retirement Calculator'!A121,'Lorri 401b'!N:N,0),0)</f>
        <v>4137078.6615562527</v>
      </c>
      <c r="S121" s="25">
        <f t="shared" ca="1" si="7"/>
        <v>5734199.0901731569</v>
      </c>
    </row>
    <row r="122" spans="1:19" ht="15.75" customHeight="1" x14ac:dyDescent="0.3">
      <c r="A122" s="37">
        <v>54667</v>
      </c>
      <c r="B122" s="409">
        <f t="shared" ref="B122:C122" si="118">($A122-B$9)/365.25</f>
        <v>67.791923340177959</v>
      </c>
      <c r="C122" s="409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3525.4531757812501</v>
      </c>
      <c r="H122" s="25">
        <f>IF(B122&lt;62,0,'Combined Retirement'!$I$14)</f>
        <v>2192</v>
      </c>
      <c r="I122" s="25">
        <f>IF(C122&lt;62,0,'Combined Retirement'!$I$13)</f>
        <v>2420</v>
      </c>
      <c r="J122" s="25">
        <f t="shared" si="3"/>
        <v>7863.2184191855868</v>
      </c>
      <c r="K122" s="25">
        <f t="shared" si="4"/>
        <v>20282.026119384056</v>
      </c>
      <c r="L122" s="25"/>
      <c r="N122" s="25">
        <f>'Combined Retirement'!$C$18/12</f>
        <v>39153.069999999992</v>
      </c>
      <c r="O122" s="25">
        <f t="shared" si="5"/>
        <v>11007.82546143035</v>
      </c>
      <c r="P122" s="25">
        <f t="shared" si="6"/>
        <v>28145.244538569641</v>
      </c>
      <c r="Q122" s="25">
        <f t="array" aca="1" ref="Q122" ca="1">INDEX('Isaac 401k'!L:L,MATCH('Retirement Calculator'!A122,'Isaac 401k'!N:N,0),0)</f>
        <v>1595879.1152402093</v>
      </c>
      <c r="R122" s="25">
        <f t="array" aca="1" ref="R122" ca="1">INDEX('Lorri 401b'!L:L,MATCH('Retirement Calculator'!A122,'Lorri 401b'!N:N,0),0)</f>
        <v>4133949.9547511889</v>
      </c>
      <c r="S122" s="25">
        <f t="shared" ca="1" si="7"/>
        <v>5729829.0699913986</v>
      </c>
    </row>
    <row r="123" spans="1:19" ht="15.75" customHeight="1" x14ac:dyDescent="0.3">
      <c r="A123" s="37">
        <v>54697</v>
      </c>
      <c r="B123" s="409">
        <f t="shared" ref="B123:C123" si="119">($A123-B$9)/365.25</f>
        <v>67.87405886379193</v>
      </c>
      <c r="C123" s="409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3525.4531757812501</v>
      </c>
      <c r="H123" s="25">
        <f>IF(B123&lt;62,0,'Combined Retirement'!$I$14)</f>
        <v>2192</v>
      </c>
      <c r="I123" s="25">
        <f>IF(C123&lt;62,0,'Combined Retirement'!$I$13)</f>
        <v>2420</v>
      </c>
      <c r="J123" s="25">
        <f t="shared" si="3"/>
        <v>7863.2184191855868</v>
      </c>
      <c r="K123" s="25">
        <f t="shared" si="4"/>
        <v>20282.026119384056</v>
      </c>
      <c r="L123" s="25"/>
      <c r="N123" s="25">
        <f>'Combined Retirement'!$C$18/12</f>
        <v>39153.069999999992</v>
      </c>
      <c r="O123" s="25">
        <f t="shared" si="5"/>
        <v>11007.82546143035</v>
      </c>
      <c r="P123" s="25">
        <f t="shared" si="6"/>
        <v>28145.244538569641</v>
      </c>
      <c r="Q123" s="25">
        <f t="array" aca="1" ref="Q123" ca="1">INDEX('Isaac 401k'!L:L,MATCH('Retirement Calculator'!A123,'Isaac 401k'!N:N,0),0)</f>
        <v>1594632.6297244446</v>
      </c>
      <c r="R123" s="25">
        <f t="array" aca="1" ref="R123" ca="1">INDEX('Lorri 401b'!L:L,MATCH('Retirement Calculator'!A123,'Lorri 401b'!N:N,0),0)</f>
        <v>4130808.2116677705</v>
      </c>
      <c r="S123" s="25">
        <f t="shared" ca="1" si="7"/>
        <v>5725440.8413922153</v>
      </c>
    </row>
    <row r="124" spans="1:19" ht="15.75" customHeight="1" x14ac:dyDescent="0.3">
      <c r="A124" s="37">
        <v>54728</v>
      </c>
      <c r="B124" s="409">
        <f t="shared" ref="B124:C124" si="120">($A124-B$9)/365.25</f>
        <v>67.958932238193015</v>
      </c>
      <c r="C124" s="409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3525.4531757812501</v>
      </c>
      <c r="H124" s="25">
        <f>IF(B124&lt;62,0,'Combined Retirement'!$I$14)</f>
        <v>2192</v>
      </c>
      <c r="I124" s="25">
        <f>IF(C124&lt;62,0,'Combined Retirement'!$I$13)</f>
        <v>2420</v>
      </c>
      <c r="J124" s="25">
        <f t="shared" si="3"/>
        <v>7863.2184191855868</v>
      </c>
      <c r="K124" s="25">
        <f t="shared" si="4"/>
        <v>20282.026119384056</v>
      </c>
      <c r="L124" s="25"/>
      <c r="N124" s="25">
        <f>'Combined Retirement'!$C$18/12</f>
        <v>39153.069999999992</v>
      </c>
      <c r="O124" s="25">
        <f t="shared" si="5"/>
        <v>11007.82546143035</v>
      </c>
      <c r="P124" s="25">
        <f t="shared" si="6"/>
        <v>28145.244538569641</v>
      </c>
      <c r="Q124" s="25">
        <f t="array" aca="1" ref="Q124" ca="1">INDEX('Isaac 401k'!L:L,MATCH('Retirement Calculator'!A124,'Isaac 401k'!N:N,0),0)</f>
        <v>1593380.9505190309</v>
      </c>
      <c r="R124" s="25">
        <f t="array" aca="1" ref="R124" ca="1">INDEX('Lorri 401b'!L:L,MATCH('Retirement Calculator'!A124,'Lorri 401b'!N:N,0),0)</f>
        <v>4127653.3779881713</v>
      </c>
      <c r="S124" s="25">
        <f t="shared" ca="1" si="7"/>
        <v>5721034.3285072017</v>
      </c>
    </row>
    <row r="125" spans="1:19" ht="15.75" customHeight="1" x14ac:dyDescent="0.3">
      <c r="A125" s="37">
        <v>54758</v>
      </c>
      <c r="B125" s="409">
        <f t="shared" ref="B125:C125" si="121">($A125-B$9)/365.25</f>
        <v>68.041067761806985</v>
      </c>
      <c r="C125" s="409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3525.4531757812501</v>
      </c>
      <c r="H125" s="25">
        <f>IF(B125&lt;62,0,'Combined Retirement'!$I$14)</f>
        <v>2192</v>
      </c>
      <c r="I125" s="25">
        <f>IF(C125&lt;62,0,'Combined Retirement'!$I$13)</f>
        <v>2420</v>
      </c>
      <c r="J125" s="25">
        <f t="shared" si="3"/>
        <v>7863.2184191855868</v>
      </c>
      <c r="K125" s="25">
        <f t="shared" si="4"/>
        <v>20282.026119384056</v>
      </c>
      <c r="L125" s="25"/>
      <c r="N125" s="25">
        <f>'Combined Retirement'!$C$18/12</f>
        <v>39153.069999999992</v>
      </c>
      <c r="O125" s="25">
        <f t="shared" si="5"/>
        <v>11007.82546143035</v>
      </c>
      <c r="P125" s="25">
        <f t="shared" si="6"/>
        <v>28145.244538569641</v>
      </c>
      <c r="Q125" s="25">
        <f t="array" aca="1" ref="Q125" ca="1">INDEX('Isaac 401k'!L:L,MATCH('Retirement Calculator'!A125,'Isaac 401k'!N:N,0),0)</f>
        <v>1592124.0559835946</v>
      </c>
      <c r="R125" s="25">
        <f t="array" aca="1" ref="R125" ca="1">INDEX('Lorri 401b'!L:L,MATCH('Retirement Calculator'!A125,'Lorri 401b'!N:N,0),0)</f>
        <v>4124485.3991682404</v>
      </c>
      <c r="S125" s="25">
        <f t="shared" ca="1" si="7"/>
        <v>5716609.4551518355</v>
      </c>
    </row>
    <row r="126" spans="1:19" ht="15.75" customHeight="1" x14ac:dyDescent="0.3">
      <c r="A126" s="37">
        <v>54789</v>
      </c>
      <c r="B126" s="409">
        <f t="shared" ref="B126:C126" si="122">($A126-B$9)/365.25</f>
        <v>68.12594113620807</v>
      </c>
      <c r="C126" s="409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3525.4531757812501</v>
      </c>
      <c r="H126" s="25">
        <f>IF(B126&lt;62,0,'Combined Retirement'!$I$14)</f>
        <v>2192</v>
      </c>
      <c r="I126" s="25">
        <f>IF(C126&lt;62,0,'Combined Retirement'!$I$13)</f>
        <v>2420</v>
      </c>
      <c r="J126" s="25">
        <f t="shared" si="3"/>
        <v>7863.2184191855868</v>
      </c>
      <c r="K126" s="25">
        <f t="shared" si="4"/>
        <v>20282.026119384056</v>
      </c>
      <c r="L126" s="25"/>
      <c r="N126" s="25">
        <f>'Combined Retirement'!$C$18/12</f>
        <v>39153.069999999992</v>
      </c>
      <c r="O126" s="25">
        <f t="shared" si="5"/>
        <v>11007.82546143035</v>
      </c>
      <c r="P126" s="25">
        <f t="shared" si="6"/>
        <v>28145.244538569641</v>
      </c>
      <c r="Q126" s="25">
        <f t="array" aca="1" ref="Q126" ca="1">INDEX('Isaac 401k'!L:L,MATCH('Retirement Calculator'!A126,'Isaac 401k'!N:N,0),0)</f>
        <v>1590861.924387594</v>
      </c>
      <c r="R126" s="25">
        <f t="array" aca="1" ref="R126" ca="1">INDEX('Lorri 401b'!L:L,MATCH('Retirement Calculator'!A126,'Lorri 401b'!N:N,0),0)</f>
        <v>4121304.22043656</v>
      </c>
      <c r="S126" s="25">
        <f t="shared" ca="1" si="7"/>
        <v>5712166.1448241537</v>
      </c>
    </row>
    <row r="127" spans="1:19" ht="15.75" customHeight="1" x14ac:dyDescent="0.3">
      <c r="A127" s="37">
        <v>54820</v>
      </c>
      <c r="B127" s="409">
        <f t="shared" ref="B127:C127" si="123">($A127-B$9)/365.25</f>
        <v>68.210814510609168</v>
      </c>
      <c r="C127" s="409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3525.4531757812501</v>
      </c>
      <c r="H127" s="25">
        <f>IF(B127&lt;62,0,'Combined Retirement'!$I$14)</f>
        <v>2192</v>
      </c>
      <c r="I127" s="25">
        <f>IF(C127&lt;62,0,'Combined Retirement'!$I$13)</f>
        <v>2420</v>
      </c>
      <c r="J127" s="25">
        <f t="shared" si="3"/>
        <v>7863.2184191855868</v>
      </c>
      <c r="K127" s="25">
        <f t="shared" si="4"/>
        <v>20282.026119384056</v>
      </c>
      <c r="L127" s="25"/>
      <c r="N127" s="25">
        <f>'Combined Retirement'!$C$18/12</f>
        <v>39153.069999999992</v>
      </c>
      <c r="O127" s="25">
        <f t="shared" si="5"/>
        <v>11007.82546143035</v>
      </c>
      <c r="P127" s="25">
        <f t="shared" si="6"/>
        <v>28145.244538569641</v>
      </c>
      <c r="Q127" s="25">
        <f t="array" aca="1" ref="Q127" ca="1">INDEX('Isaac 401k'!L:L,MATCH('Retirement Calculator'!A127,'Isaac 401k'!N:N,0),0)</f>
        <v>1589594.5339099434</v>
      </c>
      <c r="R127" s="25">
        <f t="array" aca="1" ref="R127" ca="1">INDEX('Lorri 401b'!L:L,MATCH('Retirement Calculator'!A127,'Lorri 401b'!N:N,0),0)</f>
        <v>4118109.7867934974</v>
      </c>
      <c r="S127" s="25">
        <f t="shared" ca="1" si="7"/>
        <v>5707704.3207034413</v>
      </c>
    </row>
    <row r="128" spans="1:19" ht="15.75" customHeight="1" x14ac:dyDescent="0.3">
      <c r="A128" s="37">
        <v>54848</v>
      </c>
      <c r="B128" s="409">
        <f t="shared" ref="B128:C128" si="124">($A128-B$9)/365.25</f>
        <v>68.28747433264887</v>
      </c>
      <c r="C128" s="409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3525.4531757812501</v>
      </c>
      <c r="H128" s="25">
        <f>IF(B128&lt;62,0,'Combined Retirement'!$I$14)</f>
        <v>2192</v>
      </c>
      <c r="I128" s="25">
        <f>IF(C128&lt;62,0,'Combined Retirement'!$I$13)</f>
        <v>2420</v>
      </c>
      <c r="J128" s="25">
        <f t="shared" si="3"/>
        <v>7863.2184191855868</v>
      </c>
      <c r="K128" s="25">
        <f t="shared" si="4"/>
        <v>20282.026119384056</v>
      </c>
      <c r="L128" s="25"/>
      <c r="N128" s="25">
        <f>'Combined Retirement'!$C$18/12</f>
        <v>39153.069999999992</v>
      </c>
      <c r="O128" s="25">
        <f t="shared" si="5"/>
        <v>11007.82546143035</v>
      </c>
      <c r="P128" s="25">
        <f t="shared" si="6"/>
        <v>28145.244538569641</v>
      </c>
      <c r="Q128" s="25">
        <f t="array" aca="1" ref="Q128" ca="1">INDEX('Isaac 401k'!L:L,MATCH('Retirement Calculator'!A128,'Isaac 401k'!N:N,0),0)</f>
        <v>1588321.862638636</v>
      </c>
      <c r="R128" s="25">
        <f t="array" aca="1" ref="R128" ca="1">INDEX('Lorri 401b'!L:L,MATCH('Retirement Calculator'!A128,'Lorri 401b'!N:N,0),0)</f>
        <v>4114902.0430102553</v>
      </c>
      <c r="S128" s="25">
        <f t="shared" ca="1" si="7"/>
        <v>5703223.9056488909</v>
      </c>
    </row>
    <row r="129" spans="1:19" ht="15.75" customHeight="1" x14ac:dyDescent="0.3">
      <c r="A129" s="37">
        <v>54879</v>
      </c>
      <c r="B129" s="409">
        <f t="shared" ref="B129:C129" si="125">($A129-B$9)/365.25</f>
        <v>68.372347707049968</v>
      </c>
      <c r="C129" s="409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3525.4531757812501</v>
      </c>
      <c r="H129" s="25">
        <f>IF(B129&lt;62,0,'Combined Retirement'!$I$14)</f>
        <v>2192</v>
      </c>
      <c r="I129" s="25">
        <f>IF(C129&lt;62,0,'Combined Retirement'!$I$13)</f>
        <v>2420</v>
      </c>
      <c r="J129" s="25">
        <f t="shared" si="3"/>
        <v>7863.2184191855868</v>
      </c>
      <c r="K129" s="25">
        <f t="shared" si="4"/>
        <v>20282.026119384056</v>
      </c>
      <c r="L129" s="25"/>
      <c r="N129" s="25">
        <f>'Combined Retirement'!$C$18/12</f>
        <v>39153.069999999992</v>
      </c>
      <c r="O129" s="25">
        <f t="shared" si="5"/>
        <v>11007.82546143035</v>
      </c>
      <c r="P129" s="25">
        <f t="shared" si="6"/>
        <v>28145.244538569641</v>
      </c>
      <c r="Q129" s="25">
        <f t="array" aca="1" ref="Q129" ca="1">INDEX('Isaac 401k'!L:L,MATCH('Retirement Calculator'!A129,'Isaac 401k'!N:N,0),0)</f>
        <v>1587043.8885703648</v>
      </c>
      <c r="R129" s="25">
        <f t="array" aca="1" ref="R129" ca="1">INDEX('Lorri 401b'!L:L,MATCH('Retirement Calculator'!A129,'Lorri 401b'!N:N,0),0)</f>
        <v>4111680.9336279165</v>
      </c>
      <c r="S129" s="25">
        <f t="shared" ca="1" si="7"/>
        <v>5698724.8221982811</v>
      </c>
    </row>
    <row r="130" spans="1:19" ht="15.75" customHeight="1" x14ac:dyDescent="0.3">
      <c r="A130" s="37">
        <v>54909</v>
      </c>
      <c r="B130" s="409">
        <f t="shared" ref="B130:C130" si="126">($A130-B$9)/365.25</f>
        <v>68.454483230663925</v>
      </c>
      <c r="C130" s="409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3525.4531757812501</v>
      </c>
      <c r="H130" s="25">
        <f>IF(B130&lt;62,0,'Combined Retirement'!$I$14)</f>
        <v>2192</v>
      </c>
      <c r="I130" s="25">
        <f>IF(C130&lt;62,0,'Combined Retirement'!$I$13)</f>
        <v>2420</v>
      </c>
      <c r="J130" s="25">
        <f t="shared" si="3"/>
        <v>7863.2184191855868</v>
      </c>
      <c r="K130" s="25">
        <f t="shared" si="4"/>
        <v>20282.026119384056</v>
      </c>
      <c r="L130" s="25"/>
      <c r="N130" s="25">
        <f>'Combined Retirement'!$C$18/12</f>
        <v>39153.069999999992</v>
      </c>
      <c r="O130" s="25">
        <f t="shared" si="5"/>
        <v>11007.82546143035</v>
      </c>
      <c r="P130" s="25">
        <f t="shared" si="6"/>
        <v>28145.244538569641</v>
      </c>
      <c r="Q130" s="25">
        <f t="array" aca="1" ref="Q130" ca="1">INDEX('Isaac 401k'!L:L,MATCH('Retirement Calculator'!A130,'Isaac 401k'!N:N,0),0)</f>
        <v>1585760.5896101424</v>
      </c>
      <c r="R130" s="25">
        <f t="array" aca="1" ref="R130" ca="1">INDEX('Lorri 401b'!L:L,MATCH('Retirement Calculator'!A130,'Lorri 401b'!N:N,0),0)</f>
        <v>4108446.4029564848</v>
      </c>
      <c r="S130" s="25">
        <f t="shared" ca="1" si="7"/>
        <v>5694206.9925666275</v>
      </c>
    </row>
    <row r="131" spans="1:19" ht="15.75" customHeight="1" x14ac:dyDescent="0.3">
      <c r="A131" s="37">
        <v>54940</v>
      </c>
      <c r="B131" s="409">
        <f t="shared" ref="B131:C131" si="127">($A131-B$9)/365.25</f>
        <v>68.539356605065024</v>
      </c>
      <c r="C131" s="409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3525.4531757812501</v>
      </c>
      <c r="H131" s="25">
        <f>IF(B131&lt;62,0,'Combined Retirement'!$I$14)</f>
        <v>2192</v>
      </c>
      <c r="I131" s="25">
        <f>IF(C131&lt;62,0,'Combined Retirement'!$I$13)</f>
        <v>2420</v>
      </c>
      <c r="J131" s="25">
        <f t="shared" si="3"/>
        <v>7863.2184191855868</v>
      </c>
      <c r="K131" s="25">
        <f t="shared" si="4"/>
        <v>20282.026119384056</v>
      </c>
      <c r="L131" s="25"/>
      <c r="N131" s="25">
        <f>'Combined Retirement'!$C$18/12</f>
        <v>39153.069999999992</v>
      </c>
      <c r="O131" s="25">
        <f t="shared" si="5"/>
        <v>11007.82546143035</v>
      </c>
      <c r="P131" s="25">
        <f t="shared" si="6"/>
        <v>28145.244538569641</v>
      </c>
      <c r="Q131" s="25">
        <f t="array" aca="1" ref="Q131" ca="1">INDEX('Isaac 401k'!L:L,MATCH('Retirement Calculator'!A131,'Isaac 401k'!N:N,0),0)</f>
        <v>1584471.9435709191</v>
      </c>
      <c r="R131" s="25">
        <f t="array" aca="1" ref="R131" ca="1">INDEX('Lorri 401b'!L:L,MATCH('Retirement Calculator'!A131,'Lorri 401b'!N:N,0),0)</f>
        <v>4105198.3950739219</v>
      </c>
      <c r="S131" s="25">
        <f t="shared" ca="1" si="7"/>
        <v>5689670.3386448408</v>
      </c>
    </row>
    <row r="132" spans="1:19" ht="15.75" customHeight="1" x14ac:dyDescent="0.3">
      <c r="A132" s="37">
        <v>54970</v>
      </c>
      <c r="B132" s="409">
        <f t="shared" ref="B132:C132" si="128">($A132-B$9)/365.25</f>
        <v>68.62149212867898</v>
      </c>
      <c r="C132" s="409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3525.4531757812501</v>
      </c>
      <c r="H132" s="25">
        <f>IF(B132&lt;62,0,'Combined Retirement'!$I$14)</f>
        <v>2192</v>
      </c>
      <c r="I132" s="25">
        <f>IF(C132&lt;62,0,'Combined Retirement'!$I$13)</f>
        <v>2420</v>
      </c>
      <c r="J132" s="25">
        <f t="shared" si="3"/>
        <v>7863.2184191855868</v>
      </c>
      <c r="K132" s="25">
        <f t="shared" si="4"/>
        <v>20282.026119384056</v>
      </c>
      <c r="L132" s="25"/>
      <c r="N132" s="25">
        <f>'Combined Retirement'!$C$18/12</f>
        <v>39153.069999999992</v>
      </c>
      <c r="O132" s="25">
        <f t="shared" si="5"/>
        <v>11007.82546143035</v>
      </c>
      <c r="P132" s="25">
        <f t="shared" si="6"/>
        <v>28145.244538569641</v>
      </c>
      <c r="Q132" s="25">
        <f t="array" aca="1" ref="Q132" ca="1">INDEX('Isaac 401k'!L:L,MATCH('Retirement Calculator'!A132,'Isaac 401k'!N:N,0),0)</f>
        <v>1583177.9281731991</v>
      </c>
      <c r="R132" s="25">
        <f t="array" aca="1" ref="R132" ca="1">INDEX('Lorri 401b'!L:L,MATCH('Retirement Calculator'!A132,'Lorri 401b'!N:N,0),0)</f>
        <v>4101936.8538251817</v>
      </c>
      <c r="S132" s="25">
        <f t="shared" ca="1" si="7"/>
        <v>5685114.781998381</v>
      </c>
    </row>
    <row r="133" spans="1:19" ht="15.75" customHeight="1" x14ac:dyDescent="0.3">
      <c r="A133" s="37">
        <v>55001</v>
      </c>
      <c r="B133" s="409">
        <f t="shared" ref="B133:C133" si="129">($A133-B$9)/365.25</f>
        <v>68.706365503080079</v>
      </c>
      <c r="C133" s="409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3525.4531757812501</v>
      </c>
      <c r="H133" s="25">
        <f>IF(B133&lt;62,0,'Combined Retirement'!$I$14)</f>
        <v>2192</v>
      </c>
      <c r="I133" s="25">
        <f>IF(C133&lt;62,0,'Combined Retirement'!$I$13)</f>
        <v>2420</v>
      </c>
      <c r="J133" s="25">
        <f t="shared" si="3"/>
        <v>7863.2184191855868</v>
      </c>
      <c r="K133" s="25">
        <f t="shared" si="4"/>
        <v>20282.026119384056</v>
      </c>
      <c r="L133" s="25"/>
      <c r="N133" s="25">
        <f>'Combined Retirement'!$C$18/12</f>
        <v>39153.069999999992</v>
      </c>
      <c r="O133" s="25">
        <f t="shared" si="5"/>
        <v>11007.82546143035</v>
      </c>
      <c r="P133" s="25">
        <f t="shared" si="6"/>
        <v>28145.244538569641</v>
      </c>
      <c r="Q133" s="25">
        <f t="array" aca="1" ref="Q133" ca="1">INDEX('Isaac 401k'!L:L,MATCH('Retirement Calculator'!A133,'Isaac 401k'!N:N,0),0)</f>
        <v>1581878.5210446552</v>
      </c>
      <c r="R133" s="25">
        <f t="array" aca="1" ref="R133" ca="1">INDEX('Lorri 401b'!L:L,MATCH('Retirement Calculator'!A133,'Lorri 401b'!N:N,0),0)</f>
        <v>4098661.7228212385</v>
      </c>
      <c r="S133" s="25">
        <f t="shared" ca="1" si="7"/>
        <v>5680540.2438658942</v>
      </c>
    </row>
    <row r="134" spans="1:19" ht="15.75" customHeight="1" x14ac:dyDescent="0.3">
      <c r="A134" s="37">
        <v>55032</v>
      </c>
      <c r="B134" s="409">
        <f t="shared" ref="B134:C134" si="130">($A134-B$9)/365.25</f>
        <v>68.791238877481177</v>
      </c>
      <c r="C134" s="409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3525.4531757812501</v>
      </c>
      <c r="H134" s="25">
        <f>IF(B134&lt;62,0,'Combined Retirement'!$I$14)</f>
        <v>2192</v>
      </c>
      <c r="I134" s="25">
        <f>IF(C134&lt;62,0,'Combined Retirement'!$I$13)</f>
        <v>2420</v>
      </c>
      <c r="J134" s="25">
        <f t="shared" si="3"/>
        <v>7863.2184191855868</v>
      </c>
      <c r="K134" s="25">
        <f t="shared" si="4"/>
        <v>20282.026119384056</v>
      </c>
      <c r="L134" s="25"/>
      <c r="N134" s="25">
        <f>'Combined Retirement'!$C$18/12</f>
        <v>39153.069999999992</v>
      </c>
      <c r="O134" s="25">
        <f t="shared" si="5"/>
        <v>11007.82546143035</v>
      </c>
      <c r="P134" s="25">
        <f t="shared" si="6"/>
        <v>28145.244538569641</v>
      </c>
      <c r="Q134" s="25">
        <f t="array" aca="1" ref="Q134" ca="1">INDEX('Isaac 401k'!L:L,MATCH('Retirement Calculator'!A134,'Isaac 401k'!N:N,0),0)</f>
        <v>1580573.6997197424</v>
      </c>
      <c r="R134" s="25">
        <f t="array" aca="1" ref="R134" ca="1">INDEX('Lorri 401b'!L:L,MATCH('Retirement Calculator'!A134,'Lorri 401b'!N:N,0),0)</f>
        <v>4095372.9454381121</v>
      </c>
      <c r="S134" s="25">
        <f t="shared" ca="1" si="7"/>
        <v>5675946.645157855</v>
      </c>
    </row>
    <row r="135" spans="1:19" ht="15.75" customHeight="1" x14ac:dyDescent="0.3">
      <c r="A135" s="37">
        <v>55062</v>
      </c>
      <c r="B135" s="409">
        <f t="shared" ref="B135:C135" si="131">($A135-B$9)/365.25</f>
        <v>68.873374401095134</v>
      </c>
      <c r="C135" s="409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3525.4531757812501</v>
      </c>
      <c r="H135" s="25">
        <f>IF(B135&lt;62,0,'Combined Retirement'!$I$14)</f>
        <v>2192</v>
      </c>
      <c r="I135" s="25">
        <f>IF(C135&lt;62,0,'Combined Retirement'!$I$13)</f>
        <v>2420</v>
      </c>
      <c r="J135" s="25">
        <f t="shared" si="3"/>
        <v>7863.2184191855868</v>
      </c>
      <c r="K135" s="25">
        <f t="shared" si="4"/>
        <v>20282.026119384056</v>
      </c>
      <c r="L135" s="25"/>
      <c r="N135" s="25">
        <f>'Combined Retirement'!$C$18/12</f>
        <v>39153.069999999992</v>
      </c>
      <c r="O135" s="25">
        <f t="shared" si="5"/>
        <v>11007.82546143035</v>
      </c>
      <c r="P135" s="25">
        <f t="shared" si="6"/>
        <v>28145.244538569641</v>
      </c>
      <c r="Q135" s="25">
        <f t="array" aca="1" ref="Q135" ca="1">INDEX('Isaac 401k'!L:L,MATCH('Retirement Calculator'!A135,'Isaac 401k'!N:N,0),0)</f>
        <v>1579263.4416393091</v>
      </c>
      <c r="R135" s="25">
        <f t="array" aca="1" ref="R135" ca="1">INDEX('Lorri 401b'!L:L,MATCH('Retirement Calculator'!A135,'Lorri 401b'!N:N,0),0)</f>
        <v>4092070.4648158895</v>
      </c>
      <c r="S135" s="25">
        <f t="shared" ca="1" si="7"/>
        <v>5671333.9064551983</v>
      </c>
    </row>
    <row r="136" spans="1:19" ht="15.75" customHeight="1" x14ac:dyDescent="0.3">
      <c r="A136" s="37">
        <v>55093</v>
      </c>
      <c r="B136" s="409">
        <f t="shared" ref="B136:C136" si="132">($A136-B$9)/365.25</f>
        <v>68.958247775496233</v>
      </c>
      <c r="C136" s="409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3525.4531757812501</v>
      </c>
      <c r="H136" s="25">
        <f>IF(B136&lt;62,0,'Combined Retirement'!$I$14)</f>
        <v>2192</v>
      </c>
      <c r="I136" s="25">
        <f>IF(C136&lt;62,0,'Combined Retirement'!$I$13)</f>
        <v>2420</v>
      </c>
      <c r="J136" s="25">
        <f t="shared" si="3"/>
        <v>7863.2184191855868</v>
      </c>
      <c r="K136" s="25">
        <f t="shared" si="4"/>
        <v>20282.026119384056</v>
      </c>
      <c r="L136" s="25"/>
      <c r="N136" s="25">
        <f>'Combined Retirement'!$C$18/12</f>
        <v>39153.069999999992</v>
      </c>
      <c r="O136" s="25">
        <f t="shared" si="5"/>
        <v>11007.82546143035</v>
      </c>
      <c r="P136" s="25">
        <f t="shared" si="6"/>
        <v>28145.244538569641</v>
      </c>
      <c r="Q136" s="25">
        <f t="array" aca="1" ref="Q136" ca="1">INDEX('Isaac 401k'!L:L,MATCH('Retirement Calculator'!A136,'Isaac 401k'!N:N,0),0)</f>
        <v>1577947.7241502074</v>
      </c>
      <c r="R136" s="25">
        <f t="array" aca="1" ref="R136" ca="1">INDEX('Lorri 401b'!L:L,MATCH('Retirement Calculator'!A136,'Lorri 401b'!N:N,0),0)</f>
        <v>4088754.2238577409</v>
      </c>
      <c r="S136" s="25">
        <f t="shared" ca="1" si="7"/>
        <v>5666701.9480079487</v>
      </c>
    </row>
    <row r="137" spans="1:19" ht="15.75" customHeight="1" x14ac:dyDescent="0.3">
      <c r="A137" s="37">
        <v>55123</v>
      </c>
      <c r="B137" s="409">
        <f t="shared" ref="B137:C137" si="133">($A137-B$9)/365.25</f>
        <v>69.040383299110204</v>
      </c>
      <c r="C137" s="409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3525.4531757812501</v>
      </c>
      <c r="H137" s="25">
        <f>IF(B137&lt;62,0,'Combined Retirement'!$I$14)</f>
        <v>2192</v>
      </c>
      <c r="I137" s="25">
        <f>IF(C137&lt;62,0,'Combined Retirement'!$I$13)</f>
        <v>2420</v>
      </c>
      <c r="J137" s="25">
        <f t="shared" si="3"/>
        <v>7863.2184191855868</v>
      </c>
      <c r="K137" s="25">
        <f t="shared" si="4"/>
        <v>20282.026119384056</v>
      </c>
      <c r="L137" s="25"/>
      <c r="N137" s="25">
        <f>'Combined Retirement'!$C$18/12</f>
        <v>39153.069999999992</v>
      </c>
      <c r="O137" s="25">
        <f t="shared" si="5"/>
        <v>11007.82546143035</v>
      </c>
      <c r="P137" s="25">
        <f t="shared" si="6"/>
        <v>28145.244538569641</v>
      </c>
      <c r="Q137" s="25">
        <f t="array" aca="1" ref="Q137" ca="1">INDEX('Isaac 401k'!L:L,MATCH('Retirement Calculator'!A137,'Isaac 401k'!N:N,0),0)</f>
        <v>1576626.5245049009</v>
      </c>
      <c r="R137" s="25">
        <f t="array" aca="1" ref="R137" ca="1">INDEX('Lorri 401b'!L:L,MATCH('Retirement Calculator'!A137,'Lorri 401b'!N:N,0),0)</f>
        <v>4085424.1652289336</v>
      </c>
      <c r="S137" s="25">
        <f t="shared" ca="1" si="7"/>
        <v>5662050.6897338349</v>
      </c>
    </row>
    <row r="138" spans="1:19" ht="15.75" customHeight="1" x14ac:dyDescent="0.3">
      <c r="A138" s="37">
        <v>55154</v>
      </c>
      <c r="B138" s="409">
        <f t="shared" ref="B138:C138" si="134">($A138-B$9)/365.25</f>
        <v>69.125256673511288</v>
      </c>
      <c r="C138" s="409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3525.4531757812501</v>
      </c>
      <c r="H138" s="25">
        <f>IF(B138&lt;62,0,'Combined Retirement'!$I$14)</f>
        <v>2192</v>
      </c>
      <c r="I138" s="25">
        <f>IF(C138&lt;62,0,'Combined Retirement'!$I$13)</f>
        <v>2420</v>
      </c>
      <c r="J138" s="25">
        <f t="shared" si="3"/>
        <v>7863.2184191855868</v>
      </c>
      <c r="K138" s="25">
        <f t="shared" si="4"/>
        <v>20282.026119384056</v>
      </c>
      <c r="L138" s="25"/>
      <c r="N138" s="25">
        <f>'Combined Retirement'!$C$18/12</f>
        <v>39153.069999999992</v>
      </c>
      <c r="O138" s="25">
        <f t="shared" si="5"/>
        <v>11007.82546143035</v>
      </c>
      <c r="P138" s="25">
        <f t="shared" si="6"/>
        <v>28145.244538569641</v>
      </c>
      <c r="Q138" s="25">
        <f t="array" aca="1" ref="Q138" ca="1">INDEX('Isaac 401k'!L:L,MATCH('Retirement Calculator'!A138,'Isaac 401k'!N:N,0),0)</f>
        <v>1575299.8198610723</v>
      </c>
      <c r="R138" s="25">
        <f t="array" aca="1" ref="R138" ca="1">INDEX('Lorri 401b'!L:L,MATCH('Retirement Calculator'!A138,'Lorri 401b'!N:N,0),0)</f>
        <v>4082080.2313558394</v>
      </c>
      <c r="S138" s="25">
        <f t="shared" ca="1" si="7"/>
        <v>5657380.0512169115</v>
      </c>
    </row>
    <row r="139" spans="1:19" ht="15.75" customHeight="1" x14ac:dyDescent="0.3">
      <c r="A139" s="37">
        <v>55185</v>
      </c>
      <c r="B139" s="409">
        <f t="shared" ref="B139:C139" si="135">($A139-B$9)/365.25</f>
        <v>69.210130047912386</v>
      </c>
      <c r="C139" s="409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3525.4531757812501</v>
      </c>
      <c r="H139" s="25">
        <f>IF(B139&lt;62,0,'Combined Retirement'!$I$14)</f>
        <v>2192</v>
      </c>
      <c r="I139" s="25">
        <f>IF(C139&lt;62,0,'Combined Retirement'!$I$13)</f>
        <v>2420</v>
      </c>
      <c r="J139" s="25">
        <f t="shared" si="3"/>
        <v>7863.2184191855868</v>
      </c>
      <c r="K139" s="25">
        <f t="shared" si="4"/>
        <v>20282.026119384056</v>
      </c>
      <c r="L139" s="25"/>
      <c r="N139" s="25">
        <f>'Combined Retirement'!$C$18/12</f>
        <v>39153.069999999992</v>
      </c>
      <c r="O139" s="25">
        <f t="shared" si="5"/>
        <v>11007.82546143035</v>
      </c>
      <c r="P139" s="25">
        <f t="shared" si="6"/>
        <v>28145.244538569641</v>
      </c>
      <c r="Q139" s="25">
        <f t="array" aca="1" ref="Q139" ca="1">INDEX('Isaac 401k'!L:L,MATCH('Retirement Calculator'!A139,'Isaac 401k'!N:N,0),0)</f>
        <v>1573967.587281228</v>
      </c>
      <c r="R139" s="25">
        <f t="array" aca="1" ref="R139" ca="1">INDEX('Lorri 401b'!L:L,MATCH('Retirement Calculator'!A139,'Lorri 401b'!N:N,0),0)</f>
        <v>4078722.3644249407</v>
      </c>
      <c r="S139" s="25">
        <f t="shared" ca="1" si="7"/>
        <v>5652689.9517061692</v>
      </c>
    </row>
    <row r="140" spans="1:19" ht="15.75" customHeight="1" x14ac:dyDescent="0.3">
      <c r="A140" s="37">
        <v>55213</v>
      </c>
      <c r="B140" s="409">
        <f t="shared" ref="B140:C140" si="136">($A140-B$9)/365.25</f>
        <v>69.286789869952088</v>
      </c>
      <c r="C140" s="409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3525.4531757812501</v>
      </c>
      <c r="H140" s="25">
        <f>IF(B140&lt;62,0,'Combined Retirement'!$I$14)</f>
        <v>2192</v>
      </c>
      <c r="I140" s="25">
        <f>IF(C140&lt;62,0,'Combined Retirement'!$I$13)</f>
        <v>2420</v>
      </c>
      <c r="J140" s="25">
        <f t="shared" si="3"/>
        <v>7863.2184191855868</v>
      </c>
      <c r="K140" s="25">
        <f t="shared" si="4"/>
        <v>20282.026119384056</v>
      </c>
      <c r="L140" s="25"/>
      <c r="N140" s="25">
        <f>'Combined Retirement'!$C$18/12</f>
        <v>39153.069999999992</v>
      </c>
      <c r="O140" s="25">
        <f t="shared" si="5"/>
        <v>11007.82546143035</v>
      </c>
      <c r="P140" s="25">
        <f t="shared" si="6"/>
        <v>28145.244538569641</v>
      </c>
      <c r="Q140" s="25">
        <f t="array" aca="1" ref="Q140" ca="1">INDEX('Isaac 401k'!L:L,MATCH('Retirement Calculator'!A140,'Isaac 401k'!N:N,0),0)</f>
        <v>1572629.8037323009</v>
      </c>
      <c r="R140" s="25">
        <f t="array" aca="1" ref="R140" ca="1">INDEX('Lorri 401b'!L:L,MATCH('Retirement Calculator'!A140,'Lorri 401b'!N:N,0),0)</f>
        <v>4075350.5063818297</v>
      </c>
      <c r="S140" s="25">
        <f t="shared" ca="1" si="7"/>
        <v>5647980.3101141304</v>
      </c>
    </row>
    <row r="141" spans="1:19" ht="15.75" customHeight="1" x14ac:dyDescent="0.3">
      <c r="A141" s="37">
        <v>55244</v>
      </c>
      <c r="B141" s="409">
        <f t="shared" ref="B141:C141" si="137">($A141-B$9)/365.25</f>
        <v>69.371663244353186</v>
      </c>
      <c r="C141" s="409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3525.4531757812501</v>
      </c>
      <c r="H141" s="25">
        <f>IF(B141&lt;62,0,'Combined Retirement'!$I$14)</f>
        <v>2192</v>
      </c>
      <c r="I141" s="25">
        <f>IF(C141&lt;62,0,'Combined Retirement'!$I$13)</f>
        <v>2420</v>
      </c>
      <c r="J141" s="25">
        <f t="shared" si="3"/>
        <v>7863.2184191855868</v>
      </c>
      <c r="K141" s="25">
        <f t="shared" si="4"/>
        <v>20282.026119384056</v>
      </c>
      <c r="L141" s="25"/>
      <c r="N141" s="25">
        <f>'Combined Retirement'!$C$18/12</f>
        <v>39153.069999999992</v>
      </c>
      <c r="O141" s="25">
        <f t="shared" si="5"/>
        <v>11007.82546143035</v>
      </c>
      <c r="P141" s="25">
        <f t="shared" si="6"/>
        <v>28145.244538569641</v>
      </c>
      <c r="Q141" s="25">
        <f t="array" aca="1" ref="Q141" ca="1">INDEX('Isaac 401k'!L:L,MATCH('Retirement Calculator'!A141,'Isaac 401k'!N:N,0),0)</f>
        <v>1571286.4460852533</v>
      </c>
      <c r="R141" s="25">
        <f t="array" aca="1" ref="R141" ca="1">INDEX('Lorri 401b'!L:L,MATCH('Retirement Calculator'!A141,'Lorri 401b'!N:N,0),0)</f>
        <v>4071964.5989302061</v>
      </c>
      <c r="S141" s="25">
        <f t="shared" ca="1" si="7"/>
        <v>5643251.0450154599</v>
      </c>
    </row>
    <row r="142" spans="1:19" ht="15.75" customHeight="1" x14ac:dyDescent="0.3">
      <c r="A142" s="37">
        <v>55274</v>
      </c>
      <c r="B142" s="409">
        <f t="shared" ref="B142:C142" si="138">($A142-B$9)/365.25</f>
        <v>69.453798767967143</v>
      </c>
      <c r="C142" s="409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3525.4531757812501</v>
      </c>
      <c r="H142" s="25">
        <f>IF(B142&lt;62,0,'Combined Retirement'!$I$14)</f>
        <v>2192</v>
      </c>
      <c r="I142" s="25">
        <f>IF(C142&lt;62,0,'Combined Retirement'!$I$13)</f>
        <v>2420</v>
      </c>
      <c r="J142" s="25">
        <f t="shared" si="3"/>
        <v>7863.2184191855868</v>
      </c>
      <c r="K142" s="25">
        <f t="shared" si="4"/>
        <v>20282.026119384056</v>
      </c>
      <c r="L142" s="25"/>
      <c r="N142" s="25">
        <f>'Combined Retirement'!$C$18/12</f>
        <v>39153.069999999992</v>
      </c>
      <c r="O142" s="25">
        <f t="shared" si="5"/>
        <v>11007.82546143035</v>
      </c>
      <c r="P142" s="25">
        <f t="shared" si="6"/>
        <v>28145.244538569641</v>
      </c>
      <c r="Q142" s="25">
        <f t="array" aca="1" ref="Q142" ca="1">INDEX('Isaac 401k'!L:L,MATCH('Retirement Calculator'!A142,'Isaac 401k'!N:N,0),0)</f>
        <v>1569937.4911146762</v>
      </c>
      <c r="R142" s="25">
        <f t="array" aca="1" ref="R142" ca="1">INDEX('Lorri 401b'!L:L,MATCH('Retirement Calculator'!A142,'Lorri 401b'!N:N,0),0)</f>
        <v>4068564.5835308675</v>
      </c>
      <c r="S142" s="25">
        <f t="shared" ca="1" si="7"/>
        <v>5638502.0746455435</v>
      </c>
    </row>
    <row r="143" spans="1:19" ht="15.75" customHeight="1" x14ac:dyDescent="0.3">
      <c r="A143" s="37">
        <v>55305</v>
      </c>
      <c r="B143" s="409">
        <f t="shared" ref="B143:C143" si="139">($A143-B$9)/365.25</f>
        <v>69.538672142368242</v>
      </c>
      <c r="C143" s="409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3525.4531757812501</v>
      </c>
      <c r="H143" s="25">
        <f>IF(B143&lt;62,0,'Combined Retirement'!$I$14)</f>
        <v>2192</v>
      </c>
      <c r="I143" s="25">
        <f>IF(C143&lt;62,0,'Combined Retirement'!$I$13)</f>
        <v>2420</v>
      </c>
      <c r="J143" s="25">
        <f t="shared" si="3"/>
        <v>7863.2184191855868</v>
      </c>
      <c r="K143" s="25">
        <f t="shared" si="4"/>
        <v>20282.026119384056</v>
      </c>
      <c r="L143" s="25"/>
      <c r="N143" s="25">
        <f>'Combined Retirement'!$C$18/12</f>
        <v>39153.069999999992</v>
      </c>
      <c r="O143" s="25">
        <f t="shared" si="5"/>
        <v>11007.82546143035</v>
      </c>
      <c r="P143" s="25">
        <f t="shared" si="6"/>
        <v>28145.244538569641</v>
      </c>
      <c r="Q143" s="25">
        <f t="array" aca="1" ref="Q143" ca="1">INDEX('Isaac 401k'!L:L,MATCH('Retirement Calculator'!A143,'Isaac 401k'!N:N,0),0)</f>
        <v>1568582.9154983885</v>
      </c>
      <c r="R143" s="25">
        <f t="array" aca="1" ref="R143" ca="1">INDEX('Lorri 401b'!L:L,MATCH('Retirement Calculator'!A143,'Lorri 401b'!N:N,0),0)</f>
        <v>4065150.4014006979</v>
      </c>
      <c r="S143" s="25">
        <f t="shared" ca="1" si="7"/>
        <v>5633733.3168990863</v>
      </c>
    </row>
    <row r="144" spans="1:19" ht="15.75" customHeight="1" x14ac:dyDescent="0.3">
      <c r="A144" s="37">
        <v>55335</v>
      </c>
      <c r="B144" s="409">
        <f t="shared" ref="B144:C144" si="140">($A144-B$9)/365.25</f>
        <v>69.620807665982198</v>
      </c>
      <c r="C144" s="409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3525.4531757812501</v>
      </c>
      <c r="H144" s="25">
        <f>IF(B144&lt;62,0,'Combined Retirement'!$I$14)</f>
        <v>2192</v>
      </c>
      <c r="I144" s="25">
        <f>IF(C144&lt;62,0,'Combined Retirement'!$I$13)</f>
        <v>2420</v>
      </c>
      <c r="J144" s="25">
        <f t="shared" si="3"/>
        <v>7863.2184191855868</v>
      </c>
      <c r="K144" s="25">
        <f t="shared" si="4"/>
        <v>20282.026119384056</v>
      </c>
      <c r="L144" s="25"/>
      <c r="N144" s="25">
        <f>'Combined Retirement'!$C$18/12</f>
        <v>39153.069999999992</v>
      </c>
      <c r="O144" s="25">
        <f t="shared" si="5"/>
        <v>11007.82546143035</v>
      </c>
      <c r="P144" s="25">
        <f t="shared" si="6"/>
        <v>28145.244538569641</v>
      </c>
      <c r="Q144" s="25">
        <f t="array" aca="1" ref="Q144" ca="1">INDEX('Isaac 401k'!L:L,MATCH('Retirement Calculator'!A144,'Isaac 401k'!N:N,0),0)</f>
        <v>1567222.6958170328</v>
      </c>
      <c r="R144" s="25">
        <f t="array" aca="1" ref="R144" ca="1">INDEX('Lorri 401b'!L:L,MATCH('Retirement Calculator'!A144,'Lorri 401b'!N:N,0),0)</f>
        <v>4061721.9935116526</v>
      </c>
      <c r="S144" s="25">
        <f t="shared" ca="1" si="7"/>
        <v>5628944.6893286854</v>
      </c>
    </row>
    <row r="145" spans="1:19" ht="15.75" customHeight="1" x14ac:dyDescent="0.3">
      <c r="A145" s="37">
        <v>55366</v>
      </c>
      <c r="B145" s="409">
        <f t="shared" ref="B145:C145" si="141">($A145-B$9)/365.25</f>
        <v>69.705681040383297</v>
      </c>
      <c r="C145" s="409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3525.4531757812501</v>
      </c>
      <c r="H145" s="25">
        <f>IF(B145&lt;62,0,'Combined Retirement'!$I$14)</f>
        <v>2192</v>
      </c>
      <c r="I145" s="25">
        <f>IF(C145&lt;62,0,'Combined Retirement'!$I$13)</f>
        <v>2420</v>
      </c>
      <c r="J145" s="25">
        <f t="shared" si="3"/>
        <v>7863.2184191855868</v>
      </c>
      <c r="K145" s="25">
        <f t="shared" si="4"/>
        <v>20282.026119384056</v>
      </c>
      <c r="L145" s="25"/>
      <c r="N145" s="25">
        <f>'Combined Retirement'!$C$18/12</f>
        <v>39153.069999999992</v>
      </c>
      <c r="O145" s="25">
        <f t="shared" si="5"/>
        <v>11007.82546143035</v>
      </c>
      <c r="P145" s="25">
        <f t="shared" si="6"/>
        <v>28145.244538569641</v>
      </c>
      <c r="Q145" s="25">
        <f t="array" aca="1" ref="Q145" ca="1">INDEX('Isaac 401k'!L:L,MATCH('Retirement Calculator'!A145,'Isaac 401k'!N:N,0),0)</f>
        <v>1565856.8085536717</v>
      </c>
      <c r="R145" s="25">
        <f t="array" aca="1" ref="R145" ca="1">INDEX('Lorri 401b'!L:L,MATCH('Retirement Calculator'!A145,'Lorri 401b'!N:N,0),0)</f>
        <v>4058279.3005897366</v>
      </c>
      <c r="S145" s="25">
        <f t="shared" ca="1" si="7"/>
        <v>5624136.109143408</v>
      </c>
    </row>
    <row r="146" spans="1:19" ht="15.75" customHeight="1" x14ac:dyDescent="0.3">
      <c r="A146" s="37">
        <v>55397</v>
      </c>
      <c r="B146" s="409">
        <f t="shared" ref="B146:C146" si="142">($A146-B$9)/365.25</f>
        <v>69.790554414784395</v>
      </c>
      <c r="C146" s="409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3525.4531757812501</v>
      </c>
      <c r="H146" s="25">
        <f>IF(B146&lt;62,0,'Combined Retirement'!$I$14)</f>
        <v>2192</v>
      </c>
      <c r="I146" s="25">
        <f>IF(C146&lt;62,0,'Combined Retirement'!$I$13)</f>
        <v>2420</v>
      </c>
      <c r="J146" s="25">
        <f t="shared" si="3"/>
        <v>7863.2184191855868</v>
      </c>
      <c r="K146" s="25">
        <f t="shared" si="4"/>
        <v>20282.026119384056</v>
      </c>
      <c r="L146" s="25"/>
      <c r="N146" s="25">
        <f>'Combined Retirement'!$C$18/12</f>
        <v>39153.069999999992</v>
      </c>
      <c r="O146" s="25">
        <f t="shared" si="5"/>
        <v>11007.82546143035</v>
      </c>
      <c r="P146" s="25">
        <f t="shared" si="6"/>
        <v>28145.244538569641</v>
      </c>
      <c r="Q146" s="25">
        <f t="array" aca="1" ref="Q146" ca="1">INDEX('Isaac 401k'!L:L,MATCH('Retirement Calculator'!A146,'Isaac 401k'!N:N,0),0)</f>
        <v>1564485.2300933797</v>
      </c>
      <c r="R146" s="25">
        <f t="array" aca="1" ref="R146" ca="1">INDEX('Lorri 401b'!L:L,MATCH('Retirement Calculator'!A146,'Lorri 401b'!N:N,0),0)</f>
        <v>4054822.2631139793</v>
      </c>
      <c r="S146" s="25">
        <f t="shared" ca="1" si="7"/>
        <v>5619307.4932073588</v>
      </c>
    </row>
    <row r="147" spans="1:19" ht="15.75" customHeight="1" x14ac:dyDescent="0.3">
      <c r="A147" s="37">
        <v>55427</v>
      </c>
      <c r="B147" s="409">
        <f t="shared" ref="B147:C147" si="143">($A147-B$9)/365.25</f>
        <v>69.872689938398352</v>
      </c>
      <c r="C147" s="409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3525.4531757812501</v>
      </c>
      <c r="H147" s="25">
        <f>IF(B147&lt;62,0,'Combined Retirement'!$I$14)</f>
        <v>2192</v>
      </c>
      <c r="I147" s="25">
        <f>IF(C147&lt;62,0,'Combined Retirement'!$I$13)</f>
        <v>2420</v>
      </c>
      <c r="J147" s="25">
        <f t="shared" si="3"/>
        <v>7863.2184191855868</v>
      </c>
      <c r="K147" s="25">
        <f t="shared" si="4"/>
        <v>20282.026119384056</v>
      </c>
      <c r="L147" s="25"/>
      <c r="N147" s="25">
        <f>'Combined Retirement'!$C$18/12</f>
        <v>39153.069999999992</v>
      </c>
      <c r="O147" s="25">
        <f t="shared" si="5"/>
        <v>11007.82546143035</v>
      </c>
      <c r="P147" s="25">
        <f t="shared" si="6"/>
        <v>28145.244538569641</v>
      </c>
      <c r="Q147" s="25">
        <f t="array" aca="1" ref="Q147" ca="1">INDEX('Isaac 401k'!L:L,MATCH('Retirement Calculator'!A147,'Isaac 401k'!N:N,0),0)</f>
        <v>1563107.9367228367</v>
      </c>
      <c r="R147" s="25">
        <f t="array" aca="1" ref="R147" ca="1">INDEX('Lorri 401b'!L:L,MATCH('Retirement Calculator'!A147,'Lorri 401b'!N:N,0),0)</f>
        <v>4051350.8213154059</v>
      </c>
      <c r="S147" s="25">
        <f t="shared" ca="1" si="7"/>
        <v>5614458.7580382423</v>
      </c>
    </row>
    <row r="148" spans="1:19" ht="15.75" customHeight="1" x14ac:dyDescent="0.3">
      <c r="A148" s="37">
        <v>55458</v>
      </c>
      <c r="B148" s="409">
        <f t="shared" ref="B148:C148" si="144">($A148-B$9)/365.25</f>
        <v>69.957563312799451</v>
      </c>
      <c r="C148" s="409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3525.4531757812501</v>
      </c>
      <c r="H148" s="25">
        <f>IF(B148&lt;62,0,'Combined Retirement'!$I$14)</f>
        <v>2192</v>
      </c>
      <c r="I148" s="25">
        <f>IF(C148&lt;62,0,'Combined Retirement'!$I$13)</f>
        <v>2420</v>
      </c>
      <c r="J148" s="25">
        <f t="shared" si="3"/>
        <v>7863.2184191855868</v>
      </c>
      <c r="K148" s="25">
        <f t="shared" si="4"/>
        <v>20282.026119384056</v>
      </c>
      <c r="L148" s="25"/>
      <c r="N148" s="25">
        <f>'Combined Retirement'!$C$18/12</f>
        <v>39153.069999999992</v>
      </c>
      <c r="O148" s="25">
        <f t="shared" si="5"/>
        <v>11007.82546143035</v>
      </c>
      <c r="P148" s="25">
        <f t="shared" si="6"/>
        <v>28145.244538569641</v>
      </c>
      <c r="Q148" s="25">
        <f t="array" aca="1" ref="Q148" ca="1">INDEX('Isaac 401k'!L:L,MATCH('Retirement Calculator'!A148,'Isaac 401k'!N:N,0),0)</f>
        <v>1561724.9046299162</v>
      </c>
      <c r="R148" s="25">
        <f t="array" aca="1" ref="R148" ca="1">INDEX('Lorri 401b'!L:L,MATCH('Retirement Calculator'!A148,'Lorri 401b'!N:N,0),0)</f>
        <v>4047864.9151760051</v>
      </c>
      <c r="S148" s="25">
        <f t="shared" ca="1" si="7"/>
        <v>5609589.8198059211</v>
      </c>
    </row>
    <row r="149" spans="1:19" ht="15.75" customHeight="1" x14ac:dyDescent="0.3">
      <c r="A149" s="37">
        <v>55488</v>
      </c>
      <c r="B149" s="409">
        <f t="shared" ref="B149:C149" si="145">($A149-B$9)/365.25</f>
        <v>70.039698836413422</v>
      </c>
      <c r="C149" s="409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3525.4531757812501</v>
      </c>
      <c r="H149" s="25">
        <f>IF(B149&lt;62,0,'Combined Retirement'!$I$14)</f>
        <v>2192</v>
      </c>
      <c r="I149" s="25">
        <f>IF(C149&lt;62,0,'Combined Retirement'!$I$13)</f>
        <v>2420</v>
      </c>
      <c r="J149" s="25">
        <f t="shared" si="3"/>
        <v>7863.2184191855868</v>
      </c>
      <c r="K149" s="25">
        <f t="shared" si="4"/>
        <v>20282.026119384056</v>
      </c>
      <c r="L149" s="25"/>
      <c r="N149" s="25">
        <f>'Combined Retirement'!$C$18/12</f>
        <v>39153.069999999992</v>
      </c>
      <c r="O149" s="25">
        <f t="shared" si="5"/>
        <v>11007.82546143035</v>
      </c>
      <c r="P149" s="25">
        <f t="shared" si="6"/>
        <v>28145.244538569641</v>
      </c>
      <c r="Q149" s="25">
        <f t="array" aca="1" ref="Q149" ca="1">INDEX('Isaac 401k'!L:L,MATCH('Retirement Calculator'!A149,'Isaac 401k'!N:N,0),0)</f>
        <v>1560336.1099032753</v>
      </c>
      <c r="R149" s="25">
        <f t="array" aca="1" ref="R149" ca="1">INDEX('Lorri 401b'!L:L,MATCH('Retirement Calculator'!A149,'Lorri 401b'!N:N,0),0)</f>
        <v>4044364.4844276905</v>
      </c>
      <c r="S149" s="25">
        <f t="shared" ca="1" si="7"/>
        <v>5604700.5943309655</v>
      </c>
    </row>
    <row r="150" spans="1:19" ht="15.75" customHeight="1" x14ac:dyDescent="0.3">
      <c r="A150" s="37">
        <v>55519</v>
      </c>
      <c r="B150" s="409">
        <f t="shared" ref="B150:C150" si="146">($A150-B$9)/365.25</f>
        <v>70.124572210814506</v>
      </c>
      <c r="C150" s="409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3525.4531757812501</v>
      </c>
      <c r="H150" s="25">
        <f>IF(B150&lt;62,0,'Combined Retirement'!$I$14)</f>
        <v>2192</v>
      </c>
      <c r="I150" s="25">
        <f>IF(C150&lt;62,0,'Combined Retirement'!$I$13)</f>
        <v>2420</v>
      </c>
      <c r="J150" s="25">
        <f t="shared" si="3"/>
        <v>7863.2184191855868</v>
      </c>
      <c r="K150" s="25">
        <f t="shared" si="4"/>
        <v>20282.026119384056</v>
      </c>
      <c r="L150" s="25"/>
      <c r="N150" s="25">
        <f>'Combined Retirement'!$C$18/12</f>
        <v>39153.069999999992</v>
      </c>
      <c r="O150" s="25">
        <f t="shared" si="5"/>
        <v>11007.82546143035</v>
      </c>
      <c r="P150" s="25">
        <f t="shared" si="6"/>
        <v>28145.244538569641</v>
      </c>
      <c r="Q150" s="25">
        <f t="array" aca="1" ref="Q150" ca="1">INDEX('Isaac 401k'!L:L,MATCH('Retirement Calculator'!A150,'Isaac 401k'!N:N,0),0)</f>
        <v>1558941.52853194</v>
      </c>
      <c r="R150" s="25">
        <f t="array" aca="1" ref="R150" ca="1">INDEX('Lorri 401b'!L:L,MATCH('Retirement Calculator'!A150,'Lorri 401b'!N:N,0),0)</f>
        <v>4040849.4685512576</v>
      </c>
      <c r="S150" s="25">
        <f t="shared" ca="1" si="7"/>
        <v>5599790.9970831973</v>
      </c>
    </row>
    <row r="151" spans="1:19" ht="15.75" customHeight="1" x14ac:dyDescent="0.3">
      <c r="A151" s="37">
        <v>55550</v>
      </c>
      <c r="B151" s="409">
        <f t="shared" ref="B151:C151" si="147">($A151-B$9)/365.25</f>
        <v>70.209445585215605</v>
      </c>
      <c r="C151" s="409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3525.4531757812501</v>
      </c>
      <c r="H151" s="25">
        <f>IF(B151&lt;62,0,'Combined Retirement'!$I$14)</f>
        <v>2192</v>
      </c>
      <c r="I151" s="25">
        <f>IF(C151&lt;62,0,'Combined Retirement'!$I$13)</f>
        <v>2420</v>
      </c>
      <c r="J151" s="25">
        <f t="shared" si="3"/>
        <v>7863.2184191855868</v>
      </c>
      <c r="K151" s="25">
        <f t="shared" si="4"/>
        <v>20282.026119384056</v>
      </c>
      <c r="L151" s="25"/>
      <c r="N151" s="25">
        <f>'Combined Retirement'!$C$18/12</f>
        <v>39153.069999999992</v>
      </c>
      <c r="O151" s="25">
        <f t="shared" si="5"/>
        <v>11007.82546143035</v>
      </c>
      <c r="P151" s="25">
        <f t="shared" si="6"/>
        <v>28145.244538569641</v>
      </c>
      <c r="Q151" s="25">
        <f t="array" aca="1" ref="Q151" ca="1">INDEX('Isaac 401k'!L:L,MATCH('Retirement Calculator'!A151,'Isaac 401k'!N:N,0),0)</f>
        <v>1557541.1364048908</v>
      </c>
      <c r="R151" s="25">
        <f t="array" aca="1" ref="R151" ca="1">INDEX('Lorri 401b'!L:L,MATCH('Retirement Calculator'!A151,'Lorri 401b'!N:N,0),0)</f>
        <v>4037319.8067753399</v>
      </c>
      <c r="S151" s="25">
        <f t="shared" ca="1" si="7"/>
        <v>5594860.9431802304</v>
      </c>
    </row>
    <row r="152" spans="1:19" ht="15.75" customHeight="1" x14ac:dyDescent="0.3">
      <c r="A152" s="37">
        <v>55579</v>
      </c>
      <c r="B152" s="409">
        <f t="shared" ref="B152:C152" si="148">($A152-B$9)/365.25</f>
        <v>70.288843258042434</v>
      </c>
      <c r="C152" s="409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3525.4531757812501</v>
      </c>
      <c r="H152" s="25">
        <f>IF(B152&lt;62,0,'Combined Retirement'!$I$14)</f>
        <v>2192</v>
      </c>
      <c r="I152" s="25">
        <f>IF(C152&lt;62,0,'Combined Retirement'!$I$13)</f>
        <v>2420</v>
      </c>
      <c r="J152" s="25">
        <f t="shared" si="3"/>
        <v>7863.2184191855868</v>
      </c>
      <c r="K152" s="25">
        <f t="shared" si="4"/>
        <v>20282.026119384056</v>
      </c>
      <c r="L152" s="25"/>
      <c r="N152" s="25">
        <f>'Combined Retirement'!$C$18/12</f>
        <v>39153.069999999992</v>
      </c>
      <c r="O152" s="25">
        <f t="shared" si="5"/>
        <v>11007.82546143035</v>
      </c>
      <c r="P152" s="25">
        <f t="shared" si="6"/>
        <v>28145.244538569641</v>
      </c>
      <c r="Q152" s="25">
        <f t="array" aca="1" ref="Q152" ca="1">INDEX('Isaac 401k'!L:L,MATCH('Retirement Calculator'!A152,'Isaac 401k'!N:N,0),0)</f>
        <v>1556134.9093106457</v>
      </c>
      <c r="R152" s="25">
        <f t="array" aca="1" ref="R152" ca="1">INDEX('Lorri 401b'!L:L,MATCH('Retirement Calculator'!A152,'Lorri 401b'!N:N,0),0)</f>
        <v>4033775.4380753557</v>
      </c>
      <c r="S152" s="25">
        <f t="shared" ca="1" si="7"/>
        <v>5589910.3473860016</v>
      </c>
    </row>
    <row r="153" spans="1:19" ht="15.75" customHeight="1" x14ac:dyDescent="0.3">
      <c r="A153" s="37">
        <v>55610</v>
      </c>
      <c r="B153" s="409">
        <f t="shared" ref="B153:C153" si="149">($A153-B$9)/365.25</f>
        <v>70.373716632443532</v>
      </c>
      <c r="C153" s="409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3525.4531757812501</v>
      </c>
      <c r="H153" s="25">
        <f>IF(B153&lt;62,0,'Combined Retirement'!$I$14)</f>
        <v>2192</v>
      </c>
      <c r="I153" s="25">
        <f>IF(C153&lt;62,0,'Combined Retirement'!$I$13)</f>
        <v>2420</v>
      </c>
      <c r="J153" s="25">
        <f t="shared" si="3"/>
        <v>7863.2184191855868</v>
      </c>
      <c r="K153" s="25">
        <f t="shared" si="4"/>
        <v>20282.026119384056</v>
      </c>
      <c r="L153" s="25"/>
      <c r="N153" s="25">
        <f>'Combined Retirement'!$C$18/12</f>
        <v>39153.069999999992</v>
      </c>
      <c r="O153" s="25">
        <f t="shared" si="5"/>
        <v>11007.82546143035</v>
      </c>
      <c r="P153" s="25">
        <f t="shared" si="6"/>
        <v>28145.244538569641</v>
      </c>
      <c r="Q153" s="25">
        <f t="array" aca="1" ref="Q153" ca="1">INDEX('Isaac 401k'!L:L,MATCH('Retirement Calculator'!A153,'Isaac 401k'!N:N,0),0)</f>
        <v>1554722.8229368411</v>
      </c>
      <c r="R153" s="25">
        <f t="array" aca="1" ref="R153" ca="1">INDEX('Lorri 401b'!L:L,MATCH('Retirement Calculator'!A153,'Lorri 401b'!N:N,0),0)</f>
        <v>4030216.3011724548</v>
      </c>
      <c r="S153" s="25">
        <f t="shared" ca="1" si="7"/>
        <v>5584939.1241092961</v>
      </c>
    </row>
    <row r="154" spans="1:19" ht="15.75" customHeight="1" x14ac:dyDescent="0.3">
      <c r="A154" s="37">
        <v>55640</v>
      </c>
      <c r="B154" s="409">
        <f t="shared" ref="B154:C154" si="150">($A154-B$9)/365.25</f>
        <v>70.455852156057489</v>
      </c>
      <c r="C154" s="409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3525.4531757812501</v>
      </c>
      <c r="H154" s="25">
        <f>IF(B154&lt;62,0,'Combined Retirement'!$I$14)</f>
        <v>2192</v>
      </c>
      <c r="I154" s="25">
        <f>IF(C154&lt;62,0,'Combined Retirement'!$I$13)</f>
        <v>2420</v>
      </c>
      <c r="J154" s="25">
        <f t="shared" si="3"/>
        <v>7863.2184191855868</v>
      </c>
      <c r="K154" s="25">
        <f t="shared" si="4"/>
        <v>20282.026119384056</v>
      </c>
      <c r="L154" s="25"/>
      <c r="N154" s="25">
        <f>'Combined Retirement'!$C$18/12</f>
        <v>39153.069999999992</v>
      </c>
      <c r="O154" s="25">
        <f t="shared" si="5"/>
        <v>11007.82546143035</v>
      </c>
      <c r="P154" s="25">
        <f t="shared" si="6"/>
        <v>28145.244538569641</v>
      </c>
      <c r="Q154" s="25">
        <f t="array" aca="1" ref="Q154" ca="1">INDEX('Isaac 401k'!L:L,MATCH('Retirement Calculator'!A154,'Isaac 401k'!N:N,0),0)</f>
        <v>1553304.8528698124</v>
      </c>
      <c r="R154" s="25">
        <f t="array" aca="1" ref="R154" ca="1">INDEX('Lorri 401b'!L:L,MATCH('Retirement Calculator'!A154,'Lorri 401b'!N:N,0),0)</f>
        <v>4026642.3345324588</v>
      </c>
      <c r="S154" s="25">
        <f t="shared" ca="1" si="7"/>
        <v>5579947.1874022707</v>
      </c>
    </row>
    <row r="155" spans="1:19" ht="15.75" customHeight="1" x14ac:dyDescent="0.3">
      <c r="A155" s="37">
        <v>55671</v>
      </c>
      <c r="B155" s="409">
        <f t="shared" ref="B155:C155" si="151">($A155-B$9)/365.25</f>
        <v>70.540725530458587</v>
      </c>
      <c r="C155" s="409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3525.4531757812501</v>
      </c>
      <c r="H155" s="25">
        <f>IF(B155&lt;62,0,'Combined Retirement'!$I$14)</f>
        <v>2192</v>
      </c>
      <c r="I155" s="25">
        <f>IF(C155&lt;62,0,'Combined Retirement'!$I$13)</f>
        <v>2420</v>
      </c>
      <c r="J155" s="25">
        <f t="shared" si="3"/>
        <v>7863.2184191855868</v>
      </c>
      <c r="K155" s="25">
        <f t="shared" si="4"/>
        <v>20282.026119384056</v>
      </c>
      <c r="L155" s="25"/>
      <c r="N155" s="25">
        <f>'Combined Retirement'!$C$18/12</f>
        <v>39153.069999999992</v>
      </c>
      <c r="O155" s="25">
        <f t="shared" si="5"/>
        <v>11007.82546143035</v>
      </c>
      <c r="P155" s="25">
        <f t="shared" si="6"/>
        <v>28145.244538569641</v>
      </c>
      <c r="Q155" s="25">
        <f t="array" aca="1" ref="Q155" ca="1">INDEX('Isaac 401k'!L:L,MATCH('Retirement Calculator'!A155,'Isaac 401k'!N:N,0),0)</f>
        <v>1551880.9745941712</v>
      </c>
      <c r="R155" s="25">
        <f t="array" aca="1" ref="R155" ca="1">INDEX('Lorri 401b'!L:L,MATCH('Retirement Calculator'!A155,'Lorri 401b'!N:N,0),0)</f>
        <v>4023053.476364796</v>
      </c>
      <c r="S155" s="25">
        <f t="shared" ca="1" si="7"/>
        <v>5574934.4509589672</v>
      </c>
    </row>
    <row r="156" spans="1:19" ht="15.75" customHeight="1" x14ac:dyDescent="0.3">
      <c r="A156" s="37">
        <v>55701</v>
      </c>
      <c r="B156" s="409">
        <f t="shared" ref="B156:C156" si="152">($A156-B$9)/365.25</f>
        <v>70.622861054072558</v>
      </c>
      <c r="C156" s="409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3525.4531757812501</v>
      </c>
      <c r="H156" s="25">
        <f>IF(B156&lt;62,0,'Combined Retirement'!$I$14)</f>
        <v>2192</v>
      </c>
      <c r="I156" s="25">
        <f>IF(C156&lt;62,0,'Combined Retirement'!$I$13)</f>
        <v>2420</v>
      </c>
      <c r="J156" s="25">
        <f t="shared" si="3"/>
        <v>7863.2184191855868</v>
      </c>
      <c r="K156" s="25">
        <f t="shared" si="4"/>
        <v>20282.026119384056</v>
      </c>
      <c r="L156" s="25"/>
      <c r="N156" s="25">
        <f>'Combined Retirement'!$C$18/12</f>
        <v>39153.069999999992</v>
      </c>
      <c r="O156" s="25">
        <f t="shared" si="5"/>
        <v>11007.82546143035</v>
      </c>
      <c r="P156" s="25">
        <f t="shared" si="6"/>
        <v>28145.244538569641</v>
      </c>
      <c r="Q156" s="25">
        <f t="array" aca="1" ref="Q156" ca="1">INDEX('Isaac 401k'!L:L,MATCH('Retirement Calculator'!A156,'Isaac 401k'!N:N,0),0)</f>
        <v>1550451.1634923813</v>
      </c>
      <c r="R156" s="25">
        <f t="array" aca="1" ref="R156" ca="1">INDEX('Lorri 401b'!L:L,MATCH('Retirement Calculator'!A156,'Lorri 401b'!N:N,0),0)</f>
        <v>4019449.6646214346</v>
      </c>
      <c r="S156" s="25">
        <f t="shared" ca="1" si="7"/>
        <v>5569900.8281138157</v>
      </c>
    </row>
    <row r="157" spans="1:19" ht="15.75" customHeight="1" x14ac:dyDescent="0.3">
      <c r="A157" s="37">
        <v>55732</v>
      </c>
      <c r="B157" s="409">
        <f t="shared" ref="B157:C157" si="153">($A157-B$9)/365.25</f>
        <v>70.707734428473643</v>
      </c>
      <c r="C157" s="409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3525.4531757812501</v>
      </c>
      <c r="H157" s="25">
        <f>IF(B157&lt;62,0,'Combined Retirement'!$I$14)</f>
        <v>2192</v>
      </c>
      <c r="I157" s="25">
        <f>IF(C157&lt;62,0,'Combined Retirement'!$I$13)</f>
        <v>2420</v>
      </c>
      <c r="J157" s="25">
        <f t="shared" si="3"/>
        <v>7863.2184191855868</v>
      </c>
      <c r="K157" s="25">
        <f t="shared" si="4"/>
        <v>20282.026119384056</v>
      </c>
      <c r="L157" s="25"/>
      <c r="N157" s="25">
        <f>'Combined Retirement'!$C$18/12</f>
        <v>39153.069999999992</v>
      </c>
      <c r="O157" s="25">
        <f t="shared" si="5"/>
        <v>11007.82546143035</v>
      </c>
      <c r="P157" s="25">
        <f t="shared" si="6"/>
        <v>28145.244538569641</v>
      </c>
      <c r="Q157" s="25">
        <f t="array" aca="1" ref="Q157" ca="1">INDEX('Isaac 401k'!L:L,MATCH('Retirement Calculator'!A157,'Isaac 401k'!N:N,0),0)</f>
        <v>1549015.3948443341</v>
      </c>
      <c r="R157" s="25">
        <f t="array" aca="1" ref="R157" ca="1">INDEX('Lorri 401b'!L:L,MATCH('Retirement Calculator'!A157,'Lorri 401b'!N:N,0),0)</f>
        <v>4015830.8369958093</v>
      </c>
      <c r="S157" s="25">
        <f t="shared" ca="1" si="7"/>
        <v>5564846.231840143</v>
      </c>
    </row>
    <row r="158" spans="1:19" ht="15.75" customHeight="1" x14ac:dyDescent="0.3">
      <c r="A158" s="37">
        <v>55763</v>
      </c>
      <c r="B158" s="409">
        <f t="shared" ref="B158:C158" si="154">($A158-B$9)/365.25</f>
        <v>70.792607802874741</v>
      </c>
      <c r="C158" s="409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3525.4531757812501</v>
      </c>
      <c r="H158" s="25">
        <f>IF(B158&lt;62,0,'Combined Retirement'!$I$14)</f>
        <v>2192</v>
      </c>
      <c r="I158" s="25">
        <f>IF(C158&lt;62,0,'Combined Retirement'!$I$13)</f>
        <v>2420</v>
      </c>
      <c r="J158" s="25">
        <f t="shared" si="3"/>
        <v>7863.2184191855868</v>
      </c>
      <c r="K158" s="25">
        <f t="shared" si="4"/>
        <v>20282.026119384056</v>
      </c>
      <c r="L158" s="25"/>
      <c r="N158" s="25">
        <f>'Combined Retirement'!$C$18/12</f>
        <v>39153.069999999992</v>
      </c>
      <c r="O158" s="25">
        <f t="shared" si="5"/>
        <v>11007.82546143035</v>
      </c>
      <c r="P158" s="25">
        <f t="shared" si="6"/>
        <v>28145.244538569641</v>
      </c>
      <c r="Q158" s="25">
        <f t="array" aca="1" ref="Q158" ca="1">INDEX('Isaac 401k'!L:L,MATCH('Retirement Calculator'!A158,'Isaac 401k'!N:N,0),0)</f>
        <v>1547573.6438269198</v>
      </c>
      <c r="R158" s="25">
        <f t="array" aca="1" ref="R158" ca="1">INDEX('Lorri 401b'!L:L,MATCH('Retirement Calculator'!A158,'Lorri 401b'!N:N,0),0)</f>
        <v>4012196.9309217436</v>
      </c>
      <c r="S158" s="25">
        <f t="shared" ca="1" si="7"/>
        <v>5559770.5747486632</v>
      </c>
    </row>
    <row r="159" spans="1:19" ht="15.75" customHeight="1" x14ac:dyDescent="0.3">
      <c r="A159" s="37">
        <v>55793</v>
      </c>
      <c r="B159" s="409">
        <f t="shared" ref="B159:C159" si="155">($A159-B$9)/365.25</f>
        <v>70.874743326488712</v>
      </c>
      <c r="C159" s="409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3525.4531757812501</v>
      </c>
      <c r="H159" s="25">
        <f>IF(B159&lt;62,0,'Combined Retirement'!$I$14)</f>
        <v>2192</v>
      </c>
      <c r="I159" s="25">
        <f>IF(C159&lt;62,0,'Combined Retirement'!$I$13)</f>
        <v>2420</v>
      </c>
      <c r="J159" s="25">
        <f t="shared" si="3"/>
        <v>7863.2184191855868</v>
      </c>
      <c r="K159" s="25">
        <f t="shared" si="4"/>
        <v>20282.026119384056</v>
      </c>
      <c r="L159" s="25"/>
      <c r="N159" s="25">
        <f>'Combined Retirement'!$C$18/12</f>
        <v>39153.069999999992</v>
      </c>
      <c r="O159" s="25">
        <f t="shared" si="5"/>
        <v>11007.82546143035</v>
      </c>
      <c r="P159" s="25">
        <f t="shared" si="6"/>
        <v>28145.244538569641</v>
      </c>
      <c r="Q159" s="25">
        <f t="array" aca="1" ref="Q159" ca="1">INDEX('Isaac 401k'!L:L,MATCH('Retirement Calculator'!A159,'Isaac 401k'!N:N,0),0)</f>
        <v>1546125.8855135997</v>
      </c>
      <c r="R159" s="25">
        <f t="array" aca="1" ref="R159" ca="1">INDEX('Lorri 401b'!L:L,MATCH('Retirement Calculator'!A159,'Lorri 401b'!N:N,0),0)</f>
        <v>4008547.8835723693</v>
      </c>
      <c r="S159" s="25">
        <f t="shared" ca="1" si="7"/>
        <v>5554673.7690859688</v>
      </c>
    </row>
    <row r="160" spans="1:19" ht="15.75" customHeight="1" x14ac:dyDescent="0.3">
      <c r="A160" s="37">
        <v>55824</v>
      </c>
      <c r="B160" s="409">
        <f t="shared" ref="B160:C160" si="156">($A160-B$9)/365.25</f>
        <v>70.959616700889796</v>
      </c>
      <c r="C160" s="409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3525.4531757812501</v>
      </c>
      <c r="H160" s="25">
        <f>IF(B160&lt;62,0,'Combined Retirement'!$I$14)</f>
        <v>2192</v>
      </c>
      <c r="I160" s="25">
        <f>IF(C160&lt;62,0,'Combined Retirement'!$I$13)</f>
        <v>2420</v>
      </c>
      <c r="J160" s="25">
        <f t="shared" si="3"/>
        <v>7863.2184191855868</v>
      </c>
      <c r="K160" s="25">
        <f t="shared" si="4"/>
        <v>20282.026119384056</v>
      </c>
      <c r="L160" s="25"/>
      <c r="N160" s="25">
        <f>'Combined Retirement'!$C$18/12</f>
        <v>39153.069999999992</v>
      </c>
      <c r="O160" s="25">
        <f t="shared" si="5"/>
        <v>11007.82546143035</v>
      </c>
      <c r="P160" s="25">
        <f t="shared" si="6"/>
        <v>28145.244538569641</v>
      </c>
      <c r="Q160" s="25">
        <f t="array" aca="1" ref="Q160" ca="1">INDEX('Isaac 401k'!L:L,MATCH('Retirement Calculator'!A160,'Isaac 401k'!N:N,0),0)</f>
        <v>1544672.0948739741</v>
      </c>
      <c r="R160" s="25">
        <f t="array" aca="1" ref="R160" ca="1">INDEX('Lorri 401b'!L:L,MATCH('Retirement Calculator'!A160,'Lorri 401b'!N:N,0),0)</f>
        <v>4004883.6318590394</v>
      </c>
      <c r="S160" s="25">
        <f t="shared" ca="1" si="7"/>
        <v>5549555.726733014</v>
      </c>
    </row>
    <row r="161" spans="1:19" ht="15.75" customHeight="1" x14ac:dyDescent="0.3">
      <c r="A161" s="37">
        <v>55854</v>
      </c>
      <c r="B161" s="409">
        <f t="shared" ref="B161:C161" si="157">($A161-B$9)/365.25</f>
        <v>71.041752224503767</v>
      </c>
      <c r="C161" s="409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3525.4531757812501</v>
      </c>
      <c r="H161" s="25">
        <f>IF(B161&lt;62,0,'Combined Retirement'!$I$14)</f>
        <v>2192</v>
      </c>
      <c r="I161" s="25">
        <f>IF(C161&lt;62,0,'Combined Retirement'!$I$13)</f>
        <v>2420</v>
      </c>
      <c r="J161" s="25">
        <f t="shared" si="3"/>
        <v>7863.2184191855868</v>
      </c>
      <c r="K161" s="25">
        <f t="shared" si="4"/>
        <v>20282.026119384056</v>
      </c>
      <c r="L161" s="25"/>
      <c r="N161" s="25">
        <f>'Combined Retirement'!$C$18/12</f>
        <v>39153.069999999992</v>
      </c>
      <c r="O161" s="25">
        <f t="shared" si="5"/>
        <v>11007.82546143035</v>
      </c>
      <c r="P161" s="25">
        <f t="shared" si="6"/>
        <v>28145.244538569641</v>
      </c>
      <c r="Q161" s="25">
        <f t="array" aca="1" ref="Q161" ca="1">INDEX('Isaac 401k'!L:L,MATCH('Retirement Calculator'!A161,'Isaac 401k'!N:N,0),0)</f>
        <v>1543212.2467733501</v>
      </c>
      <c r="R161" s="25">
        <f t="array" aca="1" ref="R161" ca="1">INDEX('Lorri 401b'!L:L,MATCH('Retirement Calculator'!A161,'Lorri 401b'!N:N,0),0)</f>
        <v>4001204.1124302372</v>
      </c>
      <c r="S161" s="25">
        <f t="shared" ca="1" si="7"/>
        <v>5544416.3592035873</v>
      </c>
    </row>
    <row r="162" spans="1:19" ht="15.75" customHeight="1" x14ac:dyDescent="0.3">
      <c r="A162" s="37">
        <v>55885</v>
      </c>
      <c r="B162" s="409">
        <f t="shared" ref="B162:C162" si="158">($A162-B$9)/365.25</f>
        <v>71.126625598904866</v>
      </c>
      <c r="C162" s="409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3525.4531757812501</v>
      </c>
      <c r="H162" s="25">
        <f>IF(B162&lt;62,0,'Combined Retirement'!$I$14)</f>
        <v>2192</v>
      </c>
      <c r="I162" s="25">
        <f>IF(C162&lt;62,0,'Combined Retirement'!$I$13)</f>
        <v>2420</v>
      </c>
      <c r="J162" s="25">
        <f t="shared" si="3"/>
        <v>7863.2184191855868</v>
      </c>
      <c r="K162" s="25">
        <f t="shared" si="4"/>
        <v>20282.026119384056</v>
      </c>
      <c r="L162" s="25"/>
      <c r="N162" s="25">
        <f>'Combined Retirement'!$C$18/12</f>
        <v>39153.069999999992</v>
      </c>
      <c r="O162" s="25">
        <f t="shared" si="5"/>
        <v>11007.82546143035</v>
      </c>
      <c r="P162" s="25">
        <f t="shared" si="6"/>
        <v>28145.244538569641</v>
      </c>
      <c r="Q162" s="25">
        <f t="array" aca="1" ref="Q162" ca="1">INDEX('Isaac 401k'!L:L,MATCH('Retirement Calculator'!A162,'Isaac 401k'!N:N,0),0)</f>
        <v>1541746.3159723068</v>
      </c>
      <c r="R162" s="25">
        <f t="array" aca="1" ref="R162" ca="1">INDEX('Lorri 401b'!L:L,MATCH('Retirement Calculator'!A162,'Lorri 401b'!N:N,0),0)</f>
        <v>3997509.2616704819</v>
      </c>
      <c r="S162" s="25">
        <f t="shared" ca="1" si="7"/>
        <v>5539255.5776427891</v>
      </c>
    </row>
    <row r="163" spans="1:19" ht="15.75" customHeight="1" x14ac:dyDescent="0.3">
      <c r="A163" s="37">
        <v>55916</v>
      </c>
      <c r="B163" s="409">
        <f t="shared" ref="B163:C163" si="159">($A163-B$9)/365.25</f>
        <v>71.21149897330595</v>
      </c>
      <c r="C163" s="409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3525.4531757812501</v>
      </c>
      <c r="H163" s="25">
        <f>IF(B163&lt;62,0,'Combined Retirement'!$I$14)</f>
        <v>2192</v>
      </c>
      <c r="I163" s="25">
        <f>IF(C163&lt;62,0,'Combined Retirement'!$I$13)</f>
        <v>2420</v>
      </c>
      <c r="J163" s="25">
        <f t="shared" si="3"/>
        <v>7863.2184191855868</v>
      </c>
      <c r="K163" s="25">
        <f t="shared" si="4"/>
        <v>20282.026119384056</v>
      </c>
      <c r="L163" s="25"/>
      <c r="N163" s="25">
        <f>'Combined Retirement'!$C$18/12</f>
        <v>39153.069999999992</v>
      </c>
      <c r="O163" s="25">
        <f t="shared" si="5"/>
        <v>11007.82546143035</v>
      </c>
      <c r="P163" s="25">
        <f t="shared" si="6"/>
        <v>28145.244538569641</v>
      </c>
      <c r="Q163" s="25">
        <f t="array" aca="1" ref="Q163" ca="1">INDEX('Isaac 401k'!L:L,MATCH('Retirement Calculator'!A163,'Isaac 401k'!N:N,0),0)</f>
        <v>1540274.2771262592</v>
      </c>
      <c r="R163" s="25">
        <f t="array" aca="1" ref="R163" ca="1">INDEX('Lorri 401b'!L:L,MATCH('Retirement Calculator'!A163,'Lorri 401b'!N:N,0),0)</f>
        <v>3993799.0156992273</v>
      </c>
      <c r="S163" s="25">
        <f t="shared" ca="1" si="7"/>
        <v>5534073.2928254865</v>
      </c>
    </row>
    <row r="164" spans="1:19" ht="15.75" customHeight="1" x14ac:dyDescent="0.3">
      <c r="A164" s="37">
        <v>55944</v>
      </c>
      <c r="B164" s="409">
        <f t="shared" ref="B164:C164" si="160">($A164-B$9)/365.25</f>
        <v>71.288158795345652</v>
      </c>
      <c r="C164" s="409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3525.4531757812501</v>
      </c>
      <c r="H164" s="25">
        <f>IF(B164&lt;62,0,'Combined Retirement'!$I$14)</f>
        <v>2192</v>
      </c>
      <c r="I164" s="25">
        <f>IF(C164&lt;62,0,'Combined Retirement'!$I$13)</f>
        <v>2420</v>
      </c>
      <c r="J164" s="25">
        <f t="shared" si="3"/>
        <v>7863.2184191855868</v>
      </c>
      <c r="K164" s="25">
        <f t="shared" si="4"/>
        <v>20282.026119384056</v>
      </c>
      <c r="L164" s="25"/>
      <c r="N164" s="25">
        <f>'Combined Retirement'!$C$18/12</f>
        <v>39153.069999999992</v>
      </c>
      <c r="O164" s="25">
        <f t="shared" si="5"/>
        <v>11007.82546143035</v>
      </c>
      <c r="P164" s="25">
        <f t="shared" si="6"/>
        <v>28145.244538569641</v>
      </c>
      <c r="Q164" s="25">
        <f t="array" aca="1" ref="Q164" ca="1">INDEX('Isaac 401k'!L:L,MATCH('Retirement Calculator'!A164,'Isaac 401k'!N:N,0),0)</f>
        <v>1538796.1047850198</v>
      </c>
      <c r="R164" s="25">
        <f t="array" aca="1" ref="R164" ca="1">INDEX('Lorri 401b'!L:L,MATCH('Retirement Calculator'!A164,'Lorri 401b'!N:N,0),0)</f>
        <v>3990073.3103697593</v>
      </c>
      <c r="S164" s="25">
        <f t="shared" ca="1" si="7"/>
        <v>5528869.4151547793</v>
      </c>
    </row>
    <row r="165" spans="1:19" ht="15.75" customHeight="1" x14ac:dyDescent="0.3">
      <c r="A165" s="37">
        <v>55975</v>
      </c>
      <c r="B165" s="409">
        <f t="shared" ref="B165:C165" si="161">($A165-B$9)/365.25</f>
        <v>71.37303216974675</v>
      </c>
      <c r="C165" s="409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3525.4531757812501</v>
      </c>
      <c r="H165" s="25">
        <f>IF(B165&lt;62,0,'Combined Retirement'!$I$14)</f>
        <v>2192</v>
      </c>
      <c r="I165" s="25">
        <f>IF(C165&lt;62,0,'Combined Retirement'!$I$13)</f>
        <v>2420</v>
      </c>
      <c r="J165" s="25">
        <f t="shared" si="3"/>
        <v>7863.2184191855868</v>
      </c>
      <c r="K165" s="25">
        <f t="shared" si="4"/>
        <v>20282.026119384056</v>
      </c>
      <c r="L165" s="25"/>
      <c r="N165" s="25">
        <f>'Combined Retirement'!$C$18/12</f>
        <v>39153.069999999992</v>
      </c>
      <c r="O165" s="25">
        <f t="shared" si="5"/>
        <v>11007.82546143035</v>
      </c>
      <c r="P165" s="25">
        <f t="shared" si="6"/>
        <v>28145.244538569641</v>
      </c>
      <c r="Q165" s="25">
        <f t="array" aca="1" ref="Q165" ca="1">INDEX('Isaac 401k'!L:L,MATCH('Retirement Calculator'!A165,'Isaac 401k'!N:N,0),0)</f>
        <v>1537311.7733923586</v>
      </c>
      <c r="R165" s="25">
        <f t="array" aca="1" ref="R165" ca="1">INDEX('Lorri 401b'!L:L,MATCH('Retirement Calculator'!A165,'Lorri 401b'!N:N,0),0)</f>
        <v>3986332.0812680852</v>
      </c>
      <c r="S165" s="25">
        <f t="shared" ca="1" si="7"/>
        <v>5523643.854660444</v>
      </c>
    </row>
    <row r="166" spans="1:19" ht="15.75" customHeight="1" x14ac:dyDescent="0.3">
      <c r="A166" s="37">
        <v>56005</v>
      </c>
      <c r="B166" s="409">
        <f t="shared" ref="B166:C166" si="162">($A166-B$9)/365.25</f>
        <v>71.455167693360707</v>
      </c>
      <c r="C166" s="409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3525.4531757812501</v>
      </c>
      <c r="H166" s="25">
        <f>IF(B166&lt;62,0,'Combined Retirement'!$I$14)</f>
        <v>2192</v>
      </c>
      <c r="I166" s="25">
        <f>IF(C166&lt;62,0,'Combined Retirement'!$I$13)</f>
        <v>2420</v>
      </c>
      <c r="J166" s="25">
        <f t="shared" si="3"/>
        <v>7863.2184191855868</v>
      </c>
      <c r="K166" s="25">
        <f t="shared" si="4"/>
        <v>20282.026119384056</v>
      </c>
      <c r="L166" s="25"/>
      <c r="N166" s="25">
        <f>'Combined Retirement'!$C$18/12</f>
        <v>39153.069999999992</v>
      </c>
      <c r="O166" s="25">
        <f t="shared" si="5"/>
        <v>11007.82546143035</v>
      </c>
      <c r="P166" s="25">
        <f t="shared" si="6"/>
        <v>28145.244538569641</v>
      </c>
      <c r="Q166" s="25">
        <f t="array" aca="1" ref="Q166" ca="1">INDEX('Isaac 401k'!L:L,MATCH('Retirement Calculator'!A166,'Isaac 401k'!N:N,0),0)</f>
        <v>1535821.2572855612</v>
      </c>
      <c r="R166" s="25">
        <f t="array" aca="1" ref="R166" ca="1">INDEX('Lorri 401b'!L:L,MATCH('Retirement Calculator'!A166,'Lorri 401b'!N:N,0),0)</f>
        <v>3982575.2637118208</v>
      </c>
      <c r="S166" s="25">
        <f t="shared" ca="1" si="7"/>
        <v>5518396.5209973818</v>
      </c>
    </row>
    <row r="167" spans="1:19" ht="15.75" customHeight="1" x14ac:dyDescent="0.3">
      <c r="A167" s="37">
        <v>56036</v>
      </c>
      <c r="B167" s="409">
        <f t="shared" ref="B167:C167" si="163">($A167-B$9)/365.25</f>
        <v>71.540041067761805</v>
      </c>
      <c r="C167" s="409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3525.4531757812501</v>
      </c>
      <c r="H167" s="25">
        <f>IF(B167&lt;62,0,'Combined Retirement'!$I$14)</f>
        <v>2192</v>
      </c>
      <c r="I167" s="25">
        <f>IF(C167&lt;62,0,'Combined Retirement'!$I$13)</f>
        <v>2420</v>
      </c>
      <c r="J167" s="25">
        <f t="shared" si="3"/>
        <v>7863.2184191855868</v>
      </c>
      <c r="K167" s="25">
        <f t="shared" si="4"/>
        <v>20282.026119384056</v>
      </c>
      <c r="L167" s="25"/>
      <c r="N167" s="25">
        <f>'Combined Retirement'!$C$18/12</f>
        <v>39153.069999999992</v>
      </c>
      <c r="O167" s="25">
        <f t="shared" si="5"/>
        <v>11007.82546143035</v>
      </c>
      <c r="P167" s="25">
        <f t="shared" si="6"/>
        <v>28145.244538569641</v>
      </c>
      <c r="Q167" s="25">
        <f t="array" aca="1" ref="Q167" ca="1">INDEX('Isaac 401k'!L:L,MATCH('Retirement Calculator'!A167,'Isaac 401k'!N:N,0),0)</f>
        <v>1534324.5306949855</v>
      </c>
      <c r="R167" s="25">
        <f t="array" aca="1" ref="R167" ca="1">INDEX('Lorri 401b'!L:L,MATCH('Retirement Calculator'!A167,'Lorri 401b'!N:N,0),0)</f>
        <v>3978802.792749072</v>
      </c>
      <c r="S167" s="25">
        <f t="shared" ca="1" si="7"/>
        <v>5513127.3234440573</v>
      </c>
    </row>
    <row r="168" spans="1:19" ht="15.75" customHeight="1" x14ac:dyDescent="0.3">
      <c r="A168" s="37">
        <v>56066</v>
      </c>
      <c r="B168" s="409">
        <f t="shared" ref="B168:C168" si="164">($A168-B$9)/365.25</f>
        <v>71.622176591375776</v>
      </c>
      <c r="C168" s="409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3525.4531757812501</v>
      </c>
      <c r="H168" s="25">
        <f>IF(B168&lt;62,0,'Combined Retirement'!$I$14)</f>
        <v>2192</v>
      </c>
      <c r="I168" s="25">
        <f>IF(C168&lt;62,0,'Combined Retirement'!$I$13)</f>
        <v>2420</v>
      </c>
      <c r="J168" s="25">
        <f t="shared" si="3"/>
        <v>7863.2184191855868</v>
      </c>
      <c r="K168" s="25">
        <f t="shared" si="4"/>
        <v>20282.026119384056</v>
      </c>
      <c r="L168" s="25"/>
      <c r="N168" s="25">
        <f>'Combined Retirement'!$C$18/12</f>
        <v>39153.069999999992</v>
      </c>
      <c r="O168" s="25">
        <f t="shared" si="5"/>
        <v>11007.82546143035</v>
      </c>
      <c r="P168" s="25">
        <f t="shared" si="6"/>
        <v>28145.244538569641</v>
      </c>
      <c r="Q168" s="25">
        <f t="array" aca="1" ref="Q168" ca="1">INDEX('Isaac 401k'!L:L,MATCH('Retirement Calculator'!A168,'Isaac 401k'!N:N,0),0)</f>
        <v>1532821.5677436157</v>
      </c>
      <c r="R168" s="25">
        <f t="array" aca="1" ref="R168" ca="1">INDEX('Lorri 401b'!L:L,MATCH('Retirement Calculator'!A168,'Lorri 401b'!N:N,0),0)</f>
        <v>3975014.6031573117</v>
      </c>
      <c r="S168" s="25">
        <f t="shared" ca="1" si="7"/>
        <v>5507836.1709009279</v>
      </c>
    </row>
    <row r="169" spans="1:19" ht="15.75" customHeight="1" x14ac:dyDescent="0.3">
      <c r="A169" s="37">
        <v>56097</v>
      </c>
      <c r="B169" s="409">
        <f t="shared" ref="B169:C169" si="165">($A169-B$9)/365.25</f>
        <v>71.707049965776861</v>
      </c>
      <c r="C169" s="409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3525.4531757812501</v>
      </c>
      <c r="H169" s="25">
        <f>IF(B169&lt;62,0,'Combined Retirement'!$I$14)</f>
        <v>2192</v>
      </c>
      <c r="I169" s="25">
        <f>IF(C169&lt;62,0,'Combined Retirement'!$I$13)</f>
        <v>2420</v>
      </c>
      <c r="J169" s="25">
        <f t="shared" si="3"/>
        <v>7863.2184191855868</v>
      </c>
      <c r="K169" s="25">
        <f t="shared" si="4"/>
        <v>20282.026119384056</v>
      </c>
      <c r="L169" s="25"/>
      <c r="N169" s="25">
        <f>'Combined Retirement'!$C$18/12</f>
        <v>39153.069999999992</v>
      </c>
      <c r="O169" s="25">
        <f t="shared" si="5"/>
        <v>11007.82546143035</v>
      </c>
      <c r="P169" s="25">
        <f t="shared" si="6"/>
        <v>28145.244538569641</v>
      </c>
      <c r="Q169" s="25">
        <f t="array" aca="1" ref="Q169" ca="1">INDEX('Isaac 401k'!L:L,MATCH('Retirement Calculator'!A169,'Isaac 401k'!N:N,0),0)</f>
        <v>1531312.3424466152</v>
      </c>
      <c r="R169" s="25">
        <f t="array" aca="1" ref="R169" ca="1">INDEX('Lorri 401b'!L:L,MATCH('Retirement Calculator'!A169,'Lorri 401b'!N:N,0),0)</f>
        <v>3971210.6294422522</v>
      </c>
      <c r="S169" s="25">
        <f t="shared" ca="1" si="7"/>
        <v>5502522.9718888672</v>
      </c>
    </row>
    <row r="170" spans="1:19" ht="15.75" customHeight="1" x14ac:dyDescent="0.3">
      <c r="A170" s="37">
        <v>56128</v>
      </c>
      <c r="B170" s="409">
        <f t="shared" ref="B170:C170" si="166">($A170-B$9)/365.25</f>
        <v>71.791923340177959</v>
      </c>
      <c r="C170" s="409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3525.4531757812501</v>
      </c>
      <c r="H170" s="25">
        <f>IF(B170&lt;62,0,'Combined Retirement'!$I$14)</f>
        <v>2192</v>
      </c>
      <c r="I170" s="25">
        <f>IF(C170&lt;62,0,'Combined Retirement'!$I$13)</f>
        <v>2420</v>
      </c>
      <c r="J170" s="25">
        <f t="shared" si="3"/>
        <v>7863.2184191855868</v>
      </c>
      <c r="K170" s="25">
        <f t="shared" si="4"/>
        <v>20282.026119384056</v>
      </c>
      <c r="L170" s="25"/>
      <c r="N170" s="25">
        <f>'Combined Retirement'!$C$18/12</f>
        <v>39153.069999999992</v>
      </c>
      <c r="O170" s="25">
        <f t="shared" si="5"/>
        <v>11007.82546143035</v>
      </c>
      <c r="P170" s="25">
        <f t="shared" si="6"/>
        <v>28145.244538569641</v>
      </c>
      <c r="Q170" s="25">
        <f t="array" aca="1" ref="Q170" ca="1">INDEX('Isaac 401k'!L:L,MATCH('Retirement Calculator'!A170,'Isaac 401k'!N:N,0),0)</f>
        <v>1529796.8287108773</v>
      </c>
      <c r="R170" s="25">
        <f t="array" aca="1" ref="R170" ca="1">INDEX('Lorri 401b'!L:L,MATCH('Retirement Calculator'!A170,'Lorri 401b'!N:N,0),0)</f>
        <v>3967390.8058367134</v>
      </c>
      <c r="S170" s="25">
        <f t="shared" ca="1" si="7"/>
        <v>5497187.6345475912</v>
      </c>
    </row>
    <row r="171" spans="1:19" ht="15.75" customHeight="1" x14ac:dyDescent="0.3">
      <c r="A171" s="37">
        <v>56158</v>
      </c>
      <c r="B171" s="409">
        <f t="shared" ref="B171:C171" si="167">($A171-B$9)/365.25</f>
        <v>71.87405886379193</v>
      </c>
      <c r="C171" s="409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3525.4531757812501</v>
      </c>
      <c r="H171" s="25">
        <f>IF(B171&lt;62,0,'Combined Retirement'!$I$14)</f>
        <v>2192</v>
      </c>
      <c r="I171" s="25">
        <f>IF(C171&lt;62,0,'Combined Retirement'!$I$13)</f>
        <v>2420</v>
      </c>
      <c r="J171" s="25">
        <f t="shared" si="3"/>
        <v>7863.2184191855868</v>
      </c>
      <c r="K171" s="25">
        <f t="shared" si="4"/>
        <v>20282.026119384056</v>
      </c>
      <c r="L171" s="25"/>
      <c r="N171" s="25">
        <f>'Combined Retirement'!$C$18/12</f>
        <v>39153.069999999992</v>
      </c>
      <c r="O171" s="25">
        <f t="shared" si="5"/>
        <v>11007.82546143035</v>
      </c>
      <c r="P171" s="25">
        <f t="shared" si="6"/>
        <v>28145.244538569641</v>
      </c>
      <c r="Q171" s="25">
        <f t="array" aca="1" ref="Q171" ca="1">INDEX('Isaac 401k'!L:L,MATCH('Retirement Calculator'!A171,'Isaac 401k'!N:N,0),0)</f>
        <v>1528275.0003345737</v>
      </c>
      <c r="R171" s="25">
        <f t="array" aca="1" ref="R171" ca="1">INDEX('Lorri 401b'!L:L,MATCH('Retirement Calculator'!A171,'Lorri 401b'!N:N,0),0)</f>
        <v>3963555.066299485</v>
      </c>
      <c r="S171" s="25">
        <f t="shared" ca="1" si="7"/>
        <v>5491830.066634059</v>
      </c>
    </row>
    <row r="172" spans="1:19" ht="15.75" customHeight="1" x14ac:dyDescent="0.3">
      <c r="A172" s="37">
        <v>56189</v>
      </c>
      <c r="B172" s="409">
        <f t="shared" ref="B172:C172" si="168">($A172-B$9)/365.25</f>
        <v>71.958932238193015</v>
      </c>
      <c r="C172" s="409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3525.4531757812501</v>
      </c>
      <c r="H172" s="25">
        <f>IF(B172&lt;62,0,'Combined Retirement'!$I$14)</f>
        <v>2192</v>
      </c>
      <c r="I172" s="25">
        <f>IF(C172&lt;62,0,'Combined Retirement'!$I$13)</f>
        <v>2420</v>
      </c>
      <c r="J172" s="25">
        <f t="shared" si="3"/>
        <v>7863.2184191855868</v>
      </c>
      <c r="K172" s="25">
        <f t="shared" si="4"/>
        <v>20282.026119384056</v>
      </c>
      <c r="L172" s="25"/>
      <c r="N172" s="25">
        <f>'Combined Retirement'!$C$18/12</f>
        <v>39153.069999999992</v>
      </c>
      <c r="O172" s="25">
        <f t="shared" si="5"/>
        <v>11007.82546143035</v>
      </c>
      <c r="P172" s="25">
        <f t="shared" si="6"/>
        <v>28145.244538569641</v>
      </c>
      <c r="Q172" s="25">
        <f t="array" aca="1" ref="Q172" ca="1">INDEX('Isaac 401k'!L:L,MATCH('Retirement Calculator'!A172,'Isaac 401k'!N:N,0),0)</f>
        <v>1526746.8310067023</v>
      </c>
      <c r="R172" s="25">
        <f t="array" aca="1" ref="R172" ca="1">INDEX('Lorri 401b'!L:L,MATCH('Retirement Calculator'!A172,'Lorri 401b'!N:N,0),0)</f>
        <v>3959703.3445141846</v>
      </c>
      <c r="S172" s="25">
        <f t="shared" ca="1" si="7"/>
        <v>5486450.1755208867</v>
      </c>
    </row>
    <row r="173" spans="1:19" ht="15.75" customHeight="1" x14ac:dyDescent="0.3">
      <c r="A173" s="37">
        <v>56219</v>
      </c>
      <c r="B173" s="409">
        <f t="shared" ref="B173:C173" si="169">($A173-B$9)/365.25</f>
        <v>72.041067761806985</v>
      </c>
      <c r="C173" s="409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3525.4531757812501</v>
      </c>
      <c r="H173" s="25">
        <f>IF(B173&lt;62,0,'Combined Retirement'!$I$14)</f>
        <v>2192</v>
      </c>
      <c r="I173" s="25">
        <f>IF(C173&lt;62,0,'Combined Retirement'!$I$13)</f>
        <v>2420</v>
      </c>
      <c r="J173" s="25">
        <f t="shared" si="3"/>
        <v>7863.2184191855868</v>
      </c>
      <c r="K173" s="25">
        <f t="shared" si="4"/>
        <v>20282.026119384056</v>
      </c>
      <c r="L173" s="25"/>
      <c r="N173" s="25">
        <f>'Combined Retirement'!$C$18/12</f>
        <v>39153.069999999992</v>
      </c>
      <c r="O173" s="25">
        <f t="shared" si="5"/>
        <v>11007.82546143035</v>
      </c>
      <c r="P173" s="25">
        <f t="shared" si="6"/>
        <v>28145.244538569641</v>
      </c>
      <c r="Q173" s="25">
        <f t="array" aca="1" ref="Q173" ca="1">INDEX('Isaac 401k'!L:L,MATCH('Retirement Calculator'!A173,'Isaac 401k'!N:N,0),0)</f>
        <v>1525212.2943066312</v>
      </c>
      <c r="R173" s="25">
        <f t="array" aca="1" ref="R173" ca="1">INDEX('Lorri 401b'!L:L,MATCH('Retirement Calculator'!A173,'Lorri 401b'!N:N,0),0)</f>
        <v>3955835.5738881123</v>
      </c>
      <c r="S173" s="25">
        <f t="shared" ca="1" si="7"/>
        <v>5481047.868194744</v>
      </c>
    </row>
    <row r="174" spans="1:19" ht="15.75" customHeight="1" x14ac:dyDescent="0.3">
      <c r="A174" s="37">
        <v>56250</v>
      </c>
      <c r="B174" s="409">
        <f t="shared" ref="B174:C174" si="170">($A174-B$9)/365.25</f>
        <v>72.12594113620807</v>
      </c>
      <c r="C174" s="409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3525.4531757812501</v>
      </c>
      <c r="H174" s="25">
        <f>IF(B174&lt;62,0,'Combined Retirement'!$I$14)</f>
        <v>2192</v>
      </c>
      <c r="I174" s="25">
        <f>IF(C174&lt;62,0,'Combined Retirement'!$I$13)</f>
        <v>2420</v>
      </c>
      <c r="J174" s="25">
        <f t="shared" si="3"/>
        <v>7863.2184191855868</v>
      </c>
      <c r="K174" s="25">
        <f t="shared" si="4"/>
        <v>20282.026119384056</v>
      </c>
      <c r="L174" s="25"/>
      <c r="N174" s="25">
        <f>'Combined Retirement'!$C$18/12</f>
        <v>39153.069999999992</v>
      </c>
      <c r="O174" s="25">
        <f t="shared" si="5"/>
        <v>11007.82546143035</v>
      </c>
      <c r="P174" s="25">
        <f t="shared" si="6"/>
        <v>28145.244538569641</v>
      </c>
      <c r="Q174" s="25">
        <f t="array" aca="1" ref="Q174" ca="1">INDEX('Isaac 401k'!L:L,MATCH('Retirement Calculator'!A174,'Isaac 401k'!N:N,0),0)</f>
        <v>1523671.3637036432</v>
      </c>
      <c r="R174" s="25">
        <f t="array" aca="1" ref="R174" ca="1">INDEX('Lorri 401b'!L:L,MATCH('Retirement Calculator'!A174,'Lorri 401b'!N:N,0),0)</f>
        <v>3951951.6875510979</v>
      </c>
      <c r="S174" s="25">
        <f t="shared" ca="1" si="7"/>
        <v>5475623.0512547409</v>
      </c>
    </row>
    <row r="175" spans="1:19" ht="15.75" customHeight="1" x14ac:dyDescent="0.3">
      <c r="A175" s="37">
        <v>56281</v>
      </c>
      <c r="B175" s="409">
        <f t="shared" ref="B175:C175" si="171">($A175-B$9)/365.25</f>
        <v>72.210814510609168</v>
      </c>
      <c r="C175" s="409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3525.4531757812501</v>
      </c>
      <c r="H175" s="25">
        <f>IF(B175&lt;62,0,'Combined Retirement'!$I$14)</f>
        <v>2192</v>
      </c>
      <c r="I175" s="25">
        <f>IF(C175&lt;62,0,'Combined Retirement'!$I$13)</f>
        <v>2420</v>
      </c>
      <c r="J175" s="25">
        <f t="shared" si="3"/>
        <v>7863.2184191855868</v>
      </c>
      <c r="K175" s="25">
        <f t="shared" si="4"/>
        <v>20282.026119384056</v>
      </c>
      <c r="L175" s="25"/>
      <c r="N175" s="25">
        <f>'Combined Retirement'!$C$18/12</f>
        <v>39153.069999999992</v>
      </c>
      <c r="O175" s="25">
        <f t="shared" si="5"/>
        <v>11007.82546143035</v>
      </c>
      <c r="P175" s="25">
        <f t="shared" si="6"/>
        <v>28145.244538569641</v>
      </c>
      <c r="Q175" s="25">
        <f t="array" aca="1" ref="Q175" ca="1">INDEX('Isaac 401k'!L:L,MATCH('Retirement Calculator'!A175,'Isaac 401k'!N:N,0),0)</f>
        <v>1522124.0125564763</v>
      </c>
      <c r="R175" s="25">
        <f t="array" aca="1" ref="R175" ca="1">INDEX('Lorri 401b'!L:L,MATCH('Retirement Calculator'!A175,'Lorri 401b'!N:N,0),0)</f>
        <v>3948051.6183543461</v>
      </c>
      <c r="S175" s="25">
        <f t="shared" ca="1" si="7"/>
        <v>5470175.6309108222</v>
      </c>
    </row>
    <row r="176" spans="1:19" ht="15.75" customHeight="1" x14ac:dyDescent="0.3">
      <c r="A176" s="37">
        <v>56309</v>
      </c>
      <c r="B176" s="409">
        <f t="shared" ref="B176:C176" si="172">($A176-B$9)/365.25</f>
        <v>72.28747433264887</v>
      </c>
      <c r="C176" s="409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3525.4531757812501</v>
      </c>
      <c r="H176" s="25">
        <f>IF(B176&lt;62,0,'Combined Retirement'!$I$14)</f>
        <v>2192</v>
      </c>
      <c r="I176" s="25">
        <f>IF(C176&lt;62,0,'Combined Retirement'!$I$13)</f>
        <v>2420</v>
      </c>
      <c r="J176" s="25">
        <f t="shared" si="3"/>
        <v>7863.2184191855868</v>
      </c>
      <c r="K176" s="25">
        <f t="shared" si="4"/>
        <v>20282.026119384056</v>
      </c>
      <c r="L176" s="25"/>
      <c r="N176" s="25">
        <f>'Combined Retirement'!$C$18/12</f>
        <v>39153.069999999992</v>
      </c>
      <c r="O176" s="25">
        <f t="shared" si="5"/>
        <v>11007.82546143035</v>
      </c>
      <c r="P176" s="25">
        <f t="shared" si="6"/>
        <v>28145.244538569641</v>
      </c>
      <c r="Q176" s="25">
        <f t="array" aca="1" ref="Q176" ca="1">INDEX('Isaac 401k'!L:L,MATCH('Retirement Calculator'!A176,'Isaac 401k'!N:N,0),0)</f>
        <v>1520570.2141128627</v>
      </c>
      <c r="R176" s="25">
        <f t="array" aca="1" ref="R176" ca="1">INDEX('Lorri 401b'!L:L,MATCH('Retirement Calculator'!A176,'Lorri 401b'!N:N,0),0)</f>
        <v>3944135.2988692746</v>
      </c>
      <c r="S176" s="25">
        <f t="shared" ca="1" si="7"/>
        <v>5464705.5129821375</v>
      </c>
    </row>
    <row r="177" spans="1:19" ht="15.75" customHeight="1" x14ac:dyDescent="0.3">
      <c r="A177" s="37">
        <v>56340</v>
      </c>
      <c r="B177" s="409">
        <f t="shared" ref="B177:C177" si="173">($A177-B$9)/365.25</f>
        <v>72.372347707049968</v>
      </c>
      <c r="C177" s="409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3525.4531757812501</v>
      </c>
      <c r="H177" s="25">
        <f>IF(B177&lt;62,0,'Combined Retirement'!$I$14)</f>
        <v>2192</v>
      </c>
      <c r="I177" s="25">
        <f>IF(C177&lt;62,0,'Combined Retirement'!$I$13)</f>
        <v>2420</v>
      </c>
      <c r="J177" s="25">
        <f t="shared" si="3"/>
        <v>7863.2184191855868</v>
      </c>
      <c r="K177" s="25">
        <f t="shared" si="4"/>
        <v>20282.026119384056</v>
      </c>
      <c r="L177" s="25"/>
      <c r="N177" s="25">
        <f>'Combined Retirement'!$C$18/12</f>
        <v>39153.069999999992</v>
      </c>
      <c r="O177" s="25">
        <f t="shared" si="5"/>
        <v>11007.82546143035</v>
      </c>
      <c r="P177" s="25">
        <f t="shared" si="6"/>
        <v>28145.244538569641</v>
      </c>
      <c r="Q177" s="25">
        <f t="array" aca="1" ref="Q177" ca="1">INDEX('Isaac 401k'!L:L,MATCH('Retirement Calculator'!A177,'Isaac 401k'!N:N,0),0)</f>
        <v>1519009.9415090673</v>
      </c>
      <c r="R177" s="25">
        <f t="array" aca="1" ref="R177" ca="1">INDEX('Lorri 401b'!L:L,MATCH('Retirement Calculator'!A177,'Lorri 401b'!N:N,0),0)</f>
        <v>3940202.6613863483</v>
      </c>
      <c r="S177" s="25">
        <f t="shared" ca="1" si="7"/>
        <v>5459212.6028954154</v>
      </c>
    </row>
    <row r="178" spans="1:19" ht="15.75" customHeight="1" x14ac:dyDescent="0.3">
      <c r="A178" s="37">
        <v>56370</v>
      </c>
      <c r="B178" s="409">
        <f t="shared" ref="B178:C178" si="174">($A178-B$9)/365.25</f>
        <v>72.454483230663925</v>
      </c>
      <c r="C178" s="409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3525.4531757812501</v>
      </c>
      <c r="H178" s="25">
        <f>IF(B178&lt;62,0,'Combined Retirement'!$I$14)</f>
        <v>2192</v>
      </c>
      <c r="I178" s="25">
        <f>IF(C178&lt;62,0,'Combined Retirement'!$I$13)</f>
        <v>2420</v>
      </c>
      <c r="J178" s="25">
        <f t="shared" si="3"/>
        <v>7863.2184191855868</v>
      </c>
      <c r="K178" s="25">
        <f t="shared" si="4"/>
        <v>20282.026119384056</v>
      </c>
      <c r="L178" s="25"/>
      <c r="N178" s="25">
        <f>'Combined Retirement'!$C$18/12</f>
        <v>39153.069999999992</v>
      </c>
      <c r="O178" s="25">
        <f t="shared" si="5"/>
        <v>11007.82546143035</v>
      </c>
      <c r="P178" s="25">
        <f t="shared" si="6"/>
        <v>28145.244538569641</v>
      </c>
      <c r="Q178" s="25">
        <f t="array" aca="1" ref="Q178" ca="1">INDEX('Isaac 401k'!L:L,MATCH('Retirement Calculator'!A178,'Isaac 401k'!N:N,0),0)</f>
        <v>1517443.167769423</v>
      </c>
      <c r="R178" s="25">
        <f t="array" aca="1" ref="R178" ca="1">INDEX('Lorri 401b'!L:L,MATCH('Retirement Calculator'!A178,'Lorri 401b'!N:N,0),0)</f>
        <v>3936253.6379139102</v>
      </c>
      <c r="S178" s="25">
        <f t="shared" ca="1" si="7"/>
        <v>5453696.8056833334</v>
      </c>
    </row>
    <row r="179" spans="1:19" ht="15.75" customHeight="1" x14ac:dyDescent="0.3">
      <c r="A179" s="37">
        <v>56401</v>
      </c>
      <c r="B179" s="409">
        <f t="shared" ref="B179:C179" si="175">($A179-B$9)/365.25</f>
        <v>72.539356605065024</v>
      </c>
      <c r="C179" s="409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3525.4531757812501</v>
      </c>
      <c r="H179" s="25">
        <f>IF(B179&lt;62,0,'Combined Retirement'!$I$14)</f>
        <v>2192</v>
      </c>
      <c r="I179" s="25">
        <f>IF(C179&lt;62,0,'Combined Retirement'!$I$13)</f>
        <v>2420</v>
      </c>
      <c r="J179" s="25">
        <f t="shared" si="3"/>
        <v>7863.2184191855868</v>
      </c>
      <c r="K179" s="25">
        <f t="shared" si="4"/>
        <v>20282.026119384056</v>
      </c>
      <c r="L179" s="25"/>
      <c r="N179" s="25">
        <f>'Combined Retirement'!$C$18/12</f>
        <v>39153.069999999992</v>
      </c>
      <c r="O179" s="25">
        <f t="shared" si="5"/>
        <v>11007.82546143035</v>
      </c>
      <c r="P179" s="25">
        <f t="shared" si="6"/>
        <v>28145.244538569641</v>
      </c>
      <c r="Q179" s="25">
        <f t="array" aca="1" ref="Q179" ca="1">INDEX('Isaac 401k'!L:L,MATCH('Retirement Calculator'!A179,'Isaac 401k'!N:N,0),0)</f>
        <v>1515869.8658058634</v>
      </c>
      <c r="R179" s="25">
        <f t="array" aca="1" ref="R179" ca="1">INDEX('Lorri 401b'!L:L,MATCH('Retirement Calculator'!A179,'Lorri 401b'!N:N,0),0)</f>
        <v>3932288.1601770036</v>
      </c>
      <c r="S179" s="25">
        <f t="shared" ca="1" si="7"/>
        <v>5448158.025982867</v>
      </c>
    </row>
    <row r="180" spans="1:19" ht="15.75" customHeight="1" x14ac:dyDescent="0.3">
      <c r="A180" s="37">
        <v>56431</v>
      </c>
      <c r="B180" s="409">
        <f t="shared" ref="B180:C180" si="176">($A180-B$9)/365.25</f>
        <v>72.62149212867898</v>
      </c>
      <c r="C180" s="409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3525.4531757812501</v>
      </c>
      <c r="H180" s="25">
        <f>IF(B180&lt;62,0,'Combined Retirement'!$I$14)</f>
        <v>2192</v>
      </c>
      <c r="I180" s="25">
        <f>IF(C180&lt;62,0,'Combined Retirement'!$I$13)</f>
        <v>2420</v>
      </c>
      <c r="J180" s="25">
        <f t="shared" si="3"/>
        <v>7863.2184191855868</v>
      </c>
      <c r="K180" s="25">
        <f t="shared" si="4"/>
        <v>20282.026119384056</v>
      </c>
      <c r="L180" s="25"/>
      <c r="N180" s="25">
        <f>'Combined Retirement'!$C$18/12</f>
        <v>39153.069999999992</v>
      </c>
      <c r="O180" s="25">
        <f t="shared" si="5"/>
        <v>11007.82546143035</v>
      </c>
      <c r="P180" s="25">
        <f t="shared" si="6"/>
        <v>28145.244538569641</v>
      </c>
      <c r="Q180" s="25">
        <f t="array" aca="1" ref="Q180" ca="1">INDEX('Isaac 401k'!L:L,MATCH('Retirement Calculator'!A180,'Isaac 401k'!N:N,0),0)</f>
        <v>1514290.0084174557</v>
      </c>
      <c r="R180" s="25">
        <f t="array" aca="1" ref="R180" ca="1">INDEX('Lorri 401b'!L:L,MATCH('Retirement Calculator'!A180,'Lorri 401b'!N:N,0),0)</f>
        <v>3928306.1596161928</v>
      </c>
      <c r="S180" s="25">
        <f t="shared" ca="1" si="7"/>
        <v>5442596.1680336483</v>
      </c>
    </row>
    <row r="181" spans="1:19" ht="15.75" customHeight="1" x14ac:dyDescent="0.3">
      <c r="A181" s="37">
        <v>56462</v>
      </c>
      <c r="B181" s="409">
        <f t="shared" ref="B181:C181" si="177">($A181-B$9)/365.25</f>
        <v>72.706365503080079</v>
      </c>
      <c r="C181" s="409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3525.4531757812501</v>
      </c>
      <c r="H181" s="25">
        <f>IF(B181&lt;62,0,'Combined Retirement'!$I$14)</f>
        <v>2192</v>
      </c>
      <c r="I181" s="25">
        <f>IF(C181&lt;62,0,'Combined Retirement'!$I$13)</f>
        <v>2420</v>
      </c>
      <c r="J181" s="25">
        <f t="shared" si="3"/>
        <v>7863.2184191855868</v>
      </c>
      <c r="K181" s="25">
        <f t="shared" si="4"/>
        <v>20282.026119384056</v>
      </c>
      <c r="L181" s="25"/>
      <c r="N181" s="25">
        <f>'Combined Retirement'!$C$18/12</f>
        <v>39153.069999999992</v>
      </c>
      <c r="O181" s="25">
        <f t="shared" si="5"/>
        <v>11007.82546143035</v>
      </c>
      <c r="P181" s="25">
        <f t="shared" si="6"/>
        <v>28145.244538569641</v>
      </c>
      <c r="Q181" s="25">
        <f t="array" aca="1" ref="Q181" ca="1">INDEX('Isaac 401k'!L:L,MATCH('Retirement Calculator'!A181,'Isaac 401k'!N:N,0),0)</f>
        <v>1512703.5682899295</v>
      </c>
      <c r="R181" s="25">
        <f t="array" aca="1" ref="R181" ca="1">INDEX('Lorri 401b'!L:L,MATCH('Retirement Calculator'!A181,'Lorri 401b'!N:N,0),0)</f>
        <v>3924307.567386379</v>
      </c>
      <c r="S181" s="25">
        <f t="shared" ca="1" si="7"/>
        <v>5437011.1356763085</v>
      </c>
    </row>
    <row r="182" spans="1:19" ht="15.75" customHeight="1" x14ac:dyDescent="0.3">
      <c r="A182" s="37">
        <v>56493</v>
      </c>
      <c r="B182" s="409">
        <f t="shared" ref="B182:C182" si="178">($A182-B$9)/365.25</f>
        <v>72.791238877481177</v>
      </c>
      <c r="C182" s="409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3525.4531757812501</v>
      </c>
      <c r="H182" s="25">
        <f>IF(B182&lt;62,0,'Combined Retirement'!$I$14)</f>
        <v>2192</v>
      </c>
      <c r="I182" s="25">
        <f>IF(C182&lt;62,0,'Combined Retirement'!$I$13)</f>
        <v>2420</v>
      </c>
      <c r="J182" s="25">
        <f t="shared" si="3"/>
        <v>7863.2184191855868</v>
      </c>
      <c r="K182" s="25">
        <f t="shared" si="4"/>
        <v>20282.026119384056</v>
      </c>
      <c r="L182" s="25"/>
      <c r="N182" s="25">
        <f>'Combined Retirement'!$C$18/12</f>
        <v>39153.069999999992</v>
      </c>
      <c r="O182" s="25">
        <f t="shared" si="5"/>
        <v>11007.82546143035</v>
      </c>
      <c r="P182" s="25">
        <f t="shared" si="6"/>
        <v>28145.244538569641</v>
      </c>
      <c r="Q182" s="25">
        <f t="array" aca="1" ref="Q182" ca="1">INDEX('Isaac 401k'!L:L,MATCH('Retirement Calculator'!A182,'Isaac 401k'!N:N,0),0)</f>
        <v>1511110.5179952055</v>
      </c>
      <c r="R182" s="25">
        <f t="array" aca="1" ref="R182" ca="1">INDEX('Lorri 401b'!L:L,MATCH('Retirement Calculator'!A182,'Lorri 401b'!N:N,0),0)</f>
        <v>3920292.3143556076</v>
      </c>
      <c r="S182" s="25">
        <f t="shared" ca="1" si="7"/>
        <v>5431402.8323508129</v>
      </c>
    </row>
    <row r="183" spans="1:19" ht="15.75" customHeight="1" x14ac:dyDescent="0.3">
      <c r="A183" s="37">
        <v>56523</v>
      </c>
      <c r="B183" s="409">
        <f t="shared" ref="B183:C183" si="179">($A183-B$9)/365.25</f>
        <v>72.873374401095134</v>
      </c>
      <c r="C183" s="409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3525.4531757812501</v>
      </c>
      <c r="H183" s="25">
        <f>IF(B183&lt;62,0,'Combined Retirement'!$I$14)</f>
        <v>2192</v>
      </c>
      <c r="I183" s="25">
        <f>IF(C183&lt;62,0,'Combined Retirement'!$I$13)</f>
        <v>2420</v>
      </c>
      <c r="J183" s="25">
        <f t="shared" si="3"/>
        <v>7863.2184191855868</v>
      </c>
      <c r="K183" s="25">
        <f t="shared" si="4"/>
        <v>20282.026119384056</v>
      </c>
      <c r="L183" s="25"/>
      <c r="N183" s="25">
        <f>'Combined Retirement'!$C$18/12</f>
        <v>39153.069999999992</v>
      </c>
      <c r="O183" s="25">
        <f t="shared" si="5"/>
        <v>11007.82546143035</v>
      </c>
      <c r="P183" s="25">
        <f t="shared" si="6"/>
        <v>28145.244538569641</v>
      </c>
      <c r="Q183" s="25">
        <f t="array" aca="1" ref="Q183" ca="1">INDEX('Isaac 401k'!L:L,MATCH('Retirement Calculator'!A183,'Isaac 401k'!N:N,0),0)</f>
        <v>1509510.8299909199</v>
      </c>
      <c r="R183" s="25">
        <f t="array" aca="1" ref="R183" ca="1">INDEX('Lorri 401b'!L:L,MATCH('Retirement Calculator'!A183,'Lorri 401b'!N:N,0),0)</f>
        <v>3916260.3311038744</v>
      </c>
      <c r="S183" s="25">
        <f t="shared" ca="1" si="7"/>
        <v>5425771.161094794</v>
      </c>
    </row>
    <row r="184" spans="1:19" ht="15.75" customHeight="1" x14ac:dyDescent="0.3">
      <c r="A184" s="37">
        <v>56554</v>
      </c>
      <c r="B184" s="409">
        <f t="shared" ref="B184:C184" si="180">($A184-B$9)/365.25</f>
        <v>72.958247775496233</v>
      </c>
      <c r="C184" s="409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3525.4531757812501</v>
      </c>
      <c r="H184" s="25">
        <f>IF(B184&lt;62,0,'Combined Retirement'!$I$14)</f>
        <v>2192</v>
      </c>
      <c r="I184" s="25">
        <f>IF(C184&lt;62,0,'Combined Retirement'!$I$13)</f>
        <v>2420</v>
      </c>
      <c r="J184" s="25">
        <f t="shared" si="3"/>
        <v>7863.2184191855868</v>
      </c>
      <c r="K184" s="25">
        <f t="shared" si="4"/>
        <v>20282.026119384056</v>
      </c>
      <c r="L184" s="25"/>
      <c r="N184" s="25">
        <f>'Combined Retirement'!$C$18/12</f>
        <v>39153.069999999992</v>
      </c>
      <c r="O184" s="25">
        <f t="shared" si="5"/>
        <v>11007.82546143035</v>
      </c>
      <c r="P184" s="25">
        <f t="shared" si="6"/>
        <v>28145.244538569641</v>
      </c>
      <c r="Q184" s="25">
        <f t="array" aca="1" ref="Q184" ca="1">INDEX('Isaac 401k'!L:L,MATCH('Retirement Calculator'!A184,'Isaac 401k'!N:N,0),0)</f>
        <v>1507904.4766199498</v>
      </c>
      <c r="R184" s="25">
        <f t="array" aca="1" ref="R184" ca="1">INDEX('Lorri 401b'!L:L,MATCH('Retirement Calculator'!A184,'Lorri 401b'!N:N,0),0)</f>
        <v>3912211.5479219258</v>
      </c>
      <c r="S184" s="25">
        <f t="shared" ca="1" si="7"/>
        <v>5420116.0245418753</v>
      </c>
    </row>
    <row r="185" spans="1:19" ht="15.75" customHeight="1" x14ac:dyDescent="0.3">
      <c r="A185" s="37">
        <v>56584</v>
      </c>
      <c r="B185" s="409">
        <f t="shared" ref="B185:C185" si="181">($A185-B$9)/365.25</f>
        <v>73.040383299110204</v>
      </c>
      <c r="C185" s="409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3525.4531757812501</v>
      </c>
      <c r="H185" s="25">
        <f>IF(B185&lt;62,0,'Combined Retirement'!$I$14)</f>
        <v>2192</v>
      </c>
      <c r="I185" s="25">
        <f>IF(C185&lt;62,0,'Combined Retirement'!$I$13)</f>
        <v>2420</v>
      </c>
      <c r="J185" s="25">
        <f t="shared" si="3"/>
        <v>7863.2184191855868</v>
      </c>
      <c r="K185" s="25">
        <f t="shared" si="4"/>
        <v>20282.026119384056</v>
      </c>
      <c r="L185" s="25"/>
      <c r="N185" s="25">
        <f>'Combined Retirement'!$C$18/12</f>
        <v>39153.069999999992</v>
      </c>
      <c r="O185" s="25">
        <f t="shared" si="5"/>
        <v>11007.82546143035</v>
      </c>
      <c r="P185" s="25">
        <f t="shared" si="6"/>
        <v>28145.244538569641</v>
      </c>
      <c r="Q185" s="25">
        <f t="array" aca="1" ref="Q185" ca="1">INDEX('Isaac 401k'!L:L,MATCH('Retirement Calculator'!A185,'Isaac 401k'!N:N,0),0)</f>
        <v>1506291.430109934</v>
      </c>
      <c r="R185" s="25">
        <f t="array" aca="1" ref="R185" ca="1">INDEX('Lorri 401b'!L:L,MATCH('Retirement Calculator'!A185,'Lorri 401b'!N:N,0),0)</f>
        <v>3908145.8948100526</v>
      </c>
      <c r="S185" s="25">
        <f t="shared" ca="1" si="7"/>
        <v>5414437.3249199865</v>
      </c>
    </row>
    <row r="186" spans="1:19" ht="15.75" customHeight="1" x14ac:dyDescent="0.3">
      <c r="A186" s="37">
        <v>56615</v>
      </c>
      <c r="B186" s="409">
        <f t="shared" ref="B186:C186" si="182">($A186-B$9)/365.25</f>
        <v>73.125256673511288</v>
      </c>
      <c r="C186" s="409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3525.4531757812501</v>
      </c>
      <c r="H186" s="25">
        <f>IF(B186&lt;62,0,'Combined Retirement'!$I$14)</f>
        <v>2192</v>
      </c>
      <c r="I186" s="25">
        <f>IF(C186&lt;62,0,'Combined Retirement'!$I$13)</f>
        <v>2420</v>
      </c>
      <c r="J186" s="25">
        <f t="shared" si="3"/>
        <v>7863.2184191855868</v>
      </c>
      <c r="K186" s="25">
        <f t="shared" si="4"/>
        <v>20282.026119384056</v>
      </c>
      <c r="L186" s="25"/>
      <c r="N186" s="25">
        <f>'Combined Retirement'!$C$18/12</f>
        <v>39153.069999999992</v>
      </c>
      <c r="O186" s="25">
        <f t="shared" si="5"/>
        <v>11007.82546143035</v>
      </c>
      <c r="P186" s="25">
        <f t="shared" si="6"/>
        <v>28145.244538569641</v>
      </c>
      <c r="Q186" s="25">
        <f t="array" aca="1" ref="Q186" ca="1">INDEX('Isaac 401k'!L:L,MATCH('Retirement Calculator'!A186,'Isaac 401k'!N:N,0),0)</f>
        <v>1504671.6625727932</v>
      </c>
      <c r="R186" s="25">
        <f t="array" aca="1" ref="R186" ca="1">INDEX('Lorri 401b'!L:L,MATCH('Retirement Calculator'!A186,'Lorri 401b'!N:N,0),0)</f>
        <v>3904063.3014768795</v>
      </c>
      <c r="S186" s="25">
        <f t="shared" ca="1" si="7"/>
        <v>5408734.9640496727</v>
      </c>
    </row>
    <row r="187" spans="1:19" ht="15.75" customHeight="1" x14ac:dyDescent="0.3">
      <c r="A187" s="37">
        <v>56646</v>
      </c>
      <c r="B187" s="409">
        <f t="shared" ref="B187:C187" si="183">($A187-B$9)/365.25</f>
        <v>73.210130047912386</v>
      </c>
      <c r="C187" s="409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3525.4531757812501</v>
      </c>
      <c r="H187" s="25">
        <f>IF(B187&lt;62,0,'Combined Retirement'!$I$14)</f>
        <v>2192</v>
      </c>
      <c r="I187" s="25">
        <f>IF(C187&lt;62,0,'Combined Retirement'!$I$13)</f>
        <v>2420</v>
      </c>
      <c r="J187" s="25">
        <f t="shared" si="3"/>
        <v>7863.2184191855868</v>
      </c>
      <c r="K187" s="25">
        <f t="shared" si="4"/>
        <v>20282.026119384056</v>
      </c>
      <c r="L187" s="25"/>
      <c r="N187" s="25">
        <f>'Combined Retirement'!$C$18/12</f>
        <v>39153.069999999992</v>
      </c>
      <c r="O187" s="25">
        <f t="shared" si="5"/>
        <v>11007.82546143035</v>
      </c>
      <c r="P187" s="25">
        <f t="shared" si="6"/>
        <v>28145.244538569641</v>
      </c>
      <c r="Q187" s="25">
        <f t="array" aca="1" ref="Q187" ca="1">INDEX('Isaac 401k'!L:L,MATCH('Retirement Calculator'!A187,'Isaac 401k'!N:N,0),0)</f>
        <v>1503045.1460042477</v>
      </c>
      <c r="R187" s="25">
        <f t="array" aca="1" ref="R187" ca="1">INDEX('Lorri 401b'!L:L,MATCH('Retirement Calculator'!A187,'Lorri 401b'!N:N,0),0)</f>
        <v>3899963.6973381517</v>
      </c>
      <c r="S187" s="25">
        <f t="shared" ca="1" si="7"/>
        <v>5403008.8433423992</v>
      </c>
    </row>
    <row r="188" spans="1:19" ht="15.75" customHeight="1" x14ac:dyDescent="0.3">
      <c r="A188" s="37">
        <v>56674</v>
      </c>
      <c r="B188" s="409">
        <f t="shared" ref="B188:C188" si="184">($A188-B$9)/365.25</f>
        <v>73.286789869952088</v>
      </c>
      <c r="C188" s="409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3525.4531757812501</v>
      </c>
      <c r="H188" s="25">
        <f>IF(B188&lt;62,0,'Combined Retirement'!$I$14)</f>
        <v>2192</v>
      </c>
      <c r="I188" s="25">
        <f>IF(C188&lt;62,0,'Combined Retirement'!$I$13)</f>
        <v>2420</v>
      </c>
      <c r="J188" s="25">
        <f t="shared" si="3"/>
        <v>7863.2184191855868</v>
      </c>
      <c r="K188" s="25">
        <f t="shared" si="4"/>
        <v>20282.026119384056</v>
      </c>
      <c r="L188" s="25"/>
      <c r="N188" s="25">
        <f>'Combined Retirement'!$C$18/12</f>
        <v>39153.069999999992</v>
      </c>
      <c r="O188" s="25">
        <f t="shared" si="5"/>
        <v>11007.82546143035</v>
      </c>
      <c r="P188" s="25">
        <f t="shared" si="6"/>
        <v>28145.244538569641</v>
      </c>
      <c r="Q188" s="25">
        <f t="array" aca="1" ref="Q188" ca="1">INDEX('Isaac 401k'!L:L,MATCH('Retirement Calculator'!A188,'Isaac 401k'!N:N,0),0)</f>
        <v>1501411.8522833332</v>
      </c>
      <c r="R188" s="25">
        <f t="array" aca="1" ref="R188" ca="1">INDEX('Lorri 401b'!L:L,MATCH('Retirement Calculator'!A188,'Lorri 401b'!N:N,0),0)</f>
        <v>3895847.0115155126</v>
      </c>
      <c r="S188" s="25">
        <f t="shared" ca="1" si="7"/>
        <v>5397258.8637988456</v>
      </c>
    </row>
    <row r="189" spans="1:19" ht="15.75" customHeight="1" x14ac:dyDescent="0.3">
      <c r="A189" s="37">
        <v>56705</v>
      </c>
      <c r="B189" s="409">
        <f t="shared" ref="B189:C189" si="185">($A189-B$9)/365.25</f>
        <v>73.371663244353186</v>
      </c>
      <c r="C189" s="409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3525.4531757812501</v>
      </c>
      <c r="H189" s="25">
        <f>IF(B189&lt;62,0,'Combined Retirement'!$I$14)</f>
        <v>2192</v>
      </c>
      <c r="I189" s="25">
        <f>IF(C189&lt;62,0,'Combined Retirement'!$I$13)</f>
        <v>2420</v>
      </c>
      <c r="J189" s="25">
        <f t="shared" si="3"/>
        <v>7863.2184191855868</v>
      </c>
      <c r="K189" s="25">
        <f t="shared" si="4"/>
        <v>20282.026119384056</v>
      </c>
      <c r="L189" s="25"/>
      <c r="N189" s="25">
        <f>'Combined Retirement'!$C$18/12</f>
        <v>39153.069999999992</v>
      </c>
      <c r="O189" s="25">
        <f t="shared" si="5"/>
        <v>11007.82546143035</v>
      </c>
      <c r="P189" s="25">
        <f t="shared" si="6"/>
        <v>28145.244538569641</v>
      </c>
      <c r="Q189" s="25">
        <f t="array" aca="1" ref="Q189" ca="1">INDEX('Isaac 401k'!L:L,MATCH('Retirement Calculator'!A189,'Isaac 401k'!N:N,0),0)</f>
        <v>1499771.753171915</v>
      </c>
      <c r="R189" s="25">
        <f t="array" aca="1" ref="R189" ca="1">INDEX('Lorri 401b'!L:L,MATCH('Retirement Calculator'!A189,'Lorri 401b'!N:N,0),0)</f>
        <v>3891713.1728352793</v>
      </c>
      <c r="S189" s="25">
        <f t="shared" ca="1" si="7"/>
        <v>5391484.9260071944</v>
      </c>
    </row>
    <row r="190" spans="1:19" ht="15.75" customHeight="1" x14ac:dyDescent="0.3">
      <c r="A190" s="37">
        <v>56735</v>
      </c>
      <c r="B190" s="409">
        <f t="shared" ref="B190:C190" si="186">($A190-B$9)/365.25</f>
        <v>73.453798767967143</v>
      </c>
      <c r="C190" s="409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3525.4531757812501</v>
      </c>
      <c r="H190" s="25">
        <f>IF(B190&lt;62,0,'Combined Retirement'!$I$14)</f>
        <v>2192</v>
      </c>
      <c r="I190" s="25">
        <f>IF(C190&lt;62,0,'Combined Retirement'!$I$13)</f>
        <v>2420</v>
      </c>
      <c r="J190" s="25">
        <f t="shared" si="3"/>
        <v>7863.2184191855868</v>
      </c>
      <c r="K190" s="25">
        <f t="shared" si="4"/>
        <v>20282.026119384056</v>
      </c>
      <c r="L190" s="25"/>
      <c r="N190" s="25">
        <f>'Combined Retirement'!$C$18/12</f>
        <v>39153.069999999992</v>
      </c>
      <c r="O190" s="25">
        <f t="shared" si="5"/>
        <v>11007.82546143035</v>
      </c>
      <c r="P190" s="25">
        <f t="shared" si="6"/>
        <v>28145.244538569641</v>
      </c>
      <c r="Q190" s="25">
        <f t="array" aca="1" ref="Q190" ca="1">INDEX('Isaac 401k'!L:L,MATCH('Retirement Calculator'!A190,'Isaac 401k'!N:N,0),0)</f>
        <v>1498124.820314199</v>
      </c>
      <c r="R190" s="25">
        <f t="array" aca="1" ref="R190" ca="1">INDEX('Lorri 401b'!L:L,MATCH('Retirement Calculator'!A190,'Lorri 401b'!N:N,0),0)</f>
        <v>3887562.1098272116</v>
      </c>
      <c r="S190" s="25">
        <f t="shared" ca="1" si="7"/>
        <v>5385686.9301414108</v>
      </c>
    </row>
    <row r="191" spans="1:19" ht="15.75" customHeight="1" x14ac:dyDescent="0.3">
      <c r="A191" s="37">
        <v>56766</v>
      </c>
      <c r="B191" s="409">
        <f t="shared" ref="B191:C191" si="187">($A191-B$9)/365.25</f>
        <v>73.538672142368242</v>
      </c>
      <c r="C191" s="409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3525.4531757812501</v>
      </c>
      <c r="H191" s="25">
        <f>IF(B191&lt;62,0,'Combined Retirement'!$I$14)</f>
        <v>2192</v>
      </c>
      <c r="I191" s="25">
        <f>IF(C191&lt;62,0,'Combined Retirement'!$I$13)</f>
        <v>2420</v>
      </c>
      <c r="J191" s="25">
        <f t="shared" si="3"/>
        <v>7863.2184191855868</v>
      </c>
      <c r="K191" s="25">
        <f t="shared" si="4"/>
        <v>20282.026119384056</v>
      </c>
      <c r="L191" s="25"/>
      <c r="N191" s="25">
        <f>'Combined Retirement'!$C$18/12</f>
        <v>39153.069999999992</v>
      </c>
      <c r="O191" s="25">
        <f t="shared" si="5"/>
        <v>11007.82546143035</v>
      </c>
      <c r="P191" s="25">
        <f t="shared" si="6"/>
        <v>28145.244538569641</v>
      </c>
      <c r="Q191" s="25">
        <f t="array" aca="1" ref="Q191" ca="1">INDEX('Isaac 401k'!L:L,MATCH('Retirement Calculator'!A191,'Isaac 401k'!N:N,0),0)</f>
        <v>1496471.0252362427</v>
      </c>
      <c r="R191" s="25">
        <f t="array" aca="1" ref="R191" ca="1">INDEX('Lorri 401b'!L:L,MATCH('Retirement Calculator'!A191,'Lorri 401b'!N:N,0),0)</f>
        <v>3883393.7507232768</v>
      </c>
      <c r="S191" s="25">
        <f t="shared" ca="1" si="7"/>
        <v>5379864.7759595197</v>
      </c>
    </row>
    <row r="192" spans="1:19" ht="15.75" customHeight="1" x14ac:dyDescent="0.3">
      <c r="A192" s="37">
        <v>56796</v>
      </c>
      <c r="B192" s="409">
        <f t="shared" ref="B192:C192" si="188">($A192-B$9)/365.25</f>
        <v>73.620807665982198</v>
      </c>
      <c r="C192" s="409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3525.4531757812501</v>
      </c>
      <c r="H192" s="25">
        <f>IF(B192&lt;62,0,'Combined Retirement'!$I$14)</f>
        <v>2192</v>
      </c>
      <c r="I192" s="25">
        <f>IF(C192&lt;62,0,'Combined Retirement'!$I$13)</f>
        <v>2420</v>
      </c>
      <c r="J192" s="25">
        <f t="shared" si="3"/>
        <v>7863.2184191855868</v>
      </c>
      <c r="K192" s="25">
        <f t="shared" si="4"/>
        <v>20282.026119384056</v>
      </c>
      <c r="L192" s="25"/>
      <c r="N192" s="25">
        <f>'Combined Retirement'!$C$18/12</f>
        <v>39153.069999999992</v>
      </c>
      <c r="O192" s="25">
        <f t="shared" si="5"/>
        <v>11007.82546143035</v>
      </c>
      <c r="P192" s="25">
        <f t="shared" si="6"/>
        <v>28145.244538569641</v>
      </c>
      <c r="Q192" s="25">
        <f t="array" aca="1" ref="Q192" ca="1">INDEX('Isaac 401k'!L:L,MATCH('Retirement Calculator'!A192,'Isaac 401k'!N:N,0),0)</f>
        <v>1494810.3393454615</v>
      </c>
      <c r="R192" s="25">
        <f t="array" aca="1" ref="R192" ca="1">INDEX('Lorri 401b'!L:L,MATCH('Retirement Calculator'!A192,'Lorri 401b'!N:N,0),0)</f>
        <v>3879208.0234564091</v>
      </c>
      <c r="S192" s="25">
        <f t="shared" ca="1" si="7"/>
        <v>5374018.3628018703</v>
      </c>
    </row>
    <row r="193" spans="1:19" ht="15.75" customHeight="1" x14ac:dyDescent="0.3">
      <c r="A193" s="37">
        <v>56827</v>
      </c>
      <c r="B193" s="409">
        <f t="shared" ref="B193:C193" si="189">($A193-B$9)/365.25</f>
        <v>73.705681040383297</v>
      </c>
      <c r="C193" s="409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3525.4531757812501</v>
      </c>
      <c r="H193" s="25">
        <f>IF(B193&lt;62,0,'Combined Retirement'!$I$14)</f>
        <v>2192</v>
      </c>
      <c r="I193" s="25">
        <f>IF(C193&lt;62,0,'Combined Retirement'!$I$13)</f>
        <v>2420</v>
      </c>
      <c r="J193" s="25">
        <f t="shared" si="3"/>
        <v>7863.2184191855868</v>
      </c>
      <c r="K193" s="25">
        <f t="shared" si="4"/>
        <v>20282.026119384056</v>
      </c>
      <c r="L193" s="25"/>
      <c r="N193" s="25">
        <f>'Combined Retirement'!$C$18/12</f>
        <v>39153.069999999992</v>
      </c>
      <c r="O193" s="25">
        <f t="shared" si="5"/>
        <v>11007.82546143035</v>
      </c>
      <c r="P193" s="25">
        <f t="shared" si="6"/>
        <v>28145.244538569641</v>
      </c>
      <c r="Q193" s="25">
        <f t="array" aca="1" ref="Q193" ca="1">INDEX('Isaac 401k'!L:L,MATCH('Retirement Calculator'!A193,'Isaac 401k'!N:N,0),0)</f>
        <v>1493142.7339301354</v>
      </c>
      <c r="R193" s="25">
        <f t="array" aca="1" ref="R193" ca="1">INDEX('Lorri 401b'!L:L,MATCH('Retirement Calculator'!A193,'Lorri 401b'!N:N,0),0)</f>
        <v>3875004.8556592627</v>
      </c>
      <c r="S193" s="25">
        <f t="shared" ca="1" si="7"/>
        <v>5368147.5895893984</v>
      </c>
    </row>
    <row r="194" spans="1:19" ht="15.75" customHeight="1" x14ac:dyDescent="0.3">
      <c r="A194" s="37">
        <v>56858</v>
      </c>
      <c r="B194" s="409">
        <f t="shared" ref="B194:C194" si="190">($A194-B$9)/365.25</f>
        <v>73.790554414784395</v>
      </c>
      <c r="C194" s="409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3525.4531757812501</v>
      </c>
      <c r="H194" s="25">
        <f>IF(B194&lt;62,0,'Combined Retirement'!$I$14)</f>
        <v>2192</v>
      </c>
      <c r="I194" s="25">
        <f>IF(C194&lt;62,0,'Combined Retirement'!$I$13)</f>
        <v>2420</v>
      </c>
      <c r="J194" s="25">
        <f t="shared" si="3"/>
        <v>7863.2184191855868</v>
      </c>
      <c r="K194" s="25">
        <f t="shared" si="4"/>
        <v>20282.026119384056</v>
      </c>
      <c r="L194" s="25"/>
      <c r="N194" s="25">
        <f>'Combined Retirement'!$C$18/12</f>
        <v>39153.069999999992</v>
      </c>
      <c r="O194" s="25">
        <f t="shared" si="5"/>
        <v>11007.82546143035</v>
      </c>
      <c r="P194" s="25">
        <f t="shared" si="6"/>
        <v>28145.244538569641</v>
      </c>
      <c r="Q194" s="25">
        <f t="array" aca="1" ref="Q194" ca="1">INDEX('Isaac 401k'!L:L,MATCH('Retirement Calculator'!A194,'Isaac 401k'!N:N,0),0)</f>
        <v>1491468.180158912</v>
      </c>
      <c r="R194" s="25">
        <f t="array" aca="1" ref="R194" ca="1">INDEX('Lorri 401b'!L:L,MATCH('Retirement Calculator'!A194,'Lorri 401b'!N:N,0),0)</f>
        <v>3870784.1746629616</v>
      </c>
      <c r="S194" s="25">
        <f t="shared" ca="1" si="7"/>
        <v>5362252.3548218738</v>
      </c>
    </row>
    <row r="195" spans="1:19" ht="15.75" customHeight="1" x14ac:dyDescent="0.3">
      <c r="A195" s="37">
        <v>56888</v>
      </c>
      <c r="B195" s="409">
        <f t="shared" ref="B195:C195" si="191">($A195-B$9)/365.25</f>
        <v>73.872689938398352</v>
      </c>
      <c r="C195" s="409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3525.4531757812501</v>
      </c>
      <c r="H195" s="25">
        <f>IF(B195&lt;62,0,'Combined Retirement'!$I$14)</f>
        <v>2192</v>
      </c>
      <c r="I195" s="25">
        <f>IF(C195&lt;62,0,'Combined Retirement'!$I$13)</f>
        <v>2420</v>
      </c>
      <c r="J195" s="25">
        <f t="shared" si="3"/>
        <v>7863.2184191855868</v>
      </c>
      <c r="K195" s="25">
        <f t="shared" si="4"/>
        <v>20282.026119384056</v>
      </c>
      <c r="L195" s="25"/>
      <c r="N195" s="25">
        <f>'Combined Retirement'!$C$18/12</f>
        <v>39153.069999999992</v>
      </c>
      <c r="O195" s="25">
        <f t="shared" si="5"/>
        <v>11007.82546143035</v>
      </c>
      <c r="P195" s="25">
        <f t="shared" si="6"/>
        <v>28145.244538569641</v>
      </c>
      <c r="Q195" s="25">
        <f t="array" aca="1" ref="Q195" ca="1">INDEX('Isaac 401k'!L:L,MATCH('Retirement Calculator'!A195,'Isaac 401k'!N:N,0),0)</f>
        <v>1489786.6490803086</v>
      </c>
      <c r="R195" s="25">
        <f t="array" aca="1" ref="R195" ca="1">INDEX('Lorri 401b'!L:L,MATCH('Retirement Calculator'!A195,'Lorri 401b'!N:N,0),0)</f>
        <v>3866545.9074958423</v>
      </c>
      <c r="S195" s="25">
        <f t="shared" ca="1" si="7"/>
        <v>5356332.5565761514</v>
      </c>
    </row>
    <row r="196" spans="1:19" ht="15.75" customHeight="1" x14ac:dyDescent="0.3">
      <c r="A196" s="37">
        <v>56919</v>
      </c>
      <c r="B196" s="409">
        <f t="shared" ref="B196:C196" si="192">($A196-B$9)/365.25</f>
        <v>73.957563312799451</v>
      </c>
      <c r="C196" s="409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3525.4531757812501</v>
      </c>
      <c r="H196" s="25">
        <f>IF(B196&lt;62,0,'Combined Retirement'!$I$14)</f>
        <v>2192</v>
      </c>
      <c r="I196" s="25">
        <f>IF(C196&lt;62,0,'Combined Retirement'!$I$13)</f>
        <v>2420</v>
      </c>
      <c r="J196" s="25">
        <f t="shared" si="3"/>
        <v>7863.2184191855868</v>
      </c>
      <c r="K196" s="25">
        <f t="shared" si="4"/>
        <v>20282.026119384056</v>
      </c>
      <c r="L196" s="25"/>
      <c r="N196" s="25">
        <f>'Combined Retirement'!$C$18/12</f>
        <v>39153.069999999992</v>
      </c>
      <c r="O196" s="25">
        <f t="shared" si="5"/>
        <v>11007.82546143035</v>
      </c>
      <c r="P196" s="25">
        <f t="shared" si="6"/>
        <v>28145.244538569641</v>
      </c>
      <c r="Q196" s="25">
        <f t="array" aca="1" ref="Q196" ca="1">INDEX('Isaac 401k'!L:L,MATCH('Retirement Calculator'!A196,'Isaac 401k'!N:N,0),0)</f>
        <v>1488098.1116222111</v>
      </c>
      <c r="R196" s="25">
        <f t="array" aca="1" ref="R196" ca="1">INDEX('Lorri 401b'!L:L,MATCH('Retirement Calculator'!A196,'Lorri 401b'!N:N,0),0)</f>
        <v>3862289.9808821934</v>
      </c>
      <c r="S196" s="25">
        <f t="shared" ca="1" si="7"/>
        <v>5350388.0925044045</v>
      </c>
    </row>
    <row r="197" spans="1:19" ht="15.75" customHeight="1" x14ac:dyDescent="0.3">
      <c r="A197" s="37">
        <v>56949</v>
      </c>
      <c r="B197" s="409">
        <f t="shared" ref="B197:C197" si="193">($A197-B$9)/365.25</f>
        <v>74.039698836413422</v>
      </c>
      <c r="C197" s="409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3525.4531757812501</v>
      </c>
      <c r="H197" s="25">
        <f>IF(B197&lt;62,0,'Combined Retirement'!$I$14)</f>
        <v>2192</v>
      </c>
      <c r="I197" s="25">
        <f>IF(C197&lt;62,0,'Combined Retirement'!$I$13)</f>
        <v>2420</v>
      </c>
      <c r="J197" s="25">
        <f t="shared" si="3"/>
        <v>7863.2184191855868</v>
      </c>
      <c r="K197" s="25">
        <f t="shared" si="4"/>
        <v>20282.026119384056</v>
      </c>
      <c r="L197" s="25"/>
      <c r="N197" s="25">
        <f>'Combined Retirement'!$C$18/12</f>
        <v>39153.069999999992</v>
      </c>
      <c r="O197" s="25">
        <f t="shared" si="5"/>
        <v>11007.82546143035</v>
      </c>
      <c r="P197" s="25">
        <f t="shared" si="6"/>
        <v>28145.244538569641</v>
      </c>
      <c r="Q197" s="25">
        <f t="array" aca="1" ref="Q197" ca="1">INDEX('Isaac 401k'!L:L,MATCH('Retirement Calculator'!A197,'Isaac 401k'!N:N,0),0)</f>
        <v>1486402.5385913714</v>
      </c>
      <c r="R197" s="25">
        <f t="array" aca="1" ref="R197" ca="1">INDEX('Lorri 401b'!L:L,MATCH('Retirement Calculator'!A197,'Lorri 401b'!N:N,0),0)</f>
        <v>3858016.3212409876</v>
      </c>
      <c r="S197" s="25">
        <f t="shared" ca="1" si="7"/>
        <v>5344418.8598323595</v>
      </c>
    </row>
    <row r="198" spans="1:19" ht="15.75" customHeight="1" x14ac:dyDescent="0.3">
      <c r="A198" s="37">
        <v>56980</v>
      </c>
      <c r="B198" s="409">
        <f t="shared" ref="B198:C198" si="194">($A198-B$9)/365.25</f>
        <v>74.124572210814506</v>
      </c>
      <c r="C198" s="409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3525.4531757812501</v>
      </c>
      <c r="H198" s="25">
        <f>IF(B198&lt;62,0,'Combined Retirement'!$I$14)</f>
        <v>2192</v>
      </c>
      <c r="I198" s="25">
        <f>IF(C198&lt;62,0,'Combined Retirement'!$I$13)</f>
        <v>2420</v>
      </c>
      <c r="J198" s="25">
        <f t="shared" si="3"/>
        <v>7863.2184191855868</v>
      </c>
      <c r="K198" s="25">
        <f t="shared" si="4"/>
        <v>20282.026119384056</v>
      </c>
      <c r="L198" s="25"/>
      <c r="N198" s="25">
        <f>'Combined Retirement'!$C$18/12</f>
        <v>39153.069999999992</v>
      </c>
      <c r="O198" s="25">
        <f t="shared" si="5"/>
        <v>11007.82546143035</v>
      </c>
      <c r="P198" s="25">
        <f t="shared" si="6"/>
        <v>28145.244538569641</v>
      </c>
      <c r="Q198" s="25">
        <f t="array" aca="1" ref="Q198" ca="1">INDEX('Isaac 401k'!L:L,MATCH('Retirement Calculator'!A198,'Isaac 401k'!N:N,0),0)</f>
        <v>1484699.9006729033</v>
      </c>
      <c r="R198" s="25">
        <f t="array" aca="1" ref="R198" ca="1">INDEX('Lorri 401b'!L:L,MATCH('Retirement Calculator'!A198,'Lorri 401b'!N:N,0),0)</f>
        <v>3853724.8546846104</v>
      </c>
      <c r="S198" s="25">
        <f t="shared" ca="1" si="7"/>
        <v>5338424.7553575132</v>
      </c>
    </row>
    <row r="199" spans="1:19" ht="15.75" customHeight="1" x14ac:dyDescent="0.3">
      <c r="A199" s="37">
        <v>57011</v>
      </c>
      <c r="B199" s="409">
        <f t="shared" ref="B199:C199" si="195">($A199-B$9)/365.25</f>
        <v>74.209445585215605</v>
      </c>
      <c r="C199" s="409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3525.4531757812501</v>
      </c>
      <c r="H199" s="25">
        <f>IF(B199&lt;62,0,'Combined Retirement'!$I$14)</f>
        <v>2192</v>
      </c>
      <c r="I199" s="25">
        <f>IF(C199&lt;62,0,'Combined Retirement'!$I$13)</f>
        <v>2420</v>
      </c>
      <c r="J199" s="25">
        <f t="shared" si="3"/>
        <v>7863.2184191855868</v>
      </c>
      <c r="K199" s="25">
        <f t="shared" si="4"/>
        <v>20282.026119384056</v>
      </c>
      <c r="L199" s="25"/>
      <c r="N199" s="25">
        <f>'Combined Retirement'!$C$18/12</f>
        <v>39153.069999999992</v>
      </c>
      <c r="O199" s="25">
        <f t="shared" si="5"/>
        <v>11007.82546143035</v>
      </c>
      <c r="P199" s="25">
        <f t="shared" si="6"/>
        <v>28145.244538569641</v>
      </c>
      <c r="Q199" s="25">
        <f t="array" aca="1" ref="Q199" ca="1">INDEX('Isaac 401k'!L:L,MATCH('Retirement Calculator'!A199,'Isaac 401k'!N:N,0),0)</f>
        <v>1482990.1684297749</v>
      </c>
      <c r="R199" s="25">
        <f t="array" aca="1" ref="R199" ca="1">INDEX('Lorri 401b'!L:L,MATCH('Retirement Calculator'!A199,'Lorri 401b'!N:N,0),0)</f>
        <v>3849415.5070175817</v>
      </c>
      <c r="S199" s="25">
        <f t="shared" ca="1" si="7"/>
        <v>5332405.6754473569</v>
      </c>
    </row>
    <row r="200" spans="1:19" ht="15.75" customHeight="1" x14ac:dyDescent="0.3">
      <c r="A200" s="37">
        <v>57040</v>
      </c>
      <c r="B200" s="409">
        <f t="shared" ref="B200:C200" si="196">($A200-B$9)/365.25</f>
        <v>74.288843258042434</v>
      </c>
      <c r="C200" s="409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3525.4531757812501</v>
      </c>
      <c r="H200" s="25">
        <f>IF(B200&lt;62,0,'Combined Retirement'!$I$14)</f>
        <v>2192</v>
      </c>
      <c r="I200" s="25">
        <f>IF(C200&lt;62,0,'Combined Retirement'!$I$13)</f>
        <v>2420</v>
      </c>
      <c r="J200" s="25">
        <f t="shared" si="3"/>
        <v>7863.2184191855868</v>
      </c>
      <c r="K200" s="25">
        <f t="shared" si="4"/>
        <v>20282.026119384056</v>
      </c>
      <c r="L200" s="25"/>
      <c r="N200" s="25">
        <f>'Combined Retirement'!$C$18/12</f>
        <v>39153.069999999992</v>
      </c>
      <c r="O200" s="25">
        <f t="shared" si="5"/>
        <v>11007.82546143035</v>
      </c>
      <c r="P200" s="25">
        <f t="shared" si="6"/>
        <v>28145.244538569641</v>
      </c>
      <c r="Q200" s="25">
        <f t="array" aca="1" ref="Q200" ca="1">INDEX('Isaac 401k'!L:L,MATCH('Retirement Calculator'!A200,'Isaac 401k'!N:N,0),0)</f>
        <v>1481273.3123023</v>
      </c>
      <c r="R200" s="25">
        <f t="array" aca="1" ref="R200" ca="1">INDEX('Lorri 401b'!L:L,MATCH('Retirement Calculator'!A200,'Lorri 401b'!N:N,0),0)</f>
        <v>3845088.2037352733</v>
      </c>
      <c r="S200" s="25">
        <f t="shared" ca="1" si="7"/>
        <v>5326361.5160375731</v>
      </c>
    </row>
    <row r="201" spans="1:19" ht="15.75" customHeight="1" x14ac:dyDescent="0.3">
      <c r="A201" s="37">
        <v>57071</v>
      </c>
      <c r="B201" s="409">
        <f t="shared" ref="B201:C201" si="197">($A201-B$9)/365.25</f>
        <v>74.373716632443532</v>
      </c>
      <c r="C201" s="409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3525.4531757812501</v>
      </c>
      <c r="H201" s="25">
        <f>IF(B201&lt;62,0,'Combined Retirement'!$I$14)</f>
        <v>2192</v>
      </c>
      <c r="I201" s="25">
        <f>IF(C201&lt;62,0,'Combined Retirement'!$I$13)</f>
        <v>2420</v>
      </c>
      <c r="J201" s="25">
        <f t="shared" si="3"/>
        <v>7863.2184191855868</v>
      </c>
      <c r="K201" s="25">
        <f t="shared" si="4"/>
        <v>20282.026119384056</v>
      </c>
      <c r="L201" s="25"/>
      <c r="N201" s="25">
        <f>'Combined Retirement'!$C$18/12</f>
        <v>39153.069999999992</v>
      </c>
      <c r="O201" s="25">
        <f t="shared" si="5"/>
        <v>11007.82546143035</v>
      </c>
      <c r="P201" s="25">
        <f t="shared" si="6"/>
        <v>28145.244538569641</v>
      </c>
      <c r="Q201" s="25">
        <f t="array" aca="1" ref="Q201" ca="1">INDEX('Isaac 401k'!L:L,MATCH('Retirement Calculator'!A201,'Isaac 401k'!N:N,0),0)</f>
        <v>1479549.3026076274</v>
      </c>
      <c r="R201" s="25">
        <f t="array" aca="1" ref="R201" ca="1">INDEX('Lorri 401b'!L:L,MATCH('Retirement Calculator'!A201,'Lorri 401b'!N:N,0),0)</f>
        <v>3840742.8700226224</v>
      </c>
      <c r="S201" s="25">
        <f t="shared" ca="1" si="7"/>
        <v>5320292.1726302495</v>
      </c>
    </row>
    <row r="202" spans="1:19" ht="15.75" customHeight="1" x14ac:dyDescent="0.3">
      <c r="A202" s="37">
        <v>57101</v>
      </c>
      <c r="B202" s="409">
        <f t="shared" ref="B202:C202" si="198">($A202-B$9)/365.25</f>
        <v>74.455852156057489</v>
      </c>
      <c r="C202" s="409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3525.4531757812501</v>
      </c>
      <c r="H202" s="25">
        <f>IF(B202&lt;62,0,'Combined Retirement'!$I$14)</f>
        <v>2192</v>
      </c>
      <c r="I202" s="25">
        <f>IF(C202&lt;62,0,'Combined Retirement'!$I$13)</f>
        <v>2420</v>
      </c>
      <c r="J202" s="25">
        <f t="shared" si="3"/>
        <v>7863.2184191855868</v>
      </c>
      <c r="K202" s="25">
        <f t="shared" si="4"/>
        <v>20282.026119384056</v>
      </c>
      <c r="L202" s="25"/>
      <c r="N202" s="25">
        <f>'Combined Retirement'!$C$18/12</f>
        <v>39153.069999999992</v>
      </c>
      <c r="O202" s="25">
        <f t="shared" si="5"/>
        <v>11007.82546143035</v>
      </c>
      <c r="P202" s="25">
        <f t="shared" si="6"/>
        <v>28145.244538569641</v>
      </c>
      <c r="Q202" s="25">
        <f t="array" aca="1" ref="Q202" ca="1">INDEX('Isaac 401k'!L:L,MATCH('Retirement Calculator'!A202,'Isaac 401k'!N:N,0),0)</f>
        <v>1477818.1095392269</v>
      </c>
      <c r="R202" s="25">
        <f t="array" aca="1" ref="R202" ca="1">INDEX('Lorri 401b'!L:L,MATCH('Retirement Calculator'!A202,'Lorri 401b'!N:N,0),0)</f>
        <v>3836379.4307528352</v>
      </c>
      <c r="S202" s="25">
        <f t="shared" ca="1" si="7"/>
        <v>5314197.5402920619</v>
      </c>
    </row>
    <row r="203" spans="1:19" ht="15.75" customHeight="1" x14ac:dyDescent="0.3">
      <c r="A203" s="37">
        <v>57132</v>
      </c>
      <c r="B203" s="409">
        <f t="shared" ref="B203:C203" si="199">($A203-B$9)/365.25</f>
        <v>74.540725530458587</v>
      </c>
      <c r="C203" s="409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3525.4531757812501</v>
      </c>
      <c r="H203" s="25">
        <f>IF(B203&lt;62,0,'Combined Retirement'!$I$14)</f>
        <v>2192</v>
      </c>
      <c r="I203" s="25">
        <f>IF(C203&lt;62,0,'Combined Retirement'!$I$13)</f>
        <v>2420</v>
      </c>
      <c r="J203" s="25">
        <f t="shared" si="3"/>
        <v>7863.2184191855868</v>
      </c>
      <c r="K203" s="25">
        <f t="shared" si="4"/>
        <v>20282.026119384056</v>
      </c>
      <c r="L203" s="25"/>
      <c r="N203" s="25">
        <f>'Combined Retirement'!$C$18/12</f>
        <v>39153.069999999992</v>
      </c>
      <c r="O203" s="25">
        <f t="shared" si="5"/>
        <v>11007.82546143035</v>
      </c>
      <c r="P203" s="25">
        <f t="shared" si="6"/>
        <v>28145.244538569641</v>
      </c>
      <c r="Q203" s="25">
        <f t="array" aca="1" ref="Q203" ca="1">INDEX('Isaac 401k'!L:L,MATCH('Retirement Calculator'!A203,'Isaac 401k'!N:N,0),0)</f>
        <v>1476079.7031663747</v>
      </c>
      <c r="R203" s="25">
        <f t="array" aca="1" ref="R203" ca="1">INDEX('Lorri 401b'!L:L,MATCH('Retirement Calculator'!A203,'Lorri 401b'!N:N,0),0)</f>
        <v>3831997.8104860908</v>
      </c>
      <c r="S203" s="25">
        <f t="shared" ca="1" si="7"/>
        <v>5308077.5136524653</v>
      </c>
    </row>
    <row r="204" spans="1:19" ht="15.75" customHeight="1" x14ac:dyDescent="0.3">
      <c r="A204" s="37">
        <v>57162</v>
      </c>
      <c r="B204" s="409">
        <f t="shared" ref="B204:C204" si="200">($A204-B$9)/365.25</f>
        <v>74.622861054072558</v>
      </c>
      <c r="C204" s="409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3525.4531757812501</v>
      </c>
      <c r="H204" s="25">
        <f>IF(B204&lt;62,0,'Combined Retirement'!$I$14)</f>
        <v>2192</v>
      </c>
      <c r="I204" s="25">
        <f>IF(C204&lt;62,0,'Combined Retirement'!$I$13)</f>
        <v>2420</v>
      </c>
      <c r="J204" s="25">
        <f t="shared" si="3"/>
        <v>7863.2184191855868</v>
      </c>
      <c r="K204" s="25">
        <f t="shared" si="4"/>
        <v>20282.026119384056</v>
      </c>
      <c r="L204" s="25"/>
      <c r="N204" s="25">
        <f>'Combined Retirement'!$C$18/12</f>
        <v>39153.069999999992</v>
      </c>
      <c r="O204" s="25">
        <f t="shared" si="5"/>
        <v>11007.82546143035</v>
      </c>
      <c r="P204" s="25">
        <f t="shared" si="6"/>
        <v>28145.244538569641</v>
      </c>
      <c r="Q204" s="25">
        <f t="array" aca="1" ref="Q204" ca="1">INDEX('Isaac 401k'!L:L,MATCH('Retirement Calculator'!A204,'Isaac 401k'!N:N,0),0)</f>
        <v>1474334.0534336357</v>
      </c>
      <c r="R204" s="25">
        <f t="array" aca="1" ref="R204" ca="1">INDEX('Lorri 401b'!L:L,MATCH('Retirement Calculator'!A204,'Lorri 401b'!N:N,0),0)</f>
        <v>3827597.9334682347</v>
      </c>
      <c r="S204" s="25">
        <f t="shared" ca="1" si="7"/>
        <v>5301931.98690187</v>
      </c>
    </row>
    <row r="205" spans="1:19" ht="15.75" customHeight="1" x14ac:dyDescent="0.3">
      <c r="A205" s="37">
        <v>57193</v>
      </c>
      <c r="B205" s="409">
        <f t="shared" ref="B205:C205" si="201">($A205-B$9)/365.25</f>
        <v>74.707734428473643</v>
      </c>
      <c r="C205" s="409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3525.4531757812501</v>
      </c>
      <c r="H205" s="25">
        <f>IF(B205&lt;62,0,'Combined Retirement'!$I$14)</f>
        <v>2192</v>
      </c>
      <c r="I205" s="25">
        <f>IF(C205&lt;62,0,'Combined Retirement'!$I$13)</f>
        <v>2420</v>
      </c>
      <c r="J205" s="25">
        <f t="shared" si="3"/>
        <v>7863.2184191855868</v>
      </c>
      <c r="K205" s="25">
        <f t="shared" si="4"/>
        <v>20282.026119384056</v>
      </c>
      <c r="L205" s="25"/>
      <c r="N205" s="25">
        <f>'Combined Retirement'!$C$18/12</f>
        <v>39153.069999999992</v>
      </c>
      <c r="O205" s="25">
        <f t="shared" si="5"/>
        <v>11007.82546143035</v>
      </c>
      <c r="P205" s="25">
        <f t="shared" si="6"/>
        <v>28145.244538569641</v>
      </c>
      <c r="Q205" s="25">
        <f t="array" aca="1" ref="Q205" ca="1">INDEX('Isaac 401k'!L:L,MATCH('Retirement Calculator'!A205,'Isaac 401k'!N:N,0),0)</f>
        <v>1472581.1301603436</v>
      </c>
      <c r="R205" s="25">
        <f t="array" aca="1" ref="R205" ca="1">INDEX('Lorri 401b'!L:L,MATCH('Retirement Calculator'!A205,'Lorri 401b'!N:N,0),0)</f>
        <v>3823179.7236294709</v>
      </c>
      <c r="S205" s="25">
        <f t="shared" ca="1" si="7"/>
        <v>5295760.8537898147</v>
      </c>
    </row>
    <row r="206" spans="1:19" ht="15.75" customHeight="1" x14ac:dyDescent="0.3">
      <c r="A206" s="37">
        <v>57224</v>
      </c>
      <c r="B206" s="409">
        <f t="shared" ref="B206:C206" si="202">($A206-B$9)/365.25</f>
        <v>74.792607802874741</v>
      </c>
      <c r="C206" s="409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3525.4531757812501</v>
      </c>
      <c r="H206" s="25">
        <f>IF(B206&lt;62,0,'Combined Retirement'!$I$14)</f>
        <v>2192</v>
      </c>
      <c r="I206" s="25">
        <f>IF(C206&lt;62,0,'Combined Retirement'!$I$13)</f>
        <v>2420</v>
      </c>
      <c r="J206" s="25">
        <f t="shared" si="3"/>
        <v>7863.2184191855868</v>
      </c>
      <c r="K206" s="25">
        <f t="shared" si="4"/>
        <v>20282.026119384056</v>
      </c>
      <c r="L206" s="25"/>
      <c r="N206" s="25">
        <f>'Combined Retirement'!$C$18/12</f>
        <v>39153.069999999992</v>
      </c>
      <c r="O206" s="25">
        <f t="shared" si="5"/>
        <v>11007.82546143035</v>
      </c>
      <c r="P206" s="25">
        <f t="shared" si="6"/>
        <v>28145.244538569641</v>
      </c>
      <c r="Q206" s="25">
        <f t="array" aca="1" ref="Q206" ca="1">INDEX('Isaac 401k'!L:L,MATCH('Retirement Calculator'!A206,'Isaac 401k'!N:N,0),0)</f>
        <v>1470820.9030400794</v>
      </c>
      <c r="R206" s="25">
        <f t="array" aca="1" ref="R206" ca="1">INDEX('Lorri 401b'!L:L,MATCH('Retirement Calculator'!A206,'Lorri 401b'!N:N,0),0)</f>
        <v>3818743.1045830455</v>
      </c>
      <c r="S206" s="25">
        <f t="shared" ca="1" si="7"/>
        <v>5289564.0076231249</v>
      </c>
    </row>
    <row r="207" spans="1:19" ht="15.75" customHeight="1" x14ac:dyDescent="0.3">
      <c r="A207" s="37">
        <v>57254</v>
      </c>
      <c r="B207" s="409">
        <f t="shared" ref="B207:C207" si="203">($A207-B$9)/365.25</f>
        <v>74.874743326488712</v>
      </c>
      <c r="C207" s="409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3525.4531757812501</v>
      </c>
      <c r="H207" s="25">
        <f>IF(B207&lt;62,0,'Combined Retirement'!$I$14)</f>
        <v>2192</v>
      </c>
      <c r="I207" s="25">
        <f>IF(C207&lt;62,0,'Combined Retirement'!$I$13)</f>
        <v>2420</v>
      </c>
      <c r="J207" s="25">
        <f t="shared" si="3"/>
        <v>7863.2184191855868</v>
      </c>
      <c r="K207" s="25">
        <f t="shared" si="4"/>
        <v>20282.026119384056</v>
      </c>
      <c r="L207" s="25"/>
      <c r="N207" s="25">
        <f>'Combined Retirement'!$C$18/12</f>
        <v>39153.069999999992</v>
      </c>
      <c r="O207" s="25">
        <f t="shared" si="5"/>
        <v>11007.82546143035</v>
      </c>
      <c r="P207" s="25">
        <f t="shared" si="6"/>
        <v>28145.244538569641</v>
      </c>
      <c r="Q207" s="25">
        <f t="array" aca="1" ref="Q207" ca="1">INDEX('Isaac 401k'!L:L,MATCH('Retirement Calculator'!A207,'Isaac 401k'!N:N,0),0)</f>
        <v>1469053.3416401476</v>
      </c>
      <c r="R207" s="25">
        <f t="array" aca="1" ref="R207" ca="1">INDEX('Lorri 401b'!L:L,MATCH('Retirement Calculator'!A207,'Lorri 401b'!N:N,0),0)</f>
        <v>3814287.9996239268</v>
      </c>
      <c r="S207" s="25">
        <f t="shared" ca="1" si="7"/>
        <v>5283341.3412640747</v>
      </c>
    </row>
    <row r="208" spans="1:19" ht="15.75" customHeight="1" x14ac:dyDescent="0.3">
      <c r="A208" s="37">
        <v>57285</v>
      </c>
      <c r="B208" s="409">
        <f t="shared" ref="B208:C208" si="204">($A208-B$9)/365.25</f>
        <v>74.959616700889796</v>
      </c>
      <c r="C208" s="409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3525.4531757812501</v>
      </c>
      <c r="H208" s="25">
        <f>IF(B208&lt;62,0,'Combined Retirement'!$I$14)</f>
        <v>2192</v>
      </c>
      <c r="I208" s="25">
        <f>IF(C208&lt;62,0,'Combined Retirement'!$I$13)</f>
        <v>2420</v>
      </c>
      <c r="J208" s="25">
        <f t="shared" si="3"/>
        <v>7863.2184191855868</v>
      </c>
      <c r="K208" s="25">
        <f t="shared" si="4"/>
        <v>20282.026119384056</v>
      </c>
      <c r="L208" s="25"/>
      <c r="N208" s="25">
        <f>'Combined Retirement'!$C$18/12</f>
        <v>39153.069999999992</v>
      </c>
      <c r="O208" s="25">
        <f t="shared" si="5"/>
        <v>11007.82546143035</v>
      </c>
      <c r="P208" s="25">
        <f t="shared" si="6"/>
        <v>28145.244538569641</v>
      </c>
      <c r="Q208" s="25">
        <f t="array" aca="1" ref="Q208" ca="1">INDEX('Isaac 401k'!L:L,MATCH('Retirement Calculator'!A208,'Isaac 401k'!N:N,0),0)</f>
        <v>1467278.4154010494</v>
      </c>
      <c r="R208" s="25">
        <f t="array" aca="1" ref="R208" ca="1">INDEX('Lorri 401b'!L:L,MATCH('Retirement Calculator'!A208,'Lorri 401b'!N:N,0),0)</f>
        <v>3809814.3317274787</v>
      </c>
      <c r="S208" s="25">
        <f t="shared" ca="1" si="7"/>
        <v>5277092.7471285276</v>
      </c>
    </row>
    <row r="209" spans="1:19" ht="15.75" customHeight="1" x14ac:dyDescent="0.3">
      <c r="A209" s="37">
        <v>57315</v>
      </c>
      <c r="B209" s="409">
        <f t="shared" ref="B209:C209" si="205">($A209-B$9)/365.25</f>
        <v>75.041752224503767</v>
      </c>
      <c r="C209" s="409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3525.4531757812501</v>
      </c>
      <c r="H209" s="25">
        <f>IF(B209&lt;62,0,'Combined Retirement'!$I$14)</f>
        <v>2192</v>
      </c>
      <c r="I209" s="25">
        <f>IF(C209&lt;62,0,'Combined Retirement'!$I$13)</f>
        <v>2420</v>
      </c>
      <c r="J209" s="25">
        <f t="shared" si="3"/>
        <v>7863.2184191855868</v>
      </c>
      <c r="K209" s="25">
        <f t="shared" si="4"/>
        <v>20282.026119384056</v>
      </c>
      <c r="L209" s="25"/>
      <c r="N209" s="25">
        <f>'Combined Retirement'!$C$18/12</f>
        <v>39153.069999999992</v>
      </c>
      <c r="O209" s="25">
        <f t="shared" si="5"/>
        <v>11007.82546143035</v>
      </c>
      <c r="P209" s="25">
        <f t="shared" si="6"/>
        <v>28145.244538569641</v>
      </c>
      <c r="Q209" s="25">
        <f t="array" aca="1" ref="Q209" ca="1">INDEX('Isaac 401k'!L:L,MATCH('Retirement Calculator'!A209,'Isaac 401k'!N:N,0),0)</f>
        <v>1465496.0936359549</v>
      </c>
      <c r="R209" s="25">
        <f t="array" aca="1" ref="R209" ca="1">INDEX('Lorri 401b'!L:L,MATCH('Retirement Calculator'!A209,'Lorri 401b'!N:N,0),0)</f>
        <v>3805322.0235481285</v>
      </c>
      <c r="S209" s="25">
        <f t="shared" ca="1" si="7"/>
        <v>5270818.1171840839</v>
      </c>
    </row>
    <row r="210" spans="1:19" ht="15.75" customHeight="1" x14ac:dyDescent="0.3">
      <c r="A210" s="37">
        <v>57346</v>
      </c>
      <c r="B210" s="409">
        <f t="shared" ref="B210:C210" si="206">($A210-B$9)/365.25</f>
        <v>75.126625598904866</v>
      </c>
      <c r="C210" s="409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3525.4531757812501</v>
      </c>
      <c r="H210" s="25">
        <f>IF(B210&lt;62,0,'Combined Retirement'!$I$14)</f>
        <v>2192</v>
      </c>
      <c r="I210" s="25">
        <f>IF(C210&lt;62,0,'Combined Retirement'!$I$13)</f>
        <v>2420</v>
      </c>
      <c r="J210" s="25">
        <f t="shared" si="3"/>
        <v>7863.2184191855868</v>
      </c>
      <c r="K210" s="25">
        <f t="shared" si="4"/>
        <v>20282.026119384056</v>
      </c>
      <c r="L210" s="25"/>
      <c r="N210" s="25">
        <f>'Combined Retirement'!$C$18/12</f>
        <v>39153.069999999992</v>
      </c>
      <c r="O210" s="25">
        <f t="shared" si="5"/>
        <v>11007.82546143035</v>
      </c>
      <c r="P210" s="25">
        <f t="shared" si="6"/>
        <v>28145.244538569641</v>
      </c>
      <c r="Q210" s="25">
        <f t="array" aca="1" ref="Q210" ca="1">INDEX('Isaac 401k'!L:L,MATCH('Retirement Calculator'!A210,'Isaac 401k'!N:N,0),0)</f>
        <v>1463706.3455301726</v>
      </c>
      <c r="R210" s="25">
        <f t="array" aca="1" ref="R210" ca="1">INDEX('Lorri 401b'!L:L,MATCH('Retirement Calculator'!A210,'Lorri 401b'!N:N,0),0)</f>
        <v>3800810.9974180311</v>
      </c>
      <c r="S210" s="25">
        <f t="shared" ca="1" si="7"/>
        <v>5264517.3429482039</v>
      </c>
    </row>
    <row r="211" spans="1:19" ht="15.75" customHeight="1" x14ac:dyDescent="0.3">
      <c r="A211" s="37">
        <v>57377</v>
      </c>
      <c r="B211" s="409">
        <f t="shared" ref="B211:C211" si="207">($A211-B$9)/365.25</f>
        <v>75.21149897330595</v>
      </c>
      <c r="C211" s="409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3525.4531757812501</v>
      </c>
      <c r="H211" s="25">
        <f>IF(B211&lt;62,0,'Combined Retirement'!$I$14)</f>
        <v>2192</v>
      </c>
      <c r="I211" s="25">
        <f>IF(C211&lt;62,0,'Combined Retirement'!$I$13)</f>
        <v>2420</v>
      </c>
      <c r="J211" s="25">
        <f t="shared" si="3"/>
        <v>7863.2184191855868</v>
      </c>
      <c r="K211" s="25">
        <f t="shared" si="4"/>
        <v>20282.026119384056</v>
      </c>
      <c r="L211" s="25"/>
      <c r="N211" s="25">
        <f>'Combined Retirement'!$C$18/12</f>
        <v>39153.069999999992</v>
      </c>
      <c r="O211" s="25">
        <f t="shared" si="5"/>
        <v>11007.82546143035</v>
      </c>
      <c r="P211" s="25">
        <f t="shared" si="6"/>
        <v>28145.244538569641</v>
      </c>
      <c r="Q211" s="25">
        <f t="array" aca="1" ref="Q211" ca="1">INDEX('Isaac 401k'!L:L,MATCH('Retirement Calculator'!A211,'Isaac 401k'!N:N,0),0)</f>
        <v>1461909.1401406161</v>
      </c>
      <c r="R211" s="25">
        <f t="array" aca="1" ref="R211" ca="1">INDEX('Lorri 401b'!L:L,MATCH('Retirement Calculator'!A211,'Lorri 401b'!N:N,0),0)</f>
        <v>3796281.1753457249</v>
      </c>
      <c r="S211" s="25">
        <f t="shared" ca="1" si="7"/>
        <v>5258190.3154863408</v>
      </c>
    </row>
    <row r="212" spans="1:19" ht="15.75" customHeight="1" x14ac:dyDescent="0.3">
      <c r="A212" s="37">
        <v>57405</v>
      </c>
      <c r="B212" s="409">
        <f t="shared" ref="B212:C212" si="208">($A212-B$9)/365.25</f>
        <v>75.288158795345652</v>
      </c>
      <c r="C212" s="409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3525.4531757812501</v>
      </c>
      <c r="H212" s="25">
        <f>IF(B212&lt;62,0,'Combined Retirement'!$I$14)</f>
        <v>2192</v>
      </c>
      <c r="I212" s="25">
        <f>IF(C212&lt;62,0,'Combined Retirement'!$I$13)</f>
        <v>2420</v>
      </c>
      <c r="J212" s="25">
        <f t="shared" si="3"/>
        <v>7863.2184191855868</v>
      </c>
      <c r="K212" s="25">
        <f t="shared" si="4"/>
        <v>20282.026119384056</v>
      </c>
      <c r="L212" s="25"/>
      <c r="N212" s="25">
        <f>'Combined Retirement'!$C$18/12</f>
        <v>39153.069999999992</v>
      </c>
      <c r="O212" s="25">
        <f t="shared" si="5"/>
        <v>11007.82546143035</v>
      </c>
      <c r="P212" s="25">
        <f t="shared" si="6"/>
        <v>28145.244538569641</v>
      </c>
      <c r="Q212" s="25">
        <f t="array" aca="1" ref="Q212" ca="1">INDEX('Isaac 401k'!L:L,MATCH('Retirement Calculator'!A212,'Isaac 401k'!N:N,0),0)</f>
        <v>1460104.4463952698</v>
      </c>
      <c r="R212" s="25">
        <f t="array" aca="1" ref="R212" ca="1">INDEX('Lorri 401b'!L:L,MATCH('Retirement Calculator'!A212,'Lorri 401b'!N:N,0),0)</f>
        <v>3791732.4790147841</v>
      </c>
      <c r="S212" s="25">
        <f t="shared" ca="1" si="7"/>
        <v>5251836.9254100537</v>
      </c>
    </row>
    <row r="213" spans="1:19" ht="15.75" customHeight="1" x14ac:dyDescent="0.3">
      <c r="A213" s="37">
        <v>57436</v>
      </c>
      <c r="B213" s="409">
        <f t="shared" ref="B213:C213" si="209">($A213-B$9)/365.25</f>
        <v>75.37303216974675</v>
      </c>
      <c r="C213" s="409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3525.4531757812501</v>
      </c>
      <c r="H213" s="25">
        <f>IF(B213&lt;62,0,'Combined Retirement'!$I$14)</f>
        <v>2192</v>
      </c>
      <c r="I213" s="25">
        <f>IF(C213&lt;62,0,'Combined Retirement'!$I$13)</f>
        <v>2420</v>
      </c>
      <c r="J213" s="25">
        <f t="shared" si="3"/>
        <v>7863.2184191855868</v>
      </c>
      <c r="K213" s="25">
        <f t="shared" si="4"/>
        <v>20282.026119384056</v>
      </c>
      <c r="L213" s="25"/>
      <c r="N213" s="25">
        <f>'Combined Retirement'!$C$18/12</f>
        <v>39153.069999999992</v>
      </c>
      <c r="O213" s="25">
        <f t="shared" si="5"/>
        <v>11007.82546143035</v>
      </c>
      <c r="P213" s="25">
        <f t="shared" si="6"/>
        <v>28145.244538569641</v>
      </c>
      <c r="Q213" s="25">
        <f t="array" aca="1" ref="Q213" ca="1">INDEX('Isaac 401k'!L:L,MATCH('Retirement Calculator'!A213,'Isaac 401k'!N:N,0),0)</f>
        <v>1458292.2330926512</v>
      </c>
      <c r="R213" s="25">
        <f t="array" aca="1" ref="R213" ca="1">INDEX('Lorri 401b'!L:L,MATCH('Retirement Calculator'!A213,'Lorri 401b'!N:N,0),0)</f>
        <v>3787164.8297824641</v>
      </c>
      <c r="S213" s="25">
        <f t="shared" ca="1" si="7"/>
        <v>5245457.0628751153</v>
      </c>
    </row>
    <row r="214" spans="1:19" ht="15.75" customHeight="1" x14ac:dyDescent="0.3">
      <c r="A214" s="37">
        <v>57466</v>
      </c>
      <c r="B214" s="409">
        <f t="shared" ref="B214:C214" si="210">($A214-B$9)/365.25</f>
        <v>75.455167693360707</v>
      </c>
      <c r="C214" s="409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3525.4531757812501</v>
      </c>
      <c r="H214" s="25">
        <f>IF(B214&lt;62,0,'Combined Retirement'!$I$14)</f>
        <v>2192</v>
      </c>
      <c r="I214" s="25">
        <f>IF(C214&lt;62,0,'Combined Retirement'!$I$13)</f>
        <v>2420</v>
      </c>
      <c r="J214" s="25">
        <f t="shared" si="3"/>
        <v>7863.2184191855868</v>
      </c>
      <c r="K214" s="25">
        <f t="shared" si="4"/>
        <v>20282.026119384056</v>
      </c>
      <c r="L214" s="25"/>
      <c r="N214" s="25">
        <f>'Combined Retirement'!$C$18/12</f>
        <v>39153.069999999992</v>
      </c>
      <c r="O214" s="25">
        <f t="shared" si="5"/>
        <v>11007.82546143035</v>
      </c>
      <c r="P214" s="25">
        <f t="shared" si="6"/>
        <v>28145.244538569641</v>
      </c>
      <c r="Q214" s="25">
        <f t="array" aca="1" ref="Q214" ca="1">INDEX('Isaac 401k'!L:L,MATCH('Retirement Calculator'!A214,'Isaac 401k'!N:N,0),0)</f>
        <v>1456472.4689012717</v>
      </c>
      <c r="R214" s="25">
        <f t="array" aca="1" ref="R214" ca="1">INDEX('Lorri 401b'!L:L,MATCH('Retirement Calculator'!A214,'Lorri 401b'!N:N,0),0)</f>
        <v>3782578.1486783428</v>
      </c>
      <c r="S214" s="25">
        <f t="shared" ca="1" si="7"/>
        <v>5239050.6175796147</v>
      </c>
    </row>
    <row r="215" spans="1:19" ht="15.75" customHeight="1" x14ac:dyDescent="0.3">
      <c r="A215" s="37">
        <v>57497</v>
      </c>
      <c r="B215" s="409">
        <f t="shared" ref="B215:C215" si="211">($A215-B$9)/365.25</f>
        <v>75.540041067761805</v>
      </c>
      <c r="C215" s="409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3525.4531757812501</v>
      </c>
      <c r="H215" s="25">
        <f>IF(B215&lt;62,0,'Combined Retirement'!$I$14)</f>
        <v>2192</v>
      </c>
      <c r="I215" s="25">
        <f>IF(C215&lt;62,0,'Combined Retirement'!$I$13)</f>
        <v>2420</v>
      </c>
      <c r="J215" s="25">
        <f t="shared" si="3"/>
        <v>7863.2184191855868</v>
      </c>
      <c r="K215" s="25">
        <f t="shared" si="4"/>
        <v>20282.026119384056</v>
      </c>
      <c r="L215" s="25"/>
      <c r="N215" s="25">
        <f>'Combined Retirement'!$C$18/12</f>
        <v>39153.069999999992</v>
      </c>
      <c r="O215" s="25">
        <f t="shared" si="5"/>
        <v>11007.82546143035</v>
      </c>
      <c r="P215" s="25">
        <f t="shared" si="6"/>
        <v>28145.244538569641</v>
      </c>
      <c r="Q215" s="25">
        <f t="array" aca="1" ref="Q215" ca="1">INDEX('Isaac 401k'!L:L,MATCH('Retirement Calculator'!A215,'Isaac 401k'!N:N,0),0)</f>
        <v>1454645.1223590947</v>
      </c>
      <c r="R215" s="25">
        <f t="array" aca="1" ref="R215" ca="1">INDEX('Lorri 401b'!L:L,MATCH('Retirement Calculator'!A215,'Lorri 401b'!N:N,0),0)</f>
        <v>3777972.3564029546</v>
      </c>
      <c r="S215" s="25">
        <f t="shared" ca="1" si="7"/>
        <v>5232617.4787620492</v>
      </c>
    </row>
    <row r="216" spans="1:19" ht="15.75" customHeight="1" x14ac:dyDescent="0.3">
      <c r="A216" s="37">
        <v>57527</v>
      </c>
      <c r="B216" s="409">
        <f t="shared" ref="B216:C216" si="212">($A216-B$9)/365.25</f>
        <v>75.622176591375776</v>
      </c>
      <c r="C216" s="409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3525.4531757812501</v>
      </c>
      <c r="H216" s="25">
        <f>IF(B216&lt;62,0,'Combined Retirement'!$I$14)</f>
        <v>2192</v>
      </c>
      <c r="I216" s="25">
        <f>IF(C216&lt;62,0,'Combined Retirement'!$I$13)</f>
        <v>2420</v>
      </c>
      <c r="J216" s="25">
        <f t="shared" si="3"/>
        <v>7863.2184191855868</v>
      </c>
      <c r="K216" s="25">
        <f t="shared" si="4"/>
        <v>20282.026119384056</v>
      </c>
      <c r="L216" s="25"/>
      <c r="N216" s="25">
        <f>'Combined Retirement'!$C$18/12</f>
        <v>39153.069999999992</v>
      </c>
      <c r="O216" s="25">
        <f t="shared" si="5"/>
        <v>11007.82546143035</v>
      </c>
      <c r="P216" s="25">
        <f t="shared" si="6"/>
        <v>28145.244538569641</v>
      </c>
      <c r="Q216" s="25">
        <f t="array" aca="1" ref="Q216" ca="1">INDEX('Isaac 401k'!L:L,MATCH('Retirement Calculator'!A216,'Isaac 401k'!N:N,0),0)</f>
        <v>1452810.1618729921</v>
      </c>
      <c r="R216" s="25">
        <f t="array" aca="1" ref="R216" ca="1">INDEX('Lorri 401b'!L:L,MATCH('Retirement Calculator'!A216,'Lorri 401b'!N:N,0),0)</f>
        <v>3773347.3733264189</v>
      </c>
      <c r="S216" s="25">
        <f t="shared" ca="1" si="7"/>
        <v>5226157.5351994112</v>
      </c>
    </row>
    <row r="217" spans="1:19" ht="15.75" customHeight="1" x14ac:dyDescent="0.3">
      <c r="A217" s="37">
        <v>57558</v>
      </c>
      <c r="B217" s="409">
        <f t="shared" ref="B217:C217" si="213">($A217-B$9)/365.25</f>
        <v>75.707049965776861</v>
      </c>
      <c r="C217" s="409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3525.4531757812501</v>
      </c>
      <c r="H217" s="25">
        <f>IF(B217&lt;62,0,'Combined Retirement'!$I$14)</f>
        <v>2192</v>
      </c>
      <c r="I217" s="25">
        <f>IF(C217&lt;62,0,'Combined Retirement'!$I$13)</f>
        <v>2420</v>
      </c>
      <c r="J217" s="25">
        <f t="shared" si="3"/>
        <v>7863.2184191855868</v>
      </c>
      <c r="K217" s="25">
        <f t="shared" si="4"/>
        <v>20282.026119384056</v>
      </c>
      <c r="L217" s="25"/>
      <c r="N217" s="25">
        <f>'Combined Retirement'!$C$18/12</f>
        <v>39153.069999999992</v>
      </c>
      <c r="O217" s="25">
        <f t="shared" si="5"/>
        <v>11007.82546143035</v>
      </c>
      <c r="P217" s="25">
        <f t="shared" si="6"/>
        <v>28145.244538569641</v>
      </c>
      <c r="Q217" s="25">
        <f t="array" aca="1" ref="Q217" ca="1">INDEX('Isaac 401k'!L:L,MATCH('Retirement Calculator'!A217,'Isaac 401k'!N:N,0),0)</f>
        <v>1450967.5557181973</v>
      </c>
      <c r="R217" s="25">
        <f t="array" aca="1" ref="R217" ca="1">INDEX('Lorri 401b'!L:L,MATCH('Retirement Calculator'!A217,'Lorri 401b'!N:N,0),0)</f>
        <v>3768703.1194870644</v>
      </c>
      <c r="S217" s="25">
        <f t="shared" ca="1" si="7"/>
        <v>5219670.6752052614</v>
      </c>
    </row>
    <row r="218" spans="1:19" ht="15.75" customHeight="1" x14ac:dyDescent="0.3">
      <c r="A218" s="37">
        <v>57589</v>
      </c>
      <c r="B218" s="409">
        <f t="shared" ref="B218:C218" si="214">($A218-B$9)/365.25</f>
        <v>75.791923340177959</v>
      </c>
      <c r="C218" s="409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3525.4531757812501</v>
      </c>
      <c r="H218" s="25">
        <f>IF(B218&lt;62,0,'Combined Retirement'!$I$14)</f>
        <v>2192</v>
      </c>
      <c r="I218" s="25">
        <f>IF(C218&lt;62,0,'Combined Retirement'!$I$13)</f>
        <v>2420</v>
      </c>
      <c r="J218" s="25">
        <f t="shared" si="3"/>
        <v>7863.2184191855868</v>
      </c>
      <c r="K218" s="25">
        <f t="shared" si="4"/>
        <v>20282.026119384056</v>
      </c>
      <c r="L218" s="25"/>
      <c r="N218" s="25">
        <f>'Combined Retirement'!$C$18/12</f>
        <v>39153.069999999992</v>
      </c>
      <c r="O218" s="25">
        <f t="shared" si="5"/>
        <v>11007.82546143035</v>
      </c>
      <c r="P218" s="25">
        <f t="shared" si="6"/>
        <v>28145.244538569641</v>
      </c>
      <c r="Q218" s="25">
        <f t="array" aca="1" ref="Q218" ca="1">INDEX('Isaac 401k'!L:L,MATCH('Retirement Calculator'!A218,'Isaac 401k'!N:N,0),0)</f>
        <v>1449117.2720377576</v>
      </c>
      <c r="R218" s="25">
        <f t="array" aca="1" ref="R218" ca="1">INDEX('Lorri 401b'!L:L,MATCH('Retirement Calculator'!A218,'Lorri 401b'!N:N,0),0)</f>
        <v>3764039.5145900459</v>
      </c>
      <c r="S218" s="25">
        <f t="shared" ca="1" si="7"/>
        <v>5213156.786627803</v>
      </c>
    </row>
    <row r="219" spans="1:19" ht="15.75" customHeight="1" x14ac:dyDescent="0.3">
      <c r="A219" s="37">
        <v>57619</v>
      </c>
      <c r="B219" s="409">
        <f t="shared" ref="B219:C219" si="215">($A219-B$9)/365.25</f>
        <v>75.87405886379193</v>
      </c>
      <c r="C219" s="409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3525.4531757812501</v>
      </c>
      <c r="H219" s="25">
        <f>IF(B219&lt;62,0,'Combined Retirement'!$I$14)</f>
        <v>2192</v>
      </c>
      <c r="I219" s="25">
        <f>IF(C219&lt;62,0,'Combined Retirement'!$I$13)</f>
        <v>2420</v>
      </c>
      <c r="J219" s="25">
        <f t="shared" si="3"/>
        <v>7863.2184191855868</v>
      </c>
      <c r="K219" s="25">
        <f t="shared" si="4"/>
        <v>20282.026119384056</v>
      </c>
      <c r="L219" s="25"/>
      <c r="N219" s="25">
        <f>'Combined Retirement'!$C$18/12</f>
        <v>39153.069999999992</v>
      </c>
      <c r="O219" s="25">
        <f t="shared" si="5"/>
        <v>11007.82546143035</v>
      </c>
      <c r="P219" s="25">
        <f t="shared" si="6"/>
        <v>28145.244538569641</v>
      </c>
      <c r="Q219" s="25">
        <f t="array" aca="1" ref="Q219" ca="1">INDEX('Isaac 401k'!L:L,MATCH('Retirement Calculator'!A219,'Isaac 401k'!N:N,0),0)</f>
        <v>1447259.2788419826</v>
      </c>
      <c r="R219" s="25">
        <f t="array" aca="1" ref="R219" ca="1">INDEX('Lorri 401b'!L:L,MATCH('Retirement Calculator'!A219,'Lorri 401b'!N:N,0),0)</f>
        <v>3759356.4780059564</v>
      </c>
      <c r="S219" s="25">
        <f t="shared" ca="1" si="7"/>
        <v>5206615.7568479385</v>
      </c>
    </row>
    <row r="220" spans="1:19" ht="15.75" customHeight="1" x14ac:dyDescent="0.3">
      <c r="A220" s="37">
        <v>57650</v>
      </c>
      <c r="B220" s="409">
        <f t="shared" ref="B220:C220" si="216">($A220-B$9)/365.25</f>
        <v>75.958932238193015</v>
      </c>
      <c r="C220" s="409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3525.4531757812501</v>
      </c>
      <c r="H220" s="25">
        <f>IF(B220&lt;62,0,'Combined Retirement'!$I$14)</f>
        <v>2192</v>
      </c>
      <c r="I220" s="25">
        <f>IF(C220&lt;62,0,'Combined Retirement'!$I$13)</f>
        <v>2420</v>
      </c>
      <c r="J220" s="25">
        <f t="shared" si="3"/>
        <v>7863.2184191855868</v>
      </c>
      <c r="K220" s="25">
        <f t="shared" si="4"/>
        <v>20282.026119384056</v>
      </c>
      <c r="L220" s="25"/>
      <c r="N220" s="25">
        <f>'Combined Retirement'!$C$18/12</f>
        <v>39153.069999999992</v>
      </c>
      <c r="O220" s="25">
        <f t="shared" si="5"/>
        <v>11007.82546143035</v>
      </c>
      <c r="P220" s="25">
        <f t="shared" si="6"/>
        <v>28145.244538569641</v>
      </c>
      <c r="Q220" s="25">
        <f t="array" aca="1" ref="Q220" ca="1">INDEX('Isaac 401k'!L:L,MATCH('Retirement Calculator'!A220,'Isaac 401k'!N:N,0),0)</f>
        <v>1445393.544007892</v>
      </c>
      <c r="R220" s="25">
        <f t="array" aca="1" ref="R220" ca="1">INDEX('Lorri 401b'!L:L,MATCH('Retirement Calculator'!A220,'Lorri 401b'!N:N,0),0)</f>
        <v>3754653.9287694329</v>
      </c>
      <c r="S220" s="25">
        <f t="shared" ca="1" si="7"/>
        <v>5200047.4727773247</v>
      </c>
    </row>
    <row r="221" spans="1:19" ht="15.75" customHeight="1" x14ac:dyDescent="0.3">
      <c r="A221" s="37">
        <v>57680</v>
      </c>
      <c r="B221" s="409">
        <f t="shared" ref="B221:C221" si="217">($A221-B$9)/365.25</f>
        <v>76.041067761806985</v>
      </c>
      <c r="C221" s="409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3525.4531757812501</v>
      </c>
      <c r="H221" s="25">
        <f>IF(B221&lt;62,0,'Combined Retirement'!$I$14)</f>
        <v>2192</v>
      </c>
      <c r="I221" s="25">
        <f>IF(C221&lt;62,0,'Combined Retirement'!$I$13)</f>
        <v>2420</v>
      </c>
      <c r="J221" s="25">
        <f t="shared" si="3"/>
        <v>7863.2184191855868</v>
      </c>
      <c r="K221" s="25">
        <f t="shared" si="4"/>
        <v>20282.026119384056</v>
      </c>
      <c r="L221" s="25"/>
      <c r="N221" s="25">
        <f>'Combined Retirement'!$C$18/12</f>
        <v>39153.069999999992</v>
      </c>
      <c r="O221" s="25">
        <f t="shared" si="5"/>
        <v>11007.82546143035</v>
      </c>
      <c r="P221" s="25">
        <f t="shared" si="6"/>
        <v>28145.244538569641</v>
      </c>
      <c r="Q221" s="25">
        <f t="array" aca="1" ref="Q221" ca="1">INDEX('Isaac 401k'!L:L,MATCH('Retirement Calculator'!A221,'Isaac 401k'!N:N,0),0)</f>
        <v>1443520.0352786593</v>
      </c>
      <c r="R221" s="25">
        <f t="array" aca="1" ref="R221" ca="1">INDEX('Lorri 401b'!L:L,MATCH('Retirement Calculator'!A221,'Lorri 401b'!N:N,0),0)</f>
        <v>3749931.7855777573</v>
      </c>
      <c r="S221" s="25">
        <f t="shared" ca="1" si="7"/>
        <v>5193451.8208564166</v>
      </c>
    </row>
    <row r="222" spans="1:19" ht="15.75" customHeight="1" x14ac:dyDescent="0.3">
      <c r="A222" s="37">
        <v>57711</v>
      </c>
      <c r="B222" s="409">
        <f t="shared" ref="B222:C222" si="218">($A222-B$9)/365.25</f>
        <v>76.12594113620807</v>
      </c>
      <c r="C222" s="409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3525.4531757812501</v>
      </c>
      <c r="H222" s="25">
        <f>IF(B222&lt;62,0,'Combined Retirement'!$I$14)</f>
        <v>2192</v>
      </c>
      <c r="I222" s="25">
        <f>IF(C222&lt;62,0,'Combined Retirement'!$I$13)</f>
        <v>2420</v>
      </c>
      <c r="J222" s="25">
        <f t="shared" si="3"/>
        <v>7863.2184191855868</v>
      </c>
      <c r="K222" s="25">
        <f t="shared" si="4"/>
        <v>20282.026119384056</v>
      </c>
      <c r="L222" s="25"/>
      <c r="N222" s="25">
        <f>'Combined Retirement'!$C$18/12</f>
        <v>39153.069999999992</v>
      </c>
      <c r="O222" s="25">
        <f t="shared" si="5"/>
        <v>11007.82546143035</v>
      </c>
      <c r="P222" s="25">
        <f t="shared" si="6"/>
        <v>28145.244538569641</v>
      </c>
      <c r="Q222" s="25">
        <f t="array" aca="1" ref="Q222" ca="1">INDEX('Isaac 401k'!L:L,MATCH('Retirement Calculator'!A222,'Isaac 401k'!N:N,0),0)</f>
        <v>1441638.7202630548</v>
      </c>
      <c r="R222" s="25">
        <f t="array" aca="1" ref="R222" ca="1">INDEX('Lorri 401b'!L:L,MATCH('Retirement Calculator'!A222,'Lorri 401b'!N:N,0),0)</f>
        <v>3745189.96678945</v>
      </c>
      <c r="S222" s="25">
        <f t="shared" ca="1" si="7"/>
        <v>5186828.6870525051</v>
      </c>
    </row>
    <row r="223" spans="1:19" ht="15.75" customHeight="1" x14ac:dyDescent="0.3">
      <c r="A223" s="37">
        <v>57742</v>
      </c>
      <c r="B223" s="409">
        <f t="shared" ref="B223:C223" si="219">($A223-B$9)/365.25</f>
        <v>76.210814510609168</v>
      </c>
      <c r="C223" s="409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3525.4531757812501</v>
      </c>
      <c r="H223" s="25">
        <f>IF(B223&lt;62,0,'Combined Retirement'!$I$14)</f>
        <v>2192</v>
      </c>
      <c r="I223" s="25">
        <f>IF(C223&lt;62,0,'Combined Retirement'!$I$13)</f>
        <v>2420</v>
      </c>
      <c r="J223" s="25">
        <f t="shared" si="3"/>
        <v>7863.2184191855868</v>
      </c>
      <c r="K223" s="25">
        <f t="shared" si="4"/>
        <v>20282.026119384056</v>
      </c>
      <c r="L223" s="25"/>
      <c r="N223" s="25">
        <f>'Combined Retirement'!$C$18/12</f>
        <v>39153.069999999992</v>
      </c>
      <c r="O223" s="25">
        <f t="shared" si="5"/>
        <v>11007.82546143035</v>
      </c>
      <c r="P223" s="25">
        <f t="shared" si="6"/>
        <v>28145.244538569641</v>
      </c>
      <c r="Q223" s="25">
        <f t="array" aca="1" ref="Q223" ca="1">INDEX('Isaac 401k'!L:L,MATCH('Retirement Calculator'!A223,'Isaac 401k'!N:N,0),0)</f>
        <v>1439749.5664348854</v>
      </c>
      <c r="R223" s="25">
        <f t="array" aca="1" ref="R223" ca="1">INDEX('Lorri 401b'!L:L,MATCH('Retirement Calculator'!A223,'Lorri 401b'!N:N,0),0)</f>
        <v>3740428.3904228578</v>
      </c>
      <c r="S223" s="25">
        <f t="shared" ca="1" si="7"/>
        <v>5180177.9568577427</v>
      </c>
    </row>
    <row r="224" spans="1:19" ht="15.75" customHeight="1" x14ac:dyDescent="0.3">
      <c r="A224" s="37">
        <v>57770</v>
      </c>
      <c r="B224" s="409">
        <f t="shared" ref="B224:C224" si="220">($A224-B$9)/365.25</f>
        <v>76.28747433264887</v>
      </c>
      <c r="C224" s="409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3525.4531757812501</v>
      </c>
      <c r="H224" s="25">
        <f>IF(B224&lt;62,0,'Combined Retirement'!$I$14)</f>
        <v>2192</v>
      </c>
      <c r="I224" s="25">
        <f>IF(C224&lt;62,0,'Combined Retirement'!$I$13)</f>
        <v>2420</v>
      </c>
      <c r="J224" s="25">
        <f t="shared" si="3"/>
        <v>7863.2184191855868</v>
      </c>
      <c r="K224" s="25">
        <f t="shared" si="4"/>
        <v>20282.026119384056</v>
      </c>
      <c r="L224" s="25"/>
      <c r="N224" s="25">
        <f>'Combined Retirement'!$C$18/12</f>
        <v>39153.069999999992</v>
      </c>
      <c r="O224" s="25">
        <f t="shared" si="5"/>
        <v>11007.82546143035</v>
      </c>
      <c r="P224" s="25">
        <f t="shared" si="6"/>
        <v>28145.244538569641</v>
      </c>
      <c r="Q224" s="25">
        <f t="array" aca="1" ref="Q224" ca="1">INDEX('Isaac 401k'!L:L,MATCH('Retirement Calculator'!A224,'Isaac 401k'!N:N,0),0)</f>
        <v>1437852.5411324319</v>
      </c>
      <c r="R224" s="25">
        <f t="array" aca="1" ref="R224" ca="1">INDEX('Lorri 401b'!L:L,MATCH('Retirement Calculator'!A224,'Lorri 401b'!N:N,0),0)</f>
        <v>3735646.9741547382</v>
      </c>
      <c r="S224" s="25">
        <f t="shared" ca="1" si="7"/>
        <v>5173499.5152871702</v>
      </c>
    </row>
    <row r="225" spans="1:19" ht="15.75" customHeight="1" x14ac:dyDescent="0.3">
      <c r="A225" s="37">
        <v>57801</v>
      </c>
      <c r="B225" s="409">
        <f t="shared" ref="B225:C225" si="221">($A225-B$9)/365.25</f>
        <v>76.372347707049968</v>
      </c>
      <c r="C225" s="409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3525.4531757812501</v>
      </c>
      <c r="H225" s="25">
        <f>IF(B225&lt;62,0,'Combined Retirement'!$I$14)</f>
        <v>2192</v>
      </c>
      <c r="I225" s="25">
        <f>IF(C225&lt;62,0,'Combined Retirement'!$I$13)</f>
        <v>2420</v>
      </c>
      <c r="J225" s="25">
        <f t="shared" si="3"/>
        <v>7863.2184191855868</v>
      </c>
      <c r="K225" s="25">
        <f t="shared" si="4"/>
        <v>20282.026119384056</v>
      </c>
      <c r="L225" s="25"/>
      <c r="N225" s="25">
        <f>'Combined Retirement'!$C$18/12</f>
        <v>39153.069999999992</v>
      </c>
      <c r="O225" s="25">
        <f t="shared" si="5"/>
        <v>11007.82546143035</v>
      </c>
      <c r="P225" s="25">
        <f t="shared" si="6"/>
        <v>28145.244538569641</v>
      </c>
      <c r="Q225" s="25">
        <f t="array" aca="1" ref="Q225" ca="1">INDEX('Isaac 401k'!L:L,MATCH('Retirement Calculator'!A225,'Isaac 401k'!N:N,0),0)</f>
        <v>1435947.6115578848</v>
      </c>
      <c r="R225" s="25">
        <f t="array" aca="1" ref="R225" ca="1">INDEX('Lorri 401b'!L:L,MATCH('Retirement Calculator'!A225,'Lorri 401b'!N:N,0),0)</f>
        <v>3730845.6353188348</v>
      </c>
      <c r="S225" s="25">
        <f t="shared" ca="1" si="7"/>
        <v>5166793.2468767194</v>
      </c>
    </row>
    <row r="226" spans="1:19" ht="15.75" customHeight="1" x14ac:dyDescent="0.3">
      <c r="A226" s="37">
        <v>57831</v>
      </c>
      <c r="B226" s="409">
        <f t="shared" ref="B226:C226" si="222">($A226-B$9)/365.25</f>
        <v>76.454483230663925</v>
      </c>
      <c r="C226" s="409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3525.4531757812501</v>
      </c>
      <c r="H226" s="25">
        <f>IF(B226&lt;62,0,'Combined Retirement'!$I$14)</f>
        <v>2192</v>
      </c>
      <c r="I226" s="25">
        <f>IF(C226&lt;62,0,'Combined Retirement'!$I$13)</f>
        <v>2420</v>
      </c>
      <c r="J226" s="25">
        <f t="shared" si="3"/>
        <v>7863.2184191855868</v>
      </c>
      <c r="K226" s="25">
        <f t="shared" si="4"/>
        <v>20282.026119384056</v>
      </c>
      <c r="L226" s="25"/>
      <c r="N226" s="25">
        <f>'Combined Retirement'!$C$18/12</f>
        <v>39153.069999999992</v>
      </c>
      <c r="O226" s="25">
        <f t="shared" si="5"/>
        <v>11007.82546143035</v>
      </c>
      <c r="P226" s="25">
        <f t="shared" si="6"/>
        <v>28145.244538569641</v>
      </c>
      <c r="Q226" s="25">
        <f t="array" aca="1" ref="Q226" ca="1">INDEX('Isaac 401k'!L:L,MATCH('Retirement Calculator'!A226,'Isaac 401k'!N:N,0),0)</f>
        <v>1434034.7447767772</v>
      </c>
      <c r="R226" s="25">
        <f t="array" aca="1" ref="R226" ca="1">INDEX('Lorri 401b'!L:L,MATCH('Retirement Calculator'!A226,'Lorri 401b'!N:N,0),0)</f>
        <v>3726024.2909044484</v>
      </c>
      <c r="S226" s="25">
        <f t="shared" ca="1" si="7"/>
        <v>5160059.0356812254</v>
      </c>
    </row>
    <row r="227" spans="1:19" ht="15.75" customHeight="1" x14ac:dyDescent="0.3">
      <c r="A227" s="37">
        <v>57862</v>
      </c>
      <c r="B227" s="409">
        <f t="shared" ref="B227:C227" si="223">($A227-B$9)/365.25</f>
        <v>76.539356605065024</v>
      </c>
      <c r="C227" s="409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3525.4531757812501</v>
      </c>
      <c r="H227" s="25">
        <f>IF(B227&lt;62,0,'Combined Retirement'!$I$14)</f>
        <v>2192</v>
      </c>
      <c r="I227" s="25">
        <f>IF(C227&lt;62,0,'Combined Retirement'!$I$13)</f>
        <v>2420</v>
      </c>
      <c r="J227" s="25">
        <f t="shared" si="3"/>
        <v>7863.2184191855868</v>
      </c>
      <c r="K227" s="25">
        <f t="shared" si="4"/>
        <v>20282.026119384056</v>
      </c>
      <c r="L227" s="25"/>
      <c r="N227" s="25">
        <f>'Combined Retirement'!$C$18/12</f>
        <v>39153.069999999992</v>
      </c>
      <c r="O227" s="25">
        <f t="shared" si="5"/>
        <v>11007.82546143035</v>
      </c>
      <c r="P227" s="25">
        <f t="shared" si="6"/>
        <v>28145.244538569641</v>
      </c>
      <c r="Q227" s="25">
        <f t="array" aca="1" ref="Q227" ca="1">INDEX('Isaac 401k'!L:L,MATCH('Retirement Calculator'!A227,'Isaac 401k'!N:N,0),0)</f>
        <v>1432113.9077174149</v>
      </c>
      <c r="R227" s="25">
        <f t="array" aca="1" ref="R227" ca="1">INDEX('Lorri 401b'!L:L,MATCH('Retirement Calculator'!A227,'Lorri 401b'!N:N,0),0)</f>
        <v>3721182.857555002</v>
      </c>
      <c r="S227" s="25">
        <f t="shared" ca="1" si="7"/>
        <v>5153296.7652724171</v>
      </c>
    </row>
    <row r="228" spans="1:19" ht="15.75" customHeight="1" x14ac:dyDescent="0.3">
      <c r="A228" s="37">
        <v>57892</v>
      </c>
      <c r="B228" s="409">
        <f t="shared" ref="B228:C228" si="224">($A228-B$9)/365.25</f>
        <v>76.62149212867898</v>
      </c>
      <c r="C228" s="409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3525.4531757812501</v>
      </c>
      <c r="H228" s="25">
        <f>IF(B228&lt;62,0,'Combined Retirement'!$I$14)</f>
        <v>2192</v>
      </c>
      <c r="I228" s="25">
        <f>IF(C228&lt;62,0,'Combined Retirement'!$I$13)</f>
        <v>2420</v>
      </c>
      <c r="J228" s="25">
        <f t="shared" si="3"/>
        <v>7863.2184191855868</v>
      </c>
      <c r="K228" s="25">
        <f t="shared" si="4"/>
        <v>20282.026119384056</v>
      </c>
      <c r="L228" s="25"/>
      <c r="N228" s="25">
        <f>'Combined Retirement'!$C$18/12</f>
        <v>39153.069999999992</v>
      </c>
      <c r="O228" s="25">
        <f t="shared" si="5"/>
        <v>11007.82546143035</v>
      </c>
      <c r="P228" s="25">
        <f t="shared" si="6"/>
        <v>28145.244538569641</v>
      </c>
      <c r="Q228" s="25">
        <f t="array" aca="1" ref="Q228" ca="1">INDEX('Isaac 401k'!L:L,MATCH('Retirement Calculator'!A228,'Isaac 401k'!N:N,0),0)</f>
        <v>1430185.0671703052</v>
      </c>
      <c r="R228" s="25">
        <f t="array" aca="1" ref="R228" ca="1">INDEX('Lorri 401b'!L:L,MATCH('Retirement Calculator'!A228,'Lorri 401b'!N:N,0),0)</f>
        <v>3716321.2515665996</v>
      </c>
      <c r="S228" s="25">
        <f t="shared" ca="1" si="7"/>
        <v>5146506.3187369052</v>
      </c>
    </row>
    <row r="229" spans="1:19" ht="15.75" customHeight="1" x14ac:dyDescent="0.3">
      <c r="A229" s="37">
        <v>57923</v>
      </c>
      <c r="B229" s="409">
        <f t="shared" ref="B229:C229" si="225">($A229-B$9)/365.25</f>
        <v>76.706365503080079</v>
      </c>
      <c r="C229" s="409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3525.4531757812501</v>
      </c>
      <c r="H229" s="25">
        <f>IF(B229&lt;62,0,'Combined Retirement'!$I$14)</f>
        <v>2192</v>
      </c>
      <c r="I229" s="25">
        <f>IF(C229&lt;62,0,'Combined Retirement'!$I$13)</f>
        <v>2420</v>
      </c>
      <c r="J229" s="25">
        <f t="shared" si="3"/>
        <v>7863.2184191855868</v>
      </c>
      <c r="K229" s="25">
        <f t="shared" si="4"/>
        <v>20282.026119384056</v>
      </c>
      <c r="L229" s="25"/>
      <c r="N229" s="25">
        <f>'Combined Retirement'!$C$18/12</f>
        <v>39153.069999999992</v>
      </c>
      <c r="O229" s="25">
        <f t="shared" si="5"/>
        <v>11007.82546143035</v>
      </c>
      <c r="P229" s="25">
        <f t="shared" si="6"/>
        <v>28145.244538569641</v>
      </c>
      <c r="Q229" s="25">
        <f t="array" aca="1" ref="Q229" ca="1">INDEX('Isaac 401k'!L:L,MATCH('Retirement Calculator'!A229,'Isaac 401k'!N:N,0),0)</f>
        <v>1428248.1897875825</v>
      </c>
      <c r="R229" s="25">
        <f t="array" aca="1" ref="R229" ca="1">INDEX('Lorri 401b'!L:L,MATCH('Retirement Calculator'!A229,'Lorri 401b'!N:N,0),0)</f>
        <v>3711439.3888865788</v>
      </c>
      <c r="S229" s="25">
        <f t="shared" ca="1" si="7"/>
        <v>5139687.5786741618</v>
      </c>
    </row>
    <row r="230" spans="1:19" ht="15.75" customHeight="1" x14ac:dyDescent="0.3">
      <c r="A230" s="37">
        <v>57954</v>
      </c>
      <c r="B230" s="409">
        <f t="shared" ref="B230:C230" si="226">($A230-B$9)/365.25</f>
        <v>76.791238877481177</v>
      </c>
      <c r="C230" s="409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3525.4531757812501</v>
      </c>
      <c r="H230" s="25">
        <f>IF(B230&lt;62,0,'Combined Retirement'!$I$14)</f>
        <v>2192</v>
      </c>
      <c r="I230" s="25">
        <f>IF(C230&lt;62,0,'Combined Retirement'!$I$13)</f>
        <v>2420</v>
      </c>
      <c r="J230" s="25">
        <f t="shared" si="3"/>
        <v>7863.2184191855868</v>
      </c>
      <c r="K230" s="25">
        <f t="shared" si="4"/>
        <v>20282.026119384056</v>
      </c>
      <c r="L230" s="25"/>
      <c r="N230" s="25">
        <f>'Combined Retirement'!$C$18/12</f>
        <v>39153.069999999992</v>
      </c>
      <c r="O230" s="25">
        <f t="shared" si="5"/>
        <v>11007.82546143035</v>
      </c>
      <c r="P230" s="25">
        <f t="shared" si="6"/>
        <v>28145.244538569641</v>
      </c>
      <c r="Q230" s="25">
        <f t="array" aca="1" ref="Q230" ca="1">INDEX('Isaac 401k'!L:L,MATCH('Retirement Calculator'!A230,'Isaac 401k'!N:N,0),0)</f>
        <v>1426303.2420824319</v>
      </c>
      <c r="R230" s="25">
        <f t="array" aca="1" ref="R230" ca="1">INDEX('Lorri 401b'!L:L,MATCH('Retirement Calculator'!A230,'Lorri 401b'!N:N,0),0)</f>
        <v>3706537.1851120582</v>
      </c>
      <c r="S230" s="25">
        <f t="shared" ca="1" si="7"/>
        <v>5132840.4271944901</v>
      </c>
    </row>
    <row r="231" spans="1:19" ht="15.75" customHeight="1" x14ac:dyDescent="0.3">
      <c r="A231" s="37">
        <v>57984</v>
      </c>
      <c r="B231" s="409">
        <f t="shared" ref="B231:C231" si="227">($A231-B$9)/365.25</f>
        <v>76.873374401095134</v>
      </c>
      <c r="C231" s="409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3525.4531757812501</v>
      </c>
      <c r="H231" s="25">
        <f>IF(B231&lt;62,0,'Combined Retirement'!$I$14)</f>
        <v>2192</v>
      </c>
      <c r="I231" s="25">
        <f>IF(C231&lt;62,0,'Combined Retirement'!$I$13)</f>
        <v>2420</v>
      </c>
      <c r="J231" s="25">
        <f t="shared" si="3"/>
        <v>7863.2184191855868</v>
      </c>
      <c r="K231" s="25">
        <f t="shared" si="4"/>
        <v>20282.026119384056</v>
      </c>
      <c r="L231" s="25"/>
      <c r="N231" s="25">
        <f>'Combined Retirement'!$C$18/12</f>
        <v>39153.069999999992</v>
      </c>
      <c r="O231" s="25">
        <f t="shared" si="5"/>
        <v>11007.82546143035</v>
      </c>
      <c r="P231" s="25">
        <f t="shared" si="6"/>
        <v>28145.244538569641</v>
      </c>
      <c r="Q231" s="25">
        <f t="array" aca="1" ref="Q231" ca="1">INDEX('Isaac 401k'!L:L,MATCH('Retirement Calculator'!A231,'Isaac 401k'!N:N,0),0)</f>
        <v>1424350.1904285098</v>
      </c>
      <c r="R231" s="25">
        <f t="array" aca="1" ref="R231" ca="1">INDEX('Lorri 401b'!L:L,MATCH('Retirement Calculator'!A231,'Lorri 401b'!N:N,0),0)</f>
        <v>3701614.555488477</v>
      </c>
      <c r="S231" s="25">
        <f t="shared" ca="1" si="7"/>
        <v>5125964.7459169868</v>
      </c>
    </row>
    <row r="232" spans="1:19" ht="15.75" customHeight="1" x14ac:dyDescent="0.3">
      <c r="A232" s="37">
        <v>58015</v>
      </c>
      <c r="B232" s="409">
        <f t="shared" ref="B232:C232" si="228">($A232-B$9)/365.25</f>
        <v>76.958247775496233</v>
      </c>
      <c r="C232" s="409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3525.4531757812501</v>
      </c>
      <c r="H232" s="25">
        <f>IF(B232&lt;62,0,'Combined Retirement'!$I$14)</f>
        <v>2192</v>
      </c>
      <c r="I232" s="25">
        <f>IF(C232&lt;62,0,'Combined Retirement'!$I$13)</f>
        <v>2420</v>
      </c>
      <c r="J232" s="25">
        <f t="shared" si="3"/>
        <v>7863.2184191855868</v>
      </c>
      <c r="K232" s="25">
        <f t="shared" si="4"/>
        <v>20282.026119384056</v>
      </c>
      <c r="L232" s="25"/>
      <c r="N232" s="25">
        <f>'Combined Retirement'!$C$18/12</f>
        <v>39153.069999999992</v>
      </c>
      <c r="O232" s="25">
        <f t="shared" si="5"/>
        <v>11007.82546143035</v>
      </c>
      <c r="P232" s="25">
        <f t="shared" si="6"/>
        <v>28145.244538569641</v>
      </c>
      <c r="Q232" s="25">
        <f t="array" aca="1" ref="Q232" ca="1">INDEX('Isaac 401k'!L:L,MATCH('Retirement Calculator'!A232,'Isaac 401k'!N:N,0),0)</f>
        <v>1422389.0010593631</v>
      </c>
      <c r="R232" s="25">
        <f t="array" aca="1" ref="R232" ca="1">INDEX('Lorri 401b'!L:L,MATCH('Retirement Calculator'!A232,'Lorri 401b'!N:N,0),0)</f>
        <v>3696671.4149081311</v>
      </c>
      <c r="S232" s="25">
        <f t="shared" ca="1" si="7"/>
        <v>5119060.4159674942</v>
      </c>
    </row>
    <row r="233" spans="1:19" ht="15.75" customHeight="1" x14ac:dyDescent="0.3">
      <c r="A233" s="37">
        <v>58045</v>
      </c>
      <c r="B233" s="409">
        <f t="shared" ref="B233:C233" si="229">($A233-B$9)/365.25</f>
        <v>77.040383299110204</v>
      </c>
      <c r="C233" s="409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3525.4531757812501</v>
      </c>
      <c r="H233" s="25">
        <f>IF(B233&lt;62,0,'Combined Retirement'!$I$14)</f>
        <v>2192</v>
      </c>
      <c r="I233" s="25">
        <f>IF(C233&lt;62,0,'Combined Retirement'!$I$13)</f>
        <v>2420</v>
      </c>
      <c r="J233" s="25">
        <f t="shared" si="3"/>
        <v>7863.2184191855868</v>
      </c>
      <c r="K233" s="25">
        <f t="shared" si="4"/>
        <v>20282.026119384056</v>
      </c>
      <c r="L233" s="25"/>
      <c r="N233" s="25">
        <f>'Combined Retirement'!$C$18/12</f>
        <v>39153.069999999992</v>
      </c>
      <c r="O233" s="25">
        <f t="shared" si="5"/>
        <v>11007.82546143035</v>
      </c>
      <c r="P233" s="25">
        <f t="shared" si="6"/>
        <v>28145.244538569641</v>
      </c>
      <c r="Q233" s="25">
        <f t="array" aca="1" ref="Q233" ca="1">INDEX('Isaac 401k'!L:L,MATCH('Retirement Calculator'!A233,'Isaac 401k'!N:N,0),0)</f>
        <v>1420419.6400678449</v>
      </c>
      <c r="R233" s="25">
        <f t="array" aca="1" ref="R233" ca="1">INDEX('Lorri 401b'!L:L,MATCH('Retirement Calculator'!A233,'Lorri 401b'!N:N,0),0)</f>
        <v>3691707.6779087004</v>
      </c>
      <c r="S233" s="25">
        <f t="shared" ca="1" si="7"/>
        <v>5112127.3179765455</v>
      </c>
    </row>
    <row r="234" spans="1:19" ht="15.75" customHeight="1" x14ac:dyDescent="0.3">
      <c r="A234" s="37">
        <v>58076</v>
      </c>
      <c r="B234" s="409">
        <f t="shared" ref="B234:C234" si="230">($A234-B$9)/365.25</f>
        <v>77.125256673511288</v>
      </c>
      <c r="C234" s="409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3525.4531757812501</v>
      </c>
      <c r="H234" s="25">
        <f>IF(B234&lt;62,0,'Combined Retirement'!$I$14)</f>
        <v>2192</v>
      </c>
      <c r="I234" s="25">
        <f>IF(C234&lt;62,0,'Combined Retirement'!$I$13)</f>
        <v>2420</v>
      </c>
      <c r="J234" s="25">
        <f t="shared" si="3"/>
        <v>7863.2184191855868</v>
      </c>
      <c r="K234" s="25">
        <f t="shared" si="4"/>
        <v>20282.026119384056</v>
      </c>
      <c r="L234" s="25"/>
      <c r="N234" s="25">
        <f>'Combined Retirement'!$C$18/12</f>
        <v>39153.069999999992</v>
      </c>
      <c r="O234" s="25">
        <f t="shared" si="5"/>
        <v>11007.82546143035</v>
      </c>
      <c r="P234" s="25">
        <f t="shared" si="6"/>
        <v>28145.244538569641</v>
      </c>
      <c r="Q234" s="25">
        <f t="array" aca="1" ref="Q234" ca="1">INDEX('Isaac 401k'!L:L,MATCH('Retirement Calculator'!A234,'Isaac 401k'!N:N,0),0)</f>
        <v>1418442.0734055287</v>
      </c>
      <c r="R234" s="25">
        <f t="array" aca="1" ref="R234" ca="1">INDEX('Lorri 401b'!L:L,MATCH('Retirement Calculator'!A234,'Lorri 401b'!N:N,0),0)</f>
        <v>3686723.2586717717</v>
      </c>
      <c r="S234" s="25">
        <f t="shared" ca="1" si="7"/>
        <v>5105165.3320773002</v>
      </c>
    </row>
    <row r="235" spans="1:19" ht="15.75" customHeight="1" x14ac:dyDescent="0.3">
      <c r="A235" s="37">
        <v>58107</v>
      </c>
      <c r="B235" s="409">
        <f t="shared" ref="B235:C235" si="231">($A235-B$9)/365.25</f>
        <v>77.210130047912386</v>
      </c>
      <c r="C235" s="409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3525.4531757812501</v>
      </c>
      <c r="H235" s="25">
        <f>IF(B235&lt;62,0,'Combined Retirement'!$I$14)</f>
        <v>2192</v>
      </c>
      <c r="I235" s="25">
        <f>IF(C235&lt;62,0,'Combined Retirement'!$I$13)</f>
        <v>2420</v>
      </c>
      <c r="J235" s="25">
        <f t="shared" si="3"/>
        <v>7863.2184191855868</v>
      </c>
      <c r="K235" s="25">
        <f t="shared" si="4"/>
        <v>20282.026119384056</v>
      </c>
      <c r="L235" s="25"/>
      <c r="N235" s="25">
        <f>'Combined Retirement'!$C$18/12</f>
        <v>39153.069999999992</v>
      </c>
      <c r="O235" s="25">
        <f t="shared" si="5"/>
        <v>11007.82546143035</v>
      </c>
      <c r="P235" s="25">
        <f t="shared" si="6"/>
        <v>28145.244538569641</v>
      </c>
      <c r="Q235" s="25">
        <f t="array" aca="1" ref="Q235" ca="1">INDEX('Isaac 401k'!L:L,MATCH('Retirement Calculator'!A235,'Isaac 401k'!N:N,0),0)</f>
        <v>1416456.2668821195</v>
      </c>
      <c r="R235" s="25">
        <f t="array" aca="1" ref="R235" ca="1">INDEX('Lorri 401b'!L:L,MATCH('Retirement Calculator'!A235,'Lorri 401b'!N:N,0),0)</f>
        <v>3681718.0710213562</v>
      </c>
      <c r="S235" s="25">
        <f t="shared" ca="1" si="7"/>
        <v>5098174.3379034754</v>
      </c>
    </row>
    <row r="236" spans="1:19" ht="15.75" customHeight="1" x14ac:dyDescent="0.3">
      <c r="A236" s="37">
        <v>58135</v>
      </c>
      <c r="B236" s="409">
        <f t="shared" ref="B236:C236" si="232">($A236-B$9)/365.25</f>
        <v>77.286789869952088</v>
      </c>
      <c r="C236" s="409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3525.4531757812501</v>
      </c>
      <c r="H236" s="25">
        <f>IF(B236&lt;62,0,'Combined Retirement'!$I$14)</f>
        <v>2192</v>
      </c>
      <c r="I236" s="25">
        <f>IF(C236&lt;62,0,'Combined Retirement'!$I$13)</f>
        <v>2420</v>
      </c>
      <c r="J236" s="25">
        <f t="shared" si="3"/>
        <v>7863.2184191855868</v>
      </c>
      <c r="K236" s="25">
        <f t="shared" si="4"/>
        <v>20282.026119384056</v>
      </c>
      <c r="L236" s="25"/>
      <c r="N236" s="25">
        <f>'Combined Retirement'!$C$18/12</f>
        <v>39153.069999999992</v>
      </c>
      <c r="O236" s="25">
        <f t="shared" si="5"/>
        <v>11007.82546143035</v>
      </c>
      <c r="P236" s="25">
        <f t="shared" si="6"/>
        <v>28145.244538569641</v>
      </c>
      <c r="Q236" s="25">
        <f t="array" aca="1" ref="Q236" ca="1">INDEX('Isaac 401k'!L:L,MATCH('Retirement Calculator'!A236,'Isaac 401k'!N:N,0),0)</f>
        <v>1414462.1861648627</v>
      </c>
      <c r="R236" s="25">
        <f t="array" aca="1" ref="R236" ca="1">INDEX('Lorri 401b'!L:L,MATCH('Retirement Calculator'!A236,'Lorri 401b'!N:N,0),0)</f>
        <v>3676692.0284223971</v>
      </c>
      <c r="S236" s="25">
        <f t="shared" ca="1" si="7"/>
        <v>5091154.21458726</v>
      </c>
    </row>
    <row r="237" spans="1:19" ht="15.75" customHeight="1" x14ac:dyDescent="0.3">
      <c r="A237" s="37">
        <v>58166</v>
      </c>
      <c r="B237" s="409">
        <f t="shared" ref="B237:C237" si="233">($A237-B$9)/365.25</f>
        <v>77.371663244353186</v>
      </c>
      <c r="C237" s="409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3525.4531757812501</v>
      </c>
      <c r="H237" s="25">
        <f>IF(B237&lt;62,0,'Combined Retirement'!$I$14)</f>
        <v>2192</v>
      </c>
      <c r="I237" s="25">
        <f>IF(C237&lt;62,0,'Combined Retirement'!$I$13)</f>
        <v>2420</v>
      </c>
      <c r="J237" s="25">
        <f t="shared" si="3"/>
        <v>7863.2184191855868</v>
      </c>
      <c r="K237" s="25">
        <f t="shared" si="4"/>
        <v>20282.026119384056</v>
      </c>
      <c r="L237" s="25"/>
      <c r="N237" s="25">
        <f>'Combined Retirement'!$C$18/12</f>
        <v>39153.069999999992</v>
      </c>
      <c r="O237" s="25">
        <f t="shared" si="5"/>
        <v>11007.82546143035</v>
      </c>
      <c r="P237" s="25">
        <f t="shared" si="6"/>
        <v>28145.244538569641</v>
      </c>
      <c r="Q237" s="25">
        <f t="array" aca="1" ref="Q237" ca="1">INDEX('Isaac 401k'!L:L,MATCH('Retirement Calculator'!A237,'Isaac 401k'!N:N,0),0)</f>
        <v>1412459.7967779508</v>
      </c>
      <c r="R237" s="25">
        <f t="array" aca="1" ref="R237" ca="1">INDEX('Lorri 401b'!L:L,MATCH('Retirement Calculator'!A237,'Lorri 401b'!N:N,0),0)</f>
        <v>3671645.0439792755</v>
      </c>
      <c r="S237" s="25">
        <f t="shared" ca="1" si="7"/>
        <v>5084104.8407572266</v>
      </c>
    </row>
    <row r="238" spans="1:19" ht="15.75" customHeight="1" x14ac:dyDescent="0.3">
      <c r="A238" s="37">
        <v>58196</v>
      </c>
      <c r="B238" s="409">
        <f t="shared" ref="B238:C238" si="234">($A238-B$9)/365.25</f>
        <v>77.453798767967143</v>
      </c>
      <c r="C238" s="409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3525.4531757812501</v>
      </c>
      <c r="H238" s="25">
        <f>IF(B238&lt;62,0,'Combined Retirement'!$I$14)</f>
        <v>2192</v>
      </c>
      <c r="I238" s="25">
        <f>IF(C238&lt;62,0,'Combined Retirement'!$I$13)</f>
        <v>2420</v>
      </c>
      <c r="J238" s="25">
        <f t="shared" si="3"/>
        <v>7863.2184191855868</v>
      </c>
      <c r="K238" s="25">
        <f t="shared" si="4"/>
        <v>20282.026119384056</v>
      </c>
      <c r="L238" s="25"/>
      <c r="N238" s="25">
        <f>'Combined Retirement'!$C$18/12</f>
        <v>39153.069999999992</v>
      </c>
      <c r="O238" s="25">
        <f t="shared" si="5"/>
        <v>11007.82546143035</v>
      </c>
      <c r="P238" s="25">
        <f t="shared" si="6"/>
        <v>28145.244538569641</v>
      </c>
      <c r="Q238" s="25">
        <f t="array" aca="1" ref="Q238" ca="1">INDEX('Isaac 401k'!L:L,MATCH('Retirement Calculator'!A238,'Isaac 401k'!N:N,0),0)</f>
        <v>1410449.0641019267</v>
      </c>
      <c r="R238" s="25">
        <f t="array" aca="1" ref="R238" ca="1">INDEX('Lorri 401b'!L:L,MATCH('Retirement Calculator'!A238,'Lorri 401b'!N:N,0),0)</f>
        <v>3666577.0304343076</v>
      </c>
      <c r="S238" s="25">
        <f t="shared" ca="1" si="7"/>
        <v>5077026.0945362346</v>
      </c>
    </row>
    <row r="239" spans="1:19" ht="15.75" customHeight="1" x14ac:dyDescent="0.3">
      <c r="A239" s="37">
        <v>58227</v>
      </c>
      <c r="B239" s="409">
        <f t="shared" ref="B239:C239" si="235">($A239-B$9)/365.25</f>
        <v>77.538672142368242</v>
      </c>
      <c r="C239" s="409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3525.4531757812501</v>
      </c>
      <c r="H239" s="25">
        <f>IF(B239&lt;62,0,'Combined Retirement'!$I$14)</f>
        <v>2192</v>
      </c>
      <c r="I239" s="25">
        <f>IF(C239&lt;62,0,'Combined Retirement'!$I$13)</f>
        <v>2420</v>
      </c>
      <c r="J239" s="25">
        <f t="shared" si="3"/>
        <v>7863.2184191855868</v>
      </c>
      <c r="K239" s="25">
        <f t="shared" si="4"/>
        <v>20282.026119384056</v>
      </c>
      <c r="L239" s="25"/>
      <c r="N239" s="25">
        <f>'Combined Retirement'!$C$18/12</f>
        <v>39153.069999999992</v>
      </c>
      <c r="O239" s="25">
        <f t="shared" si="5"/>
        <v>11007.82546143035</v>
      </c>
      <c r="P239" s="25">
        <f t="shared" si="6"/>
        <v>28145.244538569641</v>
      </c>
      <c r="Q239" s="25">
        <f t="array" aca="1" ref="Q239" ca="1">INDEX('Isaac 401k'!L:L,MATCH('Retirement Calculator'!A239,'Isaac 401k'!N:N,0),0)</f>
        <v>1408429.9533730859</v>
      </c>
      <c r="R239" s="25">
        <f t="array" aca="1" ref="R239" ca="1">INDEX('Lorri 401b'!L:L,MATCH('Retirement Calculator'!A239,'Lorri 401b'!N:N,0),0)</f>
        <v>3661487.9001662359</v>
      </c>
      <c r="S239" s="25">
        <f t="shared" ca="1" si="7"/>
        <v>5069917.8535393216</v>
      </c>
    </row>
    <row r="240" spans="1:19" ht="15.75" customHeight="1" x14ac:dyDescent="0.3">
      <c r="A240" s="37">
        <v>58257</v>
      </c>
      <c r="B240" s="409">
        <f t="shared" ref="B240:C240" si="236">($A240-B$9)/365.25</f>
        <v>77.620807665982198</v>
      </c>
      <c r="C240" s="409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3525.4531757812501</v>
      </c>
      <c r="H240" s="25">
        <f>IF(B240&lt;62,0,'Combined Retirement'!$I$14)</f>
        <v>2192</v>
      </c>
      <c r="I240" s="25">
        <f>IF(C240&lt;62,0,'Combined Retirement'!$I$13)</f>
        <v>2420</v>
      </c>
      <c r="J240" s="25">
        <f t="shared" si="3"/>
        <v>7863.2184191855868</v>
      </c>
      <c r="K240" s="25">
        <f t="shared" si="4"/>
        <v>20282.026119384056</v>
      </c>
      <c r="L240" s="25"/>
      <c r="N240" s="25">
        <f>'Combined Retirement'!$C$18/12</f>
        <v>39153.069999999992</v>
      </c>
      <c r="O240" s="25">
        <f t="shared" si="5"/>
        <v>11007.82546143035</v>
      </c>
      <c r="P240" s="25">
        <f t="shared" si="6"/>
        <v>28145.244538569641</v>
      </c>
      <c r="Q240" s="25">
        <f t="array" aca="1" ref="Q240" ca="1">INDEX('Isaac 401k'!L:L,MATCH('Retirement Calculator'!A240,'Isaac 401k'!N:N,0),0)</f>
        <v>1406402.4296828748</v>
      </c>
      <c r="R240" s="25">
        <f t="array" aca="1" ref="R240" ca="1">INDEX('Lorri 401b'!L:L,MATCH('Retirement Calculator'!A240,'Lorri 401b'!N:N,0),0)</f>
        <v>3656377.5651887138</v>
      </c>
      <c r="S240" s="25">
        <f t="shared" ca="1" si="7"/>
        <v>5062779.9948715884</v>
      </c>
    </row>
    <row r="241" spans="1:19" ht="15.75" customHeight="1" x14ac:dyDescent="0.3">
      <c r="A241" s="37">
        <v>58288</v>
      </c>
      <c r="B241" s="409">
        <f t="shared" ref="B241:C241" si="237">($A241-B$9)/365.25</f>
        <v>77.705681040383297</v>
      </c>
      <c r="C241" s="409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3525.4531757812501</v>
      </c>
      <c r="H241" s="25">
        <f>IF(B241&lt;62,0,'Combined Retirement'!$I$14)</f>
        <v>2192</v>
      </c>
      <c r="I241" s="25">
        <f>IF(C241&lt;62,0,'Combined Retirement'!$I$13)</f>
        <v>2420</v>
      </c>
      <c r="J241" s="25">
        <f t="shared" si="3"/>
        <v>7863.2184191855868</v>
      </c>
      <c r="K241" s="25">
        <f t="shared" si="4"/>
        <v>20282.026119384056</v>
      </c>
      <c r="L241" s="25"/>
      <c r="N241" s="25">
        <f>'Combined Retirement'!$C$18/12</f>
        <v>39153.069999999992</v>
      </c>
      <c r="O241" s="25">
        <f t="shared" si="5"/>
        <v>11007.82546143035</v>
      </c>
      <c r="P241" s="25">
        <f t="shared" si="6"/>
        <v>28145.244538569641</v>
      </c>
      <c r="Q241" s="25">
        <f t="array" aca="1" ref="Q241" ca="1">INDEX('Isaac 401k'!L:L,MATCH('Retirement Calculator'!A241,'Isaac 401k'!N:N,0),0)</f>
        <v>1404366.4579772879</v>
      </c>
      <c r="R241" s="25">
        <f t="array" aca="1" ref="R241" ca="1">INDEX('Lorri 401b'!L:L,MATCH('Retirement Calculator'!A241,'Lorri 401b'!N:N,0),0)</f>
        <v>3651245.9371487852</v>
      </c>
      <c r="S241" s="25">
        <f t="shared" ca="1" si="7"/>
        <v>5055612.3951260727</v>
      </c>
    </row>
    <row r="242" spans="1:19" ht="15.75" customHeight="1" x14ac:dyDescent="0.3">
      <c r="A242" s="37">
        <v>58319</v>
      </c>
      <c r="B242" s="409">
        <f t="shared" ref="B242:C242" si="238">($A242-B$9)/365.25</f>
        <v>77.790554414784395</v>
      </c>
      <c r="C242" s="409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3525.4531757812501</v>
      </c>
      <c r="H242" s="25">
        <f>IF(B242&lt;62,0,'Combined Retirement'!$I$14)</f>
        <v>2192</v>
      </c>
      <c r="I242" s="25">
        <f>IF(C242&lt;62,0,'Combined Retirement'!$I$13)</f>
        <v>2420</v>
      </c>
      <c r="J242" s="25">
        <f t="shared" si="3"/>
        <v>7863.2184191855868</v>
      </c>
      <c r="K242" s="25">
        <f t="shared" si="4"/>
        <v>20282.026119384056</v>
      </c>
      <c r="L242" s="25"/>
      <c r="N242" s="25">
        <f>'Combined Retirement'!$C$18/12</f>
        <v>39153.069999999992</v>
      </c>
      <c r="O242" s="25">
        <f t="shared" si="5"/>
        <v>11007.82546143035</v>
      </c>
      <c r="P242" s="25">
        <f t="shared" si="6"/>
        <v>28145.244538569641</v>
      </c>
      <c r="Q242" s="25">
        <f t="array" aca="1" ref="Q242" ca="1">INDEX('Isaac 401k'!L:L,MATCH('Retirement Calculator'!A242,'Isaac 401k'!N:N,0),0)</f>
        <v>1402322.003056261</v>
      </c>
      <c r="R242" s="25">
        <f t="array" aca="1" ref="R242" ca="1">INDEX('Lorri 401b'!L:L,MATCH('Retirement Calculator'!A242,'Lorri 401b'!N:N,0),0)</f>
        <v>3646092.9273253572</v>
      </c>
      <c r="S242" s="25">
        <f t="shared" ca="1" si="7"/>
        <v>5048414.9303816184</v>
      </c>
    </row>
    <row r="243" spans="1:19" ht="15.75" customHeight="1" x14ac:dyDescent="0.3">
      <c r="A243" s="37">
        <v>58349</v>
      </c>
      <c r="B243" s="409">
        <f t="shared" ref="B243:C243" si="239">($A243-B$9)/365.25</f>
        <v>77.872689938398352</v>
      </c>
      <c r="C243" s="409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3525.4531757812501</v>
      </c>
      <c r="H243" s="25">
        <f>IF(B243&lt;62,0,'Combined Retirement'!$I$14)</f>
        <v>2192</v>
      </c>
      <c r="I243" s="25">
        <f>IF(C243&lt;62,0,'Combined Retirement'!$I$13)</f>
        <v>2420</v>
      </c>
      <c r="J243" s="25">
        <f t="shared" si="3"/>
        <v>7863.2184191855868</v>
      </c>
      <c r="K243" s="25">
        <f t="shared" si="4"/>
        <v>20282.026119384056</v>
      </c>
      <c r="L243" s="25"/>
      <c r="N243" s="25">
        <f>'Combined Retirement'!$C$18/12</f>
        <v>39153.069999999992</v>
      </c>
      <c r="O243" s="25">
        <f t="shared" si="5"/>
        <v>11007.82546143035</v>
      </c>
      <c r="P243" s="25">
        <f t="shared" si="6"/>
        <v>28145.244538569641</v>
      </c>
      <c r="Q243" s="25">
        <f t="array" aca="1" ref="Q243" ca="1">INDEX('Isaac 401k'!L:L,MATCH('Retirement Calculator'!A243,'Isaac 401k'!N:N,0),0)</f>
        <v>1400269.0295730631</v>
      </c>
      <c r="R243" s="25">
        <f t="array" aca="1" ref="R243" ca="1">INDEX('Lorri 401b'!L:L,MATCH('Retirement Calculator'!A243,'Lorri 401b'!N:N,0),0)</f>
        <v>3640918.4466276648</v>
      </c>
      <c r="S243" s="25">
        <f t="shared" ca="1" si="7"/>
        <v>5041187.4762007277</v>
      </c>
    </row>
    <row r="244" spans="1:19" ht="15.75" customHeight="1" x14ac:dyDescent="0.3">
      <c r="A244" s="37">
        <v>58380</v>
      </c>
      <c r="B244" s="409">
        <f t="shared" ref="B244:C244" si="240">($A244-B$9)/365.25</f>
        <v>77.957563312799451</v>
      </c>
      <c r="C244" s="409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3525.4531757812501</v>
      </c>
      <c r="H244" s="25">
        <f>IF(B244&lt;62,0,'Combined Retirement'!$I$14)</f>
        <v>2192</v>
      </c>
      <c r="I244" s="25">
        <f>IF(C244&lt;62,0,'Combined Retirement'!$I$13)</f>
        <v>2420</v>
      </c>
      <c r="J244" s="25">
        <f t="shared" si="3"/>
        <v>7863.2184191855868</v>
      </c>
      <c r="K244" s="25">
        <f t="shared" si="4"/>
        <v>20282.026119384056</v>
      </c>
      <c r="L244" s="25"/>
      <c r="N244" s="25">
        <f>'Combined Retirement'!$C$18/12</f>
        <v>39153.069999999992</v>
      </c>
      <c r="O244" s="25">
        <f t="shared" si="5"/>
        <v>11007.82546143035</v>
      </c>
      <c r="P244" s="25">
        <f t="shared" si="6"/>
        <v>28145.244538569641</v>
      </c>
      <c r="Q244" s="25">
        <f t="array" aca="1" ref="Q244" ca="1">INDEX('Isaac 401k'!L:L,MATCH('Retirement Calculator'!A244,'Isaac 401k'!N:N,0),0)</f>
        <v>1398207.5020336853</v>
      </c>
      <c r="R244" s="25">
        <f t="array" aca="1" ref="R244" ca="1">INDEX('Lorri 401b'!L:L,MATCH('Retirement Calculator'!A244,'Lorri 401b'!N:N,0),0)</f>
        <v>3635722.4055937319</v>
      </c>
      <c r="S244" s="25">
        <f t="shared" ca="1" si="7"/>
        <v>5033929.9076274168</v>
      </c>
    </row>
    <row r="245" spans="1:19" ht="15.75" customHeight="1" x14ac:dyDescent="0.3">
      <c r="A245" s="37">
        <v>58410</v>
      </c>
      <c r="B245" s="409">
        <f t="shared" ref="B245:C245" si="241">($A245-B$9)/365.25</f>
        <v>78.039698836413422</v>
      </c>
      <c r="C245" s="409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3525.4531757812501</v>
      </c>
      <c r="H245" s="25">
        <f>IF(B245&lt;62,0,'Combined Retirement'!$I$14)</f>
        <v>2192</v>
      </c>
      <c r="I245" s="25">
        <f>IF(C245&lt;62,0,'Combined Retirement'!$I$13)</f>
        <v>2420</v>
      </c>
      <c r="J245" s="25">
        <f t="shared" si="3"/>
        <v>7863.2184191855868</v>
      </c>
      <c r="K245" s="25">
        <f t="shared" si="4"/>
        <v>20282.026119384056</v>
      </c>
      <c r="L245" s="25"/>
      <c r="N245" s="25">
        <f>'Combined Retirement'!$C$18/12</f>
        <v>39153.069999999992</v>
      </c>
      <c r="O245" s="25">
        <f t="shared" si="5"/>
        <v>11007.82546143035</v>
      </c>
      <c r="P245" s="25">
        <f t="shared" si="6"/>
        <v>28145.244538569641</v>
      </c>
      <c r="Q245" s="25">
        <f t="array" aca="1" ref="Q245" ca="1">INDEX('Isaac 401k'!L:L,MATCH('Retirement Calculator'!A245,'Isaac 401k'!N:N,0),0)</f>
        <v>1396137.3847962269</v>
      </c>
      <c r="R245" s="25">
        <f t="array" aca="1" ref="R245" ca="1">INDEX('Lorri 401b'!L:L,MATCH('Retirement Calculator'!A245,'Lorri 401b'!N:N,0),0)</f>
        <v>3630504.7143888245</v>
      </c>
      <c r="S245" s="25">
        <f t="shared" ca="1" si="7"/>
        <v>5026642.0991850514</v>
      </c>
    </row>
    <row r="246" spans="1:19" ht="15.75" customHeight="1" x14ac:dyDescent="0.3">
      <c r="A246" s="37">
        <v>58441</v>
      </c>
      <c r="B246" s="409">
        <f t="shared" ref="B246:C246" si="242">($A246-B$9)/365.25</f>
        <v>78.124572210814506</v>
      </c>
      <c r="C246" s="409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3525.4531757812501</v>
      </c>
      <c r="H246" s="25">
        <f>IF(B246&lt;62,0,'Combined Retirement'!$I$14)</f>
        <v>2192</v>
      </c>
      <c r="I246" s="25">
        <f>IF(C246&lt;62,0,'Combined Retirement'!$I$13)</f>
        <v>2420</v>
      </c>
      <c r="J246" s="25">
        <f t="shared" si="3"/>
        <v>7863.2184191855868</v>
      </c>
      <c r="K246" s="25">
        <f t="shared" si="4"/>
        <v>20282.026119384056</v>
      </c>
      <c r="L246" s="25"/>
      <c r="N246" s="25">
        <f>'Combined Retirement'!$C$18/12</f>
        <v>39153.069999999992</v>
      </c>
      <c r="O246" s="25">
        <f t="shared" si="5"/>
        <v>11007.82546143035</v>
      </c>
      <c r="P246" s="25">
        <f t="shared" si="6"/>
        <v>28145.244538569641</v>
      </c>
      <c r="Q246" s="25">
        <f t="array" aca="1" ref="Q246" ca="1">INDEX('Isaac 401k'!L:L,MATCH('Retirement Calculator'!A246,'Isaac 401k'!N:N,0),0)</f>
        <v>1394058.642070279</v>
      </c>
      <c r="R246" s="25">
        <f t="array" aca="1" ref="R246" ca="1">INDEX('Lorri 401b'!L:L,MATCH('Retirement Calculator'!A246,'Lorri 401b'!N:N,0),0)</f>
        <v>3625265.2828038963</v>
      </c>
      <c r="S246" s="25">
        <f t="shared" ca="1" si="7"/>
        <v>5019323.9248741753</v>
      </c>
    </row>
    <row r="247" spans="1:19" ht="15.75" customHeight="1" x14ac:dyDescent="0.3">
      <c r="A247" s="37">
        <v>58472</v>
      </c>
      <c r="B247" s="409">
        <f t="shared" ref="B247:C247" si="243">($A247-B$9)/365.25</f>
        <v>78.209445585215605</v>
      </c>
      <c r="C247" s="409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3525.4531757812501</v>
      </c>
      <c r="H247" s="25">
        <f>IF(B247&lt;62,0,'Combined Retirement'!$I$14)</f>
        <v>2192</v>
      </c>
      <c r="I247" s="25">
        <f>IF(C247&lt;62,0,'Combined Retirement'!$I$13)</f>
        <v>2420</v>
      </c>
      <c r="J247" s="25">
        <f t="shared" si="3"/>
        <v>7863.2184191855868</v>
      </c>
      <c r="K247" s="25">
        <f t="shared" si="4"/>
        <v>20282.026119384056</v>
      </c>
      <c r="L247" s="25"/>
      <c r="N247" s="25">
        <f>'Combined Retirement'!$C$18/12</f>
        <v>39153.069999999992</v>
      </c>
      <c r="O247" s="25">
        <f t="shared" si="5"/>
        <v>11007.82546143035</v>
      </c>
      <c r="P247" s="25">
        <f t="shared" si="6"/>
        <v>28145.244538569641</v>
      </c>
      <c r="Q247" s="25">
        <f t="array" aca="1" ref="Q247" ca="1">INDEX('Isaac 401k'!L:L,MATCH('Retirement Calculator'!A247,'Isaac 401k'!N:N,0),0)</f>
        <v>1391971.2379163064</v>
      </c>
      <c r="R247" s="25">
        <f t="array" aca="1" ref="R247" ca="1">INDEX('Lorri 401b'!L:L,MATCH('Retirement Calculator'!A247,'Lorri 401b'!N:N,0),0)</f>
        <v>3620004.0202540313</v>
      </c>
      <c r="S247" s="25">
        <f t="shared" ca="1" si="7"/>
        <v>5011975.2581703374</v>
      </c>
    </row>
    <row r="248" spans="1:19" ht="15.75" customHeight="1" x14ac:dyDescent="0.3">
      <c r="A248" s="37">
        <v>58501</v>
      </c>
      <c r="B248" s="409">
        <f t="shared" ref="B248:C248" si="244">($A248-B$9)/365.25</f>
        <v>78.288843258042434</v>
      </c>
      <c r="C248" s="409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3525.4531757812501</v>
      </c>
      <c r="H248" s="25">
        <f>IF(B248&lt;62,0,'Combined Retirement'!$I$14)</f>
        <v>2192</v>
      </c>
      <c r="I248" s="25">
        <f>IF(C248&lt;62,0,'Combined Retirement'!$I$13)</f>
        <v>2420</v>
      </c>
      <c r="J248" s="25">
        <f t="shared" si="3"/>
        <v>7863.2184191855868</v>
      </c>
      <c r="K248" s="25">
        <f t="shared" si="4"/>
        <v>20282.026119384056</v>
      </c>
      <c r="L248" s="25"/>
      <c r="N248" s="25">
        <f>'Combined Retirement'!$C$18/12</f>
        <v>39153.069999999992</v>
      </c>
      <c r="O248" s="25">
        <f t="shared" si="5"/>
        <v>11007.82546143035</v>
      </c>
      <c r="P248" s="25">
        <f t="shared" si="6"/>
        <v>28145.244538569641</v>
      </c>
      <c r="Q248" s="25">
        <f t="array" aca="1" ref="Q248" ca="1">INDEX('Isaac 401k'!L:L,MATCH('Retirement Calculator'!A248,'Isaac 401k'!N:N,0),0)</f>
        <v>1389875.1362450253</v>
      </c>
      <c r="R248" s="25">
        <f t="array" aca="1" ref="R248" ca="1">INDEX('Lorri 401b'!L:L,MATCH('Retirement Calculator'!A248,'Lorri 401b'!N:N,0),0)</f>
        <v>3614720.8357768748</v>
      </c>
      <c r="S248" s="25">
        <f t="shared" ca="1" si="7"/>
        <v>5004595.9720219001</v>
      </c>
    </row>
    <row r="249" spans="1:19" ht="15.75" customHeight="1" x14ac:dyDescent="0.3">
      <c r="A249" s="37">
        <v>58532</v>
      </c>
      <c r="B249" s="409">
        <f t="shared" ref="B249:C249" si="245">($A249-B$9)/365.25</f>
        <v>78.373716632443532</v>
      </c>
      <c r="C249" s="409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3525.4531757812501</v>
      </c>
      <c r="H249" s="25">
        <f>IF(B249&lt;62,0,'Combined Retirement'!$I$14)</f>
        <v>2192</v>
      </c>
      <c r="I249" s="25">
        <f>IF(C249&lt;62,0,'Combined Retirement'!$I$13)</f>
        <v>2420</v>
      </c>
      <c r="J249" s="25">
        <f t="shared" si="3"/>
        <v>7863.2184191855868</v>
      </c>
      <c r="K249" s="25">
        <f t="shared" si="4"/>
        <v>20282.026119384056</v>
      </c>
      <c r="L249" s="25"/>
      <c r="N249" s="25">
        <f>'Combined Retirement'!$C$18/12</f>
        <v>39153.069999999992</v>
      </c>
      <c r="O249" s="25">
        <f t="shared" si="5"/>
        <v>11007.82546143035</v>
      </c>
      <c r="P249" s="25">
        <f t="shared" si="6"/>
        <v>28145.244538569641</v>
      </c>
      <c r="Q249" s="25">
        <f t="array" aca="1" ref="Q249" ca="1">INDEX('Isaac 401k'!L:L,MATCH('Retirement Calculator'!A249,'Isaac 401k'!N:N,0),0)</f>
        <v>1387770.3008167807</v>
      </c>
      <c r="R249" s="25">
        <f t="array" aca="1" ref="R249" ca="1">INDEX('Lorri 401b'!L:L,MATCH('Retirement Calculator'!A249,'Lorri 401b'!N:N,0),0)</f>
        <v>3609415.6380310636</v>
      </c>
      <c r="S249" s="25">
        <f t="shared" ca="1" si="7"/>
        <v>4997185.9388478445</v>
      </c>
    </row>
    <row r="250" spans="1:19" ht="15.75" customHeight="1" x14ac:dyDescent="0.3">
      <c r="A250" s="37">
        <v>58562</v>
      </c>
      <c r="B250" s="409">
        <f t="shared" ref="B250:C250" si="246">($A250-B$9)/365.25</f>
        <v>78.455852156057489</v>
      </c>
      <c r="C250" s="409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3525.4531757812501</v>
      </c>
      <c r="H250" s="25">
        <f>IF(B250&lt;62,0,'Combined Retirement'!$I$14)</f>
        <v>2192</v>
      </c>
      <c r="I250" s="25">
        <f>IF(C250&lt;62,0,'Combined Retirement'!$I$13)</f>
        <v>2420</v>
      </c>
      <c r="J250" s="25">
        <f t="shared" si="3"/>
        <v>7863.2184191855868</v>
      </c>
      <c r="K250" s="25">
        <f t="shared" si="4"/>
        <v>20282.026119384056</v>
      </c>
      <c r="L250" s="25"/>
      <c r="N250" s="25">
        <f>'Combined Retirement'!$C$18/12</f>
        <v>39153.069999999992</v>
      </c>
      <c r="O250" s="25">
        <f t="shared" si="5"/>
        <v>11007.82546143035</v>
      </c>
      <c r="P250" s="25">
        <f t="shared" si="6"/>
        <v>28145.244538569641</v>
      </c>
      <c r="Q250" s="25">
        <f t="array" aca="1" ref="Q250" ca="1">INDEX('Isaac 401k'!L:L,MATCH('Retirement Calculator'!A250,'Isaac 401k'!N:N,0),0)</f>
        <v>1385656.6952409183</v>
      </c>
      <c r="R250" s="25">
        <f t="array" aca="1" ref="R250" ca="1">INDEX('Lorri 401b'!L:L,MATCH('Retirement Calculator'!A250,'Lorri 401b'!N:N,0),0)</f>
        <v>3604088.3352946448</v>
      </c>
      <c r="S250" s="25">
        <f t="shared" ca="1" si="7"/>
        <v>4989745.0305355629</v>
      </c>
    </row>
    <row r="251" spans="1:19" ht="15.75" customHeight="1" x14ac:dyDescent="0.3">
      <c r="A251" s="37">
        <v>58593</v>
      </c>
      <c r="B251" s="409">
        <f t="shared" ref="B251:C251" si="247">($A251-B$9)/365.25</f>
        <v>78.540725530458587</v>
      </c>
      <c r="C251" s="409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3525.4531757812501</v>
      </c>
      <c r="H251" s="25">
        <f>IF(B251&lt;62,0,'Combined Retirement'!$I$14)</f>
        <v>2192</v>
      </c>
      <c r="I251" s="25">
        <f>IF(C251&lt;62,0,'Combined Retirement'!$I$13)</f>
        <v>2420</v>
      </c>
      <c r="J251" s="25">
        <f t="shared" si="3"/>
        <v>7863.2184191855868</v>
      </c>
      <c r="K251" s="25">
        <f t="shared" si="4"/>
        <v>20282.026119384056</v>
      </c>
      <c r="L251" s="25"/>
      <c r="N251" s="25">
        <f>'Combined Retirement'!$C$18/12</f>
        <v>39153.069999999992</v>
      </c>
      <c r="O251" s="25">
        <f t="shared" si="5"/>
        <v>11007.82546143035</v>
      </c>
      <c r="P251" s="25">
        <f t="shared" si="6"/>
        <v>28145.244538569641</v>
      </c>
      <c r="Q251" s="25">
        <f t="array" aca="1" ref="Q251" ca="1">INDEX('Isaac 401k'!L:L,MATCH('Retirement Calculator'!A251,'Isaac 401k'!N:N,0),0)</f>
        <v>1383534.2829751566</v>
      </c>
      <c r="R251" s="25">
        <f t="array" aca="1" ref="R251" ca="1">INDEX('Lorri 401b'!L:L,MATCH('Retirement Calculator'!A251,'Lorri 401b'!N:N,0),0)</f>
        <v>3598738.8354634913</v>
      </c>
      <c r="S251" s="25">
        <f t="shared" ca="1" si="7"/>
        <v>4982273.1184386481</v>
      </c>
    </row>
    <row r="252" spans="1:19" ht="15.75" customHeight="1" x14ac:dyDescent="0.3">
      <c r="A252" s="37">
        <v>58623</v>
      </c>
      <c r="B252" s="409">
        <f t="shared" ref="B252:C252" si="248">($A252-B$9)/365.25</f>
        <v>78.622861054072558</v>
      </c>
      <c r="C252" s="409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3525.4531757812501</v>
      </c>
      <c r="H252" s="25">
        <f>IF(B252&lt;62,0,'Combined Retirement'!$I$14)</f>
        <v>2192</v>
      </c>
      <c r="I252" s="25">
        <f>IF(C252&lt;62,0,'Combined Retirement'!$I$13)</f>
        <v>2420</v>
      </c>
      <c r="J252" s="25">
        <f t="shared" si="3"/>
        <v>7863.2184191855868</v>
      </c>
      <c r="K252" s="25">
        <f t="shared" si="4"/>
        <v>20282.026119384056</v>
      </c>
      <c r="L252" s="25"/>
      <c r="N252" s="25">
        <f>'Combined Retirement'!$C$18/12</f>
        <v>39153.069999999992</v>
      </c>
      <c r="O252" s="25">
        <f t="shared" si="5"/>
        <v>11007.82546143035</v>
      </c>
      <c r="P252" s="25">
        <f t="shared" si="6"/>
        <v>28145.244538569641</v>
      </c>
      <c r="Q252" s="25">
        <f t="array" aca="1" ref="Q252" ca="1">INDEX('Isaac 401k'!L:L,MATCH('Retirement Calculator'!A252,'Isaac 401k'!N:N,0),0)</f>
        <v>1381403.027324954</v>
      </c>
      <c r="R252" s="25">
        <f t="array" aca="1" ref="R252" ca="1">INDEX('Lorri 401b'!L:L,MATCH('Retirement Calculator'!A252,'Lorri 401b'!N:N,0),0)</f>
        <v>3593367.0460497076</v>
      </c>
      <c r="S252" s="25">
        <f t="shared" ca="1" si="7"/>
        <v>4974770.0733746616</v>
      </c>
    </row>
    <row r="253" spans="1:19" ht="15.75" customHeight="1" x14ac:dyDescent="0.3">
      <c r="A253" s="37">
        <v>58654</v>
      </c>
      <c r="B253" s="409">
        <f t="shared" ref="B253:C253" si="249">($A253-B$9)/365.25</f>
        <v>78.707734428473643</v>
      </c>
      <c r="C253" s="409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3525.4531757812501</v>
      </c>
      <c r="H253" s="25">
        <f>IF(B253&lt;62,0,'Combined Retirement'!$I$14)</f>
        <v>2192</v>
      </c>
      <c r="I253" s="25">
        <f>IF(C253&lt;62,0,'Combined Retirement'!$I$13)</f>
        <v>2420</v>
      </c>
      <c r="J253" s="25">
        <f t="shared" si="3"/>
        <v>7863.2184191855868</v>
      </c>
      <c r="K253" s="25">
        <f t="shared" si="4"/>
        <v>20282.026119384056</v>
      </c>
      <c r="L253" s="25"/>
      <c r="N253" s="25">
        <f>'Combined Retirement'!$C$18/12</f>
        <v>39153.069999999992</v>
      </c>
      <c r="O253" s="25">
        <f t="shared" si="5"/>
        <v>11007.82546143035</v>
      </c>
      <c r="P253" s="25">
        <f t="shared" si="6"/>
        <v>28145.244538569641</v>
      </c>
      <c r="Q253" s="25">
        <f t="array" aca="1" ref="Q253" ca="1">INDEX('Isaac 401k'!L:L,MATCH('Retirement Calculator'!A253,'Isaac 401k'!N:N,0),0)</f>
        <v>1379262.8914428758</v>
      </c>
      <c r="R253" s="25">
        <f t="array" aca="1" ref="R253" ca="1">INDEX('Lorri 401b'!L:L,MATCH('Retirement Calculator'!A253,'Lorri 401b'!N:N,0),0)</f>
        <v>3587972.8741800333</v>
      </c>
      <c r="S253" s="25">
        <f t="shared" ca="1" si="7"/>
        <v>4967235.7656229092</v>
      </c>
    </row>
    <row r="254" spans="1:19" ht="15.75" customHeight="1" x14ac:dyDescent="0.3">
      <c r="A254" s="37">
        <v>58685</v>
      </c>
      <c r="B254" s="409">
        <f t="shared" ref="B254:C254" si="250">($A254-B$9)/365.25</f>
        <v>78.792607802874741</v>
      </c>
      <c r="C254" s="409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3525.4531757812501</v>
      </c>
      <c r="H254" s="25">
        <f>IF(B254&lt;62,0,'Combined Retirement'!$I$14)</f>
        <v>2192</v>
      </c>
      <c r="I254" s="25">
        <f>IF(C254&lt;62,0,'Combined Retirement'!$I$13)</f>
        <v>2420</v>
      </c>
      <c r="J254" s="25">
        <f t="shared" si="3"/>
        <v>7863.2184191855868</v>
      </c>
      <c r="K254" s="25">
        <f t="shared" si="4"/>
        <v>20282.026119384056</v>
      </c>
      <c r="L254" s="25"/>
      <c r="N254" s="25">
        <f>'Combined Retirement'!$C$18/12</f>
        <v>39153.069999999992</v>
      </c>
      <c r="O254" s="25">
        <f t="shared" si="5"/>
        <v>11007.82546143035</v>
      </c>
      <c r="P254" s="25">
        <f t="shared" si="6"/>
        <v>28145.244538569641</v>
      </c>
      <c r="Q254" s="25">
        <f t="array" aca="1" ref="Q254" ca="1">INDEX('Isaac 401k'!L:L,MATCH('Retirement Calculator'!A254,'Isaac 401k'!N:N,0),0)</f>
        <v>1377113.8383279557</v>
      </c>
      <c r="R254" s="25">
        <f t="array" aca="1" ref="R254" ca="1">INDEX('Lorri 401b'!L:L,MATCH('Retirement Calculator'!A254,'Lorri 401b'!N:N,0),0)</f>
        <v>3582556.2265942353</v>
      </c>
      <c r="S254" s="25">
        <f t="shared" ca="1" si="7"/>
        <v>4959670.0649221912</v>
      </c>
    </row>
    <row r="255" spans="1:19" ht="15.75" customHeight="1" x14ac:dyDescent="0.3">
      <c r="A255" s="37">
        <v>58715</v>
      </c>
      <c r="B255" s="409">
        <f t="shared" ref="B255:C255" si="251">($A255-B$9)/365.25</f>
        <v>78.874743326488712</v>
      </c>
      <c r="C255" s="409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3525.4531757812501</v>
      </c>
      <c r="H255" s="25">
        <f>IF(B255&lt;62,0,'Combined Retirement'!$I$14)</f>
        <v>2192</v>
      </c>
      <c r="I255" s="25">
        <f>IF(C255&lt;62,0,'Combined Retirement'!$I$13)</f>
        <v>2420</v>
      </c>
      <c r="J255" s="25">
        <f t="shared" si="3"/>
        <v>7863.2184191855868</v>
      </c>
      <c r="K255" s="25">
        <f t="shared" si="4"/>
        <v>20282.026119384056</v>
      </c>
      <c r="L255" s="25"/>
      <c r="N255" s="25">
        <f>'Combined Retirement'!$C$18/12</f>
        <v>39153.069999999992</v>
      </c>
      <c r="O255" s="25">
        <f t="shared" si="5"/>
        <v>11007.82546143035</v>
      </c>
      <c r="P255" s="25">
        <f t="shared" si="6"/>
        <v>28145.244538569641</v>
      </c>
      <c r="Q255" s="25">
        <f t="array" aca="1" ref="Q255" ca="1">INDEX('Isaac 401k'!L:L,MATCH('Retirement Calculator'!A255,'Isaac 401k'!N:N,0),0)</f>
        <v>1374955.8308250566</v>
      </c>
      <c r="R255" s="25">
        <f t="array" aca="1" ref="R255" ca="1">INDEX('Lorri 401b'!L:L,MATCH('Retirement Calculator'!A255,'Lorri 401b'!N:N,0),0)</f>
        <v>3577117.0096434965</v>
      </c>
      <c r="S255" s="25">
        <f t="shared" ca="1" si="7"/>
        <v>4952072.8404685529</v>
      </c>
    </row>
    <row r="256" spans="1:19" ht="15.75" customHeight="1" x14ac:dyDescent="0.3">
      <c r="A256" s="37">
        <v>58746</v>
      </c>
      <c r="B256" s="409">
        <f t="shared" ref="B256:C256" si="252">($A256-B$9)/365.25</f>
        <v>78.959616700889796</v>
      </c>
      <c r="C256" s="409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3525.4531757812501</v>
      </c>
      <c r="H256" s="25">
        <f>IF(B256&lt;62,0,'Combined Retirement'!$I$14)</f>
        <v>2192</v>
      </c>
      <c r="I256" s="25">
        <f>IF(C256&lt;62,0,'Combined Retirement'!$I$13)</f>
        <v>2420</v>
      </c>
      <c r="J256" s="25">
        <f t="shared" si="3"/>
        <v>7863.2184191855868</v>
      </c>
      <c r="K256" s="25">
        <f t="shared" si="4"/>
        <v>20282.026119384056</v>
      </c>
      <c r="L256" s="25"/>
      <c r="N256" s="25">
        <f>'Combined Retirement'!$C$18/12</f>
        <v>39153.069999999992</v>
      </c>
      <c r="O256" s="25">
        <f t="shared" si="5"/>
        <v>11007.82546143035</v>
      </c>
      <c r="P256" s="25">
        <f t="shared" si="6"/>
        <v>28145.244538569641</v>
      </c>
      <c r="Q256" s="25">
        <f t="array" aca="1" ref="Q256" ca="1">INDEX('Isaac 401k'!L:L,MATCH('Retirement Calculator'!A256,'Isaac 401k'!N:N,0),0)</f>
        <v>1372788.8316242287</v>
      </c>
      <c r="R256" s="25">
        <f t="array" aca="1" ref="R256" ca="1">INDEX('Lorri 401b'!L:L,MATCH('Retirement Calculator'!A256,'Lorri 401b'!N:N,0),0)</f>
        <v>3571655.1292887963</v>
      </c>
      <c r="S256" s="25">
        <f t="shared" ca="1" si="7"/>
        <v>4944443.9609130248</v>
      </c>
    </row>
    <row r="257" spans="1:19" ht="15.75" customHeight="1" x14ac:dyDescent="0.3">
      <c r="A257" s="37">
        <v>58776</v>
      </c>
      <c r="B257" s="409">
        <f t="shared" ref="B257:C257" si="253">($A257-B$9)/365.25</f>
        <v>79.041752224503767</v>
      </c>
      <c r="C257" s="409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3525.4531757812501</v>
      </c>
      <c r="H257" s="25">
        <f>IF(B257&lt;62,0,'Combined Retirement'!$I$14)</f>
        <v>2192</v>
      </c>
      <c r="I257" s="25">
        <f>IF(C257&lt;62,0,'Combined Retirement'!$I$13)</f>
        <v>2420</v>
      </c>
      <c r="J257" s="25">
        <f t="shared" si="3"/>
        <v>7863.2184191855868</v>
      </c>
      <c r="K257" s="25">
        <f t="shared" si="4"/>
        <v>20282.026119384056</v>
      </c>
      <c r="L257" s="25"/>
      <c r="N257" s="25">
        <f>'Combined Retirement'!$C$18/12</f>
        <v>39153.069999999992</v>
      </c>
      <c r="O257" s="25">
        <f t="shared" si="5"/>
        <v>11007.82546143035</v>
      </c>
      <c r="P257" s="25">
        <f t="shared" si="6"/>
        <v>28145.244538569641</v>
      </c>
      <c r="Q257" s="25">
        <f t="array" aca="1" ref="Q257" ca="1">INDEX('Isaac 401k'!L:L,MATCH('Retirement Calculator'!A257,'Isaac 401k'!N:N,0),0)</f>
        <v>1370612.8032600642</v>
      </c>
      <c r="R257" s="25">
        <f t="array" aca="1" ref="R257" ca="1">INDEX('Lorri 401b'!L:L,MATCH('Retirement Calculator'!A257,'Lorri 401b'!N:N,0),0)</f>
        <v>3566170.491099285</v>
      </c>
      <c r="S257" s="25">
        <f t="shared" ca="1" si="7"/>
        <v>4936783.2943593487</v>
      </c>
    </row>
    <row r="258" spans="1:19" ht="15.75" customHeight="1" x14ac:dyDescent="0.3">
      <c r="A258" s="37">
        <v>58807</v>
      </c>
      <c r="B258" s="409">
        <f t="shared" ref="B258:C258" si="254">($A258-B$9)/365.25</f>
        <v>79.126625598904866</v>
      </c>
      <c r="C258" s="409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3525.4531757812501</v>
      </c>
      <c r="H258" s="25">
        <f>IF(B258&lt;62,0,'Combined Retirement'!$I$14)</f>
        <v>2192</v>
      </c>
      <c r="I258" s="25">
        <f>IF(C258&lt;62,0,'Combined Retirement'!$I$13)</f>
        <v>2420</v>
      </c>
      <c r="J258" s="25">
        <f t="shared" si="3"/>
        <v>7863.2184191855868</v>
      </c>
      <c r="K258" s="25">
        <f t="shared" si="4"/>
        <v>20282.026119384056</v>
      </c>
      <c r="L258" s="25"/>
      <c r="N258" s="25">
        <f>'Combined Retirement'!$C$18/12</f>
        <v>39153.069999999992</v>
      </c>
      <c r="O258" s="25">
        <f t="shared" si="5"/>
        <v>11007.82546143035</v>
      </c>
      <c r="P258" s="25">
        <f t="shared" si="6"/>
        <v>28145.244538569641</v>
      </c>
      <c r="Q258" s="25">
        <f t="array" aca="1" ref="Q258" ca="1">INDEX('Isaac 401k'!L:L,MATCH('Retirement Calculator'!A258,'Isaac 401k'!N:N,0),0)</f>
        <v>1368427.7081110489</v>
      </c>
      <c r="R258" s="25">
        <f t="array" aca="1" ref="R258" ca="1">INDEX('Lorri 401b'!L:L,MATCH('Retirement Calculator'!A258,'Lorri 401b'!N:N,0),0)</f>
        <v>3560663.0002506506</v>
      </c>
      <c r="S258" s="25">
        <f t="shared" ca="1" si="7"/>
        <v>4929090.7083616992</v>
      </c>
    </row>
    <row r="259" spans="1:19" ht="15.75" customHeight="1" x14ac:dyDescent="0.3">
      <c r="A259" s="37">
        <v>58838</v>
      </c>
      <c r="B259" s="409">
        <f t="shared" ref="B259:C259" si="255">($A259-B$9)/365.25</f>
        <v>79.21149897330595</v>
      </c>
      <c r="C259" s="409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3525.4531757812501</v>
      </c>
      <c r="H259" s="25">
        <f>IF(B259&lt;62,0,'Combined Retirement'!$I$14)</f>
        <v>2192</v>
      </c>
      <c r="I259" s="25">
        <f>IF(C259&lt;62,0,'Combined Retirement'!$I$13)</f>
        <v>2420</v>
      </c>
      <c r="J259" s="25">
        <f t="shared" si="3"/>
        <v>7863.2184191855868</v>
      </c>
      <c r="K259" s="25">
        <f t="shared" si="4"/>
        <v>20282.026119384056</v>
      </c>
      <c r="L259" s="25"/>
      <c r="N259" s="25">
        <f>'Combined Retirement'!$C$18/12</f>
        <v>39153.069999999992</v>
      </c>
      <c r="O259" s="25">
        <f t="shared" si="5"/>
        <v>11007.82546143035</v>
      </c>
      <c r="P259" s="25">
        <f t="shared" si="6"/>
        <v>28145.244538569641</v>
      </c>
      <c r="Q259" s="25">
        <f t="array" aca="1" ref="Q259" ca="1">INDEX('Isaac 401k'!L:L,MATCH('Retirement Calculator'!A259,'Isaac 401k'!N:N,0),0)</f>
        <v>1366233.5083989128</v>
      </c>
      <c r="R259" s="25">
        <f t="array" aca="1" ref="R259" ca="1">INDEX('Lorri 401b'!L:L,MATCH('Retirement Calculator'!A259,'Lorri 401b'!N:N,0),0)</f>
        <v>3555132.5615234803</v>
      </c>
      <c r="S259" s="25">
        <f t="shared" ca="1" si="7"/>
        <v>4921366.0699223932</v>
      </c>
    </row>
    <row r="260" spans="1:19" ht="15.75" customHeight="1" x14ac:dyDescent="0.3">
      <c r="A260" s="37">
        <v>58866</v>
      </c>
      <c r="B260" s="409">
        <f t="shared" ref="B260:C260" si="256">($A260-B$9)/365.25</f>
        <v>79.288158795345652</v>
      </c>
      <c r="C260" s="409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3525.4531757812501</v>
      </c>
      <c r="H260" s="25">
        <f>IF(B260&lt;62,0,'Combined Retirement'!$I$14)</f>
        <v>2192</v>
      </c>
      <c r="I260" s="25">
        <f>IF(C260&lt;62,0,'Combined Retirement'!$I$13)</f>
        <v>2420</v>
      </c>
      <c r="J260" s="25">
        <f t="shared" si="3"/>
        <v>7863.2184191855868</v>
      </c>
      <c r="K260" s="25">
        <f t="shared" si="4"/>
        <v>20282.026119384056</v>
      </c>
      <c r="L260" s="25"/>
      <c r="N260" s="25">
        <f>'Combined Retirement'!$C$18/12</f>
        <v>39153.069999999992</v>
      </c>
      <c r="O260" s="25">
        <f t="shared" si="5"/>
        <v>11007.82546143035</v>
      </c>
      <c r="P260" s="25">
        <f t="shared" si="6"/>
        <v>28145.244538569641</v>
      </c>
      <c r="Q260" s="25">
        <f t="array" aca="1" ref="Q260" ca="1">INDEX('Isaac 401k'!L:L,MATCH('Retirement Calculator'!A260,'Isaac 401k'!N:N,0),0)</f>
        <v>1364030.166187976</v>
      </c>
      <c r="R260" s="25">
        <f t="array" aca="1" ref="R260" ca="1">INDEX('Lorri 401b'!L:L,MATCH('Retirement Calculator'!A260,'Lorri 401b'!N:N,0),0)</f>
        <v>3549579.0793016134</v>
      </c>
      <c r="S260" s="25">
        <f t="shared" ca="1" si="7"/>
        <v>4913609.2454895899</v>
      </c>
    </row>
    <row r="261" spans="1:19" ht="15.75" customHeight="1" x14ac:dyDescent="0.3">
      <c r="A261" s="37">
        <v>58897</v>
      </c>
      <c r="B261" s="409">
        <f t="shared" ref="B261:C261" si="257">($A261-B$9)/365.25</f>
        <v>79.37303216974675</v>
      </c>
      <c r="C261" s="409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3525.4531757812501</v>
      </c>
      <c r="H261" s="25">
        <f>IF(B261&lt;62,0,'Combined Retirement'!$I$14)</f>
        <v>2192</v>
      </c>
      <c r="I261" s="25">
        <f>IF(C261&lt;62,0,'Combined Retirement'!$I$13)</f>
        <v>2420</v>
      </c>
      <c r="J261" s="25">
        <f t="shared" si="3"/>
        <v>7863.2184191855868</v>
      </c>
      <c r="K261" s="25">
        <f t="shared" si="4"/>
        <v>20282.026119384056</v>
      </c>
      <c r="L261" s="25"/>
      <c r="N261" s="25">
        <f>'Combined Retirement'!$C$18/12</f>
        <v>39153.069999999992</v>
      </c>
      <c r="O261" s="25">
        <f t="shared" si="5"/>
        <v>11007.82546143035</v>
      </c>
      <c r="P261" s="25">
        <f t="shared" si="6"/>
        <v>28145.244538569641</v>
      </c>
      <c r="Q261" s="25">
        <f t="array" aca="1" ref="Q261" ca="1">INDEX('Isaac 401k'!L:L,MATCH('Retirement Calculator'!A261,'Isaac 401k'!N:N,0),0)</f>
        <v>1361817.6433844937</v>
      </c>
      <c r="R261" s="25">
        <f t="array" aca="1" ref="R261" ca="1">INDEX('Lorri 401b'!L:L,MATCH('Retirement Calculator'!A261,'Lorri 401b'!N:N,0),0)</f>
        <v>3544002.4575704886</v>
      </c>
      <c r="S261" s="25">
        <f t="shared" ca="1" si="7"/>
        <v>4905820.1009549825</v>
      </c>
    </row>
    <row r="262" spans="1:19" ht="15.75" customHeight="1" x14ac:dyDescent="0.3">
      <c r="A262" s="37">
        <v>58927</v>
      </c>
      <c r="B262" s="409">
        <f t="shared" ref="B262:C262" si="258">($A262-B$9)/365.25</f>
        <v>79.455167693360707</v>
      </c>
      <c r="C262" s="409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3525.4531757812501</v>
      </c>
      <c r="H262" s="25">
        <f>IF(B262&lt;62,0,'Combined Retirement'!$I$14)</f>
        <v>2192</v>
      </c>
      <c r="I262" s="25">
        <f>IF(C262&lt;62,0,'Combined Retirement'!$I$13)</f>
        <v>2420</v>
      </c>
      <c r="J262" s="25">
        <f t="shared" si="3"/>
        <v>7863.2184191855868</v>
      </c>
      <c r="K262" s="25">
        <f t="shared" si="4"/>
        <v>20282.026119384056</v>
      </c>
      <c r="L262" s="25"/>
      <c r="N262" s="25">
        <f>'Combined Retirement'!$C$18/12</f>
        <v>39153.069999999992</v>
      </c>
      <c r="O262" s="25">
        <f t="shared" si="5"/>
        <v>11007.82546143035</v>
      </c>
      <c r="P262" s="25">
        <f t="shared" si="6"/>
        <v>28145.244538569641</v>
      </c>
      <c r="Q262" s="25">
        <f t="array" aca="1" ref="Q262" ca="1">INDEX('Isaac 401k'!L:L,MATCH('Retirement Calculator'!A262,'Isaac 401k'!N:N,0),0)</f>
        <v>1359595.9017359968</v>
      </c>
      <c r="R262" s="25">
        <f t="array" aca="1" ref="R262" ca="1">INDEX('Lorri 401b'!L:L,MATCH('Retirement Calculator'!A262,'Lorri 401b'!N:N,0),0)</f>
        <v>3538402.599915484</v>
      </c>
      <c r="S262" s="25">
        <f t="shared" ca="1" si="7"/>
        <v>4897998.5016514808</v>
      </c>
    </row>
    <row r="263" spans="1:19" ht="15.75" customHeight="1" x14ac:dyDescent="0.3">
      <c r="A263" s="37">
        <v>58958</v>
      </c>
      <c r="B263" s="409">
        <f t="shared" ref="B263:C263" si="259">($A263-B$9)/365.25</f>
        <v>79.540041067761805</v>
      </c>
      <c r="C263" s="409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3525.4531757812501</v>
      </c>
      <c r="H263" s="25">
        <f>IF(B263&lt;62,0,'Combined Retirement'!$I$14)</f>
        <v>2192</v>
      </c>
      <c r="I263" s="25">
        <f>IF(C263&lt;62,0,'Combined Retirement'!$I$13)</f>
        <v>2420</v>
      </c>
      <c r="J263" s="25">
        <f t="shared" si="3"/>
        <v>7863.2184191855868</v>
      </c>
      <c r="K263" s="25">
        <f t="shared" si="4"/>
        <v>20282.026119384056</v>
      </c>
      <c r="L263" s="25"/>
      <c r="N263" s="25">
        <f>'Combined Retirement'!$C$18/12</f>
        <v>39153.069999999992</v>
      </c>
      <c r="O263" s="25">
        <f t="shared" si="5"/>
        <v>11007.82546143035</v>
      </c>
      <c r="P263" s="25">
        <f t="shared" si="6"/>
        <v>28145.244538569641</v>
      </c>
      <c r="Q263" s="25">
        <f t="array" aca="1" ref="Q263" ca="1">INDEX('Isaac 401k'!L:L,MATCH('Retirement Calculator'!A263,'Isaac 401k'!N:N,0),0)</f>
        <v>1357364.9028306312</v>
      </c>
      <c r="R263" s="25">
        <f t="array" aca="1" ref="R263" ca="1">INDEX('Lorri 401b'!L:L,MATCH('Retirement Calculator'!A263,'Lorri 401b'!N:N,0),0)</f>
        <v>3532779.4095202503</v>
      </c>
      <c r="S263" s="25">
        <f t="shared" ca="1" si="7"/>
        <v>4890144.3123508813</v>
      </c>
    </row>
    <row r="264" spans="1:19" ht="15.75" customHeight="1" x14ac:dyDescent="0.3">
      <c r="A264" s="37">
        <v>58988</v>
      </c>
      <c r="B264" s="409">
        <f t="shared" ref="B264:C264" si="260">($A264-B$9)/365.25</f>
        <v>79.622176591375776</v>
      </c>
      <c r="C264" s="409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3525.4531757812501</v>
      </c>
      <c r="H264" s="25">
        <f>IF(B264&lt;62,0,'Combined Retirement'!$I$14)</f>
        <v>2192</v>
      </c>
      <c r="I264" s="25">
        <f>IF(C264&lt;62,0,'Combined Retirement'!$I$13)</f>
        <v>2420</v>
      </c>
      <c r="J264" s="25">
        <f t="shared" si="3"/>
        <v>7863.2184191855868</v>
      </c>
      <c r="K264" s="25">
        <f t="shared" si="4"/>
        <v>20282.026119384056</v>
      </c>
      <c r="L264" s="25"/>
      <c r="N264" s="25">
        <f>'Combined Retirement'!$C$18/12</f>
        <v>39153.069999999992</v>
      </c>
      <c r="O264" s="25">
        <f t="shared" si="5"/>
        <v>11007.82546143035</v>
      </c>
      <c r="P264" s="25">
        <f t="shared" si="6"/>
        <v>28145.244538569641</v>
      </c>
      <c r="Q264" s="25">
        <f t="array" aca="1" ref="Q264" ca="1">INDEX('Isaac 401k'!L:L,MATCH('Retirement Calculator'!A264,'Isaac 401k'!N:N,0),0)</f>
        <v>1355124.6080964934</v>
      </c>
      <c r="R264" s="25">
        <f t="array" aca="1" ref="R264" ca="1">INDEX('Lorri 401b'!L:L,MATCH('Retirement Calculator'!A264,'Lorri 401b'!N:N,0),0)</f>
        <v>3527132.7891650368</v>
      </c>
      <c r="S264" s="25">
        <f t="shared" ca="1" si="7"/>
        <v>4882257.3972615302</v>
      </c>
    </row>
    <row r="265" spans="1:19" ht="15.75" customHeight="1" x14ac:dyDescent="0.3">
      <c r="A265" s="37">
        <v>59019</v>
      </c>
      <c r="B265" s="409">
        <f t="shared" ref="B265:C265" si="261">($A265-B$9)/365.25</f>
        <v>79.707049965776861</v>
      </c>
      <c r="C265" s="409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3525.4531757812501</v>
      </c>
      <c r="H265" s="25">
        <f>IF(B265&lt;62,0,'Combined Retirement'!$I$14)</f>
        <v>2192</v>
      </c>
      <c r="I265" s="25">
        <f>IF(C265&lt;62,0,'Combined Retirement'!$I$13)</f>
        <v>2420</v>
      </c>
      <c r="J265" s="25">
        <f t="shared" si="3"/>
        <v>7863.2184191855868</v>
      </c>
      <c r="K265" s="25">
        <f t="shared" si="4"/>
        <v>20282.026119384056</v>
      </c>
      <c r="L265" s="25"/>
      <c r="N265" s="25">
        <f>'Combined Retirement'!$C$18/12</f>
        <v>39153.069999999992</v>
      </c>
      <c r="O265" s="25">
        <f t="shared" si="5"/>
        <v>11007.82546143035</v>
      </c>
      <c r="P265" s="25">
        <f t="shared" si="6"/>
        <v>28145.244538569641</v>
      </c>
      <c r="Q265" s="25">
        <f t="array" aca="1" ref="Q265" ca="1">INDEX('Isaac 401k'!L:L,MATCH('Retirement Calculator'!A265,'Isaac 401k'!N:N,0),0)</f>
        <v>1352874.9788009631</v>
      </c>
      <c r="R265" s="25">
        <f t="array" aca="1" ref="R265" ca="1">INDEX('Lorri 401b'!L:L,MATCH('Retirement Calculator'!A265,'Lorri 401b'!N:N,0),0)</f>
        <v>3521462.6412250097</v>
      </c>
      <c r="S265" s="25">
        <f t="shared" ca="1" si="7"/>
        <v>4874337.6200259728</v>
      </c>
    </row>
    <row r="266" spans="1:19" ht="15.75" customHeight="1" x14ac:dyDescent="0.3">
      <c r="A266" s="37">
        <v>59050</v>
      </c>
      <c r="B266" s="409">
        <f t="shared" ref="B266:C266" si="262">($A266-B$9)/365.25</f>
        <v>79.791923340177959</v>
      </c>
      <c r="C266" s="409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3525.4531757812501</v>
      </c>
      <c r="H266" s="25">
        <f>IF(B266&lt;62,0,'Combined Retirement'!$I$14)</f>
        <v>2192</v>
      </c>
      <c r="I266" s="25">
        <f>IF(C266&lt;62,0,'Combined Retirement'!$I$13)</f>
        <v>2420</v>
      </c>
      <c r="J266" s="25">
        <f t="shared" ref="J266:J520" si="263">IF(C266&lt;59.5,P266,P266*$J$7)</f>
        <v>7863.2184191855868</v>
      </c>
      <c r="K266" s="25">
        <f t="shared" ref="K266:K520" si="264">IF(C266&lt;59.5,0,IF(C266&lt;$B$7,0,P266*$K$7))</f>
        <v>20282.026119384056</v>
      </c>
      <c r="L266" s="25"/>
      <c r="N266" s="25">
        <f>'Combined Retirement'!$C$18/12</f>
        <v>39153.069999999992</v>
      </c>
      <c r="O266" s="25">
        <f t="shared" ref="O266:O520" si="265">SUM(E266:I266)</f>
        <v>11007.82546143035</v>
      </c>
      <c r="P266" s="25">
        <f t="shared" ref="P266:P520" si="266">N266-O266</f>
        <v>28145.244538569641</v>
      </c>
      <c r="Q266" s="25">
        <f t="array" aca="1" ref="Q266" ca="1">INDEX('Isaac 401k'!L:L,MATCH('Retirement Calculator'!A266,'Isaac 401k'!N:N,0),0)</f>
        <v>1350615.9760500349</v>
      </c>
      <c r="R266" s="25">
        <f t="array" aca="1" ref="R266" ca="1">INDEX('Lorri 401b'!L:L,MATCH('Retirement Calculator'!A266,'Lorri 401b'!N:N,0),0)</f>
        <v>3515768.8676685658</v>
      </c>
      <c r="S266" s="25">
        <f t="shared" ref="S266:S520" ca="1" si="267">SUM(Q266:R266)</f>
        <v>4866384.8437186005</v>
      </c>
    </row>
    <row r="267" spans="1:19" ht="15.75" customHeight="1" x14ac:dyDescent="0.3">
      <c r="A267" s="37">
        <v>59080</v>
      </c>
      <c r="B267" s="409">
        <f t="shared" ref="B267:C267" si="268">($A267-B$9)/365.25</f>
        <v>79.87405886379193</v>
      </c>
      <c r="C267" s="409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3525.4531757812501</v>
      </c>
      <c r="H267" s="25">
        <f>IF(B267&lt;62,0,'Combined Retirement'!$I$14)</f>
        <v>2192</v>
      </c>
      <c r="I267" s="25">
        <f>IF(C267&lt;62,0,'Combined Retirement'!$I$13)</f>
        <v>2420</v>
      </c>
      <c r="J267" s="25">
        <f t="shared" si="263"/>
        <v>7863.2184191855868</v>
      </c>
      <c r="K267" s="25">
        <f t="shared" si="264"/>
        <v>20282.026119384056</v>
      </c>
      <c r="L267" s="25"/>
      <c r="N267" s="25">
        <f>'Combined Retirement'!$C$18/12</f>
        <v>39153.069999999992</v>
      </c>
      <c r="O267" s="25">
        <f t="shared" si="265"/>
        <v>11007.82546143035</v>
      </c>
      <c r="P267" s="25">
        <f t="shared" si="266"/>
        <v>28145.244538569641</v>
      </c>
      <c r="Q267" s="25">
        <f t="array" aca="1" ref="Q267" ca="1">INDEX('Isaac 401k'!L:L,MATCH('Retirement Calculator'!A267,'Isaac 401k'!N:N,0),0)</f>
        <v>1348347.5607876445</v>
      </c>
      <c r="R267" s="25">
        <f t="array" aca="1" ref="R267" ca="1">INDEX('Lorri 401b'!L:L,MATCH('Retirement Calculator'!A267,'Lorri 401b'!N:N,0),0)</f>
        <v>3510051.3700556369</v>
      </c>
      <c r="S267" s="25">
        <f t="shared" ca="1" si="267"/>
        <v>4858398.9308432816</v>
      </c>
    </row>
    <row r="268" spans="1:19" ht="15.75" customHeight="1" x14ac:dyDescent="0.3">
      <c r="A268" s="37">
        <v>59111</v>
      </c>
      <c r="B268" s="409">
        <f t="shared" ref="B268:C268" si="269">($A268-B$9)/365.25</f>
        <v>79.958932238193015</v>
      </c>
      <c r="C268" s="409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3525.4531757812501</v>
      </c>
      <c r="H268" s="25">
        <f>IF(B268&lt;62,0,'Combined Retirement'!$I$14)</f>
        <v>2192</v>
      </c>
      <c r="I268" s="25">
        <f>IF(C268&lt;62,0,'Combined Retirement'!$I$13)</f>
        <v>2420</v>
      </c>
      <c r="J268" s="25">
        <f t="shared" si="263"/>
        <v>7863.2184191855868</v>
      </c>
      <c r="K268" s="25">
        <f t="shared" si="264"/>
        <v>20282.026119384056</v>
      </c>
      <c r="L268" s="25"/>
      <c r="N268" s="25">
        <f>'Combined Retirement'!$C$18/12</f>
        <v>39153.069999999992</v>
      </c>
      <c r="O268" s="25">
        <f t="shared" si="265"/>
        <v>11007.82546143035</v>
      </c>
      <c r="P268" s="25">
        <f t="shared" si="266"/>
        <v>28145.244538569641</v>
      </c>
      <c r="Q268" s="25">
        <f t="array" aca="1" ref="Q268" ca="1">INDEX('Isaac 401k'!L:L,MATCH('Retirement Calculator'!A268,'Isaac 401k'!N:N,0),0)</f>
        <v>1346069.6937949941</v>
      </c>
      <c r="R268" s="25">
        <f t="array" aca="1" ref="R268" ca="1">INDEX('Lorri 401b'!L:L,MATCH('Retirement Calculator'!A268,'Lorri 401b'!N:N,0),0)</f>
        <v>3504310.0495359874</v>
      </c>
      <c r="S268" s="25">
        <f t="shared" ca="1" si="267"/>
        <v>4850379.7433309816</v>
      </c>
    </row>
    <row r="269" spans="1:19" ht="15.75" customHeight="1" x14ac:dyDescent="0.3">
      <c r="A269" s="37">
        <v>59141</v>
      </c>
      <c r="B269" s="409">
        <f t="shared" ref="B269:C269" si="270">($A269-B$9)/365.25</f>
        <v>80.041067761806985</v>
      </c>
      <c r="C269" s="409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3525.4531757812501</v>
      </c>
      <c r="H269" s="25">
        <f>IF(B269&lt;62,0,'Combined Retirement'!$I$14)</f>
        <v>2192</v>
      </c>
      <c r="I269" s="25">
        <f>IF(C269&lt;62,0,'Combined Retirement'!$I$13)</f>
        <v>2420</v>
      </c>
      <c r="J269" s="25">
        <f t="shared" si="263"/>
        <v>7863.2184191855868</v>
      </c>
      <c r="K269" s="25">
        <f t="shared" si="264"/>
        <v>20282.026119384056</v>
      </c>
      <c r="L269" s="25"/>
      <c r="N269" s="25">
        <f>'Combined Retirement'!$C$18/12</f>
        <v>39153.069999999992</v>
      </c>
      <c r="O269" s="25">
        <f t="shared" si="265"/>
        <v>11007.82546143035</v>
      </c>
      <c r="P269" s="25">
        <f t="shared" si="266"/>
        <v>28145.244538569641</v>
      </c>
      <c r="Q269" s="25">
        <f t="array" aca="1" ref="Q269" ca="1">INDEX('Isaac 401k'!L:L,MATCH('Retirement Calculator'!A269,'Isaac 401k'!N:N,0),0)</f>
        <v>1343782.3356898744</v>
      </c>
      <c r="R269" s="25">
        <f t="array" aca="1" ref="R269" ca="1">INDEX('Lorri 401b'!L:L,MATCH('Retirement Calculator'!A269,'Lorri 401b'!N:N,0),0)</f>
        <v>3498544.8068475057</v>
      </c>
      <c r="S269" s="25">
        <f t="shared" ca="1" si="267"/>
        <v>4842327.1425373796</v>
      </c>
    </row>
    <row r="270" spans="1:19" ht="15.75" customHeight="1" x14ac:dyDescent="0.3">
      <c r="A270" s="37">
        <v>59172</v>
      </c>
      <c r="B270" s="409">
        <f t="shared" ref="B270:C270" si="271">($A270-B$9)/365.25</f>
        <v>80.12594113620807</v>
      </c>
      <c r="C270" s="409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3525.4531757812501</v>
      </c>
      <c r="H270" s="25">
        <f>IF(B270&lt;62,0,'Combined Retirement'!$I$14)</f>
        <v>2192</v>
      </c>
      <c r="I270" s="25">
        <f>IF(C270&lt;62,0,'Combined Retirement'!$I$13)</f>
        <v>2420</v>
      </c>
      <c r="J270" s="25">
        <f t="shared" si="263"/>
        <v>7863.2184191855868</v>
      </c>
      <c r="K270" s="25">
        <f t="shared" si="264"/>
        <v>20282.026119384056</v>
      </c>
      <c r="L270" s="25"/>
      <c r="N270" s="25">
        <f>'Combined Retirement'!$C$18/12</f>
        <v>39153.069999999992</v>
      </c>
      <c r="O270" s="25">
        <f t="shared" si="265"/>
        <v>11007.82546143035</v>
      </c>
      <c r="P270" s="25">
        <f t="shared" si="266"/>
        <v>28145.244538569641</v>
      </c>
      <c r="Q270" s="25">
        <f t="array" aca="1" ref="Q270" ca="1">INDEX('Isaac 401k'!L:L,MATCH('Retirement Calculator'!A270,'Isaac 401k'!N:N,0),0)</f>
        <v>1341485.4469259833</v>
      </c>
      <c r="R270" s="25">
        <f t="array" aca="1" ref="R270" ca="1">INDEX('Lorri 401b'!L:L,MATCH('Retirement Calculator'!A270,'Lorri 401b'!N:N,0),0)</f>
        <v>3492755.5423144889</v>
      </c>
      <c r="S270" s="25">
        <f t="shared" ca="1" si="267"/>
        <v>4834240.9892404722</v>
      </c>
    </row>
    <row r="271" spans="1:19" ht="15.75" customHeight="1" x14ac:dyDescent="0.3">
      <c r="A271" s="37">
        <v>59203</v>
      </c>
      <c r="B271" s="409">
        <f t="shared" ref="B271:C271" si="272">($A271-B$9)/365.25</f>
        <v>80.210814510609168</v>
      </c>
      <c r="C271" s="409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3525.4531757812501</v>
      </c>
      <c r="H271" s="25">
        <f>IF(B271&lt;62,0,'Combined Retirement'!$I$14)</f>
        <v>2192</v>
      </c>
      <c r="I271" s="25">
        <f>IF(C271&lt;62,0,'Combined Retirement'!$I$13)</f>
        <v>2420</v>
      </c>
      <c r="J271" s="25">
        <f t="shared" si="263"/>
        <v>7863.2184191855868</v>
      </c>
      <c r="K271" s="25">
        <f t="shared" si="264"/>
        <v>20282.026119384056</v>
      </c>
      <c r="L271" s="25"/>
      <c r="N271" s="25">
        <f>'Combined Retirement'!$C$18/12</f>
        <v>39153.069999999992</v>
      </c>
      <c r="O271" s="25">
        <f t="shared" si="265"/>
        <v>11007.82546143035</v>
      </c>
      <c r="P271" s="25">
        <f t="shared" si="266"/>
        <v>28145.244538569641</v>
      </c>
      <c r="Q271" s="25">
        <f t="array" aca="1" ref="Q271" ca="1">INDEX('Isaac 401k'!L:L,MATCH('Retirement Calculator'!A271,'Isaac 401k'!N:N,0),0)</f>
        <v>1339178.9877922428</v>
      </c>
      <c r="R271" s="25">
        <f t="array" aca="1" ref="R271" ca="1">INDEX('Lorri 401b'!L:L,MATCH('Retirement Calculator'!A271,'Lorri 401b'!N:N,0),0)</f>
        <v>3486942.1558459178</v>
      </c>
      <c r="S271" s="25">
        <f t="shared" ca="1" si="267"/>
        <v>4826121.1436381601</v>
      </c>
    </row>
    <row r="272" spans="1:19" ht="15.75" customHeight="1" x14ac:dyDescent="0.3">
      <c r="A272" s="37">
        <v>59231</v>
      </c>
      <c r="B272" s="409">
        <f t="shared" ref="B272:C272" si="273">($A272-B$9)/365.25</f>
        <v>80.28747433264887</v>
      </c>
      <c r="C272" s="409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3525.4531757812501</v>
      </c>
      <c r="H272" s="25">
        <f>IF(B272&lt;62,0,'Combined Retirement'!$I$14)</f>
        <v>2192</v>
      </c>
      <c r="I272" s="25">
        <f>IF(C272&lt;62,0,'Combined Retirement'!$I$13)</f>
        <v>2420</v>
      </c>
      <c r="J272" s="25">
        <f t="shared" si="263"/>
        <v>7863.2184191855868</v>
      </c>
      <c r="K272" s="25">
        <f t="shared" si="264"/>
        <v>20282.026119384056</v>
      </c>
      <c r="L272" s="25"/>
      <c r="N272" s="25">
        <f>'Combined Retirement'!$C$18/12</f>
        <v>39153.069999999992</v>
      </c>
      <c r="O272" s="25">
        <f t="shared" si="265"/>
        <v>11007.82546143035</v>
      </c>
      <c r="P272" s="25">
        <f t="shared" si="266"/>
        <v>28145.244538569641</v>
      </c>
      <c r="Q272" s="25">
        <f t="array" aca="1" ref="Q272" ca="1">INDEX('Isaac 401k'!L:L,MATCH('Retirement Calculator'!A272,'Isaac 401k'!N:N,0),0)</f>
        <v>1336862.9184121115</v>
      </c>
      <c r="R272" s="25">
        <f t="array" aca="1" ref="R272" ca="1">INDEX('Lorri 401b'!L:L,MATCH('Retirement Calculator'!A272,'Lorri 401b'!N:N,0),0)</f>
        <v>3481104.5469337278</v>
      </c>
      <c r="S272" s="25">
        <f t="shared" ca="1" si="267"/>
        <v>4817967.465345839</v>
      </c>
    </row>
    <row r="273" spans="1:19" ht="15.75" customHeight="1" x14ac:dyDescent="0.3">
      <c r="A273" s="37">
        <v>59262</v>
      </c>
      <c r="B273" s="409">
        <f t="shared" ref="B273:C273" si="274">($A273-B$9)/365.25</f>
        <v>80.372347707049968</v>
      </c>
      <c r="C273" s="409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3525.4531757812501</v>
      </c>
      <c r="H273" s="25">
        <f>IF(B273&lt;62,0,'Combined Retirement'!$I$14)</f>
        <v>2192</v>
      </c>
      <c r="I273" s="25">
        <f>IF(C273&lt;62,0,'Combined Retirement'!$I$13)</f>
        <v>2420</v>
      </c>
      <c r="J273" s="25">
        <f t="shared" si="263"/>
        <v>7863.2184191855868</v>
      </c>
      <c r="K273" s="25">
        <f t="shared" si="264"/>
        <v>20282.026119384056</v>
      </c>
      <c r="L273" s="25"/>
      <c r="N273" s="25">
        <f>'Combined Retirement'!$C$18/12</f>
        <v>39153.069999999992</v>
      </c>
      <c r="O273" s="25">
        <f t="shared" si="265"/>
        <v>11007.82546143035</v>
      </c>
      <c r="P273" s="25">
        <f t="shared" si="266"/>
        <v>28145.244538569641</v>
      </c>
      <c r="Q273" s="25">
        <f t="array" aca="1" ref="Q273" ca="1">INDEX('Isaac 401k'!L:L,MATCH('Retirement Calculator'!A273,'Isaac 401k'!N:N,0),0)</f>
        <v>1334537.1987428963</v>
      </c>
      <c r="R273" s="25">
        <f t="array" aca="1" ref="R273" ca="1">INDEX('Lorri 401b'!L:L,MATCH('Retirement Calculator'!A273,'Lorri 401b'!N:N,0),0)</f>
        <v>3475242.6146510704</v>
      </c>
      <c r="S273" s="25">
        <f t="shared" ca="1" si="267"/>
        <v>4809779.8133939672</v>
      </c>
    </row>
    <row r="274" spans="1:19" ht="15.75" customHeight="1" x14ac:dyDescent="0.3">
      <c r="A274" s="37">
        <v>59292</v>
      </c>
      <c r="B274" s="409">
        <f t="shared" ref="B274:C274" si="275">($A274-B$9)/365.25</f>
        <v>80.454483230663925</v>
      </c>
      <c r="C274" s="409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3525.4531757812501</v>
      </c>
      <c r="H274" s="25">
        <f>IF(B274&lt;62,0,'Combined Retirement'!$I$14)</f>
        <v>2192</v>
      </c>
      <c r="I274" s="25">
        <f>IF(C274&lt;62,0,'Combined Retirement'!$I$13)</f>
        <v>2420</v>
      </c>
      <c r="J274" s="25">
        <f t="shared" si="263"/>
        <v>7863.2184191855868</v>
      </c>
      <c r="K274" s="25">
        <f t="shared" si="264"/>
        <v>20282.026119384056</v>
      </c>
      <c r="L274" s="25"/>
      <c r="N274" s="25">
        <f>'Combined Retirement'!$C$18/12</f>
        <v>39153.069999999992</v>
      </c>
      <c r="O274" s="25">
        <f t="shared" si="265"/>
        <v>11007.82546143035</v>
      </c>
      <c r="P274" s="25">
        <f t="shared" si="266"/>
        <v>28145.244538569641</v>
      </c>
      <c r="Q274" s="25">
        <f t="array" aca="1" ref="Q274" ca="1">INDEX('Isaac 401k'!L:L,MATCH('Retirement Calculator'!A274,'Isaac 401k'!N:N,0),0)</f>
        <v>1332201.7885750595</v>
      </c>
      <c r="R274" s="25">
        <f t="array" aca="1" ref="R274" ca="1">INDEX('Lorri 401b'!L:L,MATCH('Retirement Calculator'!A274,'Lorri 401b'!N:N,0),0)</f>
        <v>3469356.2576505686</v>
      </c>
      <c r="S274" s="25">
        <f t="shared" ca="1" si="267"/>
        <v>4801558.0462256279</v>
      </c>
    </row>
    <row r="275" spans="1:19" ht="15.75" customHeight="1" x14ac:dyDescent="0.3">
      <c r="A275" s="37">
        <v>59323</v>
      </c>
      <c r="B275" s="409">
        <f t="shared" ref="B275:C275" si="276">($A275-B$9)/365.25</f>
        <v>80.539356605065024</v>
      </c>
      <c r="C275" s="409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3525.4531757812501</v>
      </c>
      <c r="H275" s="25">
        <f>IF(B275&lt;62,0,'Combined Retirement'!$I$14)</f>
        <v>2192</v>
      </c>
      <c r="I275" s="25">
        <f>IF(C275&lt;62,0,'Combined Retirement'!$I$13)</f>
        <v>2420</v>
      </c>
      <c r="J275" s="25">
        <f t="shared" si="263"/>
        <v>7863.2184191855868</v>
      </c>
      <c r="K275" s="25">
        <f t="shared" si="264"/>
        <v>20282.026119384056</v>
      </c>
      <c r="L275" s="25"/>
      <c r="N275" s="25">
        <f>'Combined Retirement'!$C$18/12</f>
        <v>39153.069999999992</v>
      </c>
      <c r="O275" s="25">
        <f t="shared" si="265"/>
        <v>11007.82546143035</v>
      </c>
      <c r="P275" s="25">
        <f t="shared" si="266"/>
        <v>28145.244538569641</v>
      </c>
      <c r="Q275" s="25">
        <f t="array" aca="1" ref="Q275" ca="1">INDEX('Isaac 401k'!L:L,MATCH('Retirement Calculator'!A275,'Isaac 401k'!N:N,0),0)</f>
        <v>1329856.6475315234</v>
      </c>
      <c r="R275" s="25">
        <f t="array" aca="1" ref="R275" ca="1">INDEX('Lorri 401b'!L:L,MATCH('Retirement Calculator'!A275,'Lorri 401b'!N:N,0),0)</f>
        <v>3463445.3741625645</v>
      </c>
      <c r="S275" s="25">
        <f t="shared" ca="1" si="267"/>
        <v>4793302.0216940884</v>
      </c>
    </row>
    <row r="276" spans="1:19" ht="15.75" customHeight="1" x14ac:dyDescent="0.3">
      <c r="A276" s="37">
        <v>59353</v>
      </c>
      <c r="B276" s="409">
        <f t="shared" ref="B276:C276" si="277">($A276-B$9)/365.25</f>
        <v>80.62149212867898</v>
      </c>
      <c r="C276" s="409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3525.4531757812501</v>
      </c>
      <c r="H276" s="25">
        <f>IF(B276&lt;62,0,'Combined Retirement'!$I$14)</f>
        <v>2192</v>
      </c>
      <c r="I276" s="25">
        <f>IF(C276&lt;62,0,'Combined Retirement'!$I$13)</f>
        <v>2420</v>
      </c>
      <c r="J276" s="25">
        <f t="shared" si="263"/>
        <v>7863.2184191855868</v>
      </c>
      <c r="K276" s="25">
        <f t="shared" si="264"/>
        <v>20282.026119384056</v>
      </c>
      <c r="L276" s="25"/>
      <c r="N276" s="25">
        <f>'Combined Retirement'!$C$18/12</f>
        <v>39153.069999999992</v>
      </c>
      <c r="O276" s="25">
        <f t="shared" si="265"/>
        <v>11007.82546143035</v>
      </c>
      <c r="P276" s="25">
        <f t="shared" si="266"/>
        <v>28145.244538569641</v>
      </c>
      <c r="Q276" s="25">
        <f t="array" aca="1" ref="Q276" ca="1">INDEX('Isaac 401k'!L:L,MATCH('Retirement Calculator'!A276,'Isaac 401k'!N:N,0),0)</f>
        <v>1327501.7350669724</v>
      </c>
      <c r="R276" s="25">
        <f t="array" aca="1" ref="R276" ca="1">INDEX('Lorri 401b'!L:L,MATCH('Retirement Calculator'!A276,'Lorri 401b'!N:N,0),0)</f>
        <v>3457509.8619933603</v>
      </c>
      <c r="S276" s="25">
        <f t="shared" ca="1" si="267"/>
        <v>4785011.597060333</v>
      </c>
    </row>
    <row r="277" spans="1:19" ht="15.75" customHeight="1" x14ac:dyDescent="0.3">
      <c r="A277" s="37">
        <v>59384</v>
      </c>
      <c r="B277" s="409">
        <f t="shared" ref="B277:C277" si="278">($A277-B$9)/365.25</f>
        <v>80.706365503080079</v>
      </c>
      <c r="C277" s="409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3525.4531757812501</v>
      </c>
      <c r="H277" s="25">
        <f>IF(B277&lt;62,0,'Combined Retirement'!$I$14)</f>
        <v>2192</v>
      </c>
      <c r="I277" s="25">
        <f>IF(C277&lt;62,0,'Combined Retirement'!$I$13)</f>
        <v>2420</v>
      </c>
      <c r="J277" s="25">
        <f t="shared" si="263"/>
        <v>7863.2184191855868</v>
      </c>
      <c r="K277" s="25">
        <f t="shared" si="264"/>
        <v>20282.026119384056</v>
      </c>
      <c r="L277" s="25"/>
      <c r="N277" s="25">
        <f>'Combined Retirement'!$C$18/12</f>
        <v>39153.069999999992</v>
      </c>
      <c r="O277" s="25">
        <f t="shared" si="265"/>
        <v>11007.82546143035</v>
      </c>
      <c r="P277" s="25">
        <f t="shared" si="266"/>
        <v>28145.244538569641</v>
      </c>
      <c r="Q277" s="25">
        <f t="array" aca="1" ref="Q277" ca="1">INDEX('Isaac 401k'!L:L,MATCH('Retirement Calculator'!A277,'Isaac 401k'!N:N,0),0)</f>
        <v>1325137.0104671526</v>
      </c>
      <c r="R277" s="25">
        <f t="array" aca="1" ref="R277" ca="1">INDEX('Lorri 401b'!L:L,MATCH('Retirement Calculator'!A277,'Lorri 401b'!N:N,0),0)</f>
        <v>3451549.618523451</v>
      </c>
      <c r="S277" s="25">
        <f t="shared" ca="1" si="267"/>
        <v>4776686.6289906036</v>
      </c>
    </row>
    <row r="278" spans="1:19" ht="15.75" customHeight="1" x14ac:dyDescent="0.3">
      <c r="A278" s="37">
        <v>59415</v>
      </c>
      <c r="B278" s="409">
        <f t="shared" ref="B278:C278" si="279">($A278-B$9)/365.25</f>
        <v>80.791238877481177</v>
      </c>
      <c r="C278" s="409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3525.4531757812501</v>
      </c>
      <c r="H278" s="25">
        <f>IF(B278&lt;62,0,'Combined Retirement'!$I$14)</f>
        <v>2192</v>
      </c>
      <c r="I278" s="25">
        <f>IF(C278&lt;62,0,'Combined Retirement'!$I$13)</f>
        <v>2420</v>
      </c>
      <c r="J278" s="25">
        <f t="shared" si="263"/>
        <v>7863.2184191855868</v>
      </c>
      <c r="K278" s="25">
        <f t="shared" si="264"/>
        <v>20282.026119384056</v>
      </c>
      <c r="L278" s="25"/>
      <c r="N278" s="25">
        <f>'Combined Retirement'!$C$18/12</f>
        <v>39153.069999999992</v>
      </c>
      <c r="O278" s="25">
        <f t="shared" si="265"/>
        <v>11007.82546143035</v>
      </c>
      <c r="P278" s="25">
        <f t="shared" si="266"/>
        <v>28145.244538569641</v>
      </c>
      <c r="Q278" s="25">
        <f t="array" aca="1" ref="Q278" ca="1">INDEX('Isaac 401k'!L:L,MATCH('Retirement Calculator'!A278,'Isaac 401k'!N:N,0),0)</f>
        <v>1322762.4328481669</v>
      </c>
      <c r="R278" s="25">
        <f t="array" aca="1" ref="R278" ca="1">INDEX('Lorri 401b'!L:L,MATCH('Retirement Calculator'!A278,'Lorri 401b'!N:N,0),0)</f>
        <v>3445564.5407057507</v>
      </c>
      <c r="S278" s="25">
        <f t="shared" ca="1" si="267"/>
        <v>4768326.9735539174</v>
      </c>
    </row>
    <row r="279" spans="1:19" ht="15.75" customHeight="1" x14ac:dyDescent="0.3">
      <c r="A279" s="37">
        <v>59445</v>
      </c>
      <c r="B279" s="409">
        <f t="shared" ref="B279:C279" si="280">($A279-B$9)/365.25</f>
        <v>80.873374401095134</v>
      </c>
      <c r="C279" s="409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3525.4531757812501</v>
      </c>
      <c r="H279" s="25">
        <f>IF(B279&lt;62,0,'Combined Retirement'!$I$14)</f>
        <v>2192</v>
      </c>
      <c r="I279" s="25">
        <f>IF(C279&lt;62,0,'Combined Retirement'!$I$13)</f>
        <v>2420</v>
      </c>
      <c r="J279" s="25">
        <f t="shared" si="263"/>
        <v>7863.2184191855868</v>
      </c>
      <c r="K279" s="25">
        <f t="shared" si="264"/>
        <v>20282.026119384056</v>
      </c>
      <c r="L279" s="25"/>
      <c r="N279" s="25">
        <f>'Combined Retirement'!$C$18/12</f>
        <v>39153.069999999992</v>
      </c>
      <c r="O279" s="25">
        <f t="shared" si="265"/>
        <v>11007.82546143035</v>
      </c>
      <c r="P279" s="25">
        <f t="shared" si="266"/>
        <v>28145.244538569641</v>
      </c>
      <c r="Q279" s="25">
        <f t="array" aca="1" ref="Q279" ca="1">INDEX('Isaac 401k'!L:L,MATCH('Retirement Calculator'!A279,'Isaac 401k'!N:N,0),0)</f>
        <v>1320377.9611557687</v>
      </c>
      <c r="R279" s="25">
        <f t="array" aca="1" ref="R279" ca="1">INDEX('Lorri 401b'!L:L,MATCH('Retirement Calculator'!A279,'Lorri 401b'!N:N,0),0)</f>
        <v>3439554.5250638099</v>
      </c>
      <c r="S279" s="25">
        <f t="shared" ca="1" si="267"/>
        <v>4759932.4862195784</v>
      </c>
    </row>
    <row r="280" spans="1:19" ht="15.75" customHeight="1" x14ac:dyDescent="0.3">
      <c r="A280" s="37">
        <v>59476</v>
      </c>
      <c r="B280" s="409">
        <f t="shared" ref="B280:C280" si="281">($A280-B$9)/365.25</f>
        <v>80.958247775496233</v>
      </c>
      <c r="C280" s="409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3525.4531757812501</v>
      </c>
      <c r="H280" s="25">
        <f>IF(B280&lt;62,0,'Combined Retirement'!$I$14)</f>
        <v>2192</v>
      </c>
      <c r="I280" s="25">
        <f>IF(C280&lt;62,0,'Combined Retirement'!$I$13)</f>
        <v>2420</v>
      </c>
      <c r="J280" s="25">
        <f t="shared" si="263"/>
        <v>7863.2184191855868</v>
      </c>
      <c r="K280" s="25">
        <f t="shared" si="264"/>
        <v>20282.026119384056</v>
      </c>
      <c r="L280" s="25"/>
      <c r="N280" s="25">
        <f>'Combined Retirement'!$C$18/12</f>
        <v>39153.069999999992</v>
      </c>
      <c r="O280" s="25">
        <f t="shared" si="265"/>
        <v>11007.82546143035</v>
      </c>
      <c r="P280" s="25">
        <f t="shared" si="266"/>
        <v>28145.244538569641</v>
      </c>
      <c r="Q280" s="25">
        <f t="array" aca="1" ref="Q280" ca="1">INDEX('Isaac 401k'!L:L,MATCH('Retirement Calculator'!A280,'Isaac 401k'!N:N,0),0)</f>
        <v>1317983.5541646522</v>
      </c>
      <c r="R280" s="25">
        <f t="array" aca="1" ref="R280" ca="1">INDEX('Lorri 401b'!L:L,MATCH('Retirement Calculator'!A280,'Lorri 401b'!N:N,0),0)</f>
        <v>3433519.4676900278</v>
      </c>
      <c r="S280" s="25">
        <f t="shared" ca="1" si="267"/>
        <v>4751503.02185468</v>
      </c>
    </row>
    <row r="281" spans="1:19" ht="15.75" customHeight="1" x14ac:dyDescent="0.3">
      <c r="A281" s="37">
        <v>59506</v>
      </c>
      <c r="B281" s="409">
        <f t="shared" ref="B281:C281" si="282">($A281-B$9)/365.25</f>
        <v>81.040383299110204</v>
      </c>
      <c r="C281" s="409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3525.4531757812501</v>
      </c>
      <c r="H281" s="25">
        <f>IF(B281&lt;62,0,'Combined Retirement'!$I$14)</f>
        <v>2192</v>
      </c>
      <c r="I281" s="25">
        <f>IF(C281&lt;62,0,'Combined Retirement'!$I$13)</f>
        <v>2420</v>
      </c>
      <c r="J281" s="25">
        <f t="shared" si="263"/>
        <v>7863.2184191855868</v>
      </c>
      <c r="K281" s="25">
        <f t="shared" si="264"/>
        <v>20282.026119384056</v>
      </c>
      <c r="L281" s="25"/>
      <c r="N281" s="25">
        <f>'Combined Retirement'!$C$18/12</f>
        <v>39153.069999999992</v>
      </c>
      <c r="O281" s="25">
        <f t="shared" si="265"/>
        <v>11007.82546143035</v>
      </c>
      <c r="P281" s="25">
        <f t="shared" si="266"/>
        <v>28145.244538569641</v>
      </c>
      <c r="Q281" s="25">
        <f t="array" aca="1" ref="Q281" ca="1">INDEX('Isaac 401k'!L:L,MATCH('Retirement Calculator'!A281,'Isaac 401k'!N:N,0),0)</f>
        <v>1315579.1704777393</v>
      </c>
      <c r="R281" s="25">
        <f t="array" aca="1" ref="R281" ca="1">INDEX('Lorri 401b'!L:L,MATCH('Retirement Calculator'!A281,'Lorri 401b'!N:N,0),0)</f>
        <v>3427459.2642438547</v>
      </c>
      <c r="S281" s="25">
        <f t="shared" ca="1" si="267"/>
        <v>4743038.4347215937</v>
      </c>
    </row>
    <row r="282" spans="1:19" ht="15.75" customHeight="1" x14ac:dyDescent="0.3">
      <c r="A282" s="37">
        <v>59537</v>
      </c>
      <c r="B282" s="409">
        <f t="shared" ref="B282:C282" si="283">($A282-B$9)/365.25</f>
        <v>81.125256673511288</v>
      </c>
      <c r="C282" s="409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3525.4531757812501</v>
      </c>
      <c r="H282" s="25">
        <f>IF(B282&lt;62,0,'Combined Retirement'!$I$14)</f>
        <v>2192</v>
      </c>
      <c r="I282" s="25">
        <f>IF(C282&lt;62,0,'Combined Retirement'!$I$13)</f>
        <v>2420</v>
      </c>
      <c r="J282" s="25">
        <f t="shared" si="263"/>
        <v>7863.2184191855868</v>
      </c>
      <c r="K282" s="25">
        <f t="shared" si="264"/>
        <v>20282.026119384056</v>
      </c>
      <c r="L282" s="25"/>
      <c r="N282" s="25">
        <f>'Combined Retirement'!$C$18/12</f>
        <v>39153.069999999992</v>
      </c>
      <c r="O282" s="25">
        <f t="shared" si="265"/>
        <v>11007.82546143035</v>
      </c>
      <c r="P282" s="25">
        <f t="shared" si="266"/>
        <v>28145.244538569641</v>
      </c>
      <c r="Q282" s="25">
        <f t="array" aca="1" ref="Q282" ca="1">INDEX('Isaac 401k'!L:L,MATCH('Retirement Calculator'!A282,'Isaac 401k'!N:N,0),0)</f>
        <v>1313164.7685254642</v>
      </c>
      <c r="R282" s="25">
        <f t="array" aca="1" ref="R282" ca="1">INDEX('Lorri 401b'!L:L,MATCH('Retirement Calculator'!A282,'Lorri 401b'!N:N,0),0)</f>
        <v>3421373.8099499894</v>
      </c>
      <c r="S282" s="25">
        <f t="shared" ca="1" si="267"/>
        <v>4734538.5784754539</v>
      </c>
    </row>
    <row r="283" spans="1:19" ht="15.75" customHeight="1" x14ac:dyDescent="0.3">
      <c r="A283" s="37">
        <v>59568</v>
      </c>
      <c r="B283" s="409">
        <f t="shared" ref="B283:C283" si="284">($A283-B$9)/365.25</f>
        <v>81.210130047912386</v>
      </c>
      <c r="C283" s="409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3525.4531757812501</v>
      </c>
      <c r="H283" s="25">
        <f>IF(B283&lt;62,0,'Combined Retirement'!$I$14)</f>
        <v>2192</v>
      </c>
      <c r="I283" s="25">
        <f>IF(C283&lt;62,0,'Combined Retirement'!$I$13)</f>
        <v>2420</v>
      </c>
      <c r="J283" s="25">
        <f t="shared" si="263"/>
        <v>7863.2184191855868</v>
      </c>
      <c r="K283" s="25">
        <f t="shared" si="264"/>
        <v>20282.026119384056</v>
      </c>
      <c r="L283" s="25"/>
      <c r="N283" s="25">
        <f>'Combined Retirement'!$C$18/12</f>
        <v>39153.069999999992</v>
      </c>
      <c r="O283" s="25">
        <f t="shared" si="265"/>
        <v>11007.82546143035</v>
      </c>
      <c r="P283" s="25">
        <f t="shared" si="266"/>
        <v>28145.244538569641</v>
      </c>
      <c r="Q283" s="25">
        <f t="array" aca="1" ref="Q283" ca="1">INDEX('Isaac 401k'!L:L,MATCH('Retirement Calculator'!A283,'Isaac 401k'!N:N,0),0)</f>
        <v>1310740.3065650547</v>
      </c>
      <c r="R283" s="25">
        <f t="array" aca="1" ref="R283" ca="1">INDEX('Lorri 401b'!L:L,MATCH('Retirement Calculator'!A283,'Lorri 401b'!N:N,0),0)</f>
        <v>3415262.9995965664</v>
      </c>
      <c r="S283" s="25">
        <f t="shared" ca="1" si="267"/>
        <v>4726003.3061616216</v>
      </c>
    </row>
    <row r="284" spans="1:19" ht="15.75" customHeight="1" x14ac:dyDescent="0.3">
      <c r="A284" s="37">
        <v>59596</v>
      </c>
      <c r="B284" s="409">
        <f t="shared" ref="B284:C284" si="285">($A284-B$9)/365.25</f>
        <v>81.286789869952088</v>
      </c>
      <c r="C284" s="409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3525.4531757812501</v>
      </c>
      <c r="H284" s="25">
        <f>IF(B284&lt;62,0,'Combined Retirement'!$I$14)</f>
        <v>2192</v>
      </c>
      <c r="I284" s="25">
        <f>IF(C284&lt;62,0,'Combined Retirement'!$I$13)</f>
        <v>2420</v>
      </c>
      <c r="J284" s="25">
        <f t="shared" si="263"/>
        <v>7863.2184191855868</v>
      </c>
      <c r="K284" s="25">
        <f t="shared" si="264"/>
        <v>20282.026119384056</v>
      </c>
      <c r="L284" s="25"/>
      <c r="N284" s="25">
        <f>'Combined Retirement'!$C$18/12</f>
        <v>39153.069999999992</v>
      </c>
      <c r="O284" s="25">
        <f t="shared" si="265"/>
        <v>11007.82546143035</v>
      </c>
      <c r="P284" s="25">
        <f t="shared" si="266"/>
        <v>28145.244538569641</v>
      </c>
      <c r="Q284" s="25">
        <f t="array" aca="1" ref="Q284" ca="1">INDEX('Isaac 401k'!L:L,MATCH('Retirement Calculator'!A284,'Isaac 401k'!N:N,0),0)</f>
        <v>1308305.7426798102</v>
      </c>
      <c r="R284" s="25">
        <f t="array" aca="1" ref="R284" ca="1">INDEX('Lorri 401b'!L:L,MATCH('Retirement Calculator'!A284,'Lorri 401b'!N:N,0),0)</f>
        <v>3409126.7275333372</v>
      </c>
      <c r="S284" s="25">
        <f t="shared" ca="1" si="267"/>
        <v>4717432.4702131469</v>
      </c>
    </row>
    <row r="285" spans="1:19" ht="15.75" customHeight="1" x14ac:dyDescent="0.3">
      <c r="A285" s="37">
        <v>59627</v>
      </c>
      <c r="B285" s="409">
        <f t="shared" ref="B285:C285" si="286">($A285-B$9)/365.25</f>
        <v>81.371663244353186</v>
      </c>
      <c r="C285" s="409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3525.4531757812501</v>
      </c>
      <c r="H285" s="25">
        <f>IF(B285&lt;62,0,'Combined Retirement'!$I$14)</f>
        <v>2192</v>
      </c>
      <c r="I285" s="25">
        <f>IF(C285&lt;62,0,'Combined Retirement'!$I$13)</f>
        <v>2420</v>
      </c>
      <c r="J285" s="25">
        <f t="shared" si="263"/>
        <v>7863.2184191855868</v>
      </c>
      <c r="K285" s="25">
        <f t="shared" si="264"/>
        <v>20282.026119384056</v>
      </c>
      <c r="L285" s="25"/>
      <c r="N285" s="25">
        <f>'Combined Retirement'!$C$18/12</f>
        <v>39153.069999999992</v>
      </c>
      <c r="O285" s="25">
        <f t="shared" si="265"/>
        <v>11007.82546143035</v>
      </c>
      <c r="P285" s="25">
        <f t="shared" si="266"/>
        <v>28145.244538569641</v>
      </c>
      <c r="Q285" s="25">
        <f t="array" aca="1" ref="Q285" ca="1">INDEX('Isaac 401k'!L:L,MATCH('Retirement Calculator'!A285,'Isaac 401k'!N:N,0),0)</f>
        <v>1305861.034778377</v>
      </c>
      <c r="R285" s="25">
        <f t="array" aca="1" ref="R285" ca="1">INDEX('Lorri 401b'!L:L,MATCH('Retirement Calculator'!A285,'Lorri 401b'!N:N,0),0)</f>
        <v>3402964.8876698446</v>
      </c>
      <c r="S285" s="25">
        <f t="shared" ca="1" si="267"/>
        <v>4708825.9224482216</v>
      </c>
    </row>
    <row r="286" spans="1:19" ht="15.75" customHeight="1" x14ac:dyDescent="0.3">
      <c r="A286" s="37">
        <v>59657</v>
      </c>
      <c r="B286" s="409">
        <f t="shared" ref="B286:C286" si="287">($A286-B$9)/365.25</f>
        <v>81.453798767967143</v>
      </c>
      <c r="C286" s="409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3525.4531757812501</v>
      </c>
      <c r="H286" s="25">
        <f>IF(B286&lt;62,0,'Combined Retirement'!$I$14)</f>
        <v>2192</v>
      </c>
      <c r="I286" s="25">
        <f>IF(C286&lt;62,0,'Combined Retirement'!$I$13)</f>
        <v>2420</v>
      </c>
      <c r="J286" s="25">
        <f t="shared" si="263"/>
        <v>7863.2184191855868</v>
      </c>
      <c r="K286" s="25">
        <f t="shared" si="264"/>
        <v>20282.026119384056</v>
      </c>
      <c r="L286" s="25"/>
      <c r="N286" s="25">
        <f>'Combined Retirement'!$C$18/12</f>
        <v>39153.069999999992</v>
      </c>
      <c r="O286" s="25">
        <f t="shared" si="265"/>
        <v>11007.82546143035</v>
      </c>
      <c r="P286" s="25">
        <f t="shared" si="266"/>
        <v>28145.244538569641</v>
      </c>
      <c r="Q286" s="25">
        <f t="array" aca="1" ref="Q286" ca="1">INDEX('Isaac 401k'!L:L,MATCH('Retirement Calculator'!A286,'Isaac 401k'!N:N,0),0)</f>
        <v>1303406.1405940214</v>
      </c>
      <c r="R286" s="25">
        <f t="array" aca="1" ref="R286" ca="1">INDEX('Lorri 401b'!L:L,MATCH('Retirement Calculator'!A286,'Lorri 401b'!N:N,0),0)</f>
        <v>3396777.3734735874</v>
      </c>
      <c r="S286" s="25">
        <f t="shared" ca="1" si="267"/>
        <v>4700183.5140676089</v>
      </c>
    </row>
    <row r="287" spans="1:19" ht="15.75" customHeight="1" x14ac:dyDescent="0.3">
      <c r="A287" s="37">
        <v>59688</v>
      </c>
      <c r="B287" s="409">
        <f t="shared" ref="B287:C287" si="288">($A287-B$9)/365.25</f>
        <v>81.538672142368242</v>
      </c>
      <c r="C287" s="409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3525.4531757812501</v>
      </c>
      <c r="H287" s="25">
        <f>IF(B287&lt;62,0,'Combined Retirement'!$I$14)</f>
        <v>2192</v>
      </c>
      <c r="I287" s="25">
        <f>IF(C287&lt;62,0,'Combined Retirement'!$I$13)</f>
        <v>2420</v>
      </c>
      <c r="J287" s="25">
        <f t="shared" si="263"/>
        <v>7863.2184191855868</v>
      </c>
      <c r="K287" s="25">
        <f t="shared" si="264"/>
        <v>20282.026119384056</v>
      </c>
      <c r="L287" s="25"/>
      <c r="N287" s="25">
        <f>'Combined Retirement'!$C$18/12</f>
        <v>39153.069999999992</v>
      </c>
      <c r="O287" s="25">
        <f t="shared" si="265"/>
        <v>11007.82546143035</v>
      </c>
      <c r="P287" s="25">
        <f t="shared" si="266"/>
        <v>28145.244538569641</v>
      </c>
      <c r="Q287" s="25">
        <f t="array" aca="1" ref="Q287" ca="1">INDEX('Isaac 401k'!L:L,MATCH('Retirement Calculator'!A287,'Isaac 401k'!N:N,0),0)</f>
        <v>1300941.0176838976</v>
      </c>
      <c r="R287" s="25">
        <f t="array" aca="1" ref="R287" ca="1">INDEX('Lorri 401b'!L:L,MATCH('Retirement Calculator'!A287,'Lorri 401b'!N:N,0),0)</f>
        <v>3390564.0779681792</v>
      </c>
      <c r="S287" s="25">
        <f t="shared" ca="1" si="267"/>
        <v>4691505.0956520773</v>
      </c>
    </row>
    <row r="288" spans="1:19" ht="15.75" customHeight="1" x14ac:dyDescent="0.3">
      <c r="A288" s="37">
        <v>59718</v>
      </c>
      <c r="B288" s="409">
        <f t="shared" ref="B288:C288" si="289">($A288-B$9)/365.25</f>
        <v>81.620807665982198</v>
      </c>
      <c r="C288" s="409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3525.4531757812501</v>
      </c>
      <c r="H288" s="25">
        <f>IF(B288&lt;62,0,'Combined Retirement'!$I$14)</f>
        <v>2192</v>
      </c>
      <c r="I288" s="25">
        <f>IF(C288&lt;62,0,'Combined Retirement'!$I$13)</f>
        <v>2420</v>
      </c>
      <c r="J288" s="25">
        <f t="shared" si="263"/>
        <v>7863.2184191855868</v>
      </c>
      <c r="K288" s="25">
        <f t="shared" si="264"/>
        <v>20282.026119384056</v>
      </c>
      <c r="L288" s="25"/>
      <c r="N288" s="25">
        <f>'Combined Retirement'!$C$18/12</f>
        <v>39153.069999999992</v>
      </c>
      <c r="O288" s="25">
        <f t="shared" si="265"/>
        <v>11007.82546143035</v>
      </c>
      <c r="P288" s="25">
        <f t="shared" si="266"/>
        <v>28145.244538569641</v>
      </c>
      <c r="Q288" s="25">
        <f t="array" aca="1" ref="Q288" ca="1">INDEX('Isaac 401k'!L:L,MATCH('Retirement Calculator'!A288,'Isaac 401k'!N:N,0),0)</f>
        <v>1298465.6234283149</v>
      </c>
      <c r="R288" s="25">
        <f t="array" aca="1" ref="R288" ca="1">INDEX('Lorri 401b'!L:L,MATCH('Retirement Calculator'!A288,'Lorri 401b'!N:N,0),0)</f>
        <v>3384324.8937314986</v>
      </c>
      <c r="S288" s="25">
        <f t="shared" ca="1" si="267"/>
        <v>4682790.517159814</v>
      </c>
    </row>
    <row r="289" spans="1:19" ht="15.75" customHeight="1" x14ac:dyDescent="0.3">
      <c r="A289" s="37">
        <v>59749</v>
      </c>
      <c r="B289" s="409">
        <f t="shared" ref="B289:C289" si="290">($A289-B$9)/365.25</f>
        <v>81.705681040383297</v>
      </c>
      <c r="C289" s="409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3525.4531757812501</v>
      </c>
      <c r="H289" s="25">
        <f>IF(B289&lt;62,0,'Combined Retirement'!$I$14)</f>
        <v>2192</v>
      </c>
      <c r="I289" s="25">
        <f>IF(C289&lt;62,0,'Combined Retirement'!$I$13)</f>
        <v>2420</v>
      </c>
      <c r="J289" s="25">
        <f t="shared" si="263"/>
        <v>7863.2184191855868</v>
      </c>
      <c r="K289" s="25">
        <f t="shared" si="264"/>
        <v>20282.026119384056</v>
      </c>
      <c r="L289" s="25"/>
      <c r="N289" s="25">
        <f>'Combined Retirement'!$C$18/12</f>
        <v>39153.069999999992</v>
      </c>
      <c r="O289" s="25">
        <f t="shared" si="265"/>
        <v>11007.82546143035</v>
      </c>
      <c r="P289" s="25">
        <f t="shared" si="266"/>
        <v>28145.244538569641</v>
      </c>
      <c r="Q289" s="25">
        <f t="array" aca="1" ref="Q289" ca="1">INDEX('Isaac 401k'!L:L,MATCH('Retirement Calculator'!A289,'Isaac 401k'!N:N,0),0)</f>
        <v>1295979.9150300007</v>
      </c>
      <c r="R289" s="25">
        <f t="array" aca="1" ref="R289" ca="1">INDEX('Lorri 401b'!L:L,MATCH('Retirement Calculator'!A289,'Lorri 401b'!N:N,0),0)</f>
        <v>3378059.712893832</v>
      </c>
      <c r="S289" s="25">
        <f t="shared" ca="1" si="267"/>
        <v>4674039.6279238332</v>
      </c>
    </row>
    <row r="290" spans="1:19" ht="15.75" customHeight="1" x14ac:dyDescent="0.3">
      <c r="A290" s="37">
        <v>59780</v>
      </c>
      <c r="B290" s="409">
        <f t="shared" ref="B290:C290" si="291">($A290-B$9)/365.25</f>
        <v>81.790554414784395</v>
      </c>
      <c r="C290" s="409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3525.4531757812501</v>
      </c>
      <c r="H290" s="25">
        <f>IF(B290&lt;62,0,'Combined Retirement'!$I$14)</f>
        <v>2192</v>
      </c>
      <c r="I290" s="25">
        <f>IF(C290&lt;62,0,'Combined Retirement'!$I$13)</f>
        <v>2420</v>
      </c>
      <c r="J290" s="25">
        <f t="shared" si="263"/>
        <v>7863.2184191855868</v>
      </c>
      <c r="K290" s="25">
        <f t="shared" si="264"/>
        <v>20282.026119384056</v>
      </c>
      <c r="L290" s="25"/>
      <c r="N290" s="25">
        <f>'Combined Retirement'!$C$18/12</f>
        <v>39153.069999999992</v>
      </c>
      <c r="O290" s="25">
        <f t="shared" si="265"/>
        <v>11007.82546143035</v>
      </c>
      <c r="P290" s="25">
        <f t="shared" si="266"/>
        <v>28145.244538569641</v>
      </c>
      <c r="Q290" s="25">
        <f t="array" aca="1" ref="Q290" ca="1">INDEX('Isaac 401k'!L:L,MATCH('Retirement Calculator'!A290,'Isaac 401k'!N:N,0),0)</f>
        <v>1293483.8495133603</v>
      </c>
      <c r="R290" s="25">
        <f t="array" aca="1" ref="R290" ca="1">INDEX('Lorri 401b'!L:L,MATCH('Retirement Calculator'!A290,'Lorri 401b'!N:N,0),0)</f>
        <v>3371768.4271360082</v>
      </c>
      <c r="S290" s="25">
        <f t="shared" ca="1" si="267"/>
        <v>4665252.2766493689</v>
      </c>
    </row>
    <row r="291" spans="1:19" ht="15.75" customHeight="1" x14ac:dyDescent="0.3">
      <c r="A291" s="37">
        <v>59810</v>
      </c>
      <c r="B291" s="409">
        <f t="shared" ref="B291:C291" si="292">($A291-B$9)/365.25</f>
        <v>81.872689938398352</v>
      </c>
      <c r="C291" s="409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3525.4531757812501</v>
      </c>
      <c r="H291" s="25">
        <f>IF(B291&lt;62,0,'Combined Retirement'!$I$14)</f>
        <v>2192</v>
      </c>
      <c r="I291" s="25">
        <f>IF(C291&lt;62,0,'Combined Retirement'!$I$13)</f>
        <v>2420</v>
      </c>
      <c r="J291" s="25">
        <f t="shared" si="263"/>
        <v>7863.2184191855868</v>
      </c>
      <c r="K291" s="25">
        <f t="shared" si="264"/>
        <v>20282.026119384056</v>
      </c>
      <c r="L291" s="25"/>
      <c r="N291" s="25">
        <f>'Combined Retirement'!$C$18/12</f>
        <v>39153.069999999992</v>
      </c>
      <c r="O291" s="25">
        <f t="shared" si="265"/>
        <v>11007.82546143035</v>
      </c>
      <c r="P291" s="25">
        <f t="shared" si="266"/>
        <v>28145.244538569641</v>
      </c>
      <c r="Q291" s="25">
        <f t="array" aca="1" ref="Q291" ca="1">INDEX('Isaac 401k'!L:L,MATCH('Retirement Calculator'!A291,'Isaac 401k'!N:N,0),0)</f>
        <v>1290977.3837237337</v>
      </c>
      <c r="R291" s="25">
        <f t="array" aca="1" ref="R291" ca="1">INDEX('Lorri 401b'!L:L,MATCH('Retirement Calculator'!A291,'Lorri 401b'!N:N,0),0)</f>
        <v>3365450.9276875267</v>
      </c>
      <c r="S291" s="25">
        <f t="shared" ca="1" si="267"/>
        <v>4656428.3114112606</v>
      </c>
    </row>
    <row r="292" spans="1:19" ht="15.75" customHeight="1" x14ac:dyDescent="0.3">
      <c r="A292" s="37">
        <v>59841</v>
      </c>
      <c r="B292" s="409">
        <f t="shared" ref="B292:C292" si="293">($A292-B$9)/365.25</f>
        <v>81.957563312799451</v>
      </c>
      <c r="C292" s="409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3525.4531757812501</v>
      </c>
      <c r="H292" s="25">
        <f>IF(B292&lt;62,0,'Combined Retirement'!$I$14)</f>
        <v>2192</v>
      </c>
      <c r="I292" s="25">
        <f>IF(C292&lt;62,0,'Combined Retirement'!$I$13)</f>
        <v>2420</v>
      </c>
      <c r="J292" s="25">
        <f t="shared" si="263"/>
        <v>7863.2184191855868</v>
      </c>
      <c r="K292" s="25">
        <f t="shared" si="264"/>
        <v>20282.026119384056</v>
      </c>
      <c r="L292" s="25"/>
      <c r="N292" s="25">
        <f>'Combined Retirement'!$C$18/12</f>
        <v>39153.069999999992</v>
      </c>
      <c r="O292" s="25">
        <f t="shared" si="265"/>
        <v>11007.82546143035</v>
      </c>
      <c r="P292" s="25">
        <f t="shared" si="266"/>
        <v>28145.244538569641</v>
      </c>
      <c r="Q292" s="25">
        <f t="array" aca="1" ref="Q292" ca="1">INDEX('Isaac 401k'!L:L,MATCH('Retirement Calculator'!A292,'Isaac 401k'!N:N,0),0)</f>
        <v>1288460.4743266504</v>
      </c>
      <c r="R292" s="25">
        <f t="array" aca="1" ref="R292" ca="1">INDEX('Lorri 401b'!L:L,MATCH('Retirement Calculator'!A292,'Lorri 401b'!N:N,0),0)</f>
        <v>3359107.1053246767</v>
      </c>
      <c r="S292" s="25">
        <f t="shared" ca="1" si="267"/>
        <v>4647567.5796513269</v>
      </c>
    </row>
    <row r="293" spans="1:19" ht="15.75" customHeight="1" x14ac:dyDescent="0.3">
      <c r="A293" s="37">
        <v>59871</v>
      </c>
      <c r="B293" s="409">
        <f t="shared" ref="B293:C293" si="294">($A293-B$9)/365.25</f>
        <v>82.039698836413422</v>
      </c>
      <c r="C293" s="409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3525.4531757812501</v>
      </c>
      <c r="H293" s="25">
        <f>IF(B293&lt;62,0,'Combined Retirement'!$I$14)</f>
        <v>2192</v>
      </c>
      <c r="I293" s="25">
        <f>IF(C293&lt;62,0,'Combined Retirement'!$I$13)</f>
        <v>2420</v>
      </c>
      <c r="J293" s="25">
        <f t="shared" si="263"/>
        <v>7863.2184191855868</v>
      </c>
      <c r="K293" s="25">
        <f t="shared" si="264"/>
        <v>20282.026119384056</v>
      </c>
      <c r="L293" s="25"/>
      <c r="N293" s="25">
        <f>'Combined Retirement'!$C$18/12</f>
        <v>39153.069999999992</v>
      </c>
      <c r="O293" s="25">
        <f t="shared" si="265"/>
        <v>11007.82546143035</v>
      </c>
      <c r="P293" s="25">
        <f t="shared" si="266"/>
        <v>28145.244538569641</v>
      </c>
      <c r="Q293" s="25">
        <f t="array" aca="1" ref="Q293" ca="1">INDEX('Isaac 401k'!L:L,MATCH('Retirement Calculator'!A293,'Isaac 401k'!N:N,0),0)</f>
        <v>1285933.0778070793</v>
      </c>
      <c r="R293" s="25">
        <f t="array" aca="1" ref="R293" ca="1">INDEX('Lorri 401b'!L:L,MATCH('Retirement Calculator'!A293,'Lorri 401b'!N:N,0),0)</f>
        <v>3352736.8503686483</v>
      </c>
      <c r="S293" s="25">
        <f t="shared" ca="1" si="267"/>
        <v>4638669.9281757278</v>
      </c>
    </row>
    <row r="294" spans="1:19" ht="15.75" customHeight="1" x14ac:dyDescent="0.3">
      <c r="A294" s="37">
        <v>59902</v>
      </c>
      <c r="B294" s="409">
        <f t="shared" ref="B294:C294" si="295">($A294-B$9)/365.25</f>
        <v>82.124572210814506</v>
      </c>
      <c r="C294" s="409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3525.4531757812501</v>
      </c>
      <c r="H294" s="25">
        <f>IF(B294&lt;62,0,'Combined Retirement'!$I$14)</f>
        <v>2192</v>
      </c>
      <c r="I294" s="25">
        <f>IF(C294&lt;62,0,'Combined Retirement'!$I$13)</f>
        <v>2420</v>
      </c>
      <c r="J294" s="25">
        <f t="shared" si="263"/>
        <v>7863.2184191855868</v>
      </c>
      <c r="K294" s="25">
        <f t="shared" si="264"/>
        <v>20282.026119384056</v>
      </c>
      <c r="L294" s="25"/>
      <c r="N294" s="25">
        <f>'Combined Retirement'!$C$18/12</f>
        <v>39153.069999999992</v>
      </c>
      <c r="O294" s="25">
        <f t="shared" si="265"/>
        <v>11007.82546143035</v>
      </c>
      <c r="P294" s="25">
        <f t="shared" si="266"/>
        <v>28145.244538569641</v>
      </c>
      <c r="Q294" s="25">
        <f t="array" aca="1" ref="Q294" ca="1">INDEX('Isaac 401k'!L:L,MATCH('Retirement Calculator'!A294,'Isaac 401k'!N:N,0),0)</f>
        <v>1283395.1504686766</v>
      </c>
      <c r="R294" s="25">
        <f t="array" aca="1" ref="R294" ca="1">INDEX('Lorri 401b'!L:L,MATCH('Retirement Calculator'!A294,'Lorri 401b'!N:N,0),0)</f>
        <v>3346340.0526836361</v>
      </c>
      <c r="S294" s="25">
        <f t="shared" ca="1" si="267"/>
        <v>4629735.2031523129</v>
      </c>
    </row>
    <row r="295" spans="1:19" ht="15.75" customHeight="1" x14ac:dyDescent="0.3">
      <c r="A295" s="37">
        <v>59933</v>
      </c>
      <c r="B295" s="409">
        <f t="shared" ref="B295:C295" si="296">($A295-B$9)/365.25</f>
        <v>82.209445585215605</v>
      </c>
      <c r="C295" s="409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3525.4531757812501</v>
      </c>
      <c r="H295" s="25">
        <f>IF(B295&lt;62,0,'Combined Retirement'!$I$14)</f>
        <v>2192</v>
      </c>
      <c r="I295" s="25">
        <f>IF(C295&lt;62,0,'Combined Retirement'!$I$13)</f>
        <v>2420</v>
      </c>
      <c r="J295" s="25">
        <f t="shared" si="263"/>
        <v>7863.2184191855868</v>
      </c>
      <c r="K295" s="25">
        <f t="shared" si="264"/>
        <v>20282.026119384056</v>
      </c>
      <c r="L295" s="25"/>
      <c r="N295" s="25">
        <f>'Combined Retirement'!$C$18/12</f>
        <v>39153.069999999992</v>
      </c>
      <c r="O295" s="25">
        <f t="shared" si="265"/>
        <v>11007.82546143035</v>
      </c>
      <c r="P295" s="25">
        <f t="shared" si="266"/>
        <v>28145.244538569641</v>
      </c>
      <c r="Q295" s="25">
        <f t="array" aca="1" ref="Q295" ca="1">INDEX('Isaac 401k'!L:L,MATCH('Retirement Calculator'!A295,'Isaac 401k'!N:N,0),0)</f>
        <v>1280846.6484330306</v>
      </c>
      <c r="R295" s="25">
        <f t="array" aca="1" ref="R295" ca="1">INDEX('Lorri 401b'!L:L,MATCH('Retirement Calculator'!A295,'Lorri 401b'!N:N,0),0)</f>
        <v>3339916.6016749367</v>
      </c>
      <c r="S295" s="25">
        <f t="shared" ca="1" si="267"/>
        <v>4620763.2501079673</v>
      </c>
    </row>
    <row r="296" spans="1:19" ht="15.75" customHeight="1" x14ac:dyDescent="0.3">
      <c r="A296" s="37">
        <v>59962</v>
      </c>
      <c r="B296" s="409">
        <f t="shared" ref="B296:C296" si="297">($A296-B$9)/365.25</f>
        <v>82.288843258042434</v>
      </c>
      <c r="C296" s="409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3525.4531757812501</v>
      </c>
      <c r="H296" s="25">
        <f>IF(B296&lt;62,0,'Combined Retirement'!$I$14)</f>
        <v>2192</v>
      </c>
      <c r="I296" s="25">
        <f>IF(C296&lt;62,0,'Combined Retirement'!$I$13)</f>
        <v>2420</v>
      </c>
      <c r="J296" s="25">
        <f t="shared" si="263"/>
        <v>7863.2184191855868</v>
      </c>
      <c r="K296" s="25">
        <f t="shared" si="264"/>
        <v>20282.026119384056</v>
      </c>
      <c r="L296" s="25"/>
      <c r="N296" s="25">
        <f>'Combined Retirement'!$C$18/12</f>
        <v>39153.069999999992</v>
      </c>
      <c r="O296" s="25">
        <f t="shared" si="265"/>
        <v>11007.82546143035</v>
      </c>
      <c r="P296" s="25">
        <f t="shared" si="266"/>
        <v>28145.244538569641</v>
      </c>
      <c r="Q296" s="25">
        <f t="array" aca="1" ref="Q296" ca="1">INDEX('Isaac 401k'!L:L,MATCH('Retirement Calculator'!A296,'Isaac 401k'!N:N,0),0)</f>
        <v>1278287.5276389027</v>
      </c>
      <c r="R296" s="25">
        <f t="array" aca="1" ref="R296" ca="1">INDEX('Lorri 401b'!L:L,MATCH('Retirement Calculator'!A296,'Lorri 401b'!N:N,0),0)</f>
        <v>3333466.386287034</v>
      </c>
      <c r="S296" s="25">
        <f t="shared" ca="1" si="267"/>
        <v>4611753.9139259364</v>
      </c>
    </row>
    <row r="297" spans="1:19" ht="15.75" customHeight="1" x14ac:dyDescent="0.3">
      <c r="A297" s="37">
        <v>59993</v>
      </c>
      <c r="B297" s="409">
        <f t="shared" ref="B297:C297" si="298">($A297-B$9)/365.25</f>
        <v>82.373716632443532</v>
      </c>
      <c r="C297" s="409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3525.4531757812501</v>
      </c>
      <c r="H297" s="25">
        <f>IF(B297&lt;62,0,'Combined Retirement'!$I$14)</f>
        <v>2192</v>
      </c>
      <c r="I297" s="25">
        <f>IF(C297&lt;62,0,'Combined Retirement'!$I$13)</f>
        <v>2420</v>
      </c>
      <c r="J297" s="25">
        <f t="shared" si="263"/>
        <v>7863.2184191855868</v>
      </c>
      <c r="K297" s="25">
        <f t="shared" si="264"/>
        <v>20282.026119384056</v>
      </c>
      <c r="L297" s="25"/>
      <c r="N297" s="25">
        <f>'Combined Retirement'!$C$18/12</f>
        <v>39153.069999999992</v>
      </c>
      <c r="O297" s="25">
        <f t="shared" si="265"/>
        <v>11007.82546143035</v>
      </c>
      <c r="P297" s="25">
        <f t="shared" si="266"/>
        <v>28145.244538569641</v>
      </c>
      <c r="Q297" s="25">
        <f t="array" aca="1" ref="Q297" ca="1">INDEX('Isaac 401k'!L:L,MATCH('Retirement Calculator'!A297,'Isaac 401k'!N:N,0),0)</f>
        <v>1275717.7438414658</v>
      </c>
      <c r="R297" s="25">
        <f t="array" aca="1" ref="R297" ca="1">INDEX('Lorri 401b'!L:L,MATCH('Retirement Calculator'!A297,'Lorri 401b'!N:N,0),0)</f>
        <v>3326989.2950016819</v>
      </c>
      <c r="S297" s="25">
        <f t="shared" ca="1" si="267"/>
        <v>4602707.0388431475</v>
      </c>
    </row>
    <row r="298" spans="1:19" ht="15.75" customHeight="1" x14ac:dyDescent="0.3">
      <c r="A298" s="37">
        <v>60023</v>
      </c>
      <c r="B298" s="409">
        <f t="shared" ref="B298:C298" si="299">($A298-B$9)/365.25</f>
        <v>82.455852156057489</v>
      </c>
      <c r="C298" s="409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3525.4531757812501</v>
      </c>
      <c r="H298" s="25">
        <f>IF(B298&lt;62,0,'Combined Retirement'!$I$14)</f>
        <v>2192</v>
      </c>
      <c r="I298" s="25">
        <f>IF(C298&lt;62,0,'Combined Retirement'!$I$13)</f>
        <v>2420</v>
      </c>
      <c r="J298" s="25">
        <f t="shared" si="263"/>
        <v>7863.2184191855868</v>
      </c>
      <c r="K298" s="25">
        <f t="shared" si="264"/>
        <v>20282.026119384056</v>
      </c>
      <c r="L298" s="25"/>
      <c r="N298" s="25">
        <f>'Combined Retirement'!$C$18/12</f>
        <v>39153.069999999992</v>
      </c>
      <c r="O298" s="25">
        <f t="shared" si="265"/>
        <v>11007.82546143035</v>
      </c>
      <c r="P298" s="25">
        <f t="shared" si="266"/>
        <v>28145.244538569641</v>
      </c>
      <c r="Q298" s="25">
        <f t="array" aca="1" ref="Q298" ca="1">INDEX('Isaac 401k'!L:L,MATCH('Retirement Calculator'!A298,'Isaac 401k'!N:N,0),0)</f>
        <v>1273137.2526115398</v>
      </c>
      <c r="R298" s="25">
        <f t="array" aca="1" ref="R298" ca="1">INDEX('Lorri 401b'!L:L,MATCH('Retirement Calculator'!A298,'Lorri 401b'!N:N,0),0)</f>
        <v>3320485.2158359741</v>
      </c>
      <c r="S298" s="25">
        <f t="shared" ca="1" si="267"/>
        <v>4593622.4684475139</v>
      </c>
    </row>
    <row r="299" spans="1:19" ht="15.75" customHeight="1" x14ac:dyDescent="0.3">
      <c r="A299" s="37">
        <v>60054</v>
      </c>
      <c r="B299" s="409">
        <f t="shared" ref="B299:C299" si="300">($A299-B$9)/365.25</f>
        <v>82.540725530458587</v>
      </c>
      <c r="C299" s="409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3525.4531757812501</v>
      </c>
      <c r="H299" s="25">
        <f>IF(B299&lt;62,0,'Combined Retirement'!$I$14)</f>
        <v>2192</v>
      </c>
      <c r="I299" s="25">
        <f>IF(C299&lt;62,0,'Combined Retirement'!$I$13)</f>
        <v>2420</v>
      </c>
      <c r="J299" s="25">
        <f t="shared" si="263"/>
        <v>7863.2184191855868</v>
      </c>
      <c r="K299" s="25">
        <f t="shared" si="264"/>
        <v>20282.026119384056</v>
      </c>
      <c r="L299" s="25"/>
      <c r="N299" s="25">
        <f>'Combined Retirement'!$C$18/12</f>
        <v>39153.069999999992</v>
      </c>
      <c r="O299" s="25">
        <f t="shared" si="265"/>
        <v>11007.82546143035</v>
      </c>
      <c r="P299" s="25">
        <f t="shared" si="266"/>
        <v>28145.244538569641</v>
      </c>
      <c r="Q299" s="25">
        <f t="array" aca="1" ref="Q299" ca="1">INDEX('Isaac 401k'!L:L,MATCH('Retirement Calculator'!A299,'Isaac 401k'!N:N,0),0)</f>
        <v>1270546.0093348224</v>
      </c>
      <c r="R299" s="25">
        <f t="array" aca="1" ref="R299" ca="1">INDEX('Lorri 401b'!L:L,MATCH('Retirement Calculator'!A299,'Lorri 401b'!N:N,0),0)</f>
        <v>3313954.0363404094</v>
      </c>
      <c r="S299" s="25">
        <f t="shared" ca="1" si="267"/>
        <v>4584500.0456752321</v>
      </c>
    </row>
    <row r="300" spans="1:19" ht="15.75" customHeight="1" x14ac:dyDescent="0.3">
      <c r="A300" s="37">
        <v>60084</v>
      </c>
      <c r="B300" s="409">
        <f t="shared" ref="B300:C300" si="301">($A300-B$9)/365.25</f>
        <v>82.622861054072558</v>
      </c>
      <c r="C300" s="409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3525.4531757812501</v>
      </c>
      <c r="H300" s="25">
        <f>IF(B300&lt;62,0,'Combined Retirement'!$I$14)</f>
        <v>2192</v>
      </c>
      <c r="I300" s="25">
        <f>IF(C300&lt;62,0,'Combined Retirement'!$I$13)</f>
        <v>2420</v>
      </c>
      <c r="J300" s="25">
        <f t="shared" si="263"/>
        <v>7863.2184191855868</v>
      </c>
      <c r="K300" s="25">
        <f t="shared" si="264"/>
        <v>20282.026119384056</v>
      </c>
      <c r="L300" s="25"/>
      <c r="N300" s="25">
        <f>'Combined Retirement'!$C$18/12</f>
        <v>39153.069999999992</v>
      </c>
      <c r="O300" s="25">
        <f t="shared" si="265"/>
        <v>11007.82546143035</v>
      </c>
      <c r="P300" s="25">
        <f t="shared" si="266"/>
        <v>28145.244538569641</v>
      </c>
      <c r="Q300" s="25">
        <f t="array" aca="1" ref="Q300" ca="1">INDEX('Isaac 401k'!L:L,MATCH('Retirement Calculator'!A300,'Isaac 401k'!N:N,0),0)</f>
        <v>1267943.9692111185</v>
      </c>
      <c r="R300" s="25">
        <f t="array" aca="1" ref="R300" ca="1">INDEX('Lorri 401b'!L:L,MATCH('Retirement Calculator'!A300,'Lorri 401b'!N:N,0),0)</f>
        <v>3307395.6435969463</v>
      </c>
      <c r="S300" s="25">
        <f t="shared" ca="1" si="267"/>
        <v>4575339.6128080646</v>
      </c>
    </row>
    <row r="301" spans="1:19" ht="15.75" customHeight="1" x14ac:dyDescent="0.3">
      <c r="A301" s="37">
        <v>60115</v>
      </c>
      <c r="B301" s="409">
        <f t="shared" ref="B301:C301" si="302">($A301-B$9)/365.25</f>
        <v>82.707734428473643</v>
      </c>
      <c r="C301" s="409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3525.4531757812501</v>
      </c>
      <c r="H301" s="25">
        <f>IF(B301&lt;62,0,'Combined Retirement'!$I$14)</f>
        <v>2192</v>
      </c>
      <c r="I301" s="25">
        <f>IF(C301&lt;62,0,'Combined Retirement'!$I$13)</f>
        <v>2420</v>
      </c>
      <c r="J301" s="25">
        <f t="shared" si="263"/>
        <v>7863.2184191855868</v>
      </c>
      <c r="K301" s="25">
        <f t="shared" si="264"/>
        <v>20282.026119384056</v>
      </c>
      <c r="L301" s="25"/>
      <c r="N301" s="25">
        <f>'Combined Retirement'!$C$18/12</f>
        <v>39153.069999999992</v>
      </c>
      <c r="O301" s="25">
        <f t="shared" si="265"/>
        <v>11007.82546143035</v>
      </c>
      <c r="P301" s="25">
        <f t="shared" si="266"/>
        <v>28145.244538569641</v>
      </c>
      <c r="Q301" s="25">
        <f t="array" aca="1" ref="Q301" ca="1">INDEX('Isaac 401k'!L:L,MATCH('Retirement Calculator'!A301,'Isaac 401k'!N:N,0),0)</f>
        <v>1265331.0872535659</v>
      </c>
      <c r="R301" s="25">
        <f t="array" aca="1" ref="R301" ca="1">INDEX('Lorri 401b'!L:L,MATCH('Retirement Calculator'!A301,'Lorri 401b'!N:N,0),0)</f>
        <v>3300809.9242170523</v>
      </c>
      <c r="S301" s="25">
        <f t="shared" ca="1" si="267"/>
        <v>4566141.0114706177</v>
      </c>
    </row>
    <row r="302" spans="1:19" ht="15.75" customHeight="1" x14ac:dyDescent="0.3">
      <c r="A302" s="37">
        <v>60146</v>
      </c>
      <c r="B302" s="409">
        <f t="shared" ref="B302:C302" si="303">($A302-B$9)/365.25</f>
        <v>82.792607802874741</v>
      </c>
      <c r="C302" s="409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3525.4531757812501</v>
      </c>
      <c r="H302" s="25">
        <f>IF(B302&lt;62,0,'Combined Retirement'!$I$14)</f>
        <v>2192</v>
      </c>
      <c r="I302" s="25">
        <f>IF(C302&lt;62,0,'Combined Retirement'!$I$13)</f>
        <v>2420</v>
      </c>
      <c r="J302" s="25">
        <f t="shared" si="263"/>
        <v>7863.2184191855868</v>
      </c>
      <c r="K302" s="25">
        <f t="shared" si="264"/>
        <v>20282.026119384056</v>
      </c>
      <c r="L302" s="25"/>
      <c r="N302" s="25">
        <f>'Combined Retirement'!$C$18/12</f>
        <v>39153.069999999992</v>
      </c>
      <c r="O302" s="25">
        <f t="shared" si="265"/>
        <v>11007.82546143035</v>
      </c>
      <c r="P302" s="25">
        <f t="shared" si="266"/>
        <v>28145.244538569641</v>
      </c>
      <c r="Q302" s="25">
        <f t="array" aca="1" ref="Q302" ca="1">INDEX('Isaac 401k'!L:L,MATCH('Retirement Calculator'!A302,'Isaac 401k'!N:N,0),0)</f>
        <v>1262707.3182878569</v>
      </c>
      <c r="R302" s="25">
        <f t="array" aca="1" ref="R302" ca="1">INDEX('Lorri 401b'!L:L,MATCH('Retirement Calculator'!A302,'Lorri 401b'!N:N,0),0)</f>
        <v>3294196.7643397418</v>
      </c>
      <c r="S302" s="25">
        <f t="shared" ca="1" si="267"/>
        <v>4556904.0826275982</v>
      </c>
    </row>
    <row r="303" spans="1:19" ht="15.75" customHeight="1" x14ac:dyDescent="0.3">
      <c r="A303" s="37">
        <v>60176</v>
      </c>
      <c r="B303" s="409">
        <f t="shared" ref="B303:C303" si="304">($A303-B$9)/365.25</f>
        <v>82.874743326488712</v>
      </c>
      <c r="C303" s="409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3525.4531757812501</v>
      </c>
      <c r="H303" s="25">
        <f>IF(B303&lt;62,0,'Combined Retirement'!$I$14)</f>
        <v>2192</v>
      </c>
      <c r="I303" s="25">
        <f>IF(C303&lt;62,0,'Combined Retirement'!$I$13)</f>
        <v>2420</v>
      </c>
      <c r="J303" s="25">
        <f t="shared" si="263"/>
        <v>7863.2184191855868</v>
      </c>
      <c r="K303" s="25">
        <f t="shared" si="264"/>
        <v>20282.026119384056</v>
      </c>
      <c r="L303" s="25"/>
      <c r="N303" s="25">
        <f>'Combined Retirement'!$C$18/12</f>
        <v>39153.069999999992</v>
      </c>
      <c r="O303" s="25">
        <f t="shared" si="265"/>
        <v>11007.82546143035</v>
      </c>
      <c r="P303" s="25">
        <f t="shared" si="266"/>
        <v>28145.244538569641</v>
      </c>
      <c r="Q303" s="25">
        <f t="array" aca="1" ref="Q303" ca="1">INDEX('Isaac 401k'!L:L,MATCH('Retirement Calculator'!A303,'Isaac 401k'!N:N,0),0)</f>
        <v>1260072.6169514575</v>
      </c>
      <c r="R303" s="25">
        <f t="array" aca="1" ref="R303" ca="1">INDEX('Lorri 401b'!L:L,MATCH('Retirement Calculator'!A303,'Lorri 401b'!N:N,0),0)</f>
        <v>3287556.0496296091</v>
      </c>
      <c r="S303" s="25">
        <f t="shared" ca="1" si="267"/>
        <v>4547628.6665810663</v>
      </c>
    </row>
    <row r="304" spans="1:19" ht="15.75" customHeight="1" x14ac:dyDescent="0.3">
      <c r="A304" s="37">
        <v>60207</v>
      </c>
      <c r="B304" s="409">
        <f t="shared" ref="B304:C304" si="305">($A304-B$9)/365.25</f>
        <v>82.959616700889796</v>
      </c>
      <c r="C304" s="409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3525.4531757812501</v>
      </c>
      <c r="H304" s="25">
        <f>IF(B304&lt;62,0,'Combined Retirement'!$I$14)</f>
        <v>2192</v>
      </c>
      <c r="I304" s="25">
        <f>IF(C304&lt;62,0,'Combined Retirement'!$I$13)</f>
        <v>2420</v>
      </c>
      <c r="J304" s="25">
        <f t="shared" si="263"/>
        <v>7863.2184191855868</v>
      </c>
      <c r="K304" s="25">
        <f t="shared" si="264"/>
        <v>20282.026119384056</v>
      </c>
      <c r="L304" s="25"/>
      <c r="N304" s="25">
        <f>'Combined Retirement'!$C$18/12</f>
        <v>39153.069999999992</v>
      </c>
      <c r="O304" s="25">
        <f t="shared" si="265"/>
        <v>11007.82546143035</v>
      </c>
      <c r="P304" s="25">
        <f t="shared" si="266"/>
        <v>28145.244538569641</v>
      </c>
      <c r="Q304" s="25">
        <f t="array" aca="1" ref="Q304" ca="1">INDEX('Isaac 401k'!L:L,MATCH('Retirement Calculator'!A304,'Isaac 401k'!N:N,0),0)</f>
        <v>1257426.9376928229</v>
      </c>
      <c r="R304" s="25">
        <f t="array" aca="1" ref="R304" ca="1">INDEX('Lorri 401b'!L:L,MATCH('Retirement Calculator'!A304,'Lorri 401b'!N:N,0),0)</f>
        <v>3280887.665274851</v>
      </c>
      <c r="S304" s="25">
        <f t="shared" ca="1" si="267"/>
        <v>4538314.6029676739</v>
      </c>
    </row>
    <row r="305" spans="1:19" ht="15.75" customHeight="1" x14ac:dyDescent="0.3">
      <c r="A305" s="37">
        <v>60237</v>
      </c>
      <c r="B305" s="409">
        <f t="shared" ref="B305:C305" si="306">($A305-B$9)/365.25</f>
        <v>83.041752224503767</v>
      </c>
      <c r="C305" s="409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3525.4531757812501</v>
      </c>
      <c r="H305" s="25">
        <f>IF(B305&lt;62,0,'Combined Retirement'!$I$14)</f>
        <v>2192</v>
      </c>
      <c r="I305" s="25">
        <f>IF(C305&lt;62,0,'Combined Retirement'!$I$13)</f>
        <v>2420</v>
      </c>
      <c r="J305" s="25">
        <f t="shared" si="263"/>
        <v>7863.2184191855868</v>
      </c>
      <c r="K305" s="25">
        <f t="shared" si="264"/>
        <v>20282.026119384056</v>
      </c>
      <c r="L305" s="25"/>
      <c r="N305" s="25">
        <f>'Combined Retirement'!$C$18/12</f>
        <v>39153.069999999992</v>
      </c>
      <c r="O305" s="25">
        <f t="shared" si="265"/>
        <v>11007.82546143035</v>
      </c>
      <c r="P305" s="25">
        <f t="shared" si="266"/>
        <v>28145.244538569641</v>
      </c>
      <c r="Q305" s="25">
        <f t="array" aca="1" ref="Q305" ca="1">INDEX('Isaac 401k'!L:L,MATCH('Retirement Calculator'!A305,'Isaac 401k'!N:N,0),0)</f>
        <v>1254770.2347706107</v>
      </c>
      <c r="R305" s="25">
        <f t="array" aca="1" ref="R305" ca="1">INDEX('Lorri 401b'!L:L,MATCH('Retirement Calculator'!A305,'Lorri 401b'!N:N,0),0)</f>
        <v>3274191.4959852817</v>
      </c>
      <c r="S305" s="25">
        <f t="shared" ca="1" si="267"/>
        <v>4528961.7307558926</v>
      </c>
    </row>
    <row r="306" spans="1:19" ht="15.75" customHeight="1" x14ac:dyDescent="0.3">
      <c r="A306" s="37">
        <v>60268</v>
      </c>
      <c r="B306" s="409">
        <f t="shared" ref="B306:C306" si="307">($A306-B$9)/365.25</f>
        <v>83.126625598904866</v>
      </c>
      <c r="C306" s="409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3525.4531757812501</v>
      </c>
      <c r="H306" s="25">
        <f>IF(B306&lt;62,0,'Combined Retirement'!$I$14)</f>
        <v>2192</v>
      </c>
      <c r="I306" s="25">
        <f>IF(C306&lt;62,0,'Combined Retirement'!$I$13)</f>
        <v>2420</v>
      </c>
      <c r="J306" s="25">
        <f t="shared" si="263"/>
        <v>7863.2184191855868</v>
      </c>
      <c r="K306" s="25">
        <f t="shared" si="264"/>
        <v>20282.026119384056</v>
      </c>
      <c r="L306" s="25"/>
      <c r="N306" s="25">
        <f>'Combined Retirement'!$C$18/12</f>
        <v>39153.069999999992</v>
      </c>
      <c r="O306" s="25">
        <f t="shared" si="265"/>
        <v>11007.82546143035</v>
      </c>
      <c r="P306" s="25">
        <f t="shared" si="266"/>
        <v>28145.244538569641</v>
      </c>
      <c r="Q306" s="25">
        <f t="array" aca="1" ref="Q306" ca="1">INDEX('Isaac 401k'!L:L,MATCH('Retirement Calculator'!A306,'Isaac 401k'!N:N,0),0)</f>
        <v>1252102.4622528893</v>
      </c>
      <c r="R306" s="25">
        <f t="array" aca="1" ref="R306" ca="1">INDEX('Lorri 401b'!L:L,MATCH('Retirement Calculator'!A306,'Lorri 401b'!N:N,0),0)</f>
        <v>3267467.4259903389</v>
      </c>
      <c r="S306" s="25">
        <f t="shared" ca="1" si="267"/>
        <v>4519569.8882432282</v>
      </c>
    </row>
    <row r="307" spans="1:19" ht="15.75" customHeight="1" x14ac:dyDescent="0.3">
      <c r="A307" s="37">
        <v>60299</v>
      </c>
      <c r="B307" s="409">
        <f t="shared" ref="B307:C307" si="308">($A307-B$9)/365.25</f>
        <v>83.21149897330595</v>
      </c>
      <c r="C307" s="409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3525.4531757812501</v>
      </c>
      <c r="H307" s="25">
        <f>IF(B307&lt;62,0,'Combined Retirement'!$I$14)</f>
        <v>2192</v>
      </c>
      <c r="I307" s="25">
        <f>IF(C307&lt;62,0,'Combined Retirement'!$I$13)</f>
        <v>2420</v>
      </c>
      <c r="J307" s="25">
        <f t="shared" si="263"/>
        <v>7863.2184191855868</v>
      </c>
      <c r="K307" s="25">
        <f t="shared" si="264"/>
        <v>20282.026119384056</v>
      </c>
      <c r="L307" s="25"/>
      <c r="N307" s="25">
        <f>'Combined Retirement'!$C$18/12</f>
        <v>39153.069999999992</v>
      </c>
      <c r="O307" s="25">
        <f t="shared" si="265"/>
        <v>11007.82546143035</v>
      </c>
      <c r="P307" s="25">
        <f t="shared" si="266"/>
        <v>28145.244538569641</v>
      </c>
      <c r="Q307" s="25">
        <f t="array" aca="1" ref="Q307" ca="1">INDEX('Isaac 401k'!L:L,MATCH('Retirement Calculator'!A307,'Isaac 401k'!N:N,0),0)</f>
        <v>1249423.574016344</v>
      </c>
      <c r="R307" s="25">
        <f t="array" aca="1" ref="R307" ca="1">INDEX('Lorri 401b'!L:L,MATCH('Retirement Calculator'!A307,'Lorri 401b'!N:N,0),0)</f>
        <v>3260715.339037084</v>
      </c>
      <c r="S307" s="25">
        <f t="shared" ca="1" si="267"/>
        <v>4510138.9130534278</v>
      </c>
    </row>
    <row r="308" spans="1:19" ht="15.75" customHeight="1" x14ac:dyDescent="0.3">
      <c r="A308" s="37">
        <v>60327</v>
      </c>
      <c r="B308" s="409">
        <f t="shared" ref="B308:C308" si="309">($A308-B$9)/365.25</f>
        <v>83.288158795345652</v>
      </c>
      <c r="C308" s="409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3525.4531757812501</v>
      </c>
      <c r="H308" s="25">
        <f>IF(B308&lt;62,0,'Combined Retirement'!$I$14)</f>
        <v>2192</v>
      </c>
      <c r="I308" s="25">
        <f>IF(C308&lt;62,0,'Combined Retirement'!$I$13)</f>
        <v>2420</v>
      </c>
      <c r="J308" s="25">
        <f t="shared" si="263"/>
        <v>7863.2184191855868</v>
      </c>
      <c r="K308" s="25">
        <f t="shared" si="264"/>
        <v>20282.026119384056</v>
      </c>
      <c r="L308" s="25"/>
      <c r="N308" s="25">
        <f>'Combined Retirement'!$C$18/12</f>
        <v>39153.069999999992</v>
      </c>
      <c r="O308" s="25">
        <f t="shared" si="265"/>
        <v>11007.82546143035</v>
      </c>
      <c r="P308" s="25">
        <f t="shared" si="266"/>
        <v>28145.244538569641</v>
      </c>
      <c r="Q308" s="25">
        <f t="array" aca="1" ref="Q308" ca="1">INDEX('Isaac 401k'!L:L,MATCH('Retirement Calculator'!A308,'Isaac 401k'!N:N,0),0)</f>
        <v>1246733.52374548</v>
      </c>
      <c r="R308" s="25">
        <f t="array" aca="1" ref="R308" ca="1">INDEX('Lorri 401b'!L:L,MATCH('Retirement Calculator'!A308,'Lorri 401b'!N:N,0),0)</f>
        <v>3253935.1183881904</v>
      </c>
      <c r="S308" s="25">
        <f t="shared" ca="1" si="267"/>
        <v>4500668.6421336699</v>
      </c>
    </row>
    <row r="309" spans="1:19" ht="15.75" customHeight="1" x14ac:dyDescent="0.3">
      <c r="A309" s="37">
        <v>60358</v>
      </c>
      <c r="B309" s="409">
        <f t="shared" ref="B309:C309" si="310">($A309-B$9)/365.25</f>
        <v>83.37303216974675</v>
      </c>
      <c r="C309" s="409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3525.4531757812501</v>
      </c>
      <c r="H309" s="25">
        <f>IF(B309&lt;62,0,'Combined Retirement'!$I$14)</f>
        <v>2192</v>
      </c>
      <c r="I309" s="25">
        <f>IF(C309&lt;62,0,'Combined Retirement'!$I$13)</f>
        <v>2420</v>
      </c>
      <c r="J309" s="25">
        <f t="shared" si="263"/>
        <v>7863.2184191855868</v>
      </c>
      <c r="K309" s="25">
        <f t="shared" si="264"/>
        <v>20282.026119384056</v>
      </c>
      <c r="L309" s="25"/>
      <c r="N309" s="25">
        <f>'Combined Retirement'!$C$18/12</f>
        <v>39153.069999999992</v>
      </c>
      <c r="O309" s="25">
        <f t="shared" si="265"/>
        <v>11007.82546143035</v>
      </c>
      <c r="P309" s="25">
        <f t="shared" si="266"/>
        <v>28145.244538569641</v>
      </c>
      <c r="Q309" s="25">
        <f t="array" aca="1" ref="Q309" ca="1">INDEX('Isaac 401k'!L:L,MATCH('Retirement Calculator'!A309,'Isaac 401k'!N:N,0),0)</f>
        <v>1244032.2649318206</v>
      </c>
      <c r="R309" s="25">
        <f t="array" aca="1" ref="R309" ca="1">INDEX('Lorri 401b'!L:L,MATCH('Retirement Calculator'!A309,'Lorri 401b'!N:N,0),0)</f>
        <v>3247126.6468199263</v>
      </c>
      <c r="S309" s="25">
        <f t="shared" ca="1" si="267"/>
        <v>4491158.9117517471</v>
      </c>
    </row>
    <row r="310" spans="1:19" ht="15.75" customHeight="1" x14ac:dyDescent="0.3">
      <c r="A310" s="37">
        <v>60388</v>
      </c>
      <c r="B310" s="409">
        <f t="shared" ref="B310:C310" si="311">($A310-B$9)/365.25</f>
        <v>83.455167693360707</v>
      </c>
      <c r="C310" s="409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3525.4531757812501</v>
      </c>
      <c r="H310" s="25">
        <f>IF(B310&lt;62,0,'Combined Retirement'!$I$14)</f>
        <v>2192</v>
      </c>
      <c r="I310" s="25">
        <f>IF(C310&lt;62,0,'Combined Retirement'!$I$13)</f>
        <v>2420</v>
      </c>
      <c r="J310" s="25">
        <f t="shared" si="263"/>
        <v>7863.2184191855868</v>
      </c>
      <c r="K310" s="25">
        <f t="shared" si="264"/>
        <v>20282.026119384056</v>
      </c>
      <c r="L310" s="25"/>
      <c r="N310" s="25">
        <f>'Combined Retirement'!$C$18/12</f>
        <v>39153.069999999992</v>
      </c>
      <c r="O310" s="25">
        <f t="shared" si="265"/>
        <v>11007.82546143035</v>
      </c>
      <c r="P310" s="25">
        <f t="shared" si="266"/>
        <v>28145.244538569641</v>
      </c>
      <c r="Q310" s="25">
        <f t="array" aca="1" ref="Q310" ca="1">INDEX('Isaac 401k'!L:L,MATCH('Retirement Calculator'!A310,'Isaac 401k'!N:N,0),0)</f>
        <v>1241319.7508731042</v>
      </c>
      <c r="R310" s="25">
        <f t="array" aca="1" ref="R310" ca="1">INDEX('Lorri 401b'!L:L,MATCH('Retirement Calculator'!A310,'Lorri 401b'!N:N,0),0)</f>
        <v>3240289.806620128</v>
      </c>
      <c r="S310" s="25">
        <f t="shared" ca="1" si="267"/>
        <v>4481609.5574932322</v>
      </c>
    </row>
    <row r="311" spans="1:19" ht="15.75" customHeight="1" x14ac:dyDescent="0.3">
      <c r="A311" s="37">
        <v>60419</v>
      </c>
      <c r="B311" s="409">
        <f t="shared" ref="B311:C311" si="312">($A311-B$9)/365.25</f>
        <v>83.540041067761805</v>
      </c>
      <c r="C311" s="409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3525.4531757812501</v>
      </c>
      <c r="H311" s="25">
        <f>IF(B311&lt;62,0,'Combined Retirement'!$I$14)</f>
        <v>2192</v>
      </c>
      <c r="I311" s="25">
        <f>IF(C311&lt;62,0,'Combined Retirement'!$I$13)</f>
        <v>2420</v>
      </c>
      <c r="J311" s="25">
        <f t="shared" si="263"/>
        <v>7863.2184191855868</v>
      </c>
      <c r="K311" s="25">
        <f t="shared" si="264"/>
        <v>20282.026119384056</v>
      </c>
      <c r="L311" s="25"/>
      <c r="N311" s="25">
        <f>'Combined Retirement'!$C$18/12</f>
        <v>39153.069999999992</v>
      </c>
      <c r="O311" s="25">
        <f t="shared" si="265"/>
        <v>11007.82546143035</v>
      </c>
      <c r="P311" s="25">
        <f t="shared" si="266"/>
        <v>28145.244538569641</v>
      </c>
      <c r="Q311" s="25">
        <f t="array" aca="1" ref="Q311" ca="1">INDEX('Isaac 401k'!L:L,MATCH('Retirement Calculator'!A311,'Isaac 401k'!N:N,0),0)</f>
        <v>1238595.9346724765</v>
      </c>
      <c r="R311" s="25">
        <f t="array" aca="1" ref="R311" ca="1">INDEX('Lorri 401b'!L:L,MATCH('Retirement Calculator'!A311,'Lorri 401b'!N:N,0),0)</f>
        <v>3233424.479586164</v>
      </c>
      <c r="S311" s="25">
        <f t="shared" ca="1" si="267"/>
        <v>4472020.4142586403</v>
      </c>
    </row>
    <row r="312" spans="1:19" ht="15.75" customHeight="1" x14ac:dyDescent="0.3">
      <c r="A312" s="37">
        <v>60449</v>
      </c>
      <c r="B312" s="409">
        <f t="shared" ref="B312:C312" si="313">($A312-B$9)/365.25</f>
        <v>83.622176591375776</v>
      </c>
      <c r="C312" s="409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3525.4531757812501</v>
      </c>
      <c r="H312" s="25">
        <f>IF(B312&lt;62,0,'Combined Retirement'!$I$14)</f>
        <v>2192</v>
      </c>
      <c r="I312" s="25">
        <f>IF(C312&lt;62,0,'Combined Retirement'!$I$13)</f>
        <v>2420</v>
      </c>
      <c r="J312" s="25">
        <f t="shared" si="263"/>
        <v>7863.2184191855868</v>
      </c>
      <c r="K312" s="25">
        <f t="shared" si="264"/>
        <v>20282.026119384056</v>
      </c>
      <c r="L312" s="25"/>
      <c r="N312" s="25">
        <f>'Combined Retirement'!$C$18/12</f>
        <v>39153.069999999992</v>
      </c>
      <c r="O312" s="25">
        <f t="shared" si="265"/>
        <v>11007.82546143035</v>
      </c>
      <c r="P312" s="25">
        <f t="shared" si="266"/>
        <v>28145.244538569641</v>
      </c>
      <c r="Q312" s="25">
        <f t="array" aca="1" ref="Q312" ca="1">INDEX('Isaac 401k'!L:L,MATCH('Retirement Calculator'!A312,'Isaac 401k'!N:N,0),0)</f>
        <v>1235860.7692376797</v>
      </c>
      <c r="R312" s="25">
        <f t="array" aca="1" ref="R312" ca="1">INDEX('Lorri 401b'!L:L,MATCH('Retirement Calculator'!A312,'Lorri 401b'!N:N,0),0)</f>
        <v>3226530.5470228917</v>
      </c>
      <c r="S312" s="25">
        <f t="shared" ca="1" si="267"/>
        <v>4462391.3162605716</v>
      </c>
    </row>
    <row r="313" spans="1:19" ht="15.75" customHeight="1" x14ac:dyDescent="0.3">
      <c r="A313" s="37">
        <v>60480</v>
      </c>
      <c r="B313" s="409">
        <f t="shared" ref="B313:C313" si="314">($A313-B$9)/365.25</f>
        <v>83.707049965776861</v>
      </c>
      <c r="C313" s="409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3525.4531757812501</v>
      </c>
      <c r="H313" s="25">
        <f>IF(B313&lt;62,0,'Combined Retirement'!$I$14)</f>
        <v>2192</v>
      </c>
      <c r="I313" s="25">
        <f>IF(C313&lt;62,0,'Combined Retirement'!$I$13)</f>
        <v>2420</v>
      </c>
      <c r="J313" s="25">
        <f t="shared" si="263"/>
        <v>7863.2184191855868</v>
      </c>
      <c r="K313" s="25">
        <f t="shared" si="264"/>
        <v>20282.026119384056</v>
      </c>
      <c r="L313" s="25"/>
      <c r="N313" s="25">
        <f>'Combined Retirement'!$C$18/12</f>
        <v>39153.069999999992</v>
      </c>
      <c r="O313" s="25">
        <f t="shared" si="265"/>
        <v>11007.82546143035</v>
      </c>
      <c r="P313" s="25">
        <f t="shared" si="266"/>
        <v>28145.244538569641</v>
      </c>
      <c r="Q313" s="25">
        <f t="array" aca="1" ref="Q313" ca="1">INDEX('Isaac 401k'!L:L,MATCH('Retirement Calculator'!A313,'Isaac 401k'!N:N,0),0)</f>
        <v>1233114.2072802377</v>
      </c>
      <c r="R313" s="25">
        <f t="array" aca="1" ref="R313" ca="1">INDEX('Lorri 401b'!L:L,MATCH('Retirement Calculator'!A313,'Lorri 401b'!N:N,0),0)</f>
        <v>3219607.8897406058</v>
      </c>
      <c r="S313" s="25">
        <f t="shared" ca="1" si="267"/>
        <v>4452722.097020844</v>
      </c>
    </row>
    <row r="314" spans="1:19" ht="15.75" customHeight="1" x14ac:dyDescent="0.3">
      <c r="A314" s="37">
        <v>60511</v>
      </c>
      <c r="B314" s="409">
        <f t="shared" ref="B314:C314" si="315">($A314-B$9)/365.25</f>
        <v>83.791923340177959</v>
      </c>
      <c r="C314" s="409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3525.4531757812501</v>
      </c>
      <c r="H314" s="25">
        <f>IF(B314&lt;62,0,'Combined Retirement'!$I$14)</f>
        <v>2192</v>
      </c>
      <c r="I314" s="25">
        <f>IF(C314&lt;62,0,'Combined Retirement'!$I$13)</f>
        <v>2420</v>
      </c>
      <c r="J314" s="25">
        <f t="shared" si="263"/>
        <v>7863.2184191855868</v>
      </c>
      <c r="K314" s="25">
        <f t="shared" si="264"/>
        <v>20282.026119384056</v>
      </c>
      <c r="L314" s="25"/>
      <c r="N314" s="25">
        <f>'Combined Retirement'!$C$18/12</f>
        <v>39153.069999999992</v>
      </c>
      <c r="O314" s="25">
        <f t="shared" si="265"/>
        <v>11007.82546143035</v>
      </c>
      <c r="P314" s="25">
        <f t="shared" si="266"/>
        <v>28145.244538569641</v>
      </c>
      <c r="Q314" s="25">
        <f t="array" aca="1" ref="Q314" ca="1">INDEX('Isaac 401k'!L:L,MATCH('Retirement Calculator'!A314,'Isaac 401k'!N:N,0),0)</f>
        <v>1230356.2013146398</v>
      </c>
      <c r="R314" s="25">
        <f t="array" aca="1" ref="R314" ca="1">INDEX('Lorri 401b'!L:L,MATCH('Retirement Calculator'!A314,'Lorri 401b'!N:N,0),0)</f>
        <v>3212656.3880529772</v>
      </c>
      <c r="S314" s="25">
        <f t="shared" ca="1" si="267"/>
        <v>4443012.5893676169</v>
      </c>
    </row>
    <row r="315" spans="1:19" ht="15.75" customHeight="1" x14ac:dyDescent="0.3">
      <c r="A315" s="37">
        <v>60541</v>
      </c>
      <c r="B315" s="409">
        <f t="shared" ref="B315:C315" si="316">($A315-B$9)/365.25</f>
        <v>83.87405886379193</v>
      </c>
      <c r="C315" s="409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3525.4531757812501</v>
      </c>
      <c r="H315" s="25">
        <f>IF(B315&lt;62,0,'Combined Retirement'!$I$14)</f>
        <v>2192</v>
      </c>
      <c r="I315" s="25">
        <f>IF(C315&lt;62,0,'Combined Retirement'!$I$13)</f>
        <v>2420</v>
      </c>
      <c r="J315" s="25">
        <f t="shared" si="263"/>
        <v>7863.2184191855868</v>
      </c>
      <c r="K315" s="25">
        <f t="shared" si="264"/>
        <v>20282.026119384056</v>
      </c>
      <c r="L315" s="25"/>
      <c r="N315" s="25">
        <f>'Combined Retirement'!$C$18/12</f>
        <v>39153.069999999992</v>
      </c>
      <c r="O315" s="25">
        <f t="shared" si="265"/>
        <v>11007.82546143035</v>
      </c>
      <c r="P315" s="25">
        <f t="shared" si="266"/>
        <v>28145.244538569641</v>
      </c>
      <c r="Q315" s="25">
        <f t="array" aca="1" ref="Q315" ca="1">INDEX('Isaac 401k'!L:L,MATCH('Retirement Calculator'!A315,'Isaac 401k'!N:N,0),0)</f>
        <v>1227586.7036575186</v>
      </c>
      <c r="R315" s="25">
        <f t="array" aca="1" ref="R315" ca="1">INDEX('Lorri 401b'!L:L,MATCH('Retirement Calculator'!A315,'Lorri 401b'!N:N,0),0)</f>
        <v>3205675.9217749829</v>
      </c>
      <c r="S315" s="25">
        <f t="shared" ca="1" si="267"/>
        <v>4433262.6254325015</v>
      </c>
    </row>
    <row r="316" spans="1:19" ht="15.75" customHeight="1" x14ac:dyDescent="0.3">
      <c r="A316" s="37">
        <v>60572</v>
      </c>
      <c r="B316" s="409">
        <f t="shared" ref="B316:C316" si="317">($A316-B$9)/365.25</f>
        <v>83.958932238193015</v>
      </c>
      <c r="C316" s="409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3525.4531757812501</v>
      </c>
      <c r="H316" s="25">
        <f>IF(B316&lt;62,0,'Combined Retirement'!$I$14)</f>
        <v>2192</v>
      </c>
      <c r="I316" s="25">
        <f>IF(C316&lt;62,0,'Combined Retirement'!$I$13)</f>
        <v>2420</v>
      </c>
      <c r="J316" s="25">
        <f t="shared" si="263"/>
        <v>7863.2184191855868</v>
      </c>
      <c r="K316" s="25">
        <f t="shared" si="264"/>
        <v>20282.026119384056</v>
      </c>
      <c r="L316" s="25"/>
      <c r="N316" s="25">
        <f>'Combined Retirement'!$C$18/12</f>
        <v>39153.069999999992</v>
      </c>
      <c r="O316" s="25">
        <f t="shared" si="265"/>
        <v>11007.82546143035</v>
      </c>
      <c r="P316" s="25">
        <f t="shared" si="266"/>
        <v>28145.244538569641</v>
      </c>
      <c r="Q316" s="25">
        <f t="array" aca="1" ref="Q316" ca="1">INDEX('Isaac 401k'!L:L,MATCH('Retirement Calculator'!A316,'Isaac 401k'!N:N,0),0)</f>
        <v>1224805.666426826</v>
      </c>
      <c r="R316" s="25">
        <f t="array" aca="1" ref="R316" ca="1">INDEX('Lorri 401b'!L:L,MATCH('Retirement Calculator'!A316,'Lorri 401b'!N:N,0),0)</f>
        <v>3198666.3702208307</v>
      </c>
      <c r="S316" s="25">
        <f t="shared" ca="1" si="267"/>
        <v>4423472.0366476569</v>
      </c>
    </row>
    <row r="317" spans="1:19" ht="15.75" customHeight="1" x14ac:dyDescent="0.3">
      <c r="A317" s="37">
        <v>60602</v>
      </c>
      <c r="B317" s="409">
        <f t="shared" ref="B317:C317" si="318">($A317-B$9)/365.25</f>
        <v>84.041067761806985</v>
      </c>
      <c r="C317" s="409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3525.4531757812501</v>
      </c>
      <c r="H317" s="25">
        <f>IF(B317&lt;62,0,'Combined Retirement'!$I$14)</f>
        <v>2192</v>
      </c>
      <c r="I317" s="25">
        <f>IF(C317&lt;62,0,'Combined Retirement'!$I$13)</f>
        <v>2420</v>
      </c>
      <c r="J317" s="25">
        <f t="shared" si="263"/>
        <v>7863.2184191855868</v>
      </c>
      <c r="K317" s="25">
        <f t="shared" si="264"/>
        <v>20282.026119384056</v>
      </c>
      <c r="L317" s="25"/>
      <c r="N317" s="25">
        <f>'Combined Retirement'!$C$18/12</f>
        <v>39153.069999999992</v>
      </c>
      <c r="O317" s="25">
        <f t="shared" si="265"/>
        <v>11007.82546143035</v>
      </c>
      <c r="P317" s="25">
        <f t="shared" si="266"/>
        <v>28145.244538569641</v>
      </c>
      <c r="Q317" s="25">
        <f t="array" aca="1" ref="Q317" ca="1">INDEX('Isaac 401k'!L:L,MATCH('Retirement Calculator'!A317,'Isaac 401k'!N:N,0),0)</f>
        <v>1222013.0415410055</v>
      </c>
      <c r="R317" s="25">
        <f t="array" aca="1" ref="R317" ca="1">INDEX('Lorri 401b'!L:L,MATCH('Retirement Calculator'!A317,'Lorri 401b'!N:N,0),0)</f>
        <v>3191627.6122018695</v>
      </c>
      <c r="S317" s="25">
        <f t="shared" ca="1" si="267"/>
        <v>4413640.653742875</v>
      </c>
    </row>
    <row r="318" spans="1:19" ht="15.75" customHeight="1" x14ac:dyDescent="0.3">
      <c r="A318" s="37">
        <v>60633</v>
      </c>
      <c r="B318" s="409">
        <f t="shared" ref="B318:C318" si="319">($A318-B$9)/365.25</f>
        <v>84.12594113620807</v>
      </c>
      <c r="C318" s="409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3525.4531757812501</v>
      </c>
      <c r="H318" s="25">
        <f>IF(B318&lt;62,0,'Combined Retirement'!$I$14)</f>
        <v>2192</v>
      </c>
      <c r="I318" s="25">
        <f>IF(C318&lt;62,0,'Combined Retirement'!$I$13)</f>
        <v>2420</v>
      </c>
      <c r="J318" s="25">
        <f t="shared" si="263"/>
        <v>7863.2184191855868</v>
      </c>
      <c r="K318" s="25">
        <f t="shared" si="264"/>
        <v>20282.026119384056</v>
      </c>
      <c r="L318" s="25"/>
      <c r="N318" s="25">
        <f>'Combined Retirement'!$C$18/12</f>
        <v>39153.069999999992</v>
      </c>
      <c r="O318" s="25">
        <f t="shared" si="265"/>
        <v>11007.82546143035</v>
      </c>
      <c r="P318" s="25">
        <f t="shared" si="266"/>
        <v>28145.244538569641</v>
      </c>
      <c r="Q318" s="25">
        <f t="array" aca="1" ref="Q318" ca="1">INDEX('Isaac 401k'!L:L,MATCH('Retirement Calculator'!A318,'Isaac 401k'!N:N,0),0)</f>
        <v>1219208.7807181608</v>
      </c>
      <c r="R318" s="25">
        <f t="array" aca="1" ref="R318" ca="1">INDEX('Lorri 401b'!L:L,MATCH('Retirement Calculator'!A318,'Lorri 401b'!N:N,0),0)</f>
        <v>3184559.5260244957</v>
      </c>
      <c r="S318" s="25">
        <f t="shared" ca="1" si="267"/>
        <v>4403768.306742657</v>
      </c>
    </row>
    <row r="319" spans="1:19" ht="15.75" customHeight="1" x14ac:dyDescent="0.3">
      <c r="A319" s="37">
        <v>60664</v>
      </c>
      <c r="B319" s="409">
        <f t="shared" ref="B319:C319" si="320">($A319-B$9)/365.25</f>
        <v>84.210814510609168</v>
      </c>
      <c r="C319" s="409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3525.4531757812501</v>
      </c>
      <c r="H319" s="25">
        <f>IF(B319&lt;62,0,'Combined Retirement'!$I$14)</f>
        <v>2192</v>
      </c>
      <c r="I319" s="25">
        <f>IF(C319&lt;62,0,'Combined Retirement'!$I$13)</f>
        <v>2420</v>
      </c>
      <c r="J319" s="25">
        <f t="shared" si="263"/>
        <v>7863.2184191855868</v>
      </c>
      <c r="K319" s="25">
        <f t="shared" si="264"/>
        <v>20282.026119384056</v>
      </c>
      <c r="L319" s="25"/>
      <c r="N319" s="25">
        <f>'Combined Retirement'!$C$18/12</f>
        <v>39153.069999999992</v>
      </c>
      <c r="O319" s="25">
        <f t="shared" si="265"/>
        <v>11007.82546143035</v>
      </c>
      <c r="P319" s="25">
        <f t="shared" si="266"/>
        <v>28145.244538569641</v>
      </c>
      <c r="Q319" s="25">
        <f t="array" aca="1" ref="Q319" ca="1">INDEX('Isaac 401k'!L:L,MATCH('Retirement Calculator'!A319,'Isaac 401k'!N:N,0),0)</f>
        <v>1216392.8354752208</v>
      </c>
      <c r="R319" s="25">
        <f t="array" aca="1" ref="R319" ca="1">INDEX('Lorri 401b'!L:L,MATCH('Retirement Calculator'!A319,'Lorri 401b'!N:N,0),0)</f>
        <v>3177461.9894880499</v>
      </c>
      <c r="S319" s="25">
        <f t="shared" ca="1" si="267"/>
        <v>4393854.8249632707</v>
      </c>
    </row>
    <row r="320" spans="1:19" ht="15.75" customHeight="1" x14ac:dyDescent="0.3">
      <c r="A320" s="37">
        <v>60692</v>
      </c>
      <c r="B320" s="409">
        <f t="shared" ref="B320:C320" si="321">($A320-B$9)/365.25</f>
        <v>84.28747433264887</v>
      </c>
      <c r="C320" s="409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3525.4531757812501</v>
      </c>
      <c r="H320" s="25">
        <f>IF(B320&lt;62,0,'Combined Retirement'!$I$14)</f>
        <v>2192</v>
      </c>
      <c r="I320" s="25">
        <f>IF(C320&lt;62,0,'Combined Retirement'!$I$13)</f>
        <v>2420</v>
      </c>
      <c r="J320" s="25">
        <f t="shared" si="263"/>
        <v>7863.2184191855868</v>
      </c>
      <c r="K320" s="25">
        <f t="shared" si="264"/>
        <v>20282.026119384056</v>
      </c>
      <c r="L320" s="25"/>
      <c r="N320" s="25">
        <f>'Combined Retirement'!$C$18/12</f>
        <v>39153.069999999992</v>
      </c>
      <c r="O320" s="25">
        <f t="shared" si="265"/>
        <v>11007.82546143035</v>
      </c>
      <c r="P320" s="25">
        <f t="shared" si="266"/>
        <v>28145.244538569641</v>
      </c>
      <c r="Q320" s="25">
        <f t="array" aca="1" ref="Q320" ca="1">INDEX('Isaac 401k'!L:L,MATCH('Retirement Calculator'!A320,'Isaac 401k'!N:N,0),0)</f>
        <v>1213565.1571271019</v>
      </c>
      <c r="R320" s="25">
        <f t="array" aca="1" ref="R320" ca="1">INDEX('Lorri 401b'!L:L,MATCH('Retirement Calculator'!A320,'Lorri 401b'!N:N,0),0)</f>
        <v>3170334.8798827021</v>
      </c>
      <c r="S320" s="25">
        <f t="shared" ca="1" si="267"/>
        <v>4383900.0370098036</v>
      </c>
    </row>
    <row r="321" spans="1:19" ht="15.75" customHeight="1" x14ac:dyDescent="0.3">
      <c r="A321" s="37">
        <v>60723</v>
      </c>
      <c r="B321" s="409">
        <f t="shared" ref="B321:C321" si="322">($A321-B$9)/365.25</f>
        <v>84.372347707049968</v>
      </c>
      <c r="C321" s="409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3525.4531757812501</v>
      </c>
      <c r="H321" s="25">
        <f>IF(B321&lt;62,0,'Combined Retirement'!$I$14)</f>
        <v>2192</v>
      </c>
      <c r="I321" s="25">
        <f>IF(C321&lt;62,0,'Combined Retirement'!$I$13)</f>
        <v>2420</v>
      </c>
      <c r="J321" s="25">
        <f t="shared" si="263"/>
        <v>7863.2184191855868</v>
      </c>
      <c r="K321" s="25">
        <f t="shared" si="264"/>
        <v>20282.026119384056</v>
      </c>
      <c r="L321" s="25"/>
      <c r="N321" s="25">
        <f>'Combined Retirement'!$C$18/12</f>
        <v>39153.069999999992</v>
      </c>
      <c r="O321" s="25">
        <f t="shared" si="265"/>
        <v>11007.82546143035</v>
      </c>
      <c r="P321" s="25">
        <f t="shared" si="266"/>
        <v>28145.244538569641</v>
      </c>
      <c r="Q321" s="25">
        <f t="array" aca="1" ref="Q321" ca="1">INDEX('Isaac 401k'!L:L,MATCH('Retirement Calculator'!A321,'Isaac 401k'!N:N,0),0)</f>
        <v>1210725.6967858661</v>
      </c>
      <c r="R321" s="25">
        <f t="array" aca="1" ref="R321" ca="1">INDEX('Lorri 401b'!L:L,MATCH('Retirement Calculator'!A321,'Lorri 401b'!N:N,0),0)</f>
        <v>3163178.0739873322</v>
      </c>
      <c r="S321" s="25">
        <f t="shared" ca="1" si="267"/>
        <v>4373903.7707731985</v>
      </c>
    </row>
    <row r="322" spans="1:19" ht="15.75" customHeight="1" x14ac:dyDescent="0.3">
      <c r="A322" s="37">
        <v>60753</v>
      </c>
      <c r="B322" s="409">
        <f t="shared" ref="B322:C322" si="323">($A322-B$9)/365.25</f>
        <v>84.454483230663925</v>
      </c>
      <c r="C322" s="409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3525.4531757812501</v>
      </c>
      <c r="H322" s="25">
        <f>IF(B322&lt;62,0,'Combined Retirement'!$I$14)</f>
        <v>2192</v>
      </c>
      <c r="I322" s="25">
        <f>IF(C322&lt;62,0,'Combined Retirement'!$I$13)</f>
        <v>2420</v>
      </c>
      <c r="J322" s="25">
        <f t="shared" si="263"/>
        <v>7863.2184191855868</v>
      </c>
      <c r="K322" s="25">
        <f t="shared" si="264"/>
        <v>20282.026119384056</v>
      </c>
      <c r="L322" s="25"/>
      <c r="N322" s="25">
        <f>'Combined Retirement'!$C$18/12</f>
        <v>39153.069999999992</v>
      </c>
      <c r="O322" s="25">
        <f t="shared" si="265"/>
        <v>11007.82546143035</v>
      </c>
      <c r="P322" s="25">
        <f t="shared" si="266"/>
        <v>28145.244538569641</v>
      </c>
      <c r="Q322" s="25">
        <f t="array" aca="1" ref="Q322" ca="1">INDEX('Isaac 401k'!L:L,MATCH('Retirement Calculator'!A322,'Isaac 401k'!N:N,0),0)</f>
        <v>1207874.4053598749</v>
      </c>
      <c r="R322" s="25">
        <f t="array" aca="1" ref="R322" ca="1">INDEX('Lorri 401b'!L:L,MATCH('Retirement Calculator'!A322,'Lorri 401b'!N:N,0),0)</f>
        <v>3155991.4480673978</v>
      </c>
      <c r="S322" s="25">
        <f t="shared" ca="1" si="267"/>
        <v>4363865.8534272723</v>
      </c>
    </row>
    <row r="323" spans="1:19" ht="15.75" customHeight="1" x14ac:dyDescent="0.3">
      <c r="A323" s="37">
        <v>60784</v>
      </c>
      <c r="B323" s="409">
        <f t="shared" ref="B323:C323" si="324">($A323-B$9)/365.25</f>
        <v>84.539356605065024</v>
      </c>
      <c r="C323" s="409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3525.4531757812501</v>
      </c>
      <c r="H323" s="25">
        <f>IF(B323&lt;62,0,'Combined Retirement'!$I$14)</f>
        <v>2192</v>
      </c>
      <c r="I323" s="25">
        <f>IF(C323&lt;62,0,'Combined Retirement'!$I$13)</f>
        <v>2420</v>
      </c>
      <c r="J323" s="25">
        <f t="shared" si="263"/>
        <v>7863.2184191855868</v>
      </c>
      <c r="K323" s="25">
        <f t="shared" si="264"/>
        <v>20282.026119384056</v>
      </c>
      <c r="L323" s="25"/>
      <c r="N323" s="25">
        <f>'Combined Retirement'!$C$18/12</f>
        <v>39153.069999999992</v>
      </c>
      <c r="O323" s="25">
        <f t="shared" si="265"/>
        <v>11007.82546143035</v>
      </c>
      <c r="P323" s="25">
        <f t="shared" si="266"/>
        <v>28145.244538569641</v>
      </c>
      <c r="Q323" s="25">
        <f t="array" aca="1" ref="Q323" ca="1">INDEX('Isaac 401k'!L:L,MATCH('Retirement Calculator'!A323,'Isaac 401k'!N:N,0),0)</f>
        <v>1205011.2335529423</v>
      </c>
      <c r="R323" s="25">
        <f t="array" aca="1" ref="R323" ca="1">INDEX('Lorri 401b'!L:L,MATCH('Retirement Calculator'!A323,'Lorri 401b'!N:N,0),0)</f>
        <v>3148774.8778727972</v>
      </c>
      <c r="S323" s="25">
        <f t="shared" ca="1" si="267"/>
        <v>4353786.1114257397</v>
      </c>
    </row>
    <row r="324" spans="1:19" ht="15.75" customHeight="1" x14ac:dyDescent="0.3">
      <c r="A324" s="37">
        <v>60814</v>
      </c>
      <c r="B324" s="409">
        <f t="shared" ref="B324:C324" si="325">($A324-B$9)/365.25</f>
        <v>84.62149212867898</v>
      </c>
      <c r="C324" s="409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3525.4531757812501</v>
      </c>
      <c r="H324" s="25">
        <f>IF(B324&lt;62,0,'Combined Retirement'!$I$14)</f>
        <v>2192</v>
      </c>
      <c r="I324" s="25">
        <f>IF(C324&lt;62,0,'Combined Retirement'!$I$13)</f>
        <v>2420</v>
      </c>
      <c r="J324" s="25">
        <f t="shared" si="263"/>
        <v>7863.2184191855868</v>
      </c>
      <c r="K324" s="25">
        <f t="shared" si="264"/>
        <v>20282.026119384056</v>
      </c>
      <c r="L324" s="25"/>
      <c r="N324" s="25">
        <f>'Combined Retirement'!$C$18/12</f>
        <v>39153.069999999992</v>
      </c>
      <c r="O324" s="25">
        <f t="shared" si="265"/>
        <v>11007.82546143035</v>
      </c>
      <c r="P324" s="25">
        <f t="shared" si="266"/>
        <v>28145.244538569641</v>
      </c>
      <c r="Q324" s="25">
        <f t="array" aca="1" ref="Q324" ca="1">INDEX('Isaac 401k'!L:L,MATCH('Retirement Calculator'!A324,'Isaac 401k'!N:N,0),0)</f>
        <v>1202136.1318634807</v>
      </c>
      <c r="R324" s="25">
        <f t="array" aca="1" ref="R324" ca="1">INDEX('Lorri 401b'!L:L,MATCH('Retirement Calculator'!A324,'Lorri 401b'!N:N,0),0)</f>
        <v>3141528.2386357193</v>
      </c>
      <c r="S324" s="25">
        <f t="shared" ca="1" si="267"/>
        <v>4343664.3704992002</v>
      </c>
    </row>
    <row r="325" spans="1:19" ht="15.75" customHeight="1" x14ac:dyDescent="0.3">
      <c r="A325" s="37">
        <v>60845</v>
      </c>
      <c r="B325" s="409">
        <f t="shared" ref="B325:C325" si="326">($A325-B$9)/365.25</f>
        <v>84.706365503080079</v>
      </c>
      <c r="C325" s="409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3525.4531757812501</v>
      </c>
      <c r="H325" s="25">
        <f>IF(B325&lt;62,0,'Combined Retirement'!$I$14)</f>
        <v>2192</v>
      </c>
      <c r="I325" s="25">
        <f>IF(C325&lt;62,0,'Combined Retirement'!$I$13)</f>
        <v>2420</v>
      </c>
      <c r="J325" s="25">
        <f t="shared" si="263"/>
        <v>7863.2184191855868</v>
      </c>
      <c r="K325" s="25">
        <f t="shared" si="264"/>
        <v>20282.026119384056</v>
      </c>
      <c r="L325" s="25"/>
      <c r="N325" s="25">
        <f>'Combined Retirement'!$C$18/12</f>
        <v>39153.069999999992</v>
      </c>
      <c r="O325" s="25">
        <f t="shared" si="265"/>
        <v>11007.82546143035</v>
      </c>
      <c r="P325" s="25">
        <f t="shared" si="266"/>
        <v>28145.244538569641</v>
      </c>
      <c r="Q325" s="25">
        <f t="array" aca="1" ref="Q325" ca="1">INDEX('Isaac 401k'!L:L,MATCH('Retirement Calculator'!A325,'Isaac 401k'!N:N,0),0)</f>
        <v>1199249.0505836464</v>
      </c>
      <c r="R325" s="25">
        <f t="array" aca="1" ref="R325" ca="1">INDEX('Lorri 401b'!L:L,MATCH('Retirement Calculator'!A325,'Lorri 401b'!N:N,0),0)</f>
        <v>3134251.4050684869</v>
      </c>
      <c r="S325" s="25">
        <f t="shared" ca="1" si="267"/>
        <v>4333500.4556521336</v>
      </c>
    </row>
    <row r="326" spans="1:19" ht="15.75" customHeight="1" x14ac:dyDescent="0.3">
      <c r="A326" s="37">
        <v>60876</v>
      </c>
      <c r="B326" s="409">
        <f t="shared" ref="B326:C326" si="327">($A326-B$9)/365.25</f>
        <v>84.791238877481177</v>
      </c>
      <c r="C326" s="409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3525.4531757812501</v>
      </c>
      <c r="H326" s="25">
        <f>IF(B326&lt;62,0,'Combined Retirement'!$I$14)</f>
        <v>2192</v>
      </c>
      <c r="I326" s="25">
        <f>IF(C326&lt;62,0,'Combined Retirement'!$I$13)</f>
        <v>2420</v>
      </c>
      <c r="J326" s="25">
        <f t="shared" si="263"/>
        <v>7863.2184191855868</v>
      </c>
      <c r="K326" s="25">
        <f t="shared" si="264"/>
        <v>20282.026119384056</v>
      </c>
      <c r="L326" s="25"/>
      <c r="N326" s="25">
        <f>'Combined Retirement'!$C$18/12</f>
        <v>39153.069999999992</v>
      </c>
      <c r="O326" s="25">
        <f t="shared" si="265"/>
        <v>11007.82546143035</v>
      </c>
      <c r="P326" s="25">
        <f t="shared" si="266"/>
        <v>28145.244538569641</v>
      </c>
      <c r="Q326" s="25">
        <f t="array" aca="1" ref="Q326" ca="1">INDEX('Isaac 401k'!L:L,MATCH('Retirement Calculator'!A326,'Isaac 401k'!N:N,0),0)</f>
        <v>1196349.9397984794</v>
      </c>
      <c r="R326" s="25">
        <f t="array" aca="1" ref="R326" ca="1">INDEX('Lorri 401b'!L:L,MATCH('Retirement Calculator'!A326,'Lorri 401b'!N:N,0),0)</f>
        <v>3126944.251361391</v>
      </c>
      <c r="S326" s="25">
        <f t="shared" ca="1" si="267"/>
        <v>4323294.1911598705</v>
      </c>
    </row>
    <row r="327" spans="1:19" ht="15.75" customHeight="1" x14ac:dyDescent="0.3">
      <c r="A327" s="37">
        <v>60906</v>
      </c>
      <c r="B327" s="409">
        <f t="shared" ref="B327:C327" si="328">($A327-B$9)/365.25</f>
        <v>84.873374401095134</v>
      </c>
      <c r="C327" s="409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3525.4531757812501</v>
      </c>
      <c r="H327" s="25">
        <f>IF(B327&lt;62,0,'Combined Retirement'!$I$14)</f>
        <v>2192</v>
      </c>
      <c r="I327" s="25">
        <f>IF(C327&lt;62,0,'Combined Retirement'!$I$13)</f>
        <v>2420</v>
      </c>
      <c r="J327" s="25">
        <f t="shared" si="263"/>
        <v>7863.2184191855868</v>
      </c>
      <c r="K327" s="25">
        <f t="shared" si="264"/>
        <v>20282.026119384056</v>
      </c>
      <c r="L327" s="25"/>
      <c r="N327" s="25">
        <f>'Combined Retirement'!$C$18/12</f>
        <v>39153.069999999992</v>
      </c>
      <c r="O327" s="25">
        <f t="shared" si="265"/>
        <v>11007.82546143035</v>
      </c>
      <c r="P327" s="25">
        <f t="shared" si="266"/>
        <v>28145.244538569641</v>
      </c>
      <c r="Q327" s="25">
        <f t="array" aca="1" ref="Q327" ca="1">INDEX('Isaac 401k'!L:L,MATCH('Retirement Calculator'!A327,'Isaac 401k'!N:N,0),0)</f>
        <v>1193438.749385041</v>
      </c>
      <c r="R327" s="25">
        <f t="array" aca="1" ref="R327" ca="1">INDEX('Lorri 401b'!L:L,MATCH('Retirement Calculator'!A327,'Lorri 401b'!N:N,0),0)</f>
        <v>3119606.6511805155</v>
      </c>
      <c r="S327" s="25">
        <f t="shared" ca="1" si="267"/>
        <v>4313045.4005655563</v>
      </c>
    </row>
    <row r="328" spans="1:19" ht="15.75" customHeight="1" x14ac:dyDescent="0.3">
      <c r="A328" s="37">
        <v>60937</v>
      </c>
      <c r="B328" s="409">
        <f t="shared" ref="B328:C328" si="329">($A328-B$9)/365.25</f>
        <v>84.958247775496233</v>
      </c>
      <c r="C328" s="409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3525.4531757812501</v>
      </c>
      <c r="H328" s="25">
        <f>IF(B328&lt;62,0,'Combined Retirement'!$I$14)</f>
        <v>2192</v>
      </c>
      <c r="I328" s="25">
        <f>IF(C328&lt;62,0,'Combined Retirement'!$I$13)</f>
        <v>2420</v>
      </c>
      <c r="J328" s="25">
        <f t="shared" si="263"/>
        <v>7863.2184191855868</v>
      </c>
      <c r="K328" s="25">
        <f t="shared" si="264"/>
        <v>20282.026119384056</v>
      </c>
      <c r="L328" s="25"/>
      <c r="N328" s="25">
        <f>'Combined Retirement'!$C$18/12</f>
        <v>39153.069999999992</v>
      </c>
      <c r="O328" s="25">
        <f t="shared" si="265"/>
        <v>11007.82546143035</v>
      </c>
      <c r="P328" s="25">
        <f t="shared" si="266"/>
        <v>28145.244538569641</v>
      </c>
      <c r="Q328" s="25">
        <f t="array" aca="1" ref="Q328" ca="1">INDEX('Isaac 401k'!L:L,MATCH('Retirement Calculator'!A328,'Isaac 401k'!N:N,0),0)</f>
        <v>1190515.4290115463</v>
      </c>
      <c r="R328" s="25">
        <f t="array" aca="1" ref="R328" ca="1">INDEX('Lorri 401b'!L:L,MATCH('Retirement Calculator'!A328,'Lorri 401b'!N:N,0),0)</f>
        <v>3112238.4776655529</v>
      </c>
      <c r="S328" s="25">
        <f t="shared" ca="1" si="267"/>
        <v>4302753.9066770989</v>
      </c>
    </row>
    <row r="329" spans="1:19" ht="15.75" customHeight="1" x14ac:dyDescent="0.3">
      <c r="A329" s="37">
        <v>60967</v>
      </c>
      <c r="B329" s="409">
        <f t="shared" ref="B329:C329" si="330">($A329-B$9)/365.25</f>
        <v>85.040383299110204</v>
      </c>
      <c r="C329" s="409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3525.4531757812501</v>
      </c>
      <c r="H329" s="25">
        <f>IF(B329&lt;62,0,'Combined Retirement'!$I$14)</f>
        <v>2192</v>
      </c>
      <c r="I329" s="25">
        <f>IF(C329&lt;62,0,'Combined Retirement'!$I$13)</f>
        <v>2420</v>
      </c>
      <c r="J329" s="25">
        <f t="shared" si="263"/>
        <v>7863.2184191855868</v>
      </c>
      <c r="K329" s="25">
        <f t="shared" si="264"/>
        <v>20282.026119384056</v>
      </c>
      <c r="L329" s="25"/>
      <c r="N329" s="25">
        <f>'Combined Retirement'!$C$18/12</f>
        <v>39153.069999999992</v>
      </c>
      <c r="O329" s="25">
        <f t="shared" si="265"/>
        <v>11007.82546143035</v>
      </c>
      <c r="P329" s="25">
        <f t="shared" si="266"/>
        <v>28145.244538569641</v>
      </c>
      <c r="Q329" s="25">
        <f t="array" aca="1" ref="Q329" ca="1">INDEX('Isaac 401k'!L:L,MATCH('Retirement Calculator'!A329,'Isaac 401k'!N:N,0),0)</f>
        <v>1187579.9281364956</v>
      </c>
      <c r="R329" s="25">
        <f t="array" aca="1" ref="R329" ca="1">INDEX('Lorri 401b'!L:L,MATCH('Retirement Calculator'!A329,'Lorri 401b'!N:N,0),0)</f>
        <v>3104839.6034276113</v>
      </c>
      <c r="S329" s="25">
        <f t="shared" ca="1" si="267"/>
        <v>4292419.5315641072</v>
      </c>
    </row>
    <row r="330" spans="1:19" ht="15.75" customHeight="1" x14ac:dyDescent="0.3">
      <c r="A330" s="37">
        <v>60998</v>
      </c>
      <c r="B330" s="409">
        <f t="shared" ref="B330:C330" si="331">($A330-B$9)/365.25</f>
        <v>85.125256673511288</v>
      </c>
      <c r="C330" s="409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3525.4531757812501</v>
      </c>
      <c r="H330" s="25">
        <f>IF(B330&lt;62,0,'Combined Retirement'!$I$14)</f>
        <v>2192</v>
      </c>
      <c r="I330" s="25">
        <f>IF(C330&lt;62,0,'Combined Retirement'!$I$13)</f>
        <v>2420</v>
      </c>
      <c r="J330" s="25">
        <f t="shared" si="263"/>
        <v>7863.2184191855868</v>
      </c>
      <c r="K330" s="25">
        <f t="shared" si="264"/>
        <v>20282.026119384056</v>
      </c>
      <c r="L330" s="25"/>
      <c r="N330" s="25">
        <f>'Combined Retirement'!$C$18/12</f>
        <v>39153.069999999992</v>
      </c>
      <c r="O330" s="25">
        <f t="shared" si="265"/>
        <v>11007.82546143035</v>
      </c>
      <c r="P330" s="25">
        <f t="shared" si="266"/>
        <v>28145.244538569641</v>
      </c>
      <c r="Q330" s="25">
        <f t="array" aca="1" ref="Q330" ca="1">INDEX('Isaac 401k'!L:L,MATCH('Retirement Calculator'!A330,'Isaac 401k'!N:N,0),0)</f>
        <v>1184632.1960077989</v>
      </c>
      <c r="R330" s="25">
        <f t="array" aca="1" ref="R330" ca="1">INDEX('Lorri 401b'!L:L,MATCH('Retirement Calculator'!A330,'Lorri 401b'!N:N,0),0)</f>
        <v>3097409.9005470118</v>
      </c>
      <c r="S330" s="25">
        <f t="shared" ca="1" si="267"/>
        <v>4282042.0965548102</v>
      </c>
    </row>
    <row r="331" spans="1:19" ht="15.75" customHeight="1" x14ac:dyDescent="0.3">
      <c r="A331" s="37">
        <v>61029</v>
      </c>
      <c r="B331" s="409">
        <f t="shared" ref="B331:C331" si="332">($A331-B$9)/365.25</f>
        <v>85.210130047912386</v>
      </c>
      <c r="C331" s="409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3525.4531757812501</v>
      </c>
      <c r="H331" s="25">
        <f>IF(B331&lt;62,0,'Combined Retirement'!$I$14)</f>
        <v>2192</v>
      </c>
      <c r="I331" s="25">
        <f>IF(C331&lt;62,0,'Combined Retirement'!$I$13)</f>
        <v>2420</v>
      </c>
      <c r="J331" s="25">
        <f t="shared" si="263"/>
        <v>7863.2184191855868</v>
      </c>
      <c r="K331" s="25">
        <f t="shared" si="264"/>
        <v>20282.026119384056</v>
      </c>
      <c r="L331" s="25"/>
      <c r="N331" s="25">
        <f>'Combined Retirement'!$C$18/12</f>
        <v>39153.069999999992</v>
      </c>
      <c r="O331" s="25">
        <f t="shared" si="265"/>
        <v>11007.82546143035</v>
      </c>
      <c r="P331" s="25">
        <f t="shared" si="266"/>
        <v>28145.244538569641</v>
      </c>
      <c r="Q331" s="25">
        <f t="array" aca="1" ref="Q331" ca="1">INDEX('Isaac 401k'!L:L,MATCH('Retirement Calculator'!A331,'Isaac 401k'!N:N,0),0)</f>
        <v>1181672.1816618992</v>
      </c>
      <c r="R331" s="25">
        <f t="array" aca="1" ref="R331" ca="1">INDEX('Lorri 401b'!L:L,MATCH('Retirement Calculator'!A331,'Lorri 401b'!N:N,0),0)</f>
        <v>3089949.2405710761</v>
      </c>
      <c r="S331" s="25">
        <f t="shared" ca="1" si="267"/>
        <v>4271621.4222329753</v>
      </c>
    </row>
    <row r="332" spans="1:19" ht="15.75" customHeight="1" x14ac:dyDescent="0.3">
      <c r="A332" s="37">
        <v>61057</v>
      </c>
      <c r="B332" s="409">
        <f t="shared" ref="B332:C332" si="333">($A332-B$9)/365.25</f>
        <v>85.286789869952088</v>
      </c>
      <c r="C332" s="409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3525.4531757812501</v>
      </c>
      <c r="H332" s="25">
        <f>IF(B332&lt;62,0,'Combined Retirement'!$I$14)</f>
        <v>2192</v>
      </c>
      <c r="I332" s="25">
        <f>IF(C332&lt;62,0,'Combined Retirement'!$I$13)</f>
        <v>2420</v>
      </c>
      <c r="J332" s="25">
        <f t="shared" si="263"/>
        <v>7863.2184191855868</v>
      </c>
      <c r="K332" s="25">
        <f t="shared" si="264"/>
        <v>20282.026119384056</v>
      </c>
      <c r="L332" s="25"/>
      <c r="N332" s="25">
        <f>'Combined Retirement'!$C$18/12</f>
        <v>39153.069999999992</v>
      </c>
      <c r="O332" s="25">
        <f t="shared" si="265"/>
        <v>11007.82546143035</v>
      </c>
      <c r="P332" s="25">
        <f t="shared" si="266"/>
        <v>28145.244538569641</v>
      </c>
      <c r="Q332" s="25">
        <f t="array" aca="1" ref="Q332" ca="1">INDEX('Isaac 401k'!L:L,MATCH('Retirement Calculator'!A332,'Isaac 401k'!N:N,0),0)</f>
        <v>1178699.8339228916</v>
      </c>
      <c r="R332" s="25">
        <f t="array" aca="1" ref="R332" ca="1">INDEX('Lorri 401b'!L:L,MATCH('Retirement Calculator'!A332,'Lorri 401b'!N:N,0),0)</f>
        <v>3082457.4945119075</v>
      </c>
      <c r="S332" s="25">
        <f t="shared" ca="1" si="267"/>
        <v>4261157.3284347989</v>
      </c>
    </row>
    <row r="333" spans="1:19" ht="15.75" customHeight="1" x14ac:dyDescent="0.3">
      <c r="A333" s="37">
        <v>61088</v>
      </c>
      <c r="B333" s="409">
        <f t="shared" ref="B333:C333" si="334">($A333-B$9)/365.25</f>
        <v>85.371663244353186</v>
      </c>
      <c r="C333" s="409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3525.4531757812501</v>
      </c>
      <c r="H333" s="25">
        <f>IF(B333&lt;62,0,'Combined Retirement'!$I$14)</f>
        <v>2192</v>
      </c>
      <c r="I333" s="25">
        <f>IF(C333&lt;62,0,'Combined Retirement'!$I$13)</f>
        <v>2420</v>
      </c>
      <c r="J333" s="25">
        <f t="shared" si="263"/>
        <v>7863.2184191855868</v>
      </c>
      <c r="K333" s="25">
        <f t="shared" si="264"/>
        <v>20282.026119384056</v>
      </c>
      <c r="L333" s="25"/>
      <c r="N333" s="25">
        <f>'Combined Retirement'!$C$18/12</f>
        <v>39153.069999999992</v>
      </c>
      <c r="O333" s="25">
        <f t="shared" si="265"/>
        <v>11007.82546143035</v>
      </c>
      <c r="P333" s="25">
        <f t="shared" si="266"/>
        <v>28145.244538569641</v>
      </c>
      <c r="Q333" s="25">
        <f t="array" aca="1" ref="Q333" ca="1">INDEX('Isaac 401k'!L:L,MATCH('Retirement Calculator'!A333,'Isaac 401k'!N:N,0),0)</f>
        <v>1175715.1014016382</v>
      </c>
      <c r="R333" s="25">
        <f t="array" aca="1" ref="R333" ca="1">INDEX('Lorri 401b'!L:L,MATCH('Retirement Calculator'!A333,'Lorri 401b'!N:N,0),0)</f>
        <v>3074934.5328441588</v>
      </c>
      <c r="S333" s="25">
        <f t="shared" ca="1" si="267"/>
        <v>4250649.6342457971</v>
      </c>
    </row>
    <row r="334" spans="1:19" ht="15.75" customHeight="1" x14ac:dyDescent="0.3">
      <c r="A334" s="37">
        <v>61118</v>
      </c>
      <c r="B334" s="409">
        <f t="shared" ref="B334:C334" si="335">($A334-B$9)/365.25</f>
        <v>85.453798767967143</v>
      </c>
      <c r="C334" s="409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3525.4531757812501</v>
      </c>
      <c r="H334" s="25">
        <f>IF(B334&lt;62,0,'Combined Retirement'!$I$14)</f>
        <v>2192</v>
      </c>
      <c r="I334" s="25">
        <f>IF(C334&lt;62,0,'Combined Retirement'!$I$13)</f>
        <v>2420</v>
      </c>
      <c r="J334" s="25">
        <f t="shared" si="263"/>
        <v>7863.2184191855868</v>
      </c>
      <c r="K334" s="25">
        <f t="shared" si="264"/>
        <v>20282.026119384056</v>
      </c>
      <c r="L334" s="25"/>
      <c r="N334" s="25">
        <f>'Combined Retirement'!$C$18/12</f>
        <v>39153.069999999992</v>
      </c>
      <c r="O334" s="25">
        <f t="shared" si="265"/>
        <v>11007.82546143035</v>
      </c>
      <c r="P334" s="25">
        <f t="shared" si="266"/>
        <v>28145.244538569641</v>
      </c>
      <c r="Q334" s="25">
        <f t="array" aca="1" ref="Q334" ca="1">INDEX('Isaac 401k'!L:L,MATCH('Retirement Calculator'!A334,'Isaac 401k'!N:N,0),0)</f>
        <v>1172717.9324948795</v>
      </c>
      <c r="R334" s="25">
        <f t="array" aca="1" ref="R334" ca="1">INDEX('Lorri 401b'!L:L,MATCH('Retirement Calculator'!A334,'Lorri 401b'!N:N,0),0)</f>
        <v>3067380.2255027946</v>
      </c>
      <c r="S334" s="25">
        <f t="shared" ca="1" si="267"/>
        <v>4240098.1579976743</v>
      </c>
    </row>
    <row r="335" spans="1:19" ht="15.75" customHeight="1" x14ac:dyDescent="0.3">
      <c r="A335" s="37">
        <v>61149</v>
      </c>
      <c r="B335" s="409">
        <f t="shared" ref="B335:C335" si="336">($A335-B$9)/365.25</f>
        <v>85.538672142368242</v>
      </c>
      <c r="C335" s="409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3525.4531757812501</v>
      </c>
      <c r="H335" s="25">
        <f>IF(B335&lt;62,0,'Combined Retirement'!$I$14)</f>
        <v>2192</v>
      </c>
      <c r="I335" s="25">
        <f>IF(C335&lt;62,0,'Combined Retirement'!$I$13)</f>
        <v>2420</v>
      </c>
      <c r="J335" s="25">
        <f t="shared" si="263"/>
        <v>7863.2184191855868</v>
      </c>
      <c r="K335" s="25">
        <f t="shared" si="264"/>
        <v>20282.026119384056</v>
      </c>
      <c r="L335" s="25"/>
      <c r="N335" s="25">
        <f>'Combined Retirement'!$C$18/12</f>
        <v>39153.069999999992</v>
      </c>
      <c r="O335" s="25">
        <f t="shared" si="265"/>
        <v>11007.82546143035</v>
      </c>
      <c r="P335" s="25">
        <f t="shared" si="266"/>
        <v>28145.244538569641</v>
      </c>
      <c r="Q335" s="25">
        <f t="array" aca="1" ref="Q335" ca="1">INDEX('Isaac 401k'!L:L,MATCH('Retirement Calculator'!A335,'Isaac 401k'!N:N,0),0)</f>
        <v>1169708.2753843425</v>
      </c>
      <c r="R335" s="25">
        <f t="array" aca="1" ref="R335" ca="1">INDEX('Lorri 401b'!L:L,MATCH('Retirement Calculator'!A335,'Lorri 401b'!N:N,0),0)</f>
        <v>3059794.4418808413</v>
      </c>
      <c r="S335" s="25">
        <f t="shared" ca="1" si="267"/>
        <v>4229502.717265184</v>
      </c>
    </row>
    <row r="336" spans="1:19" ht="15.75" customHeight="1" x14ac:dyDescent="0.3">
      <c r="A336" s="37">
        <v>61179</v>
      </c>
      <c r="B336" s="409">
        <f t="shared" ref="B336:C336" si="337">($A336-B$9)/365.25</f>
        <v>85.620807665982198</v>
      </c>
      <c r="C336" s="409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3525.4531757812501</v>
      </c>
      <c r="H336" s="25">
        <f>IF(B336&lt;62,0,'Combined Retirement'!$I$14)</f>
        <v>2192</v>
      </c>
      <c r="I336" s="25">
        <f>IF(C336&lt;62,0,'Combined Retirement'!$I$13)</f>
        <v>2420</v>
      </c>
      <c r="J336" s="25">
        <f t="shared" si="263"/>
        <v>7863.2184191855868</v>
      </c>
      <c r="K336" s="25">
        <f t="shared" si="264"/>
        <v>20282.026119384056</v>
      </c>
      <c r="L336" s="25"/>
      <c r="N336" s="25">
        <f>'Combined Retirement'!$C$18/12</f>
        <v>39153.069999999992</v>
      </c>
      <c r="O336" s="25">
        <f t="shared" si="265"/>
        <v>11007.82546143035</v>
      </c>
      <c r="P336" s="25">
        <f t="shared" si="266"/>
        <v>28145.244538569641</v>
      </c>
      <c r="Q336" s="25">
        <f t="array" aca="1" ref="Q336" ca="1">INDEX('Isaac 401k'!L:L,MATCH('Retirement Calculator'!A336,'Isaac 401k'!N:N,0),0)</f>
        <v>1166686.0780358452</v>
      </c>
      <c r="R336" s="25">
        <f t="array" aca="1" ref="R336" ca="1">INDEX('Lorri 401b'!L:L,MATCH('Retirement Calculator'!A336,'Lorri 401b'!N:N,0),0)</f>
        <v>3052177.0508271302</v>
      </c>
      <c r="S336" s="25">
        <f t="shared" ca="1" si="267"/>
        <v>4218863.1288629752</v>
      </c>
    </row>
    <row r="337" spans="1:19" ht="15.75" customHeight="1" x14ac:dyDescent="0.3">
      <c r="A337" s="37">
        <v>61210</v>
      </c>
      <c r="B337" s="409">
        <f t="shared" ref="B337:C337" si="338">($A337-B$9)/365.25</f>
        <v>85.705681040383297</v>
      </c>
      <c r="C337" s="409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3525.4531757812501</v>
      </c>
      <c r="H337" s="25">
        <f>IF(B337&lt;62,0,'Combined Retirement'!$I$14)</f>
        <v>2192</v>
      </c>
      <c r="I337" s="25">
        <f>IF(C337&lt;62,0,'Combined Retirement'!$I$13)</f>
        <v>2420</v>
      </c>
      <c r="J337" s="25">
        <f t="shared" si="263"/>
        <v>7863.2184191855868</v>
      </c>
      <c r="K337" s="25">
        <f t="shared" si="264"/>
        <v>20282.026119384056</v>
      </c>
      <c r="L337" s="25"/>
      <c r="N337" s="25">
        <f>'Combined Retirement'!$C$18/12</f>
        <v>39153.069999999992</v>
      </c>
      <c r="O337" s="25">
        <f t="shared" si="265"/>
        <v>11007.82546143035</v>
      </c>
      <c r="P337" s="25">
        <f t="shared" si="266"/>
        <v>28145.244538569641</v>
      </c>
      <c r="Q337" s="25">
        <f t="array" aca="1" ref="Q337" ca="1">INDEX('Isaac 401k'!L:L,MATCH('Retirement Calculator'!A337,'Isaac 401k'!N:N,0),0)</f>
        <v>1163651.2881983956</v>
      </c>
      <c r="R337" s="25">
        <f t="array" aca="1" ref="R337" ca="1">INDEX('Lorri 401b'!L:L,MATCH('Retirement Calculator'!A337,'Lorri 401b'!N:N,0),0)</f>
        <v>3044527.9206440286</v>
      </c>
      <c r="S337" s="25">
        <f t="shared" ca="1" si="267"/>
        <v>4208179.2088424247</v>
      </c>
    </row>
    <row r="338" spans="1:19" ht="15.75" customHeight="1" x14ac:dyDescent="0.3">
      <c r="A338" s="37">
        <v>61241</v>
      </c>
      <c r="B338" s="409">
        <f t="shared" ref="B338:C338" si="339">($A338-B$9)/365.25</f>
        <v>85.790554414784395</v>
      </c>
      <c r="C338" s="409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3525.4531757812501</v>
      </c>
      <c r="H338" s="25">
        <f>IF(B338&lt;62,0,'Combined Retirement'!$I$14)</f>
        <v>2192</v>
      </c>
      <c r="I338" s="25">
        <f>IF(C338&lt;62,0,'Combined Retirement'!$I$13)</f>
        <v>2420</v>
      </c>
      <c r="J338" s="25">
        <f t="shared" si="263"/>
        <v>7863.2184191855868</v>
      </c>
      <c r="K338" s="25">
        <f t="shared" si="264"/>
        <v>20282.026119384056</v>
      </c>
      <c r="L338" s="25"/>
      <c r="N338" s="25">
        <f>'Combined Retirement'!$C$18/12</f>
        <v>39153.069999999992</v>
      </c>
      <c r="O338" s="25">
        <f t="shared" si="265"/>
        <v>11007.82546143035</v>
      </c>
      <c r="P338" s="25">
        <f t="shared" si="266"/>
        <v>28145.244538569641</v>
      </c>
      <c r="Q338" s="25">
        <f t="array" aca="1" ref="Q338" ca="1">INDEX('Isaac 401k'!L:L,MATCH('Retirement Calculator'!A338,'Isaac 401k'!N:N,0),0)</f>
        <v>1160603.85340329</v>
      </c>
      <c r="R338" s="25">
        <f t="array" aca="1" ref="R338" ca="1">INDEX('Lorri 401b'!L:L,MATCH('Retirement Calculator'!A338,'Lorri 401b'!N:N,0),0)</f>
        <v>3036846.9190851641</v>
      </c>
      <c r="S338" s="25">
        <f t="shared" ca="1" si="267"/>
        <v>4197450.7724884544</v>
      </c>
    </row>
    <row r="339" spans="1:19" ht="15.75" customHeight="1" x14ac:dyDescent="0.3">
      <c r="A339" s="37">
        <v>61271</v>
      </c>
      <c r="B339" s="409">
        <f t="shared" ref="B339:C339" si="340">($A339-B$9)/365.25</f>
        <v>85.872689938398352</v>
      </c>
      <c r="C339" s="409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3525.4531757812501</v>
      </c>
      <c r="H339" s="25">
        <f>IF(B339&lt;62,0,'Combined Retirement'!$I$14)</f>
        <v>2192</v>
      </c>
      <c r="I339" s="25">
        <f>IF(C339&lt;62,0,'Combined Retirement'!$I$13)</f>
        <v>2420</v>
      </c>
      <c r="J339" s="25">
        <f t="shared" si="263"/>
        <v>7863.2184191855868</v>
      </c>
      <c r="K339" s="25">
        <f t="shared" si="264"/>
        <v>20282.026119384056</v>
      </c>
      <c r="L339" s="25"/>
      <c r="N339" s="25">
        <f>'Combined Retirement'!$C$18/12</f>
        <v>39153.069999999992</v>
      </c>
      <c r="O339" s="25">
        <f t="shared" si="265"/>
        <v>11007.82546143035</v>
      </c>
      <c r="P339" s="25">
        <f t="shared" si="266"/>
        <v>28145.244538569641</v>
      </c>
      <c r="Q339" s="25">
        <f t="array" aca="1" ref="Q339" ca="1">INDEX('Isaac 401k'!L:L,MATCH('Retirement Calculator'!A339,'Isaac 401k'!N:N,0),0)</f>
        <v>1157543.720963205</v>
      </c>
      <c r="R339" s="25">
        <f t="array" aca="1" ref="R339" ca="1">INDEX('Lorri 401b'!L:L,MATCH('Retirement Calculator'!A339,'Lorri 401b'!N:N,0),0)</f>
        <v>3029133.9133531377</v>
      </c>
      <c r="S339" s="25">
        <f t="shared" ca="1" si="267"/>
        <v>4186677.6343163429</v>
      </c>
    </row>
    <row r="340" spans="1:19" ht="15.75" customHeight="1" x14ac:dyDescent="0.3">
      <c r="A340" s="37">
        <v>61302</v>
      </c>
      <c r="B340" s="409">
        <f t="shared" ref="B340:C340" si="341">($A340-B$9)/365.25</f>
        <v>85.957563312799451</v>
      </c>
      <c r="C340" s="409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3525.4531757812501</v>
      </c>
      <c r="H340" s="25">
        <f>IF(B340&lt;62,0,'Combined Retirement'!$I$14)</f>
        <v>2192</v>
      </c>
      <c r="I340" s="25">
        <f>IF(C340&lt;62,0,'Combined Retirement'!$I$13)</f>
        <v>2420</v>
      </c>
      <c r="J340" s="25">
        <f t="shared" si="263"/>
        <v>7863.2184191855868</v>
      </c>
      <c r="K340" s="25">
        <f t="shared" si="264"/>
        <v>20282.026119384056</v>
      </c>
      <c r="L340" s="25"/>
      <c r="N340" s="25">
        <f>'Combined Retirement'!$C$18/12</f>
        <v>39153.069999999992</v>
      </c>
      <c r="O340" s="25">
        <f t="shared" si="265"/>
        <v>11007.82546143035</v>
      </c>
      <c r="P340" s="25">
        <f t="shared" si="266"/>
        <v>28145.244538569641</v>
      </c>
      <c r="Q340" s="25">
        <f t="array" aca="1" ref="Q340" ca="1">INDEX('Isaac 401k'!L:L,MATCH('Retirement Calculator'!A340,'Isaac 401k'!N:N,0),0)</f>
        <v>1154470.8379712861</v>
      </c>
      <c r="R340" s="25">
        <f t="array" aca="1" ref="R340" ca="1">INDEX('Lorri 401b'!L:L,MATCH('Retirement Calculator'!A340,'Lorri 401b'!N:N,0),0)</f>
        <v>3021388.7700972278</v>
      </c>
      <c r="S340" s="25">
        <f t="shared" ca="1" si="267"/>
        <v>4175859.6080685137</v>
      </c>
    </row>
    <row r="341" spans="1:19" ht="15.75" customHeight="1" x14ac:dyDescent="0.3">
      <c r="A341" s="37">
        <v>61332</v>
      </c>
      <c r="B341" s="409">
        <f t="shared" ref="B341:C341" si="342">($A341-B$9)/365.25</f>
        <v>86.039698836413422</v>
      </c>
      <c r="C341" s="409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3525.4531757812501</v>
      </c>
      <c r="H341" s="25">
        <f>IF(B341&lt;62,0,'Combined Retirement'!$I$14)</f>
        <v>2192</v>
      </c>
      <c r="I341" s="25">
        <f>IF(C341&lt;62,0,'Combined Retirement'!$I$13)</f>
        <v>2420</v>
      </c>
      <c r="J341" s="25">
        <f t="shared" si="263"/>
        <v>7863.2184191855868</v>
      </c>
      <c r="K341" s="25">
        <f t="shared" si="264"/>
        <v>20282.026119384056</v>
      </c>
      <c r="L341" s="25"/>
      <c r="N341" s="25">
        <f>'Combined Retirement'!$C$18/12</f>
        <v>39153.069999999992</v>
      </c>
      <c r="O341" s="25">
        <f t="shared" si="265"/>
        <v>11007.82546143035</v>
      </c>
      <c r="P341" s="25">
        <f t="shared" si="266"/>
        <v>28145.244538569641</v>
      </c>
      <c r="Q341" s="25">
        <f t="array" aca="1" ref="Q341" ca="1">INDEX('Isaac 401k'!L:L,MATCH('Retirement Calculator'!A341,'Isaac 401k'!N:N,0),0)</f>
        <v>1151385.1513002343</v>
      </c>
      <c r="R341" s="25">
        <f t="array" aca="1" ref="R341" ca="1">INDEX('Lorri 401b'!L:L,MATCH('Retirement Calculator'!A341,'Lorri 401b'!N:N,0),0)</f>
        <v>3013611.3554110848</v>
      </c>
      <c r="S341" s="25">
        <f t="shared" ca="1" si="267"/>
        <v>4164996.5067113191</v>
      </c>
    </row>
    <row r="342" spans="1:19" ht="15.75" customHeight="1" x14ac:dyDescent="0.3">
      <c r="A342" s="37">
        <v>61363</v>
      </c>
      <c r="B342" s="409">
        <f t="shared" ref="B342:C342" si="343">($A342-B$9)/365.25</f>
        <v>86.124572210814506</v>
      </c>
      <c r="C342" s="409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3525.4531757812501</v>
      </c>
      <c r="H342" s="25">
        <f>IF(B342&lt;62,0,'Combined Retirement'!$I$14)</f>
        <v>2192</v>
      </c>
      <c r="I342" s="25">
        <f>IF(C342&lt;62,0,'Combined Retirement'!$I$13)</f>
        <v>2420</v>
      </c>
      <c r="J342" s="25">
        <f t="shared" si="263"/>
        <v>7863.2184191855868</v>
      </c>
      <c r="K342" s="25">
        <f t="shared" si="264"/>
        <v>20282.026119384056</v>
      </c>
      <c r="L342" s="25"/>
      <c r="N342" s="25">
        <f>'Combined Retirement'!$C$18/12</f>
        <v>39153.069999999992</v>
      </c>
      <c r="O342" s="25">
        <f t="shared" si="265"/>
        <v>11007.82546143035</v>
      </c>
      <c r="P342" s="25">
        <f t="shared" si="266"/>
        <v>28145.244538569641</v>
      </c>
      <c r="Q342" s="25">
        <f t="array" aca="1" ref="Q342" ca="1">INDEX('Isaac 401k'!L:L,MATCH('Retirement Calculator'!A342,'Isaac 401k'!N:N,0),0)</f>
        <v>1148286.6076013863</v>
      </c>
      <c r="R342" s="25">
        <f t="array" aca="1" ref="R342" ca="1">INDEX('Lorri 401b'!L:L,MATCH('Retirement Calculator'!A342,'Lorri 401b'!N:N,0),0)</f>
        <v>3005801.5348304161</v>
      </c>
      <c r="S342" s="25">
        <f t="shared" ca="1" si="267"/>
        <v>4154088.1424318021</v>
      </c>
    </row>
    <row r="343" spans="1:19" ht="15.75" customHeight="1" x14ac:dyDescent="0.3">
      <c r="A343" s="37">
        <v>61394</v>
      </c>
      <c r="B343" s="409">
        <f t="shared" ref="B343:C343" si="344">($A343-B$9)/365.25</f>
        <v>86.209445585215605</v>
      </c>
      <c r="C343" s="409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3525.4531757812501</v>
      </c>
      <c r="H343" s="25">
        <f>IF(B343&lt;62,0,'Combined Retirement'!$I$14)</f>
        <v>2192</v>
      </c>
      <c r="I343" s="25">
        <f>IF(C343&lt;62,0,'Combined Retirement'!$I$13)</f>
        <v>2420</v>
      </c>
      <c r="J343" s="25">
        <f t="shared" si="263"/>
        <v>7863.2184191855868</v>
      </c>
      <c r="K343" s="25">
        <f t="shared" si="264"/>
        <v>20282.026119384056</v>
      </c>
      <c r="L343" s="25"/>
      <c r="N343" s="25">
        <f>'Combined Retirement'!$C$18/12</f>
        <v>39153.069999999992</v>
      </c>
      <c r="O343" s="25">
        <f t="shared" si="265"/>
        <v>11007.82546143035</v>
      </c>
      <c r="P343" s="25">
        <f t="shared" si="266"/>
        <v>28145.244538569641</v>
      </c>
      <c r="Q343" s="25">
        <f t="array" aca="1" ref="Q343" ca="1">INDEX('Isaac 401k'!L:L,MATCH('Retirement Calculator'!A343,'Isaac 401k'!N:N,0),0)</f>
        <v>1145175.1533037932</v>
      </c>
      <c r="R343" s="25">
        <f t="array" aca="1" ref="R343" ca="1">INDEX('Lorri 401b'!L:L,MATCH('Retirement Calculator'!A343,'Lorri 401b'!N:N,0),0)</f>
        <v>2997959.1733306614</v>
      </c>
      <c r="S343" s="25">
        <f t="shared" ca="1" si="267"/>
        <v>4143134.3266344545</v>
      </c>
    </row>
    <row r="344" spans="1:19" ht="15.75" customHeight="1" x14ac:dyDescent="0.3">
      <c r="A344" s="37">
        <v>61423</v>
      </c>
      <c r="B344" s="409">
        <f t="shared" ref="B344:C344" si="345">($A344-B$9)/365.25</f>
        <v>86.288843258042434</v>
      </c>
      <c r="C344" s="409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3525.4531757812501</v>
      </c>
      <c r="H344" s="25">
        <f>IF(B344&lt;62,0,'Combined Retirement'!$I$14)</f>
        <v>2192</v>
      </c>
      <c r="I344" s="25">
        <f>IF(C344&lt;62,0,'Combined Retirement'!$I$13)</f>
        <v>2420</v>
      </c>
      <c r="J344" s="25">
        <f t="shared" si="263"/>
        <v>7863.2184191855868</v>
      </c>
      <c r="K344" s="25">
        <f t="shared" si="264"/>
        <v>20282.026119384056</v>
      </c>
      <c r="L344" s="25"/>
      <c r="N344" s="25">
        <f>'Combined Retirement'!$C$18/12</f>
        <v>39153.069999999992</v>
      </c>
      <c r="O344" s="25">
        <f t="shared" si="265"/>
        <v>11007.82546143035</v>
      </c>
      <c r="P344" s="25">
        <f t="shared" si="266"/>
        <v>28145.244538569641</v>
      </c>
      <c r="Q344" s="25">
        <f t="array" aca="1" ref="Q344" ca="1">INDEX('Isaac 401k'!L:L,MATCH('Retirement Calculator'!A344,'Isaac 401k'!N:N,0),0)</f>
        <v>1142050.7346132933</v>
      </c>
      <c r="R344" s="25">
        <f t="array" aca="1" ref="R344" ca="1">INDEX('Lorri 401b'!L:L,MATCH('Retirement Calculator'!A344,'Lorri 401b'!N:N,0),0)</f>
        <v>2990084.1353246579</v>
      </c>
      <c r="S344" s="25">
        <f t="shared" ca="1" si="267"/>
        <v>4132134.8699379512</v>
      </c>
    </row>
    <row r="345" spans="1:19" ht="15.75" customHeight="1" x14ac:dyDescent="0.3">
      <c r="A345" s="37">
        <v>61454</v>
      </c>
      <c r="B345" s="409">
        <f t="shared" ref="B345:C345" si="346">($A345-B$9)/365.25</f>
        <v>86.373716632443532</v>
      </c>
      <c r="C345" s="409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3525.4531757812501</v>
      </c>
      <c r="H345" s="25">
        <f>IF(B345&lt;62,0,'Combined Retirement'!$I$14)</f>
        <v>2192</v>
      </c>
      <c r="I345" s="25">
        <f>IF(C345&lt;62,0,'Combined Retirement'!$I$13)</f>
        <v>2420</v>
      </c>
      <c r="J345" s="25">
        <f t="shared" si="263"/>
        <v>7863.2184191855868</v>
      </c>
      <c r="K345" s="25">
        <f t="shared" si="264"/>
        <v>20282.026119384056</v>
      </c>
      <c r="L345" s="25"/>
      <c r="N345" s="25">
        <f>'Combined Retirement'!$C$18/12</f>
        <v>39153.069999999992</v>
      </c>
      <c r="O345" s="25">
        <f t="shared" si="265"/>
        <v>11007.82546143035</v>
      </c>
      <c r="P345" s="25">
        <f t="shared" si="266"/>
        <v>28145.244538569641</v>
      </c>
      <c r="Q345" s="25">
        <f t="array" aca="1" ref="Q345" ca="1">INDEX('Isaac 401k'!L:L,MATCH('Retirement Calculator'!A345,'Isaac 401k'!N:N,0),0)</f>
        <v>1138913.2975115832</v>
      </c>
      <c r="R345" s="25">
        <f t="array" aca="1" ref="R345" ca="1">INDEX('Lorri 401b'!L:L,MATCH('Retirement Calculator'!A345,'Lorri 401b'!N:N,0),0)</f>
        <v>2982176.284660296</v>
      </c>
      <c r="S345" s="25">
        <f t="shared" ca="1" si="267"/>
        <v>4121089.5821718792</v>
      </c>
    </row>
    <row r="346" spans="1:19" ht="15.75" customHeight="1" x14ac:dyDescent="0.3">
      <c r="A346" s="37">
        <v>61484</v>
      </c>
      <c r="B346" s="409">
        <f t="shared" ref="B346:C346" si="347">($A346-B$9)/365.25</f>
        <v>86.455852156057489</v>
      </c>
      <c r="C346" s="409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3525.4531757812501</v>
      </c>
      <c r="H346" s="25">
        <f>IF(B346&lt;62,0,'Combined Retirement'!$I$14)</f>
        <v>2192</v>
      </c>
      <c r="I346" s="25">
        <f>IF(C346&lt;62,0,'Combined Retirement'!$I$13)</f>
        <v>2420</v>
      </c>
      <c r="J346" s="25">
        <f t="shared" si="263"/>
        <v>7863.2184191855868</v>
      </c>
      <c r="K346" s="25">
        <f t="shared" si="264"/>
        <v>20282.026119384056</v>
      </c>
      <c r="L346" s="25"/>
      <c r="N346" s="25">
        <f>'Combined Retirement'!$C$18/12</f>
        <v>39153.069999999992</v>
      </c>
      <c r="O346" s="25">
        <f t="shared" si="265"/>
        <v>11007.82546143035</v>
      </c>
      <c r="P346" s="25">
        <f t="shared" si="266"/>
        <v>28145.244538569641</v>
      </c>
      <c r="Q346" s="25">
        <f t="array" aca="1" ref="Q346" ca="1">INDEX('Isaac 401k'!L:L,MATCH('Retirement Calculator'!A346,'Isaac 401k'!N:N,0),0)</f>
        <v>1135762.7877552826</v>
      </c>
      <c r="R346" s="25">
        <f t="array" aca="1" ref="R346" ca="1">INDEX('Lorri 401b'!L:L,MATCH('Retirement Calculator'!A346,'Lorri 401b'!N:N,0),0)</f>
        <v>2974235.484618166</v>
      </c>
      <c r="S346" s="25">
        <f t="shared" ca="1" si="267"/>
        <v>4109998.2723734486</v>
      </c>
    </row>
    <row r="347" spans="1:19" ht="15.75" customHeight="1" x14ac:dyDescent="0.3">
      <c r="A347" s="37">
        <v>61515</v>
      </c>
      <c r="B347" s="409">
        <f t="shared" ref="B347:C347" si="348">($A347-B$9)/365.25</f>
        <v>86.540725530458587</v>
      </c>
      <c r="C347" s="409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3525.4531757812501</v>
      </c>
      <c r="H347" s="25">
        <f>IF(B347&lt;62,0,'Combined Retirement'!$I$14)</f>
        <v>2192</v>
      </c>
      <c r="I347" s="25">
        <f>IF(C347&lt;62,0,'Combined Retirement'!$I$13)</f>
        <v>2420</v>
      </c>
      <c r="J347" s="25">
        <f t="shared" si="263"/>
        <v>7863.2184191855868</v>
      </c>
      <c r="K347" s="25">
        <f t="shared" si="264"/>
        <v>20282.026119384056</v>
      </c>
      <c r="L347" s="25"/>
      <c r="N347" s="25">
        <f>'Combined Retirement'!$C$18/12</f>
        <v>39153.069999999992</v>
      </c>
      <c r="O347" s="25">
        <f t="shared" si="265"/>
        <v>11007.82546143035</v>
      </c>
      <c r="P347" s="25">
        <f t="shared" si="266"/>
        <v>28145.244538569641</v>
      </c>
      <c r="Q347" s="25">
        <f t="array" aca="1" ref="Q347" ca="1">INDEX('Isaac 401k'!L:L,MATCH('Retirement Calculator'!A347,'Isaac 401k'!N:N,0),0)</f>
        <v>1132599.1508749975</v>
      </c>
      <c r="R347" s="25">
        <f t="array" aca="1" ref="R347" ca="1">INDEX('Lorri 401b'!L:L,MATCH('Retirement Calculator'!A347,'Lorri 401b'!N:N,0),0)</f>
        <v>2966261.5979091935</v>
      </c>
      <c r="S347" s="25">
        <f t="shared" ca="1" si="267"/>
        <v>4098860.748784191</v>
      </c>
    </row>
    <row r="348" spans="1:19" ht="15.75" customHeight="1" x14ac:dyDescent="0.3">
      <c r="A348" s="37">
        <v>61545</v>
      </c>
      <c r="B348" s="409">
        <f t="shared" ref="B348:C348" si="349">($A348-B$9)/365.25</f>
        <v>86.622861054072558</v>
      </c>
      <c r="C348" s="409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3525.4531757812501</v>
      </c>
      <c r="H348" s="25">
        <f>IF(B348&lt;62,0,'Combined Retirement'!$I$14)</f>
        <v>2192</v>
      </c>
      <c r="I348" s="25">
        <f>IF(C348&lt;62,0,'Combined Retirement'!$I$13)</f>
        <v>2420</v>
      </c>
      <c r="J348" s="25">
        <f t="shared" si="263"/>
        <v>7863.2184191855868</v>
      </c>
      <c r="K348" s="25">
        <f t="shared" si="264"/>
        <v>20282.026119384056</v>
      </c>
      <c r="L348" s="25"/>
      <c r="N348" s="25">
        <f>'Combined Retirement'!$C$18/12</f>
        <v>39153.069999999992</v>
      </c>
      <c r="O348" s="25">
        <f t="shared" si="265"/>
        <v>11007.82546143035</v>
      </c>
      <c r="P348" s="25">
        <f t="shared" si="266"/>
        <v>28145.244538569641</v>
      </c>
      <c r="Q348" s="25">
        <f t="array" aca="1" ref="Q348" ca="1">INDEX('Isaac 401k'!L:L,MATCH('Retirement Calculator'!A348,'Isaac 401k'!N:N,0),0)</f>
        <v>1129422.3321743777</v>
      </c>
      <c r="R348" s="25">
        <f t="array" aca="1" ref="R348" ca="1">INDEX('Lorri 401b'!L:L,MATCH('Retirement Calculator'!A348,'Lorri 401b'!N:N,0),0)</f>
        <v>2958254.4866722669</v>
      </c>
      <c r="S348" s="25">
        <f t="shared" ca="1" si="267"/>
        <v>4087676.8188466448</v>
      </c>
    </row>
    <row r="349" spans="1:19" ht="15.75" customHeight="1" x14ac:dyDescent="0.3">
      <c r="A349" s="37">
        <v>61576</v>
      </c>
      <c r="B349" s="409">
        <f t="shared" ref="B349:C349" si="350">($A349-B$9)/365.25</f>
        <v>86.707734428473643</v>
      </c>
      <c r="C349" s="409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3525.4531757812501</v>
      </c>
      <c r="H349" s="25">
        <f>IF(B349&lt;62,0,'Combined Retirement'!$I$14)</f>
        <v>2192</v>
      </c>
      <c r="I349" s="25">
        <f>IF(C349&lt;62,0,'Combined Retirement'!$I$13)</f>
        <v>2420</v>
      </c>
      <c r="J349" s="25">
        <f t="shared" si="263"/>
        <v>7863.2184191855868</v>
      </c>
      <c r="K349" s="25">
        <f t="shared" si="264"/>
        <v>20282.026119384056</v>
      </c>
      <c r="L349" s="25"/>
      <c r="N349" s="25">
        <f>'Combined Retirement'!$C$18/12</f>
        <v>39153.069999999992</v>
      </c>
      <c r="O349" s="25">
        <f t="shared" si="265"/>
        <v>11007.82546143035</v>
      </c>
      <c r="P349" s="25">
        <f t="shared" si="266"/>
        <v>28145.244538569641</v>
      </c>
      <c r="Q349" s="25">
        <f t="array" aca="1" ref="Q349" ca="1">INDEX('Isaac 401k'!L:L,MATCH('Retirement Calculator'!A349,'Isaac 401k'!N:N,0),0)</f>
        <v>1126232.2767291721</v>
      </c>
      <c r="R349" s="25">
        <f t="array" aca="1" ref="R349" ca="1">INDEX('Lorri 401b'!L:L,MATCH('Retirement Calculator'!A349,'Lorri 401b'!N:N,0),0)</f>
        <v>2950214.0124718533</v>
      </c>
      <c r="S349" s="25">
        <f t="shared" ca="1" si="267"/>
        <v>4076446.2892010254</v>
      </c>
    </row>
    <row r="350" spans="1:19" ht="15.75" customHeight="1" x14ac:dyDescent="0.3">
      <c r="A350" s="37">
        <v>61607</v>
      </c>
      <c r="B350" s="409">
        <f t="shared" ref="B350:C350" si="351">($A350-B$9)/365.25</f>
        <v>86.792607802874741</v>
      </c>
      <c r="C350" s="409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3525.4531757812501</v>
      </c>
      <c r="H350" s="25">
        <f>IF(B350&lt;62,0,'Combined Retirement'!$I$14)</f>
        <v>2192</v>
      </c>
      <c r="I350" s="25">
        <f>IF(C350&lt;62,0,'Combined Retirement'!$I$13)</f>
        <v>2420</v>
      </c>
      <c r="J350" s="25">
        <f t="shared" si="263"/>
        <v>7863.2184191855868</v>
      </c>
      <c r="K350" s="25">
        <f t="shared" si="264"/>
        <v>20282.026119384056</v>
      </c>
      <c r="L350" s="25"/>
      <c r="N350" s="25">
        <f>'Combined Retirement'!$C$18/12</f>
        <v>39153.069999999992</v>
      </c>
      <c r="O350" s="25">
        <f t="shared" si="265"/>
        <v>11007.82546143035</v>
      </c>
      <c r="P350" s="25">
        <f t="shared" si="266"/>
        <v>28145.244538569641</v>
      </c>
      <c r="Q350" s="25">
        <f t="array" aca="1" ref="Q350" ca="1">INDEX('Isaac 401k'!L:L,MATCH('Retirement Calculator'!A350,'Isaac 401k'!N:N,0),0)</f>
        <v>1123028.9293862781</v>
      </c>
      <c r="R350" s="25">
        <f t="array" aca="1" ref="R350" ca="1">INDEX('Lorri 401b'!L:L,MATCH('Retirement Calculator'!A350,'Lorri 401b'!N:N,0),0)</f>
        <v>2942140.0362956044</v>
      </c>
      <c r="S350" s="25">
        <f t="shared" ca="1" si="267"/>
        <v>4065168.9656818826</v>
      </c>
    </row>
    <row r="351" spans="1:19" ht="15.75" customHeight="1" x14ac:dyDescent="0.3">
      <c r="A351" s="37">
        <v>61637</v>
      </c>
      <c r="B351" s="409">
        <f t="shared" ref="B351:C351" si="352">($A351-B$9)/365.25</f>
        <v>86.874743326488712</v>
      </c>
      <c r="C351" s="409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3525.4531757812501</v>
      </c>
      <c r="H351" s="25">
        <f>IF(B351&lt;62,0,'Combined Retirement'!$I$14)</f>
        <v>2192</v>
      </c>
      <c r="I351" s="25">
        <f>IF(C351&lt;62,0,'Combined Retirement'!$I$13)</f>
        <v>2420</v>
      </c>
      <c r="J351" s="25">
        <f t="shared" si="263"/>
        <v>7863.2184191855868</v>
      </c>
      <c r="K351" s="25">
        <f t="shared" si="264"/>
        <v>20282.026119384056</v>
      </c>
      <c r="L351" s="25"/>
      <c r="N351" s="25">
        <f>'Combined Retirement'!$C$18/12</f>
        <v>39153.069999999992</v>
      </c>
      <c r="O351" s="25">
        <f t="shared" si="265"/>
        <v>11007.82546143035</v>
      </c>
      <c r="P351" s="25">
        <f t="shared" si="266"/>
        <v>28145.244538569641</v>
      </c>
      <c r="Q351" s="25">
        <f t="array" aca="1" ref="Q351" ca="1">INDEX('Isaac 401k'!L:L,MATCH('Retirement Calculator'!A351,'Isaac 401k'!N:N,0),0)</f>
        <v>1119812.2347627888</v>
      </c>
      <c r="R351" s="25">
        <f t="array" aca="1" ref="R351" ca="1">INDEX('Lorri 401b'!L:L,MATCH('Retirement Calculator'!A351,'Lorri 401b'!N:N,0),0)</f>
        <v>2934032.4185519549</v>
      </c>
      <c r="S351" s="25">
        <f t="shared" ca="1" si="267"/>
        <v>4053844.6533147437</v>
      </c>
    </row>
    <row r="352" spans="1:19" ht="15.75" customHeight="1" x14ac:dyDescent="0.3">
      <c r="A352" s="37">
        <v>61668</v>
      </c>
      <c r="B352" s="409">
        <f t="shared" ref="B352:C352" si="353">($A352-B$9)/365.25</f>
        <v>86.959616700889796</v>
      </c>
      <c r="C352" s="409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3525.4531757812501</v>
      </c>
      <c r="H352" s="25">
        <f>IF(B352&lt;62,0,'Combined Retirement'!$I$14)</f>
        <v>2192</v>
      </c>
      <c r="I352" s="25">
        <f>IF(C352&lt;62,0,'Combined Retirement'!$I$13)</f>
        <v>2420</v>
      </c>
      <c r="J352" s="25">
        <f t="shared" si="263"/>
        <v>7863.2184191855868</v>
      </c>
      <c r="K352" s="25">
        <f t="shared" si="264"/>
        <v>20282.026119384056</v>
      </c>
      <c r="L352" s="25"/>
      <c r="N352" s="25">
        <f>'Combined Retirement'!$C$18/12</f>
        <v>39153.069999999992</v>
      </c>
      <c r="O352" s="25">
        <f t="shared" si="265"/>
        <v>11007.82546143035</v>
      </c>
      <c r="P352" s="25">
        <f t="shared" si="266"/>
        <v>28145.244538569641</v>
      </c>
      <c r="Q352" s="25">
        <f t="array" aca="1" ref="Q352" ca="1">INDEX('Isaac 401k'!L:L,MATCH('Retirement Calculator'!A352,'Isaac 401k'!N:N,0),0)</f>
        <v>1116582.1372450348</v>
      </c>
      <c r="R352" s="25">
        <f t="array" aca="1" ref="R352" ca="1">INDEX('Lorri 401b'!L:L,MATCH('Retirement Calculator'!A352,'Lorri 401b'!N:N,0),0)</f>
        <v>2925891.0190677065</v>
      </c>
      <c r="S352" s="25">
        <f t="shared" ca="1" si="267"/>
        <v>4042473.1563127413</v>
      </c>
    </row>
    <row r="353" spans="1:19" ht="15.75" customHeight="1" x14ac:dyDescent="0.3">
      <c r="A353" s="37">
        <v>61698</v>
      </c>
      <c r="B353" s="409">
        <f t="shared" ref="B353:C353" si="354">($A353-B$9)/365.25</f>
        <v>87.041752224503767</v>
      </c>
      <c r="C353" s="409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3525.4531757812501</v>
      </c>
      <c r="H353" s="25">
        <f>IF(B353&lt;62,0,'Combined Retirement'!$I$14)</f>
        <v>2192</v>
      </c>
      <c r="I353" s="25">
        <f>IF(C353&lt;62,0,'Combined Retirement'!$I$13)</f>
        <v>2420</v>
      </c>
      <c r="J353" s="25">
        <f t="shared" si="263"/>
        <v>7863.2184191855868</v>
      </c>
      <c r="K353" s="25">
        <f t="shared" si="264"/>
        <v>20282.026119384056</v>
      </c>
      <c r="L353" s="25"/>
      <c r="N353" s="25">
        <f>'Combined Retirement'!$C$18/12</f>
        <v>39153.069999999992</v>
      </c>
      <c r="O353" s="25">
        <f t="shared" si="265"/>
        <v>11007.82546143035</v>
      </c>
      <c r="P353" s="25">
        <f t="shared" si="266"/>
        <v>28145.244538569641</v>
      </c>
      <c r="Q353" s="25">
        <f t="array" aca="1" ref="Q353" ca="1">INDEX('Isaac 401k'!L:L,MATCH('Retirement Calculator'!A353,'Isaac 401k'!N:N,0),0)</f>
        <v>1113338.5809876237</v>
      </c>
      <c r="R353" s="25">
        <f t="array" aca="1" ref="R353" ca="1">INDEX('Lorri 401b'!L:L,MATCH('Retirement Calculator'!A353,'Lorri 401b'!N:N,0),0)</f>
        <v>2917715.6970856073</v>
      </c>
      <c r="S353" s="25">
        <f t="shared" ca="1" si="267"/>
        <v>4031054.2780732308</v>
      </c>
    </row>
    <row r="354" spans="1:19" ht="15.75" customHeight="1" x14ac:dyDescent="0.3">
      <c r="A354" s="37">
        <v>61729</v>
      </c>
      <c r="B354" s="409">
        <f t="shared" ref="B354:C354" si="355">($A354-B$9)/365.25</f>
        <v>87.126625598904866</v>
      </c>
      <c r="C354" s="409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3525.4531757812501</v>
      </c>
      <c r="H354" s="25">
        <f>IF(B354&lt;62,0,'Combined Retirement'!$I$14)</f>
        <v>2192</v>
      </c>
      <c r="I354" s="25">
        <f>IF(C354&lt;62,0,'Combined Retirement'!$I$13)</f>
        <v>2420</v>
      </c>
      <c r="J354" s="25">
        <f t="shared" si="263"/>
        <v>7863.2184191855868</v>
      </c>
      <c r="K354" s="25">
        <f t="shared" si="264"/>
        <v>20282.026119384056</v>
      </c>
      <c r="L354" s="25"/>
      <c r="N354" s="25">
        <f>'Combined Retirement'!$C$18/12</f>
        <v>39153.069999999992</v>
      </c>
      <c r="O354" s="25">
        <f t="shared" si="265"/>
        <v>11007.82546143035</v>
      </c>
      <c r="P354" s="25">
        <f t="shared" si="266"/>
        <v>28145.244538569641</v>
      </c>
      <c r="Q354" s="25">
        <f t="array" aca="1" ref="Q354" ca="1">INDEX('Isaac 401k'!L:L,MATCH('Retirement Calculator'!A354,'Isaac 401k'!N:N,0),0)</f>
        <v>1110081.5099124731</v>
      </c>
      <c r="R354" s="25">
        <f t="array" aca="1" ref="R354" ca="1">INDEX('Lorri 401b'!L:L,MATCH('Retirement Calculator'!A354,'Lorri 401b'!N:N,0),0)</f>
        <v>2909506.3112619161</v>
      </c>
      <c r="S354" s="25">
        <f t="shared" ca="1" si="267"/>
        <v>4019587.8211743892</v>
      </c>
    </row>
    <row r="355" spans="1:19" ht="15.75" customHeight="1" x14ac:dyDescent="0.3">
      <c r="A355" s="37">
        <v>61760</v>
      </c>
      <c r="B355" s="409">
        <f t="shared" ref="B355:C355" si="356">($A355-B$9)/365.25</f>
        <v>87.21149897330595</v>
      </c>
      <c r="C355" s="409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3525.4531757812501</v>
      </c>
      <c r="H355" s="25">
        <f>IF(B355&lt;62,0,'Combined Retirement'!$I$14)</f>
        <v>2192</v>
      </c>
      <c r="I355" s="25">
        <f>IF(C355&lt;62,0,'Combined Retirement'!$I$13)</f>
        <v>2420</v>
      </c>
      <c r="J355" s="25">
        <f t="shared" si="263"/>
        <v>7863.2184191855868</v>
      </c>
      <c r="K355" s="25">
        <f t="shared" si="264"/>
        <v>20282.026119384056</v>
      </c>
      <c r="L355" s="25"/>
      <c r="N355" s="25">
        <f>'Combined Retirement'!$C$18/12</f>
        <v>39153.069999999992</v>
      </c>
      <c r="O355" s="25">
        <f t="shared" si="265"/>
        <v>11007.82546143035</v>
      </c>
      <c r="P355" s="25">
        <f t="shared" si="266"/>
        <v>28145.244538569641</v>
      </c>
      <c r="Q355" s="25">
        <f t="array" aca="1" ref="Q355" ca="1">INDEX('Isaac 401k'!L:L,MATCH('Retirement Calculator'!A355,'Isaac 401k'!N:N,0),0)</f>
        <v>1106810.867707843</v>
      </c>
      <c r="R355" s="25">
        <f t="array" aca="1" ref="R355" ca="1">INDEX('Lorri 401b'!L:L,MATCH('Retirement Calculator'!A355,'Lorri 401b'!N:N,0),0)</f>
        <v>2901262.7196639595</v>
      </c>
      <c r="S355" s="25">
        <f t="shared" ca="1" si="267"/>
        <v>4008073.5873718024</v>
      </c>
    </row>
    <row r="356" spans="1:19" ht="15.75" customHeight="1" x14ac:dyDescent="0.3">
      <c r="A356" s="37">
        <v>61788</v>
      </c>
      <c r="B356" s="409">
        <f t="shared" ref="B356:C356" si="357">($A356-B$9)/365.25</f>
        <v>87.288158795345652</v>
      </c>
      <c r="C356" s="409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3525.4531757812501</v>
      </c>
      <c r="H356" s="25">
        <f>IF(B356&lt;62,0,'Combined Retirement'!$I$14)</f>
        <v>2192</v>
      </c>
      <c r="I356" s="25">
        <f>IF(C356&lt;62,0,'Combined Retirement'!$I$13)</f>
        <v>2420</v>
      </c>
      <c r="J356" s="25">
        <f t="shared" si="263"/>
        <v>7863.2184191855868</v>
      </c>
      <c r="K356" s="25">
        <f t="shared" si="264"/>
        <v>20282.026119384056</v>
      </c>
      <c r="L356" s="25"/>
      <c r="N356" s="25">
        <f>'Combined Retirement'!$C$18/12</f>
        <v>39153.069999999992</v>
      </c>
      <c r="O356" s="25">
        <f t="shared" si="265"/>
        <v>11007.82546143035</v>
      </c>
      <c r="P356" s="25">
        <f t="shared" si="266"/>
        <v>28145.244538569641</v>
      </c>
      <c r="Q356" s="25">
        <f t="array" aca="1" ref="Q356" ca="1">INDEX('Isaac 401k'!L:L,MATCH('Retirement Calculator'!A356,'Isaac 401k'!N:N,0),0)</f>
        <v>1103526.59782736</v>
      </c>
      <c r="R356" s="25">
        <f t="array" aca="1" ref="R356" ca="1">INDEX('Lorri 401b'!L:L,MATCH('Retirement Calculator'!A356,'Lorri 401b'!N:N,0),0)</f>
        <v>2892984.7797676777</v>
      </c>
      <c r="S356" s="25">
        <f t="shared" ca="1" si="267"/>
        <v>3996511.3775950377</v>
      </c>
    </row>
    <row r="357" spans="1:19" ht="15.75" customHeight="1" x14ac:dyDescent="0.3">
      <c r="A357" s="37">
        <v>61819</v>
      </c>
      <c r="B357" s="409">
        <f t="shared" ref="B357:C357" si="358">($A357-B$9)/365.25</f>
        <v>87.37303216974675</v>
      </c>
      <c r="C357" s="409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3525.4531757812501</v>
      </c>
      <c r="H357" s="25">
        <f>IF(B357&lt;62,0,'Combined Retirement'!$I$14)</f>
        <v>2192</v>
      </c>
      <c r="I357" s="25">
        <f>IF(C357&lt;62,0,'Combined Retirement'!$I$13)</f>
        <v>2420</v>
      </c>
      <c r="J357" s="25">
        <f t="shared" si="263"/>
        <v>7863.2184191855868</v>
      </c>
      <c r="K357" s="25">
        <f t="shared" si="264"/>
        <v>20282.026119384056</v>
      </c>
      <c r="L357" s="25"/>
      <c r="N357" s="25">
        <f>'Combined Retirement'!$C$18/12</f>
        <v>39153.069999999992</v>
      </c>
      <c r="O357" s="25">
        <f t="shared" si="265"/>
        <v>11007.82546143035</v>
      </c>
      <c r="P357" s="25">
        <f t="shared" si="266"/>
        <v>28145.244538569641</v>
      </c>
      <c r="Q357" s="25">
        <f t="array" aca="1" ref="Q357" ca="1">INDEX('Isaac 401k'!L:L,MATCH('Retirement Calculator'!A357,'Isaac 401k'!N:N,0),0)</f>
        <v>1100228.6434890418</v>
      </c>
      <c r="R357" s="25">
        <f t="array" aca="1" ref="R357" ca="1">INDEX('Lorri 401b'!L:L,MATCH('Retirement Calculator'!A357,'Lorri 401b'!N:N,0),0)</f>
        <v>2884672.3484551618</v>
      </c>
      <c r="S357" s="25">
        <f t="shared" ca="1" si="267"/>
        <v>3984900.9919442036</v>
      </c>
    </row>
    <row r="358" spans="1:19" ht="15.75" customHeight="1" x14ac:dyDescent="0.3">
      <c r="A358" s="37">
        <v>61849</v>
      </c>
      <c r="B358" s="409">
        <f t="shared" ref="B358:C358" si="359">($A358-B$9)/365.25</f>
        <v>87.455167693360707</v>
      </c>
      <c r="C358" s="409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3525.4531757812501</v>
      </c>
      <c r="H358" s="25">
        <f>IF(B358&lt;62,0,'Combined Retirement'!$I$14)</f>
        <v>2192</v>
      </c>
      <c r="I358" s="25">
        <f>IF(C358&lt;62,0,'Combined Retirement'!$I$13)</f>
        <v>2420</v>
      </c>
      <c r="J358" s="25">
        <f t="shared" si="263"/>
        <v>7863.2184191855868</v>
      </c>
      <c r="K358" s="25">
        <f t="shared" si="264"/>
        <v>20282.026119384056</v>
      </c>
      <c r="L358" s="25"/>
      <c r="N358" s="25">
        <f>'Combined Retirement'!$C$18/12</f>
        <v>39153.069999999992</v>
      </c>
      <c r="O358" s="25">
        <f t="shared" si="265"/>
        <v>11007.82546143035</v>
      </c>
      <c r="P358" s="25">
        <f t="shared" si="266"/>
        <v>28145.244538569641</v>
      </c>
      <c r="Q358" s="25">
        <f t="array" aca="1" ref="Q358" ca="1">INDEX('Isaac 401k'!L:L,MATCH('Retirement Calculator'!A358,'Isaac 401k'!N:N,0),0)</f>
        <v>1096916.947674314</v>
      </c>
      <c r="R358" s="25">
        <f t="array" aca="1" ref="R358" ca="1">INDEX('Lorri 401b'!L:L,MATCH('Retirement Calculator'!A358,'Lorri 401b'!N:N,0),0)</f>
        <v>2876325.2820121767</v>
      </c>
      <c r="S358" s="25">
        <f t="shared" ca="1" si="267"/>
        <v>3973242.2296864907</v>
      </c>
    </row>
    <row r="359" spans="1:19" ht="15.75" customHeight="1" x14ac:dyDescent="0.3">
      <c r="A359" s="37">
        <v>61880</v>
      </c>
      <c r="B359" s="409">
        <f t="shared" ref="B359:C359" si="360">($A359-B$9)/365.25</f>
        <v>87.540041067761805</v>
      </c>
      <c r="C359" s="409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3525.4531757812501</v>
      </c>
      <c r="H359" s="25">
        <f>IF(B359&lt;62,0,'Combined Retirement'!$I$14)</f>
        <v>2192</v>
      </c>
      <c r="I359" s="25">
        <f>IF(C359&lt;62,0,'Combined Retirement'!$I$13)</f>
        <v>2420</v>
      </c>
      <c r="J359" s="25">
        <f t="shared" si="263"/>
        <v>7863.2184191855868</v>
      </c>
      <c r="K359" s="25">
        <f t="shared" si="264"/>
        <v>20282.026119384056</v>
      </c>
      <c r="L359" s="25"/>
      <c r="N359" s="25">
        <f>'Combined Retirement'!$C$18/12</f>
        <v>39153.069999999992</v>
      </c>
      <c r="O359" s="25">
        <f t="shared" si="265"/>
        <v>11007.82546143035</v>
      </c>
      <c r="P359" s="25">
        <f t="shared" si="266"/>
        <v>28145.244538569641</v>
      </c>
      <c r="Q359" s="25">
        <f t="array" aca="1" ref="Q359" ca="1">INDEX('Isaac 401k'!L:L,MATCH('Retirement Calculator'!A359,'Isaac 401k'!N:N,0),0)</f>
        <v>1093591.4531270247</v>
      </c>
      <c r="R359" s="25">
        <f t="array" aca="1" ref="R359" ca="1">INDEX('Lorri 401b'!L:L,MATCH('Retirement Calculator'!A359,'Lorri 401b'!N:N,0),0)</f>
        <v>2867943.4361256794</v>
      </c>
      <c r="S359" s="25">
        <f t="shared" ca="1" si="267"/>
        <v>3961534.8892527041</v>
      </c>
    </row>
    <row r="360" spans="1:19" ht="15.75" customHeight="1" x14ac:dyDescent="0.3">
      <c r="A360" s="37">
        <v>61910</v>
      </c>
      <c r="B360" s="409">
        <f t="shared" ref="B360:C360" si="361">($A360-B$9)/365.25</f>
        <v>87.622176591375776</v>
      </c>
      <c r="C360" s="409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3525.4531757812501</v>
      </c>
      <c r="H360" s="25">
        <f>IF(B360&lt;62,0,'Combined Retirement'!$I$14)</f>
        <v>2192</v>
      </c>
      <c r="I360" s="25">
        <f>IF(C360&lt;62,0,'Combined Retirement'!$I$13)</f>
        <v>2420</v>
      </c>
      <c r="J360" s="25">
        <f t="shared" si="263"/>
        <v>7863.2184191855868</v>
      </c>
      <c r="K360" s="25">
        <f t="shared" si="264"/>
        <v>20282.026119384056</v>
      </c>
      <c r="L360" s="25"/>
      <c r="N360" s="25">
        <f>'Combined Retirement'!$C$18/12</f>
        <v>39153.069999999992</v>
      </c>
      <c r="O360" s="25">
        <f t="shared" si="265"/>
        <v>11007.82546143035</v>
      </c>
      <c r="P360" s="25">
        <f t="shared" si="266"/>
        <v>28145.244538569641</v>
      </c>
      <c r="Q360" s="25">
        <f t="array" aca="1" ref="Q360" ca="1">INDEX('Isaac 401k'!L:L,MATCH('Retirement Calculator'!A360,'Isaac 401k'!N:N,0),0)</f>
        <v>1090252.102352455</v>
      </c>
      <c r="R360" s="25">
        <f t="array" aca="1" ref="R360" ca="1">INDEX('Lorri 401b'!L:L,MATCH('Retirement Calculator'!A360,'Lorri 401b'!N:N,0),0)</f>
        <v>2859526.6658813218</v>
      </c>
      <c r="S360" s="25">
        <f t="shared" ca="1" si="267"/>
        <v>3949778.768233777</v>
      </c>
    </row>
    <row r="361" spans="1:19" ht="15.75" customHeight="1" x14ac:dyDescent="0.3">
      <c r="A361" s="37">
        <v>61941</v>
      </c>
      <c r="B361" s="409">
        <f t="shared" ref="B361:C361" si="362">($A361-B$9)/365.25</f>
        <v>87.707049965776861</v>
      </c>
      <c r="C361" s="409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3525.4531757812501</v>
      </c>
      <c r="H361" s="25">
        <f>IF(B361&lt;62,0,'Combined Retirement'!$I$14)</f>
        <v>2192</v>
      </c>
      <c r="I361" s="25">
        <f>IF(C361&lt;62,0,'Combined Retirement'!$I$13)</f>
        <v>2420</v>
      </c>
      <c r="J361" s="25">
        <f t="shared" si="263"/>
        <v>7863.2184191855868</v>
      </c>
      <c r="K361" s="25">
        <f t="shared" si="264"/>
        <v>20282.026119384056</v>
      </c>
      <c r="L361" s="25"/>
      <c r="N361" s="25">
        <f>'Combined Retirement'!$C$18/12</f>
        <v>39153.069999999992</v>
      </c>
      <c r="O361" s="25">
        <f t="shared" si="265"/>
        <v>11007.82546143035</v>
      </c>
      <c r="P361" s="25">
        <f t="shared" si="266"/>
        <v>28145.244538569641</v>
      </c>
      <c r="Q361" s="25">
        <f t="array" aca="1" ref="Q361" ca="1">INDEX('Isaac 401k'!L:L,MATCH('Retirement Calculator'!A361,'Isaac 401k'!N:N,0),0)</f>
        <v>1086898.8376163247</v>
      </c>
      <c r="R361" s="25">
        <f t="array" aca="1" ref="R361" ca="1">INDEX('Lorri 401b'!L:L,MATCH('Retirement Calculator'!A361,'Lorri 401b'!N:N,0),0)</f>
        <v>2851074.8257609457</v>
      </c>
      <c r="S361" s="25">
        <f t="shared" ca="1" si="267"/>
        <v>3937973.6633772701</v>
      </c>
    </row>
    <row r="362" spans="1:19" ht="15.75" customHeight="1" x14ac:dyDescent="0.3">
      <c r="A362" s="37">
        <v>61972</v>
      </c>
      <c r="B362" s="409">
        <f t="shared" ref="B362:C362" si="363">($A362-B$9)/365.25</f>
        <v>87.791923340177959</v>
      </c>
      <c r="C362" s="409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3525.4531757812501</v>
      </c>
      <c r="H362" s="25">
        <f>IF(B362&lt;62,0,'Combined Retirement'!$I$14)</f>
        <v>2192</v>
      </c>
      <c r="I362" s="25">
        <f>IF(C362&lt;62,0,'Combined Retirement'!$I$13)</f>
        <v>2420</v>
      </c>
      <c r="J362" s="25">
        <f t="shared" si="263"/>
        <v>7863.2184191855868</v>
      </c>
      <c r="K362" s="25">
        <f t="shared" si="264"/>
        <v>20282.026119384056</v>
      </c>
      <c r="L362" s="25"/>
      <c r="N362" s="25">
        <f>'Combined Retirement'!$C$18/12</f>
        <v>39153.069999999992</v>
      </c>
      <c r="O362" s="25">
        <f t="shared" si="265"/>
        <v>11007.82546143035</v>
      </c>
      <c r="P362" s="25">
        <f t="shared" si="266"/>
        <v>28145.244538569641</v>
      </c>
      <c r="Q362" s="25">
        <f t="array" aca="1" ref="Q362" ca="1">INDEX('Isaac 401k'!L:L,MATCH('Retirement Calculator'!A362,'Isaac 401k'!N:N,0),0)</f>
        <v>1083531.6009437938</v>
      </c>
      <c r="R362" s="25">
        <f t="array" aca="1" ref="R362" ca="1">INDEX('Lorri 401b'!L:L,MATCH('Retirement Calculator'!A362,'Lorri 401b'!N:N,0),0)</f>
        <v>2842587.7696400681</v>
      </c>
      <c r="S362" s="25">
        <f t="shared" ca="1" si="267"/>
        <v>3926119.3705838621</v>
      </c>
    </row>
    <row r="363" spans="1:19" ht="15.75" customHeight="1" x14ac:dyDescent="0.3">
      <c r="A363" s="37">
        <v>62002</v>
      </c>
      <c r="B363" s="409">
        <f t="shared" ref="B363:C363" si="364">($A363-B$9)/365.25</f>
        <v>87.87405886379193</v>
      </c>
      <c r="C363" s="409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3525.4531757812501</v>
      </c>
      <c r="H363" s="25">
        <f>IF(B363&lt;62,0,'Combined Retirement'!$I$14)</f>
        <v>2192</v>
      </c>
      <c r="I363" s="25">
        <f>IF(C363&lt;62,0,'Combined Retirement'!$I$13)</f>
        <v>2420</v>
      </c>
      <c r="J363" s="25">
        <f t="shared" si="263"/>
        <v>7863.2184191855868</v>
      </c>
      <c r="K363" s="25">
        <f t="shared" si="264"/>
        <v>20282.026119384056</v>
      </c>
      <c r="L363" s="25"/>
      <c r="N363" s="25">
        <f>'Combined Retirement'!$C$18/12</f>
        <v>39153.069999999992</v>
      </c>
      <c r="O363" s="25">
        <f t="shared" si="265"/>
        <v>11007.82546143035</v>
      </c>
      <c r="P363" s="25">
        <f t="shared" si="266"/>
        <v>28145.244538569641</v>
      </c>
      <c r="Q363" s="25">
        <f t="array" aca="1" ref="Q363" ca="1">INDEX('Isaac 401k'!L:L,MATCH('Retirement Calculator'!A363,'Isaac 401k'!N:N,0),0)</f>
        <v>1080150.3341184608</v>
      </c>
      <c r="R363" s="25">
        <f t="array" aca="1" ref="R363" ca="1">INDEX('Lorri 401b'!L:L,MATCH('Retirement Calculator'!A363,'Lorri 401b'!N:N,0),0)</f>
        <v>2834065.3507853537</v>
      </c>
      <c r="S363" s="25">
        <f t="shared" ca="1" si="267"/>
        <v>3914215.6849038145</v>
      </c>
    </row>
    <row r="364" spans="1:19" ht="15.75" customHeight="1" x14ac:dyDescent="0.3">
      <c r="A364" s="37">
        <v>62033</v>
      </c>
      <c r="B364" s="409">
        <f t="shared" ref="B364:C364" si="365">($A364-B$9)/365.25</f>
        <v>87.958932238193015</v>
      </c>
      <c r="C364" s="409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3525.4531757812501</v>
      </c>
      <c r="H364" s="25">
        <f>IF(B364&lt;62,0,'Combined Retirement'!$I$14)</f>
        <v>2192</v>
      </c>
      <c r="I364" s="25">
        <f>IF(C364&lt;62,0,'Combined Retirement'!$I$13)</f>
        <v>2420</v>
      </c>
      <c r="J364" s="25">
        <f t="shared" si="263"/>
        <v>7863.2184191855868</v>
      </c>
      <c r="K364" s="25">
        <f t="shared" si="264"/>
        <v>20282.026119384056</v>
      </c>
      <c r="L364" s="25"/>
      <c r="N364" s="25">
        <f>'Combined Retirement'!$C$18/12</f>
        <v>39153.069999999992</v>
      </c>
      <c r="O364" s="25">
        <f t="shared" si="265"/>
        <v>11007.82546143035</v>
      </c>
      <c r="P364" s="25">
        <f t="shared" si="266"/>
        <v>28145.244538569641</v>
      </c>
      <c r="Q364" s="25">
        <f t="array" aca="1" ref="Q364" ca="1">INDEX('Isaac 401k'!L:L,MATCH('Retirement Calculator'!A364,'Isaac 401k'!N:N,0),0)</f>
        <v>1076754.9786813555</v>
      </c>
      <c r="R364" s="25">
        <f t="array" aca="1" ref="R364" ca="1">INDEX('Lorri 401b'!L:L,MATCH('Retirement Calculator'!A364,'Lorri 401b'!N:N,0),0)</f>
        <v>2825507.4218520778</v>
      </c>
      <c r="S364" s="25">
        <f t="shared" ca="1" si="267"/>
        <v>3902262.4005334331</v>
      </c>
    </row>
    <row r="365" spans="1:19" ht="15.75" customHeight="1" x14ac:dyDescent="0.3">
      <c r="A365" s="37">
        <v>62063</v>
      </c>
      <c r="B365" s="409">
        <f t="shared" ref="B365:C365" si="366">($A365-B$9)/365.25</f>
        <v>88.041067761806985</v>
      </c>
      <c r="C365" s="409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3525.4531757812501</v>
      </c>
      <c r="H365" s="25">
        <f>IF(B365&lt;62,0,'Combined Retirement'!$I$14)</f>
        <v>2192</v>
      </c>
      <c r="I365" s="25">
        <f>IF(C365&lt;62,0,'Combined Retirement'!$I$13)</f>
        <v>2420</v>
      </c>
      <c r="J365" s="25">
        <f t="shared" si="263"/>
        <v>7863.2184191855868</v>
      </c>
      <c r="K365" s="25">
        <f t="shared" si="264"/>
        <v>20282.026119384056</v>
      </c>
      <c r="L365" s="25"/>
      <c r="N365" s="25">
        <f>'Combined Retirement'!$C$18/12</f>
        <v>39153.069999999992</v>
      </c>
      <c r="O365" s="25">
        <f t="shared" si="265"/>
        <v>11007.82546143035</v>
      </c>
      <c r="P365" s="25">
        <f t="shared" si="266"/>
        <v>28145.244538569641</v>
      </c>
      <c r="Q365" s="25">
        <f t="array" aca="1" ref="Q365" ca="1">INDEX('Isaac 401k'!L:L,MATCH('Retirement Calculator'!A365,'Isaac 401k'!N:N,0),0)</f>
        <v>1073345.4759299289</v>
      </c>
      <c r="R365" s="25">
        <f t="array" aca="1" ref="R365" ca="1">INDEX('Lorri 401b'!L:L,MATCH('Retirement Calculator'!A365,'Lorri 401b'!N:N,0),0)</f>
        <v>2816913.83488158</v>
      </c>
      <c r="S365" s="25">
        <f t="shared" ca="1" si="267"/>
        <v>3890259.3108115089</v>
      </c>
    </row>
    <row r="366" spans="1:19" ht="15.75" customHeight="1" x14ac:dyDescent="0.3">
      <c r="A366" s="37">
        <v>62094</v>
      </c>
      <c r="B366" s="409">
        <f t="shared" ref="B366:C366" si="367">($A366-B$9)/365.25</f>
        <v>88.12594113620807</v>
      </c>
      <c r="C366" s="409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3525.4531757812501</v>
      </c>
      <c r="H366" s="25">
        <f>IF(B366&lt;62,0,'Combined Retirement'!$I$14)</f>
        <v>2192</v>
      </c>
      <c r="I366" s="25">
        <f>IF(C366&lt;62,0,'Combined Retirement'!$I$13)</f>
        <v>2420</v>
      </c>
      <c r="J366" s="25">
        <f t="shared" si="263"/>
        <v>7863.2184191855868</v>
      </c>
      <c r="K366" s="25">
        <f t="shared" si="264"/>
        <v>20282.026119384056</v>
      </c>
      <c r="L366" s="25"/>
      <c r="N366" s="25">
        <f>'Combined Retirement'!$C$18/12</f>
        <v>39153.069999999992</v>
      </c>
      <c r="O366" s="25">
        <f t="shared" si="265"/>
        <v>11007.82546143035</v>
      </c>
      <c r="P366" s="25">
        <f t="shared" si="266"/>
        <v>28145.244538569641</v>
      </c>
      <c r="Q366" s="25">
        <f t="array" aca="1" ref="Q366" ca="1">INDEX('Isaac 401k'!L:L,MATCH('Retirement Calculator'!A366,'Isaac 401k'!N:N,0),0)</f>
        <v>1069921.766917038</v>
      </c>
      <c r="R366" s="25">
        <f t="array" aca="1" ref="R366" ca="1">INDEX('Lorri 401b'!L:L,MATCH('Retirement Calculator'!A366,'Lorri 401b'!N:N,0),0)</f>
        <v>2808284.4412987051</v>
      </c>
      <c r="S366" s="25">
        <f t="shared" ca="1" si="267"/>
        <v>3878206.2082157433</v>
      </c>
    </row>
    <row r="367" spans="1:19" ht="15.75" customHeight="1" x14ac:dyDescent="0.3">
      <c r="A367" s="37">
        <v>62125</v>
      </c>
      <c r="B367" s="409">
        <f t="shared" ref="B367:C367" si="368">($A367-B$9)/365.25</f>
        <v>88.210814510609168</v>
      </c>
      <c r="C367" s="409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3525.4531757812501</v>
      </c>
      <c r="H367" s="25">
        <f>IF(B367&lt;62,0,'Combined Retirement'!$I$14)</f>
        <v>2192</v>
      </c>
      <c r="I367" s="25">
        <f>IF(C367&lt;62,0,'Combined Retirement'!$I$13)</f>
        <v>2420</v>
      </c>
      <c r="J367" s="25">
        <f t="shared" si="263"/>
        <v>7863.2184191855868</v>
      </c>
      <c r="K367" s="25">
        <f t="shared" si="264"/>
        <v>20282.026119384056</v>
      </c>
      <c r="L367" s="25"/>
      <c r="N367" s="25">
        <f>'Combined Retirement'!$C$18/12</f>
        <v>39153.069999999992</v>
      </c>
      <c r="O367" s="25">
        <f t="shared" si="265"/>
        <v>11007.82546143035</v>
      </c>
      <c r="P367" s="25">
        <f t="shared" si="266"/>
        <v>28145.244538569641</v>
      </c>
      <c r="Q367" s="25">
        <f t="array" aca="1" ref="Q367" ca="1">INDEX('Isaac 401k'!L:L,MATCH('Retirement Calculator'!A367,'Isaac 401k'!N:N,0),0)</f>
        <v>1066483.7924499267</v>
      </c>
      <c r="R367" s="25">
        <f t="array" aca="1" ref="R367" ca="1">INDEX('Lorri 401b'!L:L,MATCH('Retirement Calculator'!A367,'Lorri 401b'!N:N,0),0)</f>
        <v>2799619.0919092349</v>
      </c>
      <c r="S367" s="25">
        <f t="shared" ca="1" si="267"/>
        <v>3866102.8843591614</v>
      </c>
    </row>
    <row r="368" spans="1:19" ht="15.75" customHeight="1" x14ac:dyDescent="0.3">
      <c r="A368" s="37">
        <v>62153</v>
      </c>
      <c r="B368" s="409">
        <f t="shared" ref="B368:C368" si="369">($A368-B$9)/365.25</f>
        <v>88.28747433264887</v>
      </c>
      <c r="C368" s="409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3525.4531757812501</v>
      </c>
      <c r="H368" s="25">
        <f>IF(B368&lt;62,0,'Combined Retirement'!$I$14)</f>
        <v>2192</v>
      </c>
      <c r="I368" s="25">
        <f>IF(C368&lt;62,0,'Combined Retirement'!$I$13)</f>
        <v>2420</v>
      </c>
      <c r="J368" s="25">
        <f t="shared" si="263"/>
        <v>7863.2184191855868</v>
      </c>
      <c r="K368" s="25">
        <f t="shared" si="264"/>
        <v>20282.026119384056</v>
      </c>
      <c r="L368" s="25"/>
      <c r="N368" s="25">
        <f>'Combined Retirement'!$C$18/12</f>
        <v>39153.069999999992</v>
      </c>
      <c r="O368" s="25">
        <f t="shared" si="265"/>
        <v>11007.82546143035</v>
      </c>
      <c r="P368" s="25">
        <f t="shared" si="266"/>
        <v>28145.244538569641</v>
      </c>
      <c r="Q368" s="25">
        <f t="array" aca="1" ref="Q368" ca="1">INDEX('Isaac 401k'!L:L,MATCH('Retirement Calculator'!A368,'Isaac 401k'!N:N,0),0)</f>
        <v>1063031.4930892026</v>
      </c>
      <c r="R368" s="25">
        <f t="array" aca="1" ref="R368" ca="1">INDEX('Lorri 401b'!L:L,MATCH('Retirement Calculator'!A368,'Lorri 401b'!N:N,0),0)</f>
        <v>2790917.6368973088</v>
      </c>
      <c r="S368" s="25">
        <f t="shared" ca="1" si="267"/>
        <v>3853949.1299865115</v>
      </c>
    </row>
    <row r="369" spans="1:19" ht="15.75" customHeight="1" x14ac:dyDescent="0.3">
      <c r="A369" s="37">
        <v>62184</v>
      </c>
      <c r="B369" s="409">
        <f t="shared" ref="B369:C369" si="370">($A369-B$9)/365.25</f>
        <v>88.372347707049968</v>
      </c>
      <c r="C369" s="409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3525.4531757812501</v>
      </c>
      <c r="H369" s="25">
        <f>IF(B369&lt;62,0,'Combined Retirement'!$I$14)</f>
        <v>2192</v>
      </c>
      <c r="I369" s="25">
        <f>IF(C369&lt;62,0,'Combined Retirement'!$I$13)</f>
        <v>2420</v>
      </c>
      <c r="J369" s="25">
        <f t="shared" si="263"/>
        <v>7863.2184191855868</v>
      </c>
      <c r="K369" s="25">
        <f t="shared" si="264"/>
        <v>20282.026119384056</v>
      </c>
      <c r="L369" s="25"/>
      <c r="N369" s="25">
        <f>'Combined Retirement'!$C$18/12</f>
        <v>39153.069999999992</v>
      </c>
      <c r="O369" s="25">
        <f t="shared" si="265"/>
        <v>11007.82546143035</v>
      </c>
      <c r="P369" s="25">
        <f t="shared" si="266"/>
        <v>28145.244538569641</v>
      </c>
      <c r="Q369" s="25">
        <f t="array" aca="1" ref="Q369" ca="1">INDEX('Isaac 401k'!L:L,MATCH('Retirement Calculator'!A369,'Isaac 401k'!N:N,0),0)</f>
        <v>1059564.8091478087</v>
      </c>
      <c r="R369" s="25">
        <f t="array" aca="1" ref="R369" ca="1">INDEX('Lorri 401b'!L:L,MATCH('Retirement Calculator'!A369,'Lorri 401b'!N:N,0),0)</f>
        <v>2782179.9258228326</v>
      </c>
      <c r="S369" s="25">
        <f t="shared" ca="1" si="267"/>
        <v>3841744.7349706413</v>
      </c>
    </row>
    <row r="370" spans="1:19" ht="15.75" customHeight="1" x14ac:dyDescent="0.3">
      <c r="A370" s="37">
        <v>62214</v>
      </c>
      <c r="B370" s="409">
        <f t="shared" ref="B370:C370" si="371">($A370-B$9)/365.25</f>
        <v>88.454483230663925</v>
      </c>
      <c r="C370" s="409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3525.4531757812501</v>
      </c>
      <c r="H370" s="25">
        <f>IF(B370&lt;62,0,'Combined Retirement'!$I$14)</f>
        <v>2192</v>
      </c>
      <c r="I370" s="25">
        <f>IF(C370&lt;62,0,'Combined Retirement'!$I$13)</f>
        <v>2420</v>
      </c>
      <c r="J370" s="25">
        <f t="shared" si="263"/>
        <v>7863.2184191855868</v>
      </c>
      <c r="K370" s="25">
        <f t="shared" si="264"/>
        <v>20282.026119384056</v>
      </c>
      <c r="L370" s="25"/>
      <c r="N370" s="25">
        <f>'Combined Retirement'!$C$18/12</f>
        <v>39153.069999999992</v>
      </c>
      <c r="O370" s="25">
        <f t="shared" si="265"/>
        <v>11007.82546143035</v>
      </c>
      <c r="P370" s="25">
        <f t="shared" si="266"/>
        <v>28145.244538569641</v>
      </c>
      <c r="Q370" s="25">
        <f t="array" aca="1" ref="Q370" ca="1">INDEX('Isaac 401k'!L:L,MATCH('Retirement Calculator'!A370,'Isaac 401k'!N:N,0),0)</f>
        <v>1056083.6806899924</v>
      </c>
      <c r="R370" s="25">
        <f t="array" aca="1" ref="R370" ca="1">INDEX('Lorri 401b'!L:L,MATCH('Retirement Calculator'!A370,'Lorri 401b'!N:N,0),0)</f>
        <v>2773405.8076188797</v>
      </c>
      <c r="S370" s="25">
        <f t="shared" ca="1" si="267"/>
        <v>3829489.4883088721</v>
      </c>
    </row>
    <row r="371" spans="1:19" ht="15.75" customHeight="1" x14ac:dyDescent="0.3">
      <c r="A371" s="37">
        <v>62245</v>
      </c>
      <c r="B371" s="409">
        <f t="shared" ref="B371:C371" si="372">($A371-B$9)/365.25</f>
        <v>88.539356605065024</v>
      </c>
      <c r="C371" s="409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3525.4531757812501</v>
      </c>
      <c r="H371" s="25">
        <f>IF(B371&lt;62,0,'Combined Retirement'!$I$14)</f>
        <v>2192</v>
      </c>
      <c r="I371" s="25">
        <f>IF(C371&lt;62,0,'Combined Retirement'!$I$13)</f>
        <v>2420</v>
      </c>
      <c r="J371" s="25">
        <f t="shared" si="263"/>
        <v>7863.2184191855868</v>
      </c>
      <c r="K371" s="25">
        <f t="shared" si="264"/>
        <v>20282.026119384056</v>
      </c>
      <c r="L371" s="25"/>
      <c r="N371" s="25">
        <f>'Combined Retirement'!$C$18/12</f>
        <v>39153.069999999992</v>
      </c>
      <c r="O371" s="25">
        <f t="shared" si="265"/>
        <v>11007.82546143035</v>
      </c>
      <c r="P371" s="25">
        <f t="shared" si="266"/>
        <v>28145.244538569641</v>
      </c>
      <c r="Q371" s="25">
        <f t="array" aca="1" ref="Q371" ca="1">INDEX('Isaac 401k'!L:L,MATCH('Retirement Calculator'!A371,'Isaac 401k'!N:N,0),0)</f>
        <v>1052588.0475302686</v>
      </c>
      <c r="R371" s="25">
        <f t="array" aca="1" ref="R371" ca="1">INDEX('Lorri 401b'!L:L,MATCH('Retirement Calculator'!A371,'Lorri 401b'!N:N,0),0)</f>
        <v>2764595.1305890768</v>
      </c>
      <c r="S371" s="25">
        <f t="shared" ca="1" si="267"/>
        <v>3817183.1781193456</v>
      </c>
    </row>
    <row r="372" spans="1:19" ht="15.75" customHeight="1" x14ac:dyDescent="0.3">
      <c r="A372" s="37">
        <v>62275</v>
      </c>
      <c r="B372" s="409">
        <f t="shared" ref="B372:C372" si="373">($A372-B$9)/365.25</f>
        <v>88.62149212867898</v>
      </c>
      <c r="C372" s="409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3525.4531757812501</v>
      </c>
      <c r="H372" s="25">
        <f>IF(B372&lt;62,0,'Combined Retirement'!$I$14)</f>
        <v>2192</v>
      </c>
      <c r="I372" s="25">
        <f>IF(C372&lt;62,0,'Combined Retirement'!$I$13)</f>
        <v>2420</v>
      </c>
      <c r="J372" s="25">
        <f t="shared" si="263"/>
        <v>7863.2184191855868</v>
      </c>
      <c r="K372" s="25">
        <f t="shared" si="264"/>
        <v>20282.026119384056</v>
      </c>
      <c r="L372" s="25"/>
      <c r="N372" s="25">
        <f>'Combined Retirement'!$C$18/12</f>
        <v>39153.069999999992</v>
      </c>
      <c r="O372" s="25">
        <f t="shared" si="265"/>
        <v>11007.82546143035</v>
      </c>
      <c r="P372" s="25">
        <f t="shared" si="266"/>
        <v>28145.244538569641</v>
      </c>
      <c r="Q372" s="25">
        <f t="array" aca="1" ref="Q372" ca="1">INDEX('Isaac 401k'!L:L,MATCH('Retirement Calculator'!A372,'Isaac 401k'!N:N,0),0)</f>
        <v>1049077.8492323791</v>
      </c>
      <c r="R372" s="25">
        <f t="array" aca="1" ref="R372" ca="1">INDEX('Lorri 401b'!L:L,MATCH('Retirement Calculator'!A372,'Lorri 401b'!N:N,0),0)</f>
        <v>2755747.7424049834</v>
      </c>
      <c r="S372" s="25">
        <f t="shared" ca="1" si="267"/>
        <v>3804825.5916373627</v>
      </c>
    </row>
    <row r="373" spans="1:19" ht="15.75" customHeight="1" x14ac:dyDescent="0.3">
      <c r="A373" s="37">
        <v>62306</v>
      </c>
      <c r="B373" s="409">
        <f t="shared" ref="B373:C373" si="374">($A373-B$9)/365.25</f>
        <v>88.706365503080079</v>
      </c>
      <c r="C373" s="409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3525.4531757812501</v>
      </c>
      <c r="H373" s="25">
        <f>IF(B373&lt;62,0,'Combined Retirement'!$I$14)</f>
        <v>2192</v>
      </c>
      <c r="I373" s="25">
        <f>IF(C373&lt;62,0,'Combined Retirement'!$I$13)</f>
        <v>2420</v>
      </c>
      <c r="J373" s="25">
        <f t="shared" si="263"/>
        <v>7863.2184191855868</v>
      </c>
      <c r="K373" s="25">
        <f t="shared" si="264"/>
        <v>20282.026119384056</v>
      </c>
      <c r="L373" s="25"/>
      <c r="N373" s="25">
        <f>'Combined Retirement'!$C$18/12</f>
        <v>39153.069999999992</v>
      </c>
      <c r="O373" s="25">
        <f t="shared" si="265"/>
        <v>11007.82546143035</v>
      </c>
      <c r="P373" s="25">
        <f t="shared" si="266"/>
        <v>28145.244538569641</v>
      </c>
      <c r="Q373" s="25">
        <f t="array" aca="1" ref="Q373" ca="1">INDEX('Isaac 401k'!L:L,MATCH('Retirement Calculator'!A373,'Isaac 401k'!N:N,0),0)</f>
        <v>1045553.0251082485</v>
      </c>
      <c r="R373" s="25">
        <f t="array" aca="1" ref="R373" ca="1">INDEX('Lorri 401b'!L:L,MATCH('Retirement Calculator'!A373,'Lorri 401b'!N:N,0),0)</f>
        <v>2746863.4901034562</v>
      </c>
      <c r="S373" s="25">
        <f t="shared" ca="1" si="267"/>
        <v>3792416.5152117047</v>
      </c>
    </row>
    <row r="374" spans="1:19" ht="15.75" customHeight="1" x14ac:dyDescent="0.3">
      <c r="A374" s="37">
        <v>62337</v>
      </c>
      <c r="B374" s="409">
        <f t="shared" ref="B374:C374" si="375">($A374-B$9)/365.25</f>
        <v>88.791238877481177</v>
      </c>
      <c r="C374" s="409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3525.4531757812501</v>
      </c>
      <c r="H374" s="25">
        <f>IF(B374&lt;62,0,'Combined Retirement'!$I$14)</f>
        <v>2192</v>
      </c>
      <c r="I374" s="25">
        <f>IF(C374&lt;62,0,'Combined Retirement'!$I$13)</f>
        <v>2420</v>
      </c>
      <c r="J374" s="25">
        <f t="shared" si="263"/>
        <v>7863.2184191855868</v>
      </c>
      <c r="K374" s="25">
        <f t="shared" si="264"/>
        <v>20282.026119384056</v>
      </c>
      <c r="L374" s="25"/>
      <c r="N374" s="25">
        <f>'Combined Retirement'!$C$18/12</f>
        <v>39153.069999999992</v>
      </c>
      <c r="O374" s="25">
        <f t="shared" si="265"/>
        <v>11007.82546143035</v>
      </c>
      <c r="P374" s="25">
        <f t="shared" si="266"/>
        <v>28145.244538569641</v>
      </c>
      <c r="Q374" s="25">
        <f t="array" aca="1" ref="Q374" ca="1">INDEX('Isaac 401k'!L:L,MATCH('Retirement Calculator'!A374,'Isaac 401k'!N:N,0),0)</f>
        <v>1042013.514216934</v>
      </c>
      <c r="R374" s="25">
        <f t="array" aca="1" ref="R374" ca="1">INDEX('Lorri 401b'!L:L,MATCH('Retirement Calculator'!A374,'Lorri 401b'!N:N,0),0)</f>
        <v>2737942.220084006</v>
      </c>
      <c r="S374" s="25">
        <f t="shared" ca="1" si="267"/>
        <v>3779955.7343009398</v>
      </c>
    </row>
    <row r="375" spans="1:19" ht="15.75" customHeight="1" x14ac:dyDescent="0.3">
      <c r="A375" s="37">
        <v>62367</v>
      </c>
      <c r="B375" s="409">
        <f t="shared" ref="B375:C375" si="376">($A375-B$9)/365.25</f>
        <v>88.873374401095134</v>
      </c>
      <c r="C375" s="409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3525.4531757812501</v>
      </c>
      <c r="H375" s="25">
        <f>IF(B375&lt;62,0,'Combined Retirement'!$I$14)</f>
        <v>2192</v>
      </c>
      <c r="I375" s="25">
        <f>IF(C375&lt;62,0,'Combined Retirement'!$I$13)</f>
        <v>2420</v>
      </c>
      <c r="J375" s="25">
        <f t="shared" si="263"/>
        <v>7863.2184191855868</v>
      </c>
      <c r="K375" s="25">
        <f t="shared" si="264"/>
        <v>20282.026119384056</v>
      </c>
      <c r="L375" s="25"/>
      <c r="N375" s="25">
        <f>'Combined Retirement'!$C$18/12</f>
        <v>39153.069999999992</v>
      </c>
      <c r="O375" s="25">
        <f t="shared" si="265"/>
        <v>11007.82546143035</v>
      </c>
      <c r="P375" s="25">
        <f t="shared" si="266"/>
        <v>28145.244538569641</v>
      </c>
      <c r="Q375" s="25">
        <f t="array" aca="1" ref="Q375" ca="1">INDEX('Isaac 401k'!L:L,MATCH('Retirement Calculator'!A375,'Isaac 401k'!N:N,0),0)</f>
        <v>1038459.2553635723</v>
      </c>
      <c r="R375" s="25">
        <f t="array" aca="1" ref="R375" ca="1">INDEX('Lorri 401b'!L:L,MATCH('Retirement Calculator'!A375,'Lorri 401b'!N:N,0),0)</f>
        <v>2728983.7781061414</v>
      </c>
      <c r="S375" s="25">
        <f t="shared" ca="1" si="267"/>
        <v>3767443.0334697138</v>
      </c>
    </row>
    <row r="376" spans="1:19" ht="15.75" customHeight="1" x14ac:dyDescent="0.3">
      <c r="A376" s="37">
        <v>62398</v>
      </c>
      <c r="B376" s="409">
        <f t="shared" ref="B376:C376" si="377">($A376-B$9)/365.25</f>
        <v>88.958247775496233</v>
      </c>
      <c r="C376" s="409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3525.4531757812501</v>
      </c>
      <c r="H376" s="25">
        <f>IF(B376&lt;62,0,'Combined Retirement'!$I$14)</f>
        <v>2192</v>
      </c>
      <c r="I376" s="25">
        <f>IF(C376&lt;62,0,'Combined Retirement'!$I$13)</f>
        <v>2420</v>
      </c>
      <c r="J376" s="25">
        <f t="shared" si="263"/>
        <v>7863.2184191855868</v>
      </c>
      <c r="K376" s="25">
        <f t="shared" si="264"/>
        <v>20282.026119384056</v>
      </c>
      <c r="L376" s="25"/>
      <c r="N376" s="25">
        <f>'Combined Retirement'!$C$18/12</f>
        <v>39153.069999999992</v>
      </c>
      <c r="O376" s="25">
        <f t="shared" si="265"/>
        <v>11007.82546143035</v>
      </c>
      <c r="P376" s="25">
        <f t="shared" si="266"/>
        <v>28145.244538569641</v>
      </c>
      <c r="Q376" s="25">
        <f t="array" aca="1" ref="Q376" ca="1">INDEX('Isaac 401k'!L:L,MATCH('Retirement Calculator'!A376,'Isaac 401k'!N:N,0),0)</f>
        <v>1034890.1870983216</v>
      </c>
      <c r="R376" s="25">
        <f t="array" aca="1" ref="R376" ca="1">INDEX('Lorri 401b'!L:L,MATCH('Retirement Calculator'!A376,'Lorri 401b'!N:N,0),0)</f>
        <v>2719988.0092867021</v>
      </c>
      <c r="S376" s="25">
        <f t="shared" ca="1" si="267"/>
        <v>3754878.1963850236</v>
      </c>
    </row>
    <row r="377" spans="1:19" ht="15.75" customHeight="1" x14ac:dyDescent="0.3">
      <c r="A377" s="37">
        <v>62428</v>
      </c>
      <c r="B377" s="409">
        <f t="shared" ref="B377:C377" si="378">($A377-B$9)/365.25</f>
        <v>89.040383299110204</v>
      </c>
      <c r="C377" s="409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3525.4531757812501</v>
      </c>
      <c r="H377" s="25">
        <f>IF(B377&lt;62,0,'Combined Retirement'!$I$14)</f>
        <v>2192</v>
      </c>
      <c r="I377" s="25">
        <f>IF(C377&lt;62,0,'Combined Retirement'!$I$13)</f>
        <v>2420</v>
      </c>
      <c r="J377" s="25">
        <f t="shared" si="263"/>
        <v>7863.2184191855868</v>
      </c>
      <c r="K377" s="25">
        <f t="shared" si="264"/>
        <v>20282.026119384056</v>
      </c>
      <c r="L377" s="25"/>
      <c r="N377" s="25">
        <f>'Combined Retirement'!$C$18/12</f>
        <v>39153.069999999992</v>
      </c>
      <c r="O377" s="25">
        <f t="shared" si="265"/>
        <v>11007.82546143035</v>
      </c>
      <c r="P377" s="25">
        <f t="shared" si="266"/>
        <v>28145.244538569641</v>
      </c>
      <c r="Q377" s="25">
        <f t="array" aca="1" ref="Q377" ca="1">INDEX('Isaac 401k'!L:L,MATCH('Retirement Calculator'!A377,'Isaac 401k'!N:N,0),0)</f>
        <v>1031306.2477152991</v>
      </c>
      <c r="R377" s="25">
        <f t="array" aca="1" ref="R377" ca="1">INDEX('Lorri 401b'!L:L,MATCH('Retirement Calculator'!A377,'Lorri 401b'!N:N,0),0)</f>
        <v>2710954.758097182</v>
      </c>
      <c r="S377" s="25">
        <f t="shared" ca="1" si="267"/>
        <v>3742261.005812481</v>
      </c>
    </row>
    <row r="378" spans="1:19" ht="15.75" customHeight="1" x14ac:dyDescent="0.3">
      <c r="A378" s="37">
        <v>62459</v>
      </c>
      <c r="B378" s="409">
        <f t="shared" ref="B378:C378" si="379">($A378-B$9)/365.25</f>
        <v>89.125256673511288</v>
      </c>
      <c r="C378" s="409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3525.4531757812501</v>
      </c>
      <c r="H378" s="25">
        <f>IF(B378&lt;62,0,'Combined Retirement'!$I$14)</f>
        <v>2192</v>
      </c>
      <c r="I378" s="25">
        <f>IF(C378&lt;62,0,'Combined Retirement'!$I$13)</f>
        <v>2420</v>
      </c>
      <c r="J378" s="25">
        <f t="shared" si="263"/>
        <v>7863.2184191855868</v>
      </c>
      <c r="K378" s="25">
        <f t="shared" si="264"/>
        <v>20282.026119384056</v>
      </c>
      <c r="L378" s="25"/>
      <c r="N378" s="25">
        <f>'Combined Retirement'!$C$18/12</f>
        <v>39153.069999999992</v>
      </c>
      <c r="O378" s="25">
        <f t="shared" si="265"/>
        <v>11007.82546143035</v>
      </c>
      <c r="P378" s="25">
        <f t="shared" si="266"/>
        <v>28145.244538569641</v>
      </c>
      <c r="Q378" s="25">
        <f t="array" aca="1" ref="Q378" ca="1">INDEX('Isaac 401k'!L:L,MATCH('Retirement Calculator'!A378,'Isaac 401k'!N:N,0),0)</f>
        <v>1027707.375251514</v>
      </c>
      <c r="R378" s="25">
        <f t="array" aca="1" ref="R378" ca="1">INDEX('Lorri 401b'!L:L,MATCH('Retirement Calculator'!A378,'Lorri 401b'!N:N,0),0)</f>
        <v>2701883.8683610391</v>
      </c>
      <c r="S378" s="25">
        <f t="shared" ca="1" si="267"/>
        <v>3729591.243612553</v>
      </c>
    </row>
    <row r="379" spans="1:19" ht="15.75" customHeight="1" x14ac:dyDescent="0.3">
      <c r="A379" s="37">
        <v>62490</v>
      </c>
      <c r="B379" s="409">
        <f t="shared" ref="B379:C379" si="380">($A379-B$9)/365.25</f>
        <v>89.210130047912386</v>
      </c>
      <c r="C379" s="409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3525.4531757812501</v>
      </c>
      <c r="H379" s="25">
        <f>IF(B379&lt;62,0,'Combined Retirement'!$I$14)</f>
        <v>2192</v>
      </c>
      <c r="I379" s="25">
        <f>IF(C379&lt;62,0,'Combined Retirement'!$I$13)</f>
        <v>2420</v>
      </c>
      <c r="J379" s="25">
        <f t="shared" si="263"/>
        <v>7863.2184191855868</v>
      </c>
      <c r="K379" s="25">
        <f t="shared" si="264"/>
        <v>20282.026119384056</v>
      </c>
      <c r="L379" s="25"/>
      <c r="N379" s="25">
        <f>'Combined Retirement'!$C$18/12</f>
        <v>39153.069999999992</v>
      </c>
      <c r="O379" s="25">
        <f t="shared" si="265"/>
        <v>11007.82546143035</v>
      </c>
      <c r="P379" s="25">
        <f t="shared" si="266"/>
        <v>28145.244538569641</v>
      </c>
      <c r="Q379" s="25">
        <f t="array" aca="1" ref="Q379" ca="1">INDEX('Isaac 401k'!L:L,MATCH('Retirement Calculator'!A379,'Isaac 401k'!N:N,0),0)</f>
        <v>1024093.5074857965</v>
      </c>
      <c r="R379" s="25">
        <f t="array" aca="1" ref="R379" ca="1">INDEX('Lorri 401b'!L:L,MATCH('Retirement Calculator'!A379,'Lorri 401b'!N:N,0),0)</f>
        <v>2692775.1832509954</v>
      </c>
      <c r="S379" s="25">
        <f t="shared" ca="1" si="267"/>
        <v>3716868.6907367921</v>
      </c>
    </row>
    <row r="380" spans="1:19" ht="15.75" customHeight="1" x14ac:dyDescent="0.3">
      <c r="A380" s="37">
        <v>62518</v>
      </c>
      <c r="B380" s="409">
        <f t="shared" ref="B380:C380" si="381">($A380-B$9)/365.25</f>
        <v>89.286789869952088</v>
      </c>
      <c r="C380" s="409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3525.4531757812501</v>
      </c>
      <c r="H380" s="25">
        <f>IF(B380&lt;62,0,'Combined Retirement'!$I$14)</f>
        <v>2192</v>
      </c>
      <c r="I380" s="25">
        <f>IF(C380&lt;62,0,'Combined Retirement'!$I$13)</f>
        <v>2420</v>
      </c>
      <c r="J380" s="25">
        <f t="shared" si="263"/>
        <v>7863.2184191855868</v>
      </c>
      <c r="K380" s="25">
        <f t="shared" si="264"/>
        <v>20282.026119384056</v>
      </c>
      <c r="L380" s="25"/>
      <c r="N380" s="25">
        <f>'Combined Retirement'!$C$18/12</f>
        <v>39153.069999999992</v>
      </c>
      <c r="O380" s="25">
        <f t="shared" si="265"/>
        <v>11007.82546143035</v>
      </c>
      <c r="P380" s="25">
        <f t="shared" si="266"/>
        <v>28145.244538569641</v>
      </c>
      <c r="Q380" s="25">
        <f t="array" aca="1" ref="Q380" ca="1">INDEX('Isaac 401k'!L:L,MATCH('Retirement Calculator'!A380,'Isaac 401k'!N:N,0),0)</f>
        <v>1020464.5819377217</v>
      </c>
      <c r="R380" s="25">
        <f t="array" aca="1" ref="R380" ca="1">INDEX('Lorri 401b'!L:L,MATCH('Retirement Calculator'!A380,'Lorri 401b'!N:N,0),0)</f>
        <v>2683628.5452863262</v>
      </c>
      <c r="S380" s="25">
        <f t="shared" ca="1" si="267"/>
        <v>3704093.1272240477</v>
      </c>
    </row>
    <row r="381" spans="1:19" ht="15.75" customHeight="1" x14ac:dyDescent="0.3">
      <c r="A381" s="37">
        <v>62549</v>
      </c>
      <c r="B381" s="409">
        <f t="shared" ref="B381:C381" si="382">($A381-B$9)/365.25</f>
        <v>89.371663244353186</v>
      </c>
      <c r="C381" s="409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3525.4531757812501</v>
      </c>
      <c r="H381" s="25">
        <f>IF(B381&lt;62,0,'Combined Retirement'!$I$14)</f>
        <v>2192</v>
      </c>
      <c r="I381" s="25">
        <f>IF(C381&lt;62,0,'Combined Retirement'!$I$13)</f>
        <v>2420</v>
      </c>
      <c r="J381" s="25">
        <f t="shared" si="263"/>
        <v>7863.2184191855868</v>
      </c>
      <c r="K381" s="25">
        <f t="shared" si="264"/>
        <v>20282.026119384056</v>
      </c>
      <c r="L381" s="25"/>
      <c r="N381" s="25">
        <f>'Combined Retirement'!$C$18/12</f>
        <v>39153.069999999992</v>
      </c>
      <c r="O381" s="25">
        <f t="shared" si="265"/>
        <v>11007.82546143035</v>
      </c>
      <c r="P381" s="25">
        <f t="shared" si="266"/>
        <v>28145.244538569641</v>
      </c>
      <c r="Q381" s="25">
        <f t="array" aca="1" ref="Q381" ca="1">INDEX('Isaac 401k'!L:L,MATCH('Retirement Calculator'!A381,'Isaac 401k'!N:N,0),0)</f>
        <v>1016820.53586653</v>
      </c>
      <c r="R381" s="25">
        <f t="array" aca="1" ref="R381" ca="1">INDEX('Lorri 401b'!L:L,MATCH('Retirement Calculator'!A381,'Lorri 401b'!N:N,0),0)</f>
        <v>2674443.7963301376</v>
      </c>
      <c r="S381" s="25">
        <f t="shared" ca="1" si="267"/>
        <v>3691264.3321966678</v>
      </c>
    </row>
    <row r="382" spans="1:19" ht="15.75" customHeight="1" x14ac:dyDescent="0.3">
      <c r="A382" s="37">
        <v>62579</v>
      </c>
      <c r="B382" s="409">
        <f t="shared" ref="B382:C382" si="383">($A382-B$9)/365.25</f>
        <v>89.453798767967143</v>
      </c>
      <c r="C382" s="409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3525.4531757812501</v>
      </c>
      <c r="H382" s="25">
        <f>IF(B382&lt;62,0,'Combined Retirement'!$I$14)</f>
        <v>2192</v>
      </c>
      <c r="I382" s="25">
        <f>IF(C382&lt;62,0,'Combined Retirement'!$I$13)</f>
        <v>2420</v>
      </c>
      <c r="J382" s="25">
        <f t="shared" si="263"/>
        <v>7863.2184191855868</v>
      </c>
      <c r="K382" s="25">
        <f t="shared" si="264"/>
        <v>20282.026119384056</v>
      </c>
      <c r="L382" s="25"/>
      <c r="N382" s="25">
        <f>'Combined Retirement'!$C$18/12</f>
        <v>39153.069999999992</v>
      </c>
      <c r="O382" s="25">
        <f t="shared" si="265"/>
        <v>11007.82546143035</v>
      </c>
      <c r="P382" s="25">
        <f t="shared" si="266"/>
        <v>28145.244538569641</v>
      </c>
      <c r="Q382" s="25">
        <f t="array" aca="1" ref="Q382" ca="1">INDEX('Isaac 401k'!L:L,MATCH('Retirement Calculator'!A382,'Isaac 401k'!N:N,0),0)</f>
        <v>1013161.3062700417</v>
      </c>
      <c r="R382" s="25">
        <f t="array" aca="1" ref="R382" ca="1">INDEX('Lorri 401b'!L:L,MATCH('Retirement Calculator'!A382,'Lorri 401b'!N:N,0),0)</f>
        <v>2665220.7775866319</v>
      </c>
      <c r="S382" s="25">
        <f t="shared" ca="1" si="267"/>
        <v>3678382.0838566739</v>
      </c>
    </row>
    <row r="383" spans="1:19" ht="15.75" customHeight="1" x14ac:dyDescent="0.3">
      <c r="A383" s="37">
        <v>62610</v>
      </c>
      <c r="B383" s="409">
        <f t="shared" ref="B383:C383" si="384">($A383-B$9)/365.25</f>
        <v>89.538672142368242</v>
      </c>
      <c r="C383" s="409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3525.4531757812501</v>
      </c>
      <c r="H383" s="25">
        <f>IF(B383&lt;62,0,'Combined Retirement'!$I$14)</f>
        <v>2192</v>
      </c>
      <c r="I383" s="25">
        <f>IF(C383&lt;62,0,'Combined Retirement'!$I$13)</f>
        <v>2420</v>
      </c>
      <c r="J383" s="25">
        <f t="shared" si="263"/>
        <v>7863.2184191855868</v>
      </c>
      <c r="K383" s="25">
        <f t="shared" si="264"/>
        <v>20282.026119384056</v>
      </c>
      <c r="L383" s="25"/>
      <c r="N383" s="25">
        <f>'Combined Retirement'!$C$18/12</f>
        <v>39153.069999999992</v>
      </c>
      <c r="O383" s="25">
        <f t="shared" si="265"/>
        <v>11007.82546143035</v>
      </c>
      <c r="P383" s="25">
        <f t="shared" si="266"/>
        <v>28145.244538569641</v>
      </c>
      <c r="Q383" s="25">
        <f t="array" aca="1" ref="Q383" ca="1">INDEX('Isaac 401k'!L:L,MATCH('Retirement Calculator'!A383,'Isaac 401k'!N:N,0),0)</f>
        <v>1009486.829883568</v>
      </c>
      <c r="R383" s="25">
        <f t="array" aca="1" ref="R383" ca="1">INDEX('Lorri 401b'!L:L,MATCH('Retirement Calculator'!A383,'Lorri 401b'!N:N,0),0)</f>
        <v>2655959.3295983616</v>
      </c>
      <c r="S383" s="25">
        <f t="shared" ca="1" si="267"/>
        <v>3665446.1594819296</v>
      </c>
    </row>
    <row r="384" spans="1:19" ht="15.75" customHeight="1" x14ac:dyDescent="0.3">
      <c r="A384" s="37">
        <v>62640</v>
      </c>
      <c r="B384" s="409">
        <f t="shared" ref="B384:C384" si="385">($A384-B$9)/365.25</f>
        <v>89.620807665982198</v>
      </c>
      <c r="C384" s="409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3525.4531757812501</v>
      </c>
      <c r="H384" s="25">
        <f>IF(B384&lt;62,0,'Combined Retirement'!$I$14)</f>
        <v>2192</v>
      </c>
      <c r="I384" s="25">
        <f>IF(C384&lt;62,0,'Combined Retirement'!$I$13)</f>
        <v>2420</v>
      </c>
      <c r="J384" s="25">
        <f t="shared" si="263"/>
        <v>7863.2184191855868</v>
      </c>
      <c r="K384" s="25">
        <f t="shared" si="264"/>
        <v>20282.026119384056</v>
      </c>
      <c r="L384" s="25"/>
      <c r="N384" s="25">
        <f>'Combined Retirement'!$C$18/12</f>
        <v>39153.069999999992</v>
      </c>
      <c r="O384" s="25">
        <f t="shared" si="265"/>
        <v>11007.82546143035</v>
      </c>
      <c r="P384" s="25">
        <f t="shared" si="266"/>
        <v>28145.244538569641</v>
      </c>
      <c r="Q384" s="25">
        <f t="array" aca="1" ref="Q384" ca="1">INDEX('Isaac 401k'!L:L,MATCH('Retirement Calculator'!A384,'Isaac 401k'!N:N,0),0)</f>
        <v>1005797.0431788173</v>
      </c>
      <c r="R384" s="25">
        <f t="array" aca="1" ref="R384" ca="1">INDEX('Lorri 401b'!L:L,MATCH('Retirement Calculator'!A384,'Lorri 401b'!N:N,0),0)</f>
        <v>2646659.2922434732</v>
      </c>
      <c r="S384" s="25">
        <f t="shared" ca="1" si="267"/>
        <v>3652456.3354222905</v>
      </c>
    </row>
    <row r="385" spans="1:19" ht="15.75" customHeight="1" x14ac:dyDescent="0.3">
      <c r="A385" s="37">
        <v>62671</v>
      </c>
      <c r="B385" s="409">
        <f t="shared" ref="B385:C385" si="386">($A385-B$9)/365.25</f>
        <v>89.705681040383297</v>
      </c>
      <c r="C385" s="409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3525.4531757812501</v>
      </c>
      <c r="H385" s="25">
        <f>IF(B385&lt;62,0,'Combined Retirement'!$I$14)</f>
        <v>2192</v>
      </c>
      <c r="I385" s="25">
        <f>IF(C385&lt;62,0,'Combined Retirement'!$I$13)</f>
        <v>2420</v>
      </c>
      <c r="J385" s="25">
        <f t="shared" si="263"/>
        <v>7863.2184191855868</v>
      </c>
      <c r="K385" s="25">
        <f t="shared" si="264"/>
        <v>20282.026119384056</v>
      </c>
      <c r="L385" s="25"/>
      <c r="N385" s="25">
        <f>'Combined Retirement'!$C$18/12</f>
        <v>39153.069999999992</v>
      </c>
      <c r="O385" s="25">
        <f t="shared" si="265"/>
        <v>11007.82546143035</v>
      </c>
      <c r="P385" s="25">
        <f t="shared" si="266"/>
        <v>28145.244538569641</v>
      </c>
      <c r="Q385" s="25">
        <f t="array" aca="1" ref="Q385" ca="1">INDEX('Isaac 401k'!L:L,MATCH('Retirement Calculator'!A385,'Isaac 401k'!N:N,0),0)</f>
        <v>1002091.8823627968</v>
      </c>
      <c r="R385" s="25">
        <f t="array" aca="1" ref="R385" ca="1">INDEX('Lorri 401b'!L:L,MATCH('Retirement Calculator'!A385,'Lorri 401b'!N:N,0),0)</f>
        <v>2637320.5047329394</v>
      </c>
      <c r="S385" s="25">
        <f t="shared" ca="1" si="267"/>
        <v>3639412.3870957363</v>
      </c>
    </row>
    <row r="386" spans="1:19" ht="15.75" customHeight="1" x14ac:dyDescent="0.3">
      <c r="A386" s="37">
        <v>62702</v>
      </c>
      <c r="B386" s="409">
        <f t="shared" ref="B386:C386" si="387">($A386-B$9)/365.25</f>
        <v>89.790554414784395</v>
      </c>
      <c r="C386" s="409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3525.4531757812501</v>
      </c>
      <c r="H386" s="25">
        <f>IF(B386&lt;62,0,'Combined Retirement'!$I$14)</f>
        <v>2192</v>
      </c>
      <c r="I386" s="25">
        <f>IF(C386&lt;62,0,'Combined Retirement'!$I$13)</f>
        <v>2420</v>
      </c>
      <c r="J386" s="25">
        <f t="shared" si="263"/>
        <v>7863.2184191855868</v>
      </c>
      <c r="K386" s="25">
        <f t="shared" si="264"/>
        <v>20282.026119384056</v>
      </c>
      <c r="L386" s="25"/>
      <c r="N386" s="25">
        <f>'Combined Retirement'!$C$18/12</f>
        <v>39153.069999999992</v>
      </c>
      <c r="O386" s="25">
        <f t="shared" si="265"/>
        <v>11007.82546143035</v>
      </c>
      <c r="P386" s="25">
        <f t="shared" si="266"/>
        <v>28145.244538569641</v>
      </c>
      <c r="Q386" s="25">
        <f t="array" aca="1" ref="Q386" ca="1">INDEX('Isaac 401k'!L:L,MATCH('Retirement Calculator'!A386,'Isaac 401k'!N:N,0),0)</f>
        <v>998371.28337670956</v>
      </c>
      <c r="R386" s="25">
        <f t="array" aca="1" ref="R386" ca="1">INDEX('Lorri 401b'!L:L,MATCH('Retirement Calculator'!A386,'Lorri 401b'!N:N,0),0)</f>
        <v>2627942.8056077785</v>
      </c>
      <c r="S386" s="25">
        <f t="shared" ca="1" si="267"/>
        <v>3626314.088984488</v>
      </c>
    </row>
    <row r="387" spans="1:19" ht="15.75" customHeight="1" x14ac:dyDescent="0.3">
      <c r="A387" s="37">
        <v>62732</v>
      </c>
      <c r="B387" s="409">
        <f t="shared" ref="B387:C387" si="388">($A387-B$9)/365.25</f>
        <v>89.872689938398352</v>
      </c>
      <c r="C387" s="409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3525.4531757812501</v>
      </c>
      <c r="H387" s="25">
        <f>IF(B387&lt;62,0,'Combined Retirement'!$I$14)</f>
        <v>2192</v>
      </c>
      <c r="I387" s="25">
        <f>IF(C387&lt;62,0,'Combined Retirement'!$I$13)</f>
        <v>2420</v>
      </c>
      <c r="J387" s="25">
        <f t="shared" si="263"/>
        <v>7863.2184191855868</v>
      </c>
      <c r="K387" s="25">
        <f t="shared" si="264"/>
        <v>20282.026119384056</v>
      </c>
      <c r="L387" s="25"/>
      <c r="N387" s="25">
        <f>'Combined Retirement'!$C$18/12</f>
        <v>39153.069999999992</v>
      </c>
      <c r="O387" s="25">
        <f t="shared" si="265"/>
        <v>11007.82546143035</v>
      </c>
      <c r="P387" s="25">
        <f t="shared" si="266"/>
        <v>28145.244538569641</v>
      </c>
      <c r="Q387" s="25">
        <f t="array" aca="1" ref="Q387" ca="1">INDEX('Isaac 401k'!L:L,MATCH('Retirement Calculator'!A387,'Isaac 401k'!N:N,0),0)</f>
        <v>994635.18189484696</v>
      </c>
      <c r="R387" s="25">
        <f t="array" aca="1" ref="R387" ca="1">INDEX('Lorri 401b'!L:L,MATCH('Retirement Calculator'!A387,'Lorri 401b'!N:N,0),0)</f>
        <v>2618526.0327362628</v>
      </c>
      <c r="S387" s="25">
        <f t="shared" ca="1" si="267"/>
        <v>3613161.2146311095</v>
      </c>
    </row>
    <row r="388" spans="1:19" ht="15.75" customHeight="1" x14ac:dyDescent="0.3">
      <c r="A388" s="37">
        <v>62763</v>
      </c>
      <c r="B388" s="409">
        <f t="shared" ref="B388:C388" si="389">($A388-B$9)/365.25</f>
        <v>89.957563312799451</v>
      </c>
      <c r="C388" s="409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3525.4531757812501</v>
      </c>
      <c r="H388" s="25">
        <f>IF(B388&lt;62,0,'Combined Retirement'!$I$14)</f>
        <v>2192</v>
      </c>
      <c r="I388" s="25">
        <f>IF(C388&lt;62,0,'Combined Retirement'!$I$13)</f>
        <v>2420</v>
      </c>
      <c r="J388" s="25">
        <f t="shared" si="263"/>
        <v>7863.2184191855868</v>
      </c>
      <c r="K388" s="25">
        <f t="shared" si="264"/>
        <v>20282.026119384056</v>
      </c>
      <c r="L388" s="25"/>
      <c r="N388" s="25">
        <f>'Combined Retirement'!$C$18/12</f>
        <v>39153.069999999992</v>
      </c>
      <c r="O388" s="25">
        <f t="shared" si="265"/>
        <v>11007.82546143035</v>
      </c>
      <c r="P388" s="25">
        <f t="shared" si="266"/>
        <v>28145.244538569641</v>
      </c>
      <c r="Q388" s="25">
        <f t="array" aca="1" ref="Q388" ca="1">INDEX('Isaac 401k'!L:L,MATCH('Retirement Calculator'!A388,'Isaac 401k'!N:N,0),0)</f>
        <v>990883.51332347665</v>
      </c>
      <c r="R388" s="25">
        <f t="array" aca="1" ref="R388" ca="1">INDEX('Lorri 401b'!L:L,MATCH('Retirement Calculator'!A388,'Lorri 401b'!N:N,0),0)</f>
        <v>2609070.0233111158</v>
      </c>
      <c r="S388" s="25">
        <f t="shared" ca="1" si="267"/>
        <v>3599953.5366345923</v>
      </c>
    </row>
    <row r="389" spans="1:19" ht="15.75" customHeight="1" x14ac:dyDescent="0.3">
      <c r="A389" s="37">
        <v>62793</v>
      </c>
      <c r="B389" s="409">
        <f t="shared" ref="B389:C389" si="390">($A389-B$9)/365.25</f>
        <v>90.039698836413422</v>
      </c>
      <c r="C389" s="409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3525.4531757812501</v>
      </c>
      <c r="H389" s="25">
        <f>IF(B389&lt;62,0,'Combined Retirement'!$I$14)</f>
        <v>2192</v>
      </c>
      <c r="I389" s="25">
        <f>IF(C389&lt;62,0,'Combined Retirement'!$I$13)</f>
        <v>2420</v>
      </c>
      <c r="J389" s="25">
        <f t="shared" si="263"/>
        <v>7863.2184191855868</v>
      </c>
      <c r="K389" s="25">
        <f t="shared" si="264"/>
        <v>20282.026119384056</v>
      </c>
      <c r="L389" s="25"/>
      <c r="N389" s="25">
        <f>'Combined Retirement'!$C$18/12</f>
        <v>39153.069999999992</v>
      </c>
      <c r="O389" s="25">
        <f t="shared" si="265"/>
        <v>11007.82546143035</v>
      </c>
      <c r="P389" s="25">
        <f t="shared" si="266"/>
        <v>28145.244538569641</v>
      </c>
      <c r="Q389" s="25">
        <f t="array" aca="1" ref="Q389" ca="1">INDEX('Isaac 401k'!L:L,MATCH('Retirement Calculator'!A389,'Isaac 401k'!N:N,0),0)</f>
        <v>987116.21279972559</v>
      </c>
      <c r="R389" s="25">
        <f t="array" aca="1" ref="R389" ca="1">INDEX('Lorri 401b'!L:L,MATCH('Retirement Calculator'!A389,'Lorri 401b'!N:N,0),0)</f>
        <v>2599574.6138466974</v>
      </c>
      <c r="S389" s="25">
        <f t="shared" ca="1" si="267"/>
        <v>3586690.826646423</v>
      </c>
    </row>
    <row r="390" spans="1:19" ht="15.75" customHeight="1" x14ac:dyDescent="0.3">
      <c r="A390" s="37">
        <v>62824</v>
      </c>
      <c r="B390" s="409">
        <f t="shared" ref="B390:C390" si="391">($A390-B$9)/365.25</f>
        <v>90.124572210814506</v>
      </c>
      <c r="C390" s="409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3525.4531757812501</v>
      </c>
      <c r="H390" s="25">
        <f>IF(B390&lt;62,0,'Combined Retirement'!$I$14)</f>
        <v>2192</v>
      </c>
      <c r="I390" s="25">
        <f>IF(C390&lt;62,0,'Combined Retirement'!$I$13)</f>
        <v>2420</v>
      </c>
      <c r="J390" s="25">
        <f t="shared" si="263"/>
        <v>7863.2184191855868</v>
      </c>
      <c r="K390" s="25">
        <f t="shared" si="264"/>
        <v>20282.026119384056</v>
      </c>
      <c r="L390" s="25"/>
      <c r="N390" s="25">
        <f>'Combined Retirement'!$C$18/12</f>
        <v>39153.069999999992</v>
      </c>
      <c r="O390" s="25">
        <f t="shared" si="265"/>
        <v>11007.82546143035</v>
      </c>
      <c r="P390" s="25">
        <f t="shared" si="266"/>
        <v>28145.244538569641</v>
      </c>
      <c r="Q390" s="25">
        <f t="array" aca="1" ref="Q390" ca="1">INDEX('Isaac 401k'!L:L,MATCH('Retirement Calculator'!A390,'Isaac 401k'!N:N,0),0)</f>
        <v>983333.21519045893</v>
      </c>
      <c r="R390" s="25">
        <f t="array" aca="1" ref="R390" ca="1">INDEX('Lorri 401b'!L:L,MATCH('Retirement Calculator'!A390,'Lorri 401b'!N:N,0),0)</f>
        <v>2590039.640176177</v>
      </c>
      <c r="S390" s="25">
        <f t="shared" ca="1" si="267"/>
        <v>3573372.8553666361</v>
      </c>
    </row>
    <row r="391" spans="1:19" ht="15.75" customHeight="1" x14ac:dyDescent="0.3">
      <c r="A391" s="37">
        <v>62855</v>
      </c>
      <c r="B391" s="409">
        <f t="shared" ref="B391:C391" si="392">($A391-B$9)/365.25</f>
        <v>90.209445585215605</v>
      </c>
      <c r="C391" s="409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3525.4531757812501</v>
      </c>
      <c r="H391" s="25">
        <f>IF(B391&lt;62,0,'Combined Retirement'!$I$14)</f>
        <v>2192</v>
      </c>
      <c r="I391" s="25">
        <f>IF(C391&lt;62,0,'Combined Retirement'!$I$13)</f>
        <v>2420</v>
      </c>
      <c r="J391" s="25">
        <f t="shared" si="263"/>
        <v>7863.2184191855868</v>
      </c>
      <c r="K391" s="25">
        <f t="shared" si="264"/>
        <v>20282.026119384056</v>
      </c>
      <c r="L391" s="25"/>
      <c r="N391" s="25">
        <f>'Combined Retirement'!$C$18/12</f>
        <v>39153.069999999992</v>
      </c>
      <c r="O391" s="25">
        <f t="shared" si="265"/>
        <v>11007.82546143035</v>
      </c>
      <c r="P391" s="25">
        <f t="shared" si="266"/>
        <v>28145.244538569641</v>
      </c>
      <c r="Q391" s="25">
        <f t="array" aca="1" ref="Q391" ca="1">INDEX('Isaac 401k'!L:L,MATCH('Retirement Calculator'!A391,'Isaac 401k'!N:N,0),0)</f>
        <v>979534.45509115362</v>
      </c>
      <c r="R391" s="25">
        <f t="array" aca="1" ref="R391" ca="1">INDEX('Lorri 401b'!L:L,MATCH('Retirement Calculator'!A391,'Lorri 401b'!N:N,0),0)</f>
        <v>2580464.9374486962</v>
      </c>
      <c r="S391" s="25">
        <f t="shared" ca="1" si="267"/>
        <v>3559999.39253985</v>
      </c>
    </row>
    <row r="392" spans="1:19" ht="15.75" customHeight="1" x14ac:dyDescent="0.3">
      <c r="A392" s="37">
        <v>62884</v>
      </c>
      <c r="B392" s="409">
        <f t="shared" ref="B392:C392" si="393">($A392-B$9)/365.25</f>
        <v>90.288843258042434</v>
      </c>
      <c r="C392" s="409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3525.4531757812501</v>
      </c>
      <c r="H392" s="25">
        <f>IF(B392&lt;62,0,'Combined Retirement'!$I$14)</f>
        <v>2192</v>
      </c>
      <c r="I392" s="25">
        <f>IF(C392&lt;62,0,'Combined Retirement'!$I$13)</f>
        <v>2420</v>
      </c>
      <c r="J392" s="25">
        <f t="shared" si="263"/>
        <v>7863.2184191855868</v>
      </c>
      <c r="K392" s="25">
        <f t="shared" si="264"/>
        <v>20282.026119384056</v>
      </c>
      <c r="L392" s="25"/>
      <c r="N392" s="25">
        <f>'Combined Retirement'!$C$18/12</f>
        <v>39153.069999999992</v>
      </c>
      <c r="O392" s="25">
        <f t="shared" si="265"/>
        <v>11007.82546143035</v>
      </c>
      <c r="P392" s="25">
        <f t="shared" si="266"/>
        <v>28145.244538569641</v>
      </c>
      <c r="Q392" s="25">
        <f t="array" aca="1" ref="Q392" ca="1">INDEX('Isaac 401k'!L:L,MATCH('Retirement Calculator'!A392,'Isaac 401k'!N:N,0),0)</f>
        <v>975719.8668247679</v>
      </c>
      <c r="R392" s="25">
        <f t="array" aca="1" ref="R392" ca="1">INDEX('Lorri 401b'!L:L,MATCH('Retirement Calculator'!A392,'Lorri 401b'!N:N,0),0)</f>
        <v>2570850.3401265177</v>
      </c>
      <c r="S392" s="25">
        <f t="shared" ca="1" si="267"/>
        <v>3546570.2069512857</v>
      </c>
    </row>
    <row r="393" spans="1:19" ht="15.75" customHeight="1" x14ac:dyDescent="0.3">
      <c r="A393" s="37">
        <v>62915</v>
      </c>
      <c r="B393" s="409">
        <f t="shared" ref="B393:C393" si="394">($A393-B$9)/365.25</f>
        <v>90.373716632443532</v>
      </c>
      <c r="C393" s="409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3525.4531757812501</v>
      </c>
      <c r="H393" s="25">
        <f>IF(B393&lt;62,0,'Combined Retirement'!$I$14)</f>
        <v>2192</v>
      </c>
      <c r="I393" s="25">
        <f>IF(C393&lt;62,0,'Combined Retirement'!$I$13)</f>
        <v>2420</v>
      </c>
      <c r="J393" s="25">
        <f t="shared" si="263"/>
        <v>7863.2184191855868</v>
      </c>
      <c r="K393" s="25">
        <f t="shared" si="264"/>
        <v>20282.026119384056</v>
      </c>
      <c r="L393" s="25"/>
      <c r="N393" s="25">
        <f>'Combined Retirement'!$C$18/12</f>
        <v>39153.069999999992</v>
      </c>
      <c r="O393" s="25">
        <f t="shared" si="265"/>
        <v>11007.82546143035</v>
      </c>
      <c r="P393" s="25">
        <f t="shared" si="266"/>
        <v>28145.244538569641</v>
      </c>
      <c r="Q393" s="25">
        <f t="array" aca="1" ref="Q393" ca="1">INDEX('Isaac 401k'!L:L,MATCH('Retirement Calculator'!A393,'Isaac 401k'!N:N,0),0)</f>
        <v>971889.38444060553</v>
      </c>
      <c r="R393" s="25">
        <f t="array" aca="1" ref="R393" ca="1">INDEX('Lorri 401b'!L:L,MATCH('Retirement Calculator'!A393,'Lorri 401b'!N:N,0),0)</f>
        <v>2561195.6819821633</v>
      </c>
      <c r="S393" s="25">
        <f t="shared" ca="1" si="267"/>
        <v>3533085.0664227689</v>
      </c>
    </row>
    <row r="394" spans="1:19" ht="15.75" customHeight="1" x14ac:dyDescent="0.3">
      <c r="A394" s="37">
        <v>62945</v>
      </c>
      <c r="B394" s="409">
        <f t="shared" ref="B394:C394" si="395">($A394-B$9)/365.25</f>
        <v>90.455852156057489</v>
      </c>
      <c r="C394" s="409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3525.4531757812501</v>
      </c>
      <c r="H394" s="25">
        <f>IF(B394&lt;62,0,'Combined Retirement'!$I$14)</f>
        <v>2192</v>
      </c>
      <c r="I394" s="25">
        <f>IF(C394&lt;62,0,'Combined Retirement'!$I$13)</f>
        <v>2420</v>
      </c>
      <c r="J394" s="25">
        <f t="shared" si="263"/>
        <v>7863.2184191855868</v>
      </c>
      <c r="K394" s="25">
        <f t="shared" si="264"/>
        <v>20282.026119384056</v>
      </c>
      <c r="L394" s="25"/>
      <c r="N394" s="25">
        <f>'Combined Retirement'!$C$18/12</f>
        <v>39153.069999999992</v>
      </c>
      <c r="O394" s="25">
        <f t="shared" si="265"/>
        <v>11007.82546143035</v>
      </c>
      <c r="P394" s="25">
        <f t="shared" si="266"/>
        <v>28145.244538569641</v>
      </c>
      <c r="Q394" s="25">
        <f t="array" aca="1" ref="Q394" ca="1">INDEX('Isaac 401k'!L:L,MATCH('Retirement Calculator'!A394,'Isaac 401k'!N:N,0),0)</f>
        <v>968042.94171317585</v>
      </c>
      <c r="R394" s="25">
        <f t="array" aca="1" ref="R394" ca="1">INDEX('Lorri 401b'!L:L,MATCH('Retirement Calculator'!A394,'Lorri 401b'!N:N,0),0)</f>
        <v>2551500.7960955407</v>
      </c>
      <c r="S394" s="25">
        <f t="shared" ca="1" si="267"/>
        <v>3519543.7378087165</v>
      </c>
    </row>
    <row r="395" spans="1:19" ht="15.75" customHeight="1" x14ac:dyDescent="0.3">
      <c r="A395" s="37">
        <v>62976</v>
      </c>
      <c r="B395" s="409">
        <f t="shared" ref="B395:C395" si="396">($A395-B$9)/365.25</f>
        <v>90.540725530458587</v>
      </c>
      <c r="C395" s="409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3525.4531757812501</v>
      </c>
      <c r="H395" s="25">
        <f>IF(B395&lt;62,0,'Combined Retirement'!$I$14)</f>
        <v>2192</v>
      </c>
      <c r="I395" s="25">
        <f>IF(C395&lt;62,0,'Combined Retirement'!$I$13)</f>
        <v>2420</v>
      </c>
      <c r="J395" s="25">
        <f t="shared" si="263"/>
        <v>7863.2184191855868</v>
      </c>
      <c r="K395" s="25">
        <f t="shared" si="264"/>
        <v>20282.026119384056</v>
      </c>
      <c r="L395" s="25"/>
      <c r="N395" s="25">
        <f>'Combined Retirement'!$C$18/12</f>
        <v>39153.069999999992</v>
      </c>
      <c r="O395" s="25">
        <f t="shared" si="265"/>
        <v>11007.82546143035</v>
      </c>
      <c r="P395" s="25">
        <f t="shared" si="266"/>
        <v>28145.244538569641</v>
      </c>
      <c r="Q395" s="25">
        <f t="array" aca="1" ref="Q395" ca="1">INDEX('Isaac 401k'!L:L,MATCH('Retirement Calculator'!A395,'Isaac 401k'!N:N,0),0)</f>
        <v>964180.47214104852</v>
      </c>
      <c r="R395" s="25">
        <f t="array" aca="1" ref="R395" ca="1">INDEX('Lorri 401b'!L:L,MATCH('Retirement Calculator'!A395,'Lorri 401b'!N:N,0),0)</f>
        <v>2541765.5148510574</v>
      </c>
      <c r="S395" s="25">
        <f t="shared" ca="1" si="267"/>
        <v>3505945.9869921058</v>
      </c>
    </row>
    <row r="396" spans="1:19" ht="15.75" customHeight="1" x14ac:dyDescent="0.3">
      <c r="A396" s="37">
        <v>63006</v>
      </c>
      <c r="B396" s="409">
        <f t="shared" ref="B396:C396" si="397">($A396-B$9)/365.25</f>
        <v>90.622861054072558</v>
      </c>
      <c r="C396" s="409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3525.4531757812501</v>
      </c>
      <c r="H396" s="25">
        <f>IF(B396&lt;62,0,'Combined Retirement'!$I$14)</f>
        <v>2192</v>
      </c>
      <c r="I396" s="25">
        <f>IF(C396&lt;62,0,'Combined Retirement'!$I$13)</f>
        <v>2420</v>
      </c>
      <c r="J396" s="25">
        <f t="shared" si="263"/>
        <v>7863.2184191855868</v>
      </c>
      <c r="K396" s="25">
        <f t="shared" si="264"/>
        <v>20282.026119384056</v>
      </c>
      <c r="L396" s="25"/>
      <c r="N396" s="25">
        <f>'Combined Retirement'!$C$18/12</f>
        <v>39153.069999999992</v>
      </c>
      <c r="O396" s="25">
        <f t="shared" si="265"/>
        <v>11007.82546143035</v>
      </c>
      <c r="P396" s="25">
        <f t="shared" si="266"/>
        <v>28145.244538569641</v>
      </c>
      <c r="Q396" s="25">
        <f t="array" aca="1" ref="Q396" ca="1">INDEX('Isaac 401k'!L:L,MATCH('Retirement Calculator'!A396,'Isaac 401k'!N:N,0),0)</f>
        <v>960301.908945704</v>
      </c>
      <c r="R396" s="25">
        <f t="array" aca="1" ref="R396" ca="1">INDEX('Lorri 401b'!L:L,MATCH('Retirement Calculator'!A396,'Lorri 401b'!N:N,0),0)</f>
        <v>2531989.6699347221</v>
      </c>
      <c r="S396" s="25">
        <f t="shared" ca="1" si="267"/>
        <v>3492291.578880426</v>
      </c>
    </row>
    <row r="397" spans="1:19" ht="15.75" customHeight="1" x14ac:dyDescent="0.3">
      <c r="A397" s="37">
        <v>63037</v>
      </c>
      <c r="B397" s="409">
        <f t="shared" ref="B397:C397" si="398">($A397-B$9)/365.25</f>
        <v>90.707734428473643</v>
      </c>
      <c r="C397" s="409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3525.4531757812501</v>
      </c>
      <c r="H397" s="25">
        <f>IF(B397&lt;62,0,'Combined Retirement'!$I$14)</f>
        <v>2192</v>
      </c>
      <c r="I397" s="25">
        <f>IF(C397&lt;62,0,'Combined Retirement'!$I$13)</f>
        <v>2420</v>
      </c>
      <c r="J397" s="25">
        <f t="shared" si="263"/>
        <v>7863.2184191855868</v>
      </c>
      <c r="K397" s="25">
        <f t="shared" si="264"/>
        <v>20282.026119384056</v>
      </c>
      <c r="L397" s="25"/>
      <c r="N397" s="25">
        <f>'Combined Retirement'!$C$18/12</f>
        <v>39153.069999999992</v>
      </c>
      <c r="O397" s="25">
        <f t="shared" si="265"/>
        <v>11007.82546143035</v>
      </c>
      <c r="P397" s="25">
        <f t="shared" si="266"/>
        <v>28145.244538569641</v>
      </c>
      <c r="Q397" s="25">
        <f t="array" aca="1" ref="Q397" ca="1">INDEX('Isaac 401k'!L:L,MATCH('Retirement Calculator'!A397,'Isaac 401k'!N:N,0),0)</f>
        <v>956407.18507037894</v>
      </c>
      <c r="R397" s="25">
        <f t="array" aca="1" ref="R397" ca="1">INDEX('Lorri 401b'!L:L,MATCH('Retirement Calculator'!A397,'Lorri 401b'!N:N,0),0)</f>
        <v>2522173.0923312353</v>
      </c>
      <c r="S397" s="25">
        <f t="shared" ca="1" si="267"/>
        <v>3478580.277401614</v>
      </c>
    </row>
    <row r="398" spans="1:19" ht="15.75" customHeight="1" x14ac:dyDescent="0.3">
      <c r="A398" s="37">
        <v>63068</v>
      </c>
      <c r="B398" s="409">
        <f t="shared" ref="B398:C398" si="399">($A398-B$9)/365.25</f>
        <v>90.792607802874741</v>
      </c>
      <c r="C398" s="409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3525.4531757812501</v>
      </c>
      <c r="H398" s="25">
        <f>IF(B398&lt;62,0,'Combined Retirement'!$I$14)</f>
        <v>2192</v>
      </c>
      <c r="I398" s="25">
        <f>IF(C398&lt;62,0,'Combined Retirement'!$I$13)</f>
        <v>2420</v>
      </c>
      <c r="J398" s="25">
        <f t="shared" si="263"/>
        <v>7863.2184191855868</v>
      </c>
      <c r="K398" s="25">
        <f t="shared" si="264"/>
        <v>20282.026119384056</v>
      </c>
      <c r="L398" s="25"/>
      <c r="N398" s="25">
        <f>'Combined Retirement'!$C$18/12</f>
        <v>39153.069999999992</v>
      </c>
      <c r="O398" s="25">
        <f t="shared" si="265"/>
        <v>11007.82546143035</v>
      </c>
      <c r="P398" s="25">
        <f t="shared" si="266"/>
        <v>28145.244538569641</v>
      </c>
      <c r="Q398" s="25">
        <f t="array" aca="1" ref="Q398" ca="1">INDEX('Isaac 401k'!L:L,MATCH('Retirement Calculator'!A398,'Isaac 401k'!N:N,0),0)</f>
        <v>952496.23317890661</v>
      </c>
      <c r="R398" s="25">
        <f t="array" aca="1" ref="R398" ca="1">INDEX('Lorri 401b'!L:L,MATCH('Retirement Calculator'!A398,'Lorri 401b'!N:N,0),0)</f>
        <v>2512315.6123210671</v>
      </c>
      <c r="S398" s="25">
        <f t="shared" ca="1" si="267"/>
        <v>3464811.8454999737</v>
      </c>
    </row>
    <row r="399" spans="1:19" ht="15.75" customHeight="1" x14ac:dyDescent="0.3">
      <c r="A399" s="37">
        <v>63098</v>
      </c>
      <c r="B399" s="409">
        <f t="shared" ref="B399:C399" si="400">($A399-B$9)/365.25</f>
        <v>90.874743326488712</v>
      </c>
      <c r="C399" s="409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3525.4531757812501</v>
      </c>
      <c r="H399" s="25">
        <f>IF(B399&lt;62,0,'Combined Retirement'!$I$14)</f>
        <v>2192</v>
      </c>
      <c r="I399" s="25">
        <f>IF(C399&lt;62,0,'Combined Retirement'!$I$13)</f>
        <v>2420</v>
      </c>
      <c r="J399" s="25">
        <f t="shared" si="263"/>
        <v>7863.2184191855868</v>
      </c>
      <c r="K399" s="25">
        <f t="shared" si="264"/>
        <v>20282.026119384056</v>
      </c>
      <c r="L399" s="25"/>
      <c r="N399" s="25">
        <f>'Combined Retirement'!$C$18/12</f>
        <v>39153.069999999992</v>
      </c>
      <c r="O399" s="25">
        <f t="shared" si="265"/>
        <v>11007.82546143035</v>
      </c>
      <c r="P399" s="25">
        <f t="shared" si="266"/>
        <v>28145.244538569641</v>
      </c>
      <c r="Q399" s="25">
        <f t="array" aca="1" ref="Q399" ca="1">INDEX('Isaac 401k'!L:L,MATCH('Retirement Calculator'!A399,'Isaac 401k'!N:N,0),0)</f>
        <v>948568.98565455317</v>
      </c>
      <c r="R399" s="25">
        <f t="array" aca="1" ref="R399" ca="1">INDEX('Lorri 401b'!L:L,MATCH('Retirement Calculator'!A399,'Lorri 401b'!N:N,0),0)</f>
        <v>2502417.0594775234</v>
      </c>
      <c r="S399" s="25">
        <f t="shared" ca="1" si="267"/>
        <v>3450986.0451320764</v>
      </c>
    </row>
    <row r="400" spans="1:19" ht="15.75" customHeight="1" x14ac:dyDescent="0.3">
      <c r="A400" s="37">
        <v>63129</v>
      </c>
      <c r="B400" s="409">
        <f t="shared" ref="B400:C400" si="401">($A400-B$9)/365.25</f>
        <v>90.959616700889796</v>
      </c>
      <c r="C400" s="409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3525.4531757812501</v>
      </c>
      <c r="H400" s="25">
        <f>IF(B400&lt;62,0,'Combined Retirement'!$I$14)</f>
        <v>2192</v>
      </c>
      <c r="I400" s="25">
        <f>IF(C400&lt;62,0,'Combined Retirement'!$I$13)</f>
        <v>2420</v>
      </c>
      <c r="J400" s="25">
        <f t="shared" si="263"/>
        <v>7863.2184191855868</v>
      </c>
      <c r="K400" s="25">
        <f t="shared" si="264"/>
        <v>20282.026119384056</v>
      </c>
      <c r="L400" s="25"/>
      <c r="N400" s="25">
        <f>'Combined Retirement'!$C$18/12</f>
        <v>39153.069999999992</v>
      </c>
      <c r="O400" s="25">
        <f t="shared" si="265"/>
        <v>11007.82546143035</v>
      </c>
      <c r="P400" s="25">
        <f t="shared" si="266"/>
        <v>28145.244538569641</v>
      </c>
      <c r="Q400" s="25">
        <f t="array" aca="1" ref="Q400" ca="1">INDEX('Isaac 401k'!L:L,MATCH('Retirement Calculator'!A400,'Isaac 401k'!N:N,0),0)</f>
        <v>944625.37459884828</v>
      </c>
      <c r="R400" s="25">
        <f t="array" aca="1" ref="R400" ca="1">INDEX('Lorri 401b'!L:L,MATCH('Retirement Calculator'!A400,'Lorri 401b'!N:N,0),0)</f>
        <v>2492477.2626637984</v>
      </c>
      <c r="S400" s="25">
        <f t="shared" ca="1" si="267"/>
        <v>3437102.6372626466</v>
      </c>
    </row>
    <row r="401" spans="1:19" ht="15.75" customHeight="1" x14ac:dyDescent="0.3">
      <c r="A401" s="37">
        <v>63159</v>
      </c>
      <c r="B401" s="409">
        <f t="shared" ref="B401:C401" si="402">($A401-B$9)/365.25</f>
        <v>91.041752224503767</v>
      </c>
      <c r="C401" s="409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3525.4531757812501</v>
      </c>
      <c r="H401" s="25">
        <f>IF(B401&lt;62,0,'Combined Retirement'!$I$14)</f>
        <v>2192</v>
      </c>
      <c r="I401" s="25">
        <f>IF(C401&lt;62,0,'Combined Retirement'!$I$13)</f>
        <v>2420</v>
      </c>
      <c r="J401" s="25">
        <f t="shared" si="263"/>
        <v>7863.2184191855868</v>
      </c>
      <c r="K401" s="25">
        <f t="shared" si="264"/>
        <v>20282.026119384056</v>
      </c>
      <c r="L401" s="25"/>
      <c r="N401" s="25">
        <f>'Combined Retirement'!$C$18/12</f>
        <v>39153.069999999992</v>
      </c>
      <c r="O401" s="25">
        <f t="shared" si="265"/>
        <v>11007.82546143035</v>
      </c>
      <c r="P401" s="25">
        <f t="shared" si="266"/>
        <v>28145.244538569641</v>
      </c>
      <c r="Q401" s="25">
        <f t="array" aca="1" ref="Q401" ca="1">INDEX('Isaac 401k'!L:L,MATCH('Retirement Calculator'!A401,'Isaac 401k'!N:N,0),0)</f>
        <v>940665.33183041122</v>
      </c>
      <c r="R401" s="25">
        <f t="array" aca="1" ref="R401" ca="1">INDEX('Lorri 401b'!L:L,MATCH('Retirement Calculator'!A401,'Lorri 401b'!N:N,0),0)</f>
        <v>2482496.0500300163</v>
      </c>
      <c r="S401" s="25">
        <f t="shared" ca="1" si="267"/>
        <v>3423161.3818604276</v>
      </c>
    </row>
    <row r="402" spans="1:19" ht="15.75" customHeight="1" x14ac:dyDescent="0.3">
      <c r="A402" s="37">
        <v>63190</v>
      </c>
      <c r="B402" s="409">
        <f t="shared" ref="B402:C402" si="403">($A402-B$9)/365.25</f>
        <v>91.126625598904866</v>
      </c>
      <c r="C402" s="409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3525.4531757812501</v>
      </c>
      <c r="H402" s="25">
        <f>IF(B402&lt;62,0,'Combined Retirement'!$I$14)</f>
        <v>2192</v>
      </c>
      <c r="I402" s="25">
        <f>IF(C402&lt;62,0,'Combined Retirement'!$I$13)</f>
        <v>2420</v>
      </c>
      <c r="J402" s="25">
        <f t="shared" si="263"/>
        <v>7863.2184191855868</v>
      </c>
      <c r="K402" s="25">
        <f t="shared" si="264"/>
        <v>20282.026119384056</v>
      </c>
      <c r="L402" s="25"/>
      <c r="N402" s="25">
        <f>'Combined Retirement'!$C$18/12</f>
        <v>39153.069999999992</v>
      </c>
      <c r="O402" s="25">
        <f t="shared" si="265"/>
        <v>11007.82546143035</v>
      </c>
      <c r="P402" s="25">
        <f t="shared" si="266"/>
        <v>28145.244538569641</v>
      </c>
      <c r="Q402" s="25">
        <f t="array" aca="1" ref="Q402" ca="1">INDEX('Isaac 401k'!L:L,MATCH('Retirement Calculator'!A402,'Isaac 401k'!N:N,0),0)</f>
        <v>936688.78888377233</v>
      </c>
      <c r="R402" s="25">
        <f t="array" aca="1" ref="R402" ca="1">INDEX('Lorri 401b'!L:L,MATCH('Retirement Calculator'!A402,'Lorri 401b'!N:N,0),0)</f>
        <v>2472473.2490102602</v>
      </c>
      <c r="S402" s="25">
        <f t="shared" ca="1" si="267"/>
        <v>3409162.0378940324</v>
      </c>
    </row>
    <row r="403" spans="1:19" ht="15.75" customHeight="1" x14ac:dyDescent="0.3">
      <c r="A403" s="37">
        <v>63221</v>
      </c>
      <c r="B403" s="409">
        <f t="shared" ref="B403:C403" si="404">($A403-B$9)/365.25</f>
        <v>91.21149897330595</v>
      </c>
      <c r="C403" s="409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3525.4531757812501</v>
      </c>
      <c r="H403" s="25">
        <f>IF(B403&lt;62,0,'Combined Retirement'!$I$14)</f>
        <v>2192</v>
      </c>
      <c r="I403" s="25">
        <f>IF(C403&lt;62,0,'Combined Retirement'!$I$13)</f>
        <v>2420</v>
      </c>
      <c r="J403" s="25">
        <f t="shared" si="263"/>
        <v>7863.2184191855868</v>
      </c>
      <c r="K403" s="25">
        <f t="shared" si="264"/>
        <v>20282.026119384056</v>
      </c>
      <c r="L403" s="25"/>
      <c r="N403" s="25">
        <f>'Combined Retirement'!$C$18/12</f>
        <v>39153.069999999992</v>
      </c>
      <c r="O403" s="25">
        <f t="shared" si="265"/>
        <v>11007.82546143035</v>
      </c>
      <c r="P403" s="25">
        <f t="shared" si="266"/>
        <v>28145.244538569641</v>
      </c>
      <c r="Q403" s="25">
        <f t="array" aca="1" ref="Q403" ca="1">INDEX('Isaac 401k'!L:L,MATCH('Retirement Calculator'!A403,'Isaac 401k'!N:N,0),0)</f>
        <v>932695.67700818914</v>
      </c>
      <c r="R403" s="25">
        <f t="array" aca="1" ref="R403" ca="1">INDEX('Lorri 401b'!L:L,MATCH('Retirement Calculator'!A403,'Lorri 401b'!N:N,0),0)</f>
        <v>2462408.6863195882</v>
      </c>
      <c r="S403" s="25">
        <f t="shared" ca="1" si="267"/>
        <v>3395104.3633277775</v>
      </c>
    </row>
    <row r="404" spans="1:19" ht="15.75" customHeight="1" x14ac:dyDescent="0.3">
      <c r="A404" s="37">
        <v>63249</v>
      </c>
      <c r="B404" s="409">
        <f t="shared" ref="B404:C404" si="405">($A404-B$9)/365.25</f>
        <v>91.288158795345652</v>
      </c>
      <c r="C404" s="409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3525.4531757812501</v>
      </c>
      <c r="H404" s="25">
        <f>IF(B404&lt;62,0,'Combined Retirement'!$I$14)</f>
        <v>2192</v>
      </c>
      <c r="I404" s="25">
        <f>IF(C404&lt;62,0,'Combined Retirement'!$I$13)</f>
        <v>2420</v>
      </c>
      <c r="J404" s="25">
        <f t="shared" si="263"/>
        <v>7863.2184191855868</v>
      </c>
      <c r="K404" s="25">
        <f t="shared" si="264"/>
        <v>20282.026119384056</v>
      </c>
      <c r="L404" s="25"/>
      <c r="N404" s="25">
        <f>'Combined Retirement'!$C$18/12</f>
        <v>39153.069999999992</v>
      </c>
      <c r="O404" s="25">
        <f t="shared" si="265"/>
        <v>11007.82546143035</v>
      </c>
      <c r="P404" s="25">
        <f t="shared" si="266"/>
        <v>28145.244538569641</v>
      </c>
      <c r="Q404" s="25">
        <f t="array" aca="1" ref="Q404" ca="1">INDEX('Isaac 401k'!L:L,MATCH('Retirement Calculator'!A404,'Isaac 401k'!N:N,0),0)</f>
        <v>928685.92716645775</v>
      </c>
      <c r="R404" s="25">
        <f t="array" aca="1" ref="R404" ca="1">INDEX('Lorri 401b'!L:L,MATCH('Retirement Calculator'!A404,'Lorri 401b'!N:N,0),0)</f>
        <v>2452302.1879510386</v>
      </c>
      <c r="S404" s="25">
        <f t="shared" ca="1" si="267"/>
        <v>3380988.1151174963</v>
      </c>
    </row>
    <row r="405" spans="1:19" ht="15.75" customHeight="1" x14ac:dyDescent="0.3">
      <c r="A405" s="37">
        <v>63280</v>
      </c>
      <c r="B405" s="409">
        <f t="shared" ref="B405:C405" si="406">($A405-B$9)/365.25</f>
        <v>91.37303216974675</v>
      </c>
      <c r="C405" s="409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3525.4531757812501</v>
      </c>
      <c r="H405" s="25">
        <f>IF(B405&lt;62,0,'Combined Retirement'!$I$14)</f>
        <v>2192</v>
      </c>
      <c r="I405" s="25">
        <f>IF(C405&lt;62,0,'Combined Retirement'!$I$13)</f>
        <v>2420</v>
      </c>
      <c r="J405" s="25">
        <f t="shared" si="263"/>
        <v>7863.2184191855868</v>
      </c>
      <c r="K405" s="25">
        <f t="shared" si="264"/>
        <v>20282.026119384056</v>
      </c>
      <c r="L405" s="25"/>
      <c r="N405" s="25">
        <f>'Combined Retirement'!$C$18/12</f>
        <v>39153.069999999992</v>
      </c>
      <c r="O405" s="25">
        <f t="shared" si="265"/>
        <v>11007.82546143035</v>
      </c>
      <c r="P405" s="25">
        <f t="shared" si="266"/>
        <v>28145.244538569641</v>
      </c>
      <c r="Q405" s="25">
        <f t="array" aca="1" ref="Q405" ca="1">INDEX('Isaac 401k'!L:L,MATCH('Retirement Calculator'!A405,'Isaac 401k'!N:N,0),0)</f>
        <v>924659.47003371909</v>
      </c>
      <c r="R405" s="25">
        <f t="array" aca="1" ref="R405" ca="1">INDEX('Lorri 401b'!L:L,MATCH('Retirement Calculator'!A405,'Lorri 401b'!N:N,0),0)</f>
        <v>2442153.5791726196</v>
      </c>
      <c r="S405" s="25">
        <f t="shared" ca="1" si="267"/>
        <v>3366813.0492063388</v>
      </c>
    </row>
    <row r="406" spans="1:19" ht="15.75" customHeight="1" x14ac:dyDescent="0.3">
      <c r="A406" s="37">
        <v>63310</v>
      </c>
      <c r="B406" s="409">
        <f t="shared" ref="B406:C406" si="407">($A406-B$9)/365.25</f>
        <v>91.455167693360707</v>
      </c>
      <c r="C406" s="409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3525.4531757812501</v>
      </c>
      <c r="H406" s="25">
        <f>IF(B406&lt;62,0,'Combined Retirement'!$I$14)</f>
        <v>2192</v>
      </c>
      <c r="I406" s="25">
        <f>IF(C406&lt;62,0,'Combined Retirement'!$I$13)</f>
        <v>2420</v>
      </c>
      <c r="J406" s="25">
        <f t="shared" si="263"/>
        <v>7863.2184191855868</v>
      </c>
      <c r="K406" s="25">
        <f t="shared" si="264"/>
        <v>20282.026119384056</v>
      </c>
      <c r="L406" s="25"/>
      <c r="N406" s="25">
        <f>'Combined Retirement'!$C$18/12</f>
        <v>39153.069999999992</v>
      </c>
      <c r="O406" s="25">
        <f t="shared" si="265"/>
        <v>11007.82546143035</v>
      </c>
      <c r="P406" s="25">
        <f t="shared" si="266"/>
        <v>28145.244538569641</v>
      </c>
      <c r="Q406" s="25">
        <f t="array" aca="1" ref="Q406" ca="1">INDEX('Isaac 401k'!L:L,MATCH('Retirement Calculator'!A406,'Isaac 401k'!N:N,0),0)</f>
        <v>920616.23599626066</v>
      </c>
      <c r="R406" s="25">
        <f t="array" aca="1" ref="R406" ca="1">INDEX('Lorri 401b'!L:L,MATCH('Retirement Calculator'!A406,'Lorri 401b'!N:N,0),0)</f>
        <v>2431962.6845242907</v>
      </c>
      <c r="S406" s="25">
        <f t="shared" ca="1" si="267"/>
        <v>3352578.9205205515</v>
      </c>
    </row>
    <row r="407" spans="1:19" ht="15.75" customHeight="1" x14ac:dyDescent="0.3">
      <c r="A407" s="37">
        <v>63341</v>
      </c>
      <c r="B407" s="409">
        <f t="shared" ref="B407:C407" si="408">($A407-B$9)/365.25</f>
        <v>91.540041067761805</v>
      </c>
      <c r="C407" s="409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3525.4531757812501</v>
      </c>
      <c r="H407" s="25">
        <f>IF(B407&lt;62,0,'Combined Retirement'!$I$14)</f>
        <v>2192</v>
      </c>
      <c r="I407" s="25">
        <f>IF(C407&lt;62,0,'Combined Retirement'!$I$13)</f>
        <v>2420</v>
      </c>
      <c r="J407" s="25">
        <f t="shared" si="263"/>
        <v>7863.2184191855868</v>
      </c>
      <c r="K407" s="25">
        <f t="shared" si="264"/>
        <v>20282.026119384056</v>
      </c>
      <c r="L407" s="25"/>
      <c r="N407" s="25">
        <f>'Combined Retirement'!$C$18/12</f>
        <v>39153.069999999992</v>
      </c>
      <c r="O407" s="25">
        <f t="shared" si="265"/>
        <v>11007.82546143035</v>
      </c>
      <c r="P407" s="25">
        <f t="shared" si="266"/>
        <v>28145.244538569641</v>
      </c>
      <c r="Q407" s="25">
        <f t="array" aca="1" ref="Q407" ca="1">INDEX('Isaac 401k'!L:L,MATCH('Retirement Calculator'!A407,'Isaac 401k'!N:N,0),0)</f>
        <v>916556.15515031281</v>
      </c>
      <c r="R407" s="25">
        <f t="array" aca="1" ref="R407" ca="1">INDEX('Lorri 401b'!L:L,MATCH('Retirement Calculator'!A407,'Lorri 401b'!N:N,0),0)</f>
        <v>2421729.3278149273</v>
      </c>
      <c r="S407" s="25">
        <f t="shared" ca="1" si="267"/>
        <v>3338285.4829652403</v>
      </c>
    </row>
    <row r="408" spans="1:19" ht="15.75" customHeight="1" x14ac:dyDescent="0.3">
      <c r="A408" s="37">
        <v>63371</v>
      </c>
      <c r="B408" s="409">
        <f t="shared" ref="B408:C408" si="409">($A408-B$9)/365.25</f>
        <v>91.622176591375776</v>
      </c>
      <c r="C408" s="409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3525.4531757812501</v>
      </c>
      <c r="H408" s="25">
        <f>IF(B408&lt;62,0,'Combined Retirement'!$I$14)</f>
        <v>2192</v>
      </c>
      <c r="I408" s="25">
        <f>IF(C408&lt;62,0,'Combined Retirement'!$I$13)</f>
        <v>2420</v>
      </c>
      <c r="J408" s="25">
        <f t="shared" si="263"/>
        <v>7863.2184191855868</v>
      </c>
      <c r="K408" s="25">
        <f t="shared" si="264"/>
        <v>20282.026119384056</v>
      </c>
      <c r="L408" s="25"/>
      <c r="N408" s="25">
        <f>'Combined Retirement'!$C$18/12</f>
        <v>39153.069999999992</v>
      </c>
      <c r="O408" s="25">
        <f t="shared" si="265"/>
        <v>11007.82546143035</v>
      </c>
      <c r="P408" s="25">
        <f t="shared" si="266"/>
        <v>28145.244538569641</v>
      </c>
      <c r="Q408" s="25">
        <f t="array" aca="1" ref="Q408" ca="1">INDEX('Isaac 401k'!L:L,MATCH('Retirement Calculator'!A408,'Isaac 401k'!N:N,0),0)</f>
        <v>912479.15730084025</v>
      </c>
      <c r="R408" s="25">
        <f t="array" aca="1" ref="R408" ca="1">INDEX('Lorri 401b'!L:L,MATCH('Retirement Calculator'!A408,'Lorri 401b'!N:N,0),0)</f>
        <v>2411453.3321192749</v>
      </c>
      <c r="S408" s="25">
        <f t="shared" ca="1" si="267"/>
        <v>3323932.489420115</v>
      </c>
    </row>
    <row r="409" spans="1:19" ht="15.75" customHeight="1" x14ac:dyDescent="0.3">
      <c r="A409" s="37">
        <v>63402</v>
      </c>
      <c r="B409" s="409">
        <f t="shared" ref="B409:C409" si="410">($A409-B$9)/365.25</f>
        <v>91.707049965776861</v>
      </c>
      <c r="C409" s="409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3525.4531757812501</v>
      </c>
      <c r="H409" s="25">
        <f>IF(B409&lt;62,0,'Combined Retirement'!$I$14)</f>
        <v>2192</v>
      </c>
      <c r="I409" s="25">
        <f>IF(C409&lt;62,0,'Combined Retirement'!$I$13)</f>
        <v>2420</v>
      </c>
      <c r="J409" s="25">
        <f t="shared" si="263"/>
        <v>7863.2184191855868</v>
      </c>
      <c r="K409" s="25">
        <f t="shared" si="264"/>
        <v>20282.026119384056</v>
      </c>
      <c r="L409" s="25"/>
      <c r="N409" s="25">
        <f>'Combined Retirement'!$C$18/12</f>
        <v>39153.069999999992</v>
      </c>
      <c r="O409" s="25">
        <f t="shared" si="265"/>
        <v>11007.82546143035</v>
      </c>
      <c r="P409" s="25">
        <f t="shared" si="266"/>
        <v>28145.244538569641</v>
      </c>
      <c r="Q409" s="25">
        <f t="array" aca="1" ref="Q409" ca="1">INDEX('Isaac 401k'!L:L,MATCH('Retirement Calculator'!A409,'Isaac 401k'!N:N,0),0)</f>
        <v>908385.17196032824</v>
      </c>
      <c r="R409" s="25">
        <f t="array" aca="1" ref="R409" ca="1">INDEX('Lorri 401b'!L:L,MATCH('Retirement Calculator'!A409,'Lorri 401b'!N:N,0),0)</f>
        <v>2401134.5197748905</v>
      </c>
      <c r="S409" s="25">
        <f t="shared" ca="1" si="267"/>
        <v>3309519.6917352187</v>
      </c>
    </row>
    <row r="410" spans="1:19" ht="15.75" customHeight="1" x14ac:dyDescent="0.3">
      <c r="A410" s="37">
        <v>63433</v>
      </c>
      <c r="B410" s="409">
        <f t="shared" ref="B410:C410" si="411">($A410-B$9)/365.25</f>
        <v>91.791923340177959</v>
      </c>
      <c r="C410" s="409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3525.4531757812501</v>
      </c>
      <c r="H410" s="25">
        <f>IF(B410&lt;62,0,'Combined Retirement'!$I$14)</f>
        <v>2192</v>
      </c>
      <c r="I410" s="25">
        <f>IF(C410&lt;62,0,'Combined Retirement'!$I$13)</f>
        <v>2420</v>
      </c>
      <c r="J410" s="25">
        <f t="shared" si="263"/>
        <v>7863.2184191855868</v>
      </c>
      <c r="K410" s="25">
        <f t="shared" si="264"/>
        <v>20282.026119384056</v>
      </c>
      <c r="L410" s="25"/>
      <c r="N410" s="25">
        <f>'Combined Retirement'!$C$18/12</f>
        <v>39153.069999999992</v>
      </c>
      <c r="O410" s="25">
        <f t="shared" si="265"/>
        <v>11007.82546143035</v>
      </c>
      <c r="P410" s="25">
        <f t="shared" si="266"/>
        <v>28145.244538569641</v>
      </c>
      <c r="Q410" s="25">
        <f t="array" aca="1" ref="Q410" ca="1">INDEX('Isaac 401k'!L:L,MATCH('Retirement Calculator'!A410,'Isaac 401k'!N:N,0),0)</f>
        <v>904274.12834756402</v>
      </c>
      <c r="R410" s="25">
        <f t="array" aca="1" ref="R410" ca="1">INDEX('Lorri 401b'!L:L,MATCH('Retirement Calculator'!A410,'Lorri 401b'!N:N,0),0)</f>
        <v>2390772.7123790709</v>
      </c>
      <c r="S410" s="25">
        <f t="shared" ca="1" si="267"/>
        <v>3295046.840726635</v>
      </c>
    </row>
    <row r="411" spans="1:19" ht="15.75" customHeight="1" x14ac:dyDescent="0.3">
      <c r="A411" s="37">
        <v>63463</v>
      </c>
      <c r="B411" s="409">
        <f t="shared" ref="B411:C411" si="412">($A411-B$9)/365.25</f>
        <v>91.87405886379193</v>
      </c>
      <c r="C411" s="409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3525.4531757812501</v>
      </c>
      <c r="H411" s="25">
        <f>IF(B411&lt;62,0,'Combined Retirement'!$I$14)</f>
        <v>2192</v>
      </c>
      <c r="I411" s="25">
        <f>IF(C411&lt;62,0,'Combined Retirement'!$I$13)</f>
        <v>2420</v>
      </c>
      <c r="J411" s="25">
        <f t="shared" si="263"/>
        <v>7863.2184191855868</v>
      </c>
      <c r="K411" s="25">
        <f t="shared" si="264"/>
        <v>20282.026119384056</v>
      </c>
      <c r="L411" s="25"/>
      <c r="N411" s="25">
        <f>'Combined Retirement'!$C$18/12</f>
        <v>39153.069999999992</v>
      </c>
      <c r="O411" s="25">
        <f t="shared" si="265"/>
        <v>11007.82546143035</v>
      </c>
      <c r="P411" s="25">
        <f t="shared" si="266"/>
        <v>28145.244538569641</v>
      </c>
      <c r="Q411" s="25">
        <f t="array" aca="1" ref="Q411" ca="1">INDEX('Isaac 401k'!L:L,MATCH('Retirement Calculator'!A411,'Isaac 401k'!N:N,0),0)</f>
        <v>900145.95538641338</v>
      </c>
      <c r="R411" s="25">
        <f t="array" aca="1" ref="R411" ca="1">INDEX('Lorri 401b'!L:L,MATCH('Retirement Calculator'!A411,'Lorri 401b'!N:N,0),0)</f>
        <v>2380367.7307857689</v>
      </c>
      <c r="S411" s="25">
        <f t="shared" ca="1" si="267"/>
        <v>3280513.6861721822</v>
      </c>
    </row>
    <row r="412" spans="1:19" ht="15.75" customHeight="1" x14ac:dyDescent="0.3">
      <c r="A412" s="37">
        <v>63494</v>
      </c>
      <c r="B412" s="409">
        <f t="shared" ref="B412:C412" si="413">($A412-B$9)/365.25</f>
        <v>91.958932238193015</v>
      </c>
      <c r="C412" s="409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3525.4531757812501</v>
      </c>
      <c r="H412" s="25">
        <f>IF(B412&lt;62,0,'Combined Retirement'!$I$14)</f>
        <v>2192</v>
      </c>
      <c r="I412" s="25">
        <f>IF(C412&lt;62,0,'Combined Retirement'!$I$13)</f>
        <v>2420</v>
      </c>
      <c r="J412" s="25">
        <f t="shared" si="263"/>
        <v>7863.2184191855868</v>
      </c>
      <c r="K412" s="25">
        <f t="shared" si="264"/>
        <v>20282.026119384056</v>
      </c>
      <c r="L412" s="25"/>
      <c r="N412" s="25">
        <f>'Combined Retirement'!$C$18/12</f>
        <v>39153.069999999992</v>
      </c>
      <c r="O412" s="25">
        <f t="shared" si="265"/>
        <v>11007.82546143035</v>
      </c>
      <c r="P412" s="25">
        <f t="shared" si="266"/>
        <v>28145.244538569641</v>
      </c>
      <c r="Q412" s="25">
        <f t="array" aca="1" ref="Q412" ca="1">INDEX('Isaac 401k'!L:L,MATCH('Retirement Calculator'!A412,'Isaac 401k'!N:N,0),0)</f>
        <v>896000.58170459117</v>
      </c>
      <c r="R412" s="25">
        <f t="array" aca="1" ref="R412" ca="1">INDEX('Lorri 401b'!L:L,MATCH('Retirement Calculator'!A412,'Lorri 401b'!N:N,0),0)</f>
        <v>2369919.3951024949</v>
      </c>
      <c r="S412" s="25">
        <f t="shared" ca="1" si="267"/>
        <v>3265919.9768070858</v>
      </c>
    </row>
    <row r="413" spans="1:19" ht="15.75" customHeight="1" x14ac:dyDescent="0.3">
      <c r="A413" s="37">
        <v>63524</v>
      </c>
      <c r="B413" s="409">
        <f t="shared" ref="B413:C413" si="414">($A413-B$9)/365.25</f>
        <v>92.041067761806985</v>
      </c>
      <c r="C413" s="409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3525.4531757812501</v>
      </c>
      <c r="H413" s="25">
        <f>IF(B413&lt;62,0,'Combined Retirement'!$I$14)</f>
        <v>2192</v>
      </c>
      <c r="I413" s="25">
        <f>IF(C413&lt;62,0,'Combined Retirement'!$I$13)</f>
        <v>2420</v>
      </c>
      <c r="J413" s="25">
        <f t="shared" si="263"/>
        <v>7863.2184191855868</v>
      </c>
      <c r="K413" s="25">
        <f t="shared" si="264"/>
        <v>20282.026119384056</v>
      </c>
      <c r="L413" s="25"/>
      <c r="N413" s="25">
        <f>'Combined Retirement'!$C$18/12</f>
        <v>39153.069999999992</v>
      </c>
      <c r="O413" s="25">
        <f t="shared" si="265"/>
        <v>11007.82546143035</v>
      </c>
      <c r="P413" s="25">
        <f t="shared" si="266"/>
        <v>28145.244538569641</v>
      </c>
      <c r="Q413" s="25">
        <f t="array" aca="1" ref="Q413" ca="1">INDEX('Isaac 401k'!L:L,MATCH('Retirement Calculator'!A413,'Isaac 401k'!N:N,0),0)</f>
        <v>891837.93563242804</v>
      </c>
      <c r="R413" s="25">
        <f t="array" aca="1" ref="R413" ca="1">INDEX('Lorri 401b'!L:L,MATCH('Retirement Calculator'!A413,'Lorri 401b'!N:N,0),0)</f>
        <v>2359427.5246872073</v>
      </c>
      <c r="S413" s="25">
        <f t="shared" ca="1" si="267"/>
        <v>3251265.4603196355</v>
      </c>
    </row>
    <row r="414" spans="1:19" ht="15.75" customHeight="1" x14ac:dyDescent="0.3">
      <c r="A414" s="37">
        <v>63555</v>
      </c>
      <c r="B414" s="409">
        <f t="shared" ref="B414:C414" si="415">($A414-B$9)/365.25</f>
        <v>92.12594113620807</v>
      </c>
      <c r="C414" s="409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3525.4531757812501</v>
      </c>
      <c r="H414" s="25">
        <f>IF(B414&lt;62,0,'Combined Retirement'!$I$14)</f>
        <v>2192</v>
      </c>
      <c r="I414" s="25">
        <f>IF(C414&lt;62,0,'Combined Retirement'!$I$13)</f>
        <v>2420</v>
      </c>
      <c r="J414" s="25">
        <f t="shared" si="263"/>
        <v>7863.2184191855868</v>
      </c>
      <c r="K414" s="25">
        <f t="shared" si="264"/>
        <v>20282.026119384056</v>
      </c>
      <c r="L414" s="25"/>
      <c r="N414" s="25">
        <f>'Combined Retirement'!$C$18/12</f>
        <v>39153.069999999992</v>
      </c>
      <c r="O414" s="25">
        <f t="shared" si="265"/>
        <v>11007.82546143035</v>
      </c>
      <c r="P414" s="25">
        <f t="shared" si="266"/>
        <v>28145.244538569641</v>
      </c>
      <c r="Q414" s="25">
        <f t="array" aca="1" ref="Q414" ca="1">INDEX('Isaac 401k'!L:L,MATCH('Retirement Calculator'!A414,'Isaac 401k'!N:N,0),0)</f>
        <v>887657.94520163094</v>
      </c>
      <c r="R414" s="25">
        <f t="array" aca="1" ref="R414" ca="1">INDEX('Lorri 401b'!L:L,MATCH('Retirement Calculator'!A414,'Lorri 401b'!N:N,0),0)</f>
        <v>2348891.9381451891</v>
      </c>
      <c r="S414" s="25">
        <f t="shared" ca="1" si="267"/>
        <v>3236549.8833468203</v>
      </c>
    </row>
    <row r="415" spans="1:19" ht="15.75" customHeight="1" x14ac:dyDescent="0.3">
      <c r="A415" s="37">
        <v>63586</v>
      </c>
      <c r="B415" s="409">
        <f t="shared" ref="B415:C415" si="416">($A415-B$9)/365.25</f>
        <v>92.210814510609168</v>
      </c>
      <c r="C415" s="409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3525.4531757812501</v>
      </c>
      <c r="H415" s="25">
        <f>IF(B415&lt;62,0,'Combined Retirement'!$I$14)</f>
        <v>2192</v>
      </c>
      <c r="I415" s="25">
        <f>IF(C415&lt;62,0,'Combined Retirement'!$I$13)</f>
        <v>2420</v>
      </c>
      <c r="J415" s="25">
        <f t="shared" si="263"/>
        <v>7863.2184191855868</v>
      </c>
      <c r="K415" s="25">
        <f t="shared" si="264"/>
        <v>20282.026119384056</v>
      </c>
      <c r="L415" s="25"/>
      <c r="N415" s="25">
        <f>'Combined Retirement'!$C$18/12</f>
        <v>39153.069999999992</v>
      </c>
      <c r="O415" s="25">
        <f t="shared" si="265"/>
        <v>11007.82546143035</v>
      </c>
      <c r="P415" s="25">
        <f t="shared" si="266"/>
        <v>28145.244538569641</v>
      </c>
      <c r="Q415" s="25">
        <f t="array" aca="1" ref="Q415" ca="1">INDEX('Isaac 401k'!L:L,MATCH('Retirement Calculator'!A415,'Isaac 401k'!N:N,0),0)</f>
        <v>883460.53814403887</v>
      </c>
      <c r="R415" s="25">
        <f t="array" aca="1" ref="R415" ca="1">INDEX('Lorri 401b'!L:L,MATCH('Retirement Calculator'!A415,'Lorri 401b'!N:N,0),0)</f>
        <v>2338312.4533259128</v>
      </c>
      <c r="S415" s="25">
        <f t="shared" ca="1" si="267"/>
        <v>3221772.9914699518</v>
      </c>
    </row>
    <row r="416" spans="1:19" ht="15.75" customHeight="1" x14ac:dyDescent="0.3">
      <c r="A416" s="37">
        <v>63614</v>
      </c>
      <c r="B416" s="409">
        <f t="shared" ref="B416:C416" si="417">($A416-B$9)/365.25</f>
        <v>92.28747433264887</v>
      </c>
      <c r="C416" s="409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3525.4531757812501</v>
      </c>
      <c r="H416" s="25">
        <f>IF(B416&lt;62,0,'Combined Retirement'!$I$14)</f>
        <v>2192</v>
      </c>
      <c r="I416" s="25">
        <f>IF(C416&lt;62,0,'Combined Retirement'!$I$13)</f>
        <v>2420</v>
      </c>
      <c r="J416" s="25">
        <f t="shared" si="263"/>
        <v>7863.2184191855868</v>
      </c>
      <c r="K416" s="25">
        <f t="shared" si="264"/>
        <v>20282.026119384056</v>
      </c>
      <c r="L416" s="25"/>
      <c r="N416" s="25">
        <f>'Combined Retirement'!$C$18/12</f>
        <v>39153.069999999992</v>
      </c>
      <c r="O416" s="25">
        <f t="shared" si="265"/>
        <v>11007.82546143035</v>
      </c>
      <c r="P416" s="25">
        <f t="shared" si="266"/>
        <v>28145.244538569641</v>
      </c>
      <c r="Q416" s="25">
        <f t="array" aca="1" ref="Q416" ca="1">INDEX('Isaac 401k'!L:L,MATCH('Retirement Calculator'!A416,'Isaac 401k'!N:N,0),0)</f>
        <v>879245.64189037355</v>
      </c>
      <c r="R416" s="25">
        <f t="array" aca="1" ref="R416" ca="1">INDEX('Lorri 401b'!L:L,MATCH('Retirement Calculator'!A416,'Lorri 401b'!N:N,0),0)</f>
        <v>2327688.8873198894</v>
      </c>
      <c r="S416" s="25">
        <f t="shared" ca="1" si="267"/>
        <v>3206934.5292102629</v>
      </c>
    </row>
    <row r="417" spans="1:19" ht="15.75" customHeight="1" x14ac:dyDescent="0.3">
      <c r="A417" s="37">
        <v>63645</v>
      </c>
      <c r="B417" s="409">
        <f t="shared" ref="B417:C417" si="418">($A417-B$9)/365.25</f>
        <v>92.372347707049968</v>
      </c>
      <c r="C417" s="409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3525.4531757812501</v>
      </c>
      <c r="H417" s="25">
        <f>IF(B417&lt;62,0,'Combined Retirement'!$I$14)</f>
        <v>2192</v>
      </c>
      <c r="I417" s="25">
        <f>IF(C417&lt;62,0,'Combined Retirement'!$I$13)</f>
        <v>2420</v>
      </c>
      <c r="J417" s="25">
        <f t="shared" si="263"/>
        <v>7863.2184191855868</v>
      </c>
      <c r="K417" s="25">
        <f t="shared" si="264"/>
        <v>20282.026119384056</v>
      </c>
      <c r="L417" s="25"/>
      <c r="N417" s="25">
        <f>'Combined Retirement'!$C$18/12</f>
        <v>39153.069999999992</v>
      </c>
      <c r="O417" s="25">
        <f t="shared" si="265"/>
        <v>11007.82546143035</v>
      </c>
      <c r="P417" s="25">
        <f t="shared" si="266"/>
        <v>28145.244538569641</v>
      </c>
      <c r="Q417" s="25">
        <f t="array" aca="1" ref="Q417" ca="1">INDEX('Isaac 401k'!L:L,MATCH('Retirement Calculator'!A417,'Isaac 401k'!N:N,0),0)</f>
        <v>875013.1835689845</v>
      </c>
      <c r="R417" s="25">
        <f t="array" aca="1" ref="R417" ca="1">INDEX('Lorri 401b'!L:L,MATCH('Retirement Calculator'!A417,'Lorri 401b'!N:N,0),0)</f>
        <v>2317021.0564555074</v>
      </c>
      <c r="S417" s="25">
        <f t="shared" ca="1" si="267"/>
        <v>3192034.2400244921</v>
      </c>
    </row>
    <row r="418" spans="1:19" ht="15.75" customHeight="1" x14ac:dyDescent="0.3">
      <c r="A418" s="37">
        <v>63675</v>
      </c>
      <c r="B418" s="409">
        <f t="shared" ref="B418:C418" si="419">($A418-B$9)/365.25</f>
        <v>92.454483230663925</v>
      </c>
      <c r="C418" s="409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3525.4531757812501</v>
      </c>
      <c r="H418" s="25">
        <f>IF(B418&lt;62,0,'Combined Retirement'!$I$14)</f>
        <v>2192</v>
      </c>
      <c r="I418" s="25">
        <f>IF(C418&lt;62,0,'Combined Retirement'!$I$13)</f>
        <v>2420</v>
      </c>
      <c r="J418" s="25">
        <f t="shared" si="263"/>
        <v>7863.2184191855868</v>
      </c>
      <c r="K418" s="25">
        <f t="shared" si="264"/>
        <v>20282.026119384056</v>
      </c>
      <c r="L418" s="25"/>
      <c r="N418" s="25">
        <f>'Combined Retirement'!$C$18/12</f>
        <v>39153.069999999992</v>
      </c>
      <c r="O418" s="25">
        <f t="shared" si="265"/>
        <v>11007.82546143035</v>
      </c>
      <c r="P418" s="25">
        <f t="shared" si="266"/>
        <v>28145.244538569641</v>
      </c>
      <c r="Q418" s="25">
        <f t="array" aca="1" ref="Q418" ca="1">INDEX('Isaac 401k'!L:L,MATCH('Retirement Calculator'!A418,'Isaac 401k'!N:N,0),0)</f>
        <v>870763.09000458976</v>
      </c>
      <c r="R418" s="25">
        <f t="array" aca="1" ref="R418" ca="1">INDEX('Lorri 401b'!L:L,MATCH('Retirement Calculator'!A418,'Lorri 401b'!N:N,0),0)</f>
        <v>2306308.7762958575</v>
      </c>
      <c r="S418" s="25">
        <f t="shared" ca="1" si="267"/>
        <v>3177071.8663004474</v>
      </c>
    </row>
    <row r="419" spans="1:19" ht="15.75" customHeight="1" x14ac:dyDescent="0.3">
      <c r="A419" s="37">
        <v>63706</v>
      </c>
      <c r="B419" s="409">
        <f t="shared" ref="B419:C419" si="420">($A419-B$9)/365.25</f>
        <v>92.539356605065024</v>
      </c>
      <c r="C419" s="409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3525.4531757812501</v>
      </c>
      <c r="H419" s="25">
        <f>IF(B419&lt;62,0,'Combined Retirement'!$I$14)</f>
        <v>2192</v>
      </c>
      <c r="I419" s="25">
        <f>IF(C419&lt;62,0,'Combined Retirement'!$I$13)</f>
        <v>2420</v>
      </c>
      <c r="J419" s="25">
        <f t="shared" si="263"/>
        <v>7863.2184191855868</v>
      </c>
      <c r="K419" s="25">
        <f t="shared" si="264"/>
        <v>20282.026119384056</v>
      </c>
      <c r="L419" s="25"/>
      <c r="N419" s="25">
        <f>'Combined Retirement'!$C$18/12</f>
        <v>39153.069999999992</v>
      </c>
      <c r="O419" s="25">
        <f t="shared" si="265"/>
        <v>11007.82546143035</v>
      </c>
      <c r="P419" s="25">
        <f t="shared" si="266"/>
        <v>28145.244538569641</v>
      </c>
      <c r="Q419" s="25">
        <f t="array" aca="1" ref="Q419" ca="1">INDEX('Isaac 401k'!L:L,MATCH('Retirement Calculator'!A419,'Isaac 401k'!N:N,0),0)</f>
        <v>866495.28771701001</v>
      </c>
      <c r="R419" s="25">
        <f t="array" aca="1" ref="R419" ca="1">INDEX('Lorri 401b'!L:L,MATCH('Retirement Calculator'!A419,'Lorri 401b'!N:N,0),0)</f>
        <v>2295551.861635542</v>
      </c>
      <c r="S419" s="25">
        <f t="shared" ca="1" si="267"/>
        <v>3162047.1493525519</v>
      </c>
    </row>
    <row r="420" spans="1:19" ht="15.75" customHeight="1" x14ac:dyDescent="0.3">
      <c r="A420" s="37">
        <v>63736</v>
      </c>
      <c r="B420" s="409">
        <f t="shared" ref="B420:C420" si="421">($A420-B$9)/365.25</f>
        <v>92.62149212867898</v>
      </c>
      <c r="C420" s="409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3525.4531757812501</v>
      </c>
      <c r="H420" s="25">
        <f>IF(B420&lt;62,0,'Combined Retirement'!$I$14)</f>
        <v>2192</v>
      </c>
      <c r="I420" s="25">
        <f>IF(C420&lt;62,0,'Combined Retirement'!$I$13)</f>
        <v>2420</v>
      </c>
      <c r="J420" s="25">
        <f t="shared" si="263"/>
        <v>7863.2184191855868</v>
      </c>
      <c r="K420" s="25">
        <f t="shared" si="264"/>
        <v>20282.026119384056</v>
      </c>
      <c r="L420" s="25"/>
      <c r="N420" s="25">
        <f>'Combined Retirement'!$C$18/12</f>
        <v>39153.069999999992</v>
      </c>
      <c r="O420" s="25">
        <f t="shared" si="265"/>
        <v>11007.82546143035</v>
      </c>
      <c r="P420" s="25">
        <f t="shared" si="266"/>
        <v>28145.244538569641</v>
      </c>
      <c r="Q420" s="25">
        <f t="array" aca="1" ref="Q420" ca="1">INDEX('Isaac 401k'!L:L,MATCH('Retirement Calculator'!A420,'Isaac 401k'!N:N,0),0)</f>
        <v>862209.70291989867</v>
      </c>
      <c r="R420" s="25">
        <f t="array" aca="1" ref="R420" ca="1">INDEX('Lorri 401b'!L:L,MATCH('Retirement Calculator'!A420,'Lorri 401b'!N:N,0),0)</f>
        <v>2284750.1264974754</v>
      </c>
      <c r="S420" s="25">
        <f t="shared" ca="1" si="267"/>
        <v>3146959.829417374</v>
      </c>
    </row>
    <row r="421" spans="1:19" ht="15.75" customHeight="1" x14ac:dyDescent="0.3">
      <c r="A421" s="37">
        <v>63767</v>
      </c>
      <c r="B421" s="409">
        <f t="shared" ref="B421:C421" si="422">($A421-B$9)/365.25</f>
        <v>92.706365503080079</v>
      </c>
      <c r="C421" s="409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3525.4531757812501</v>
      </c>
      <c r="H421" s="25">
        <f>IF(B421&lt;62,0,'Combined Retirement'!$I$14)</f>
        <v>2192</v>
      </c>
      <c r="I421" s="25">
        <f>IF(C421&lt;62,0,'Combined Retirement'!$I$13)</f>
        <v>2420</v>
      </c>
      <c r="J421" s="25">
        <f t="shared" si="263"/>
        <v>7863.2184191855868</v>
      </c>
      <c r="K421" s="25">
        <f t="shared" si="264"/>
        <v>20282.026119384056</v>
      </c>
      <c r="L421" s="25"/>
      <c r="N421" s="25">
        <f>'Combined Retirement'!$C$18/12</f>
        <v>39153.069999999992</v>
      </c>
      <c r="O421" s="25">
        <f t="shared" si="265"/>
        <v>11007.82546143035</v>
      </c>
      <c r="P421" s="25">
        <f t="shared" si="266"/>
        <v>28145.244538569641</v>
      </c>
      <c r="Q421" s="25">
        <f t="array" aca="1" ref="Q421" ca="1">INDEX('Isaac 401k'!L:L,MATCH('Retirement Calculator'!A421,'Isaac 401k'!N:N,0),0)</f>
        <v>857906.26151946606</v>
      </c>
      <c r="R421" s="25">
        <f t="array" aca="1" ref="R421" ca="1">INDEX('Lorri 401b'!L:L,MATCH('Retirement Calculator'!A421,'Lorri 401b'!N:N,0),0)</f>
        <v>2273903.3841296667</v>
      </c>
      <c r="S421" s="25">
        <f t="shared" ca="1" si="267"/>
        <v>3131809.6456491328</v>
      </c>
    </row>
    <row r="422" spans="1:19" ht="15.75" customHeight="1" x14ac:dyDescent="0.3">
      <c r="A422" s="37">
        <v>63798</v>
      </c>
      <c r="B422" s="409">
        <f t="shared" ref="B422:C422" si="423">($A422-B$9)/365.25</f>
        <v>92.791238877481177</v>
      </c>
      <c r="C422" s="409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3525.4531757812501</v>
      </c>
      <c r="H422" s="25">
        <f>IF(B422&lt;62,0,'Combined Retirement'!$I$14)</f>
        <v>2192</v>
      </c>
      <c r="I422" s="25">
        <f>IF(C422&lt;62,0,'Combined Retirement'!$I$13)</f>
        <v>2420</v>
      </c>
      <c r="J422" s="25">
        <f t="shared" si="263"/>
        <v>7863.2184191855868</v>
      </c>
      <c r="K422" s="25">
        <f t="shared" si="264"/>
        <v>20282.026119384056</v>
      </c>
      <c r="L422" s="25"/>
      <c r="N422" s="25">
        <f>'Combined Retirement'!$C$18/12</f>
        <v>39153.069999999992</v>
      </c>
      <c r="O422" s="25">
        <f t="shared" si="265"/>
        <v>11007.82546143035</v>
      </c>
      <c r="P422" s="25">
        <f t="shared" si="266"/>
        <v>28145.244538569641</v>
      </c>
      <c r="Q422" s="25">
        <f t="array" aca="1" ref="Q422" ca="1">INDEX('Isaac 401k'!L:L,MATCH('Retirement Calculator'!A422,'Isaac 401k'!N:N,0),0)</f>
        <v>853584.88911319827</v>
      </c>
      <c r="R422" s="25">
        <f t="array" aca="1" ref="R422" ca="1">INDEX('Lorri 401b'!L:L,MATCH('Retirement Calculator'!A422,'Lorri 401b'!N:N,0),0)</f>
        <v>2263011.4470019923</v>
      </c>
      <c r="S422" s="25">
        <f t="shared" ca="1" si="267"/>
        <v>3116596.3361151908</v>
      </c>
    </row>
    <row r="423" spans="1:19" ht="15.75" customHeight="1" x14ac:dyDescent="0.3">
      <c r="A423" s="37">
        <v>63828</v>
      </c>
      <c r="B423" s="409">
        <f t="shared" ref="B423:C423" si="424">($A423-B$9)/365.25</f>
        <v>92.873374401095134</v>
      </c>
      <c r="C423" s="409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3525.4531757812501</v>
      </c>
      <c r="H423" s="25">
        <f>IF(B423&lt;62,0,'Combined Retirement'!$I$14)</f>
        <v>2192</v>
      </c>
      <c r="I423" s="25">
        <f>IF(C423&lt;62,0,'Combined Retirement'!$I$13)</f>
        <v>2420</v>
      </c>
      <c r="J423" s="25">
        <f t="shared" si="263"/>
        <v>7863.2184191855868</v>
      </c>
      <c r="K423" s="25">
        <f t="shared" si="264"/>
        <v>20282.026119384056</v>
      </c>
      <c r="L423" s="25"/>
      <c r="N423" s="25">
        <f>'Combined Retirement'!$C$18/12</f>
        <v>39153.069999999992</v>
      </c>
      <c r="O423" s="25">
        <f t="shared" si="265"/>
        <v>11007.82546143035</v>
      </c>
      <c r="P423" s="25">
        <f t="shared" si="266"/>
        <v>28145.244538569641</v>
      </c>
      <c r="Q423" s="25">
        <f t="array" aca="1" ref="Q423" ca="1">INDEX('Isaac 401k'!L:L,MATCH('Retirement Calculator'!A423,'Isaac 401k'!N:N,0),0)</f>
        <v>849245.5109885711</v>
      </c>
      <c r="R423" s="25">
        <f t="array" aca="1" ref="R423" ca="1">INDEX('Lorri 401b'!L:L,MATCH('Retirement Calculator'!A423,'Lorri 401b'!N:N,0),0)</f>
        <v>2252074.1268029525</v>
      </c>
      <c r="S423" s="25">
        <f t="shared" ca="1" si="267"/>
        <v>3101319.6377915237</v>
      </c>
    </row>
    <row r="424" spans="1:19" ht="15.75" customHeight="1" x14ac:dyDescent="0.3">
      <c r="A424" s="37">
        <v>63859</v>
      </c>
      <c r="B424" s="409">
        <f t="shared" ref="B424:C424" si="425">($A424-B$9)/365.25</f>
        <v>92.958247775496233</v>
      </c>
      <c r="C424" s="409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3525.4531757812501</v>
      </c>
      <c r="H424" s="25">
        <f>IF(B424&lt;62,0,'Combined Retirement'!$I$14)</f>
        <v>2192</v>
      </c>
      <c r="I424" s="25">
        <f>IF(C424&lt;62,0,'Combined Retirement'!$I$13)</f>
        <v>2420</v>
      </c>
      <c r="J424" s="25">
        <f t="shared" si="263"/>
        <v>7863.2184191855868</v>
      </c>
      <c r="K424" s="25">
        <f t="shared" si="264"/>
        <v>20282.026119384056</v>
      </c>
      <c r="L424" s="25"/>
      <c r="N424" s="25">
        <f>'Combined Retirement'!$C$18/12</f>
        <v>39153.069999999992</v>
      </c>
      <c r="O424" s="25">
        <f t="shared" si="265"/>
        <v>11007.82546143035</v>
      </c>
      <c r="P424" s="25">
        <f t="shared" si="266"/>
        <v>28145.244538569641</v>
      </c>
      <c r="Q424" s="25">
        <f t="array" aca="1" ref="Q424" ca="1">INDEX('Isaac 401k'!L:L,MATCH('Retirement Calculator'!A424,'Isaac 401k'!N:N,0),0)</f>
        <v>844888.05212175788</v>
      </c>
      <c r="R424" s="25">
        <f t="array" aca="1" ref="R424" ca="1">INDEX('Lorri 401b'!L:L,MATCH('Retirement Calculator'!A424,'Lorri 401b'!N:N,0),0)</f>
        <v>2241091.2344364165</v>
      </c>
      <c r="S424" s="25">
        <f t="shared" ca="1" si="267"/>
        <v>3085979.2865581745</v>
      </c>
    </row>
    <row r="425" spans="1:19" ht="15.75" customHeight="1" x14ac:dyDescent="0.3">
      <c r="A425" s="37">
        <v>63889</v>
      </c>
      <c r="B425" s="409">
        <f t="shared" ref="B425:C425" si="426">($A425-B$9)/365.25</f>
        <v>93.040383299110204</v>
      </c>
      <c r="C425" s="409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3525.4531757812501</v>
      </c>
      <c r="H425" s="25">
        <f>IF(B425&lt;62,0,'Combined Retirement'!$I$14)</f>
        <v>2192</v>
      </c>
      <c r="I425" s="25">
        <f>IF(C425&lt;62,0,'Combined Retirement'!$I$13)</f>
        <v>2420</v>
      </c>
      <c r="J425" s="25">
        <f t="shared" si="263"/>
        <v>7863.2184191855868</v>
      </c>
      <c r="K425" s="25">
        <f t="shared" si="264"/>
        <v>20282.026119384056</v>
      </c>
      <c r="L425" s="25"/>
      <c r="N425" s="25">
        <f>'Combined Retirement'!$C$18/12</f>
        <v>39153.069999999992</v>
      </c>
      <c r="O425" s="25">
        <f t="shared" si="265"/>
        <v>11007.82546143035</v>
      </c>
      <c r="P425" s="25">
        <f t="shared" si="266"/>
        <v>28145.244538569641</v>
      </c>
      <c r="Q425" s="25">
        <f t="array" aca="1" ref="Q425" ca="1">INDEX('Isaac 401k'!L:L,MATCH('Retirement Calculator'!A425,'Isaac 401k'!N:N,0),0)</f>
        <v>840512.43717633304</v>
      </c>
      <c r="R425" s="25">
        <f t="array" aca="1" ref="R425" ca="1">INDEX('Lorri 401b'!L:L,MATCH('Retirement Calculator'!A425,'Lorri 401b'!N:N,0),0)</f>
        <v>2230062.5800183536</v>
      </c>
      <c r="S425" s="25">
        <f t="shared" ca="1" si="267"/>
        <v>3070575.0171946865</v>
      </c>
    </row>
    <row r="426" spans="1:19" ht="15.75" customHeight="1" x14ac:dyDescent="0.3">
      <c r="A426" s="37">
        <v>63920</v>
      </c>
      <c r="B426" s="409">
        <f t="shared" ref="B426:C426" si="427">($A426-B$9)/365.25</f>
        <v>93.125256673511288</v>
      </c>
      <c r="C426" s="409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3525.4531757812501</v>
      </c>
      <c r="H426" s="25">
        <f>IF(B426&lt;62,0,'Combined Retirement'!$I$14)</f>
        <v>2192</v>
      </c>
      <c r="I426" s="25">
        <f>IF(C426&lt;62,0,'Combined Retirement'!$I$13)</f>
        <v>2420</v>
      </c>
      <c r="J426" s="25">
        <f t="shared" si="263"/>
        <v>7863.2184191855868</v>
      </c>
      <c r="K426" s="25">
        <f t="shared" si="264"/>
        <v>20282.026119384056</v>
      </c>
      <c r="L426" s="25"/>
      <c r="N426" s="25">
        <f>'Combined Retirement'!$C$18/12</f>
        <v>39153.069999999992</v>
      </c>
      <c r="O426" s="25">
        <f t="shared" si="265"/>
        <v>11007.82546143035</v>
      </c>
      <c r="P426" s="25">
        <f t="shared" si="266"/>
        <v>28145.244538569641</v>
      </c>
      <c r="Q426" s="25">
        <f t="array" aca="1" ref="Q426" ca="1">INDEX('Isaac 401k'!L:L,MATCH('Retirement Calculator'!A426,'Isaac 401k'!N:N,0),0)</f>
        <v>836118.59050196887</v>
      </c>
      <c r="R426" s="25">
        <f t="array" aca="1" ref="R426" ca="1">INDEX('Lorri 401b'!L:L,MATCH('Retirement Calculator'!A426,'Lorri 401b'!N:N,0),0)</f>
        <v>2218987.9728735485</v>
      </c>
      <c r="S426" s="25">
        <f t="shared" ca="1" si="267"/>
        <v>3055106.5633755173</v>
      </c>
    </row>
    <row r="427" spans="1:19" ht="15.75" customHeight="1" x14ac:dyDescent="0.3">
      <c r="A427" s="37">
        <v>63951</v>
      </c>
      <c r="B427" s="409">
        <f t="shared" ref="B427:C427" si="428">($A427-B$9)/365.25</f>
        <v>93.210130047912386</v>
      </c>
      <c r="C427" s="409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3525.4531757812501</v>
      </c>
      <c r="H427" s="25">
        <f>IF(B427&lt;62,0,'Combined Retirement'!$I$14)</f>
        <v>2192</v>
      </c>
      <c r="I427" s="25">
        <f>IF(C427&lt;62,0,'Combined Retirement'!$I$13)</f>
        <v>2420</v>
      </c>
      <c r="J427" s="25">
        <f t="shared" si="263"/>
        <v>7863.2184191855868</v>
      </c>
      <c r="K427" s="25">
        <f t="shared" si="264"/>
        <v>20282.026119384056</v>
      </c>
      <c r="L427" s="25"/>
      <c r="N427" s="25">
        <f>'Combined Retirement'!$C$18/12</f>
        <v>39153.069999999992</v>
      </c>
      <c r="O427" s="25">
        <f t="shared" si="265"/>
        <v>11007.82546143035</v>
      </c>
      <c r="P427" s="25">
        <f t="shared" si="266"/>
        <v>28145.244538569641</v>
      </c>
      <c r="Q427" s="25">
        <f t="array" aca="1" ref="Q427" ca="1">INDEX('Isaac 401k'!L:L,MATCH('Retirement Calculator'!A427,'Isaac 401k'!N:N,0),0)</f>
        <v>831706.43613312824</v>
      </c>
      <c r="R427" s="25">
        <f t="array" aca="1" ref="R427" ca="1">INDEX('Lorri 401b'!L:L,MATCH('Retirement Calculator'!A427,'Lorri 401b'!N:N,0),0)</f>
        <v>2207867.2215323071</v>
      </c>
      <c r="S427" s="25">
        <f t="shared" ca="1" si="267"/>
        <v>3039573.6576654352</v>
      </c>
    </row>
    <row r="428" spans="1:19" ht="15.75" customHeight="1" x14ac:dyDescent="0.3">
      <c r="A428" s="37">
        <v>63979</v>
      </c>
      <c r="B428" s="409">
        <f t="shared" ref="B428:C428" si="429">($A428-B$9)/365.25</f>
        <v>93.286789869952088</v>
      </c>
      <c r="C428" s="409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3525.4531757812501</v>
      </c>
      <c r="H428" s="25">
        <f>IF(B428&lt;62,0,'Combined Retirement'!$I$14)</f>
        <v>2192</v>
      </c>
      <c r="I428" s="25">
        <f>IF(C428&lt;62,0,'Combined Retirement'!$I$13)</f>
        <v>2420</v>
      </c>
      <c r="J428" s="25">
        <f t="shared" si="263"/>
        <v>7863.2184191855868</v>
      </c>
      <c r="K428" s="25">
        <f t="shared" si="264"/>
        <v>20282.026119384056</v>
      </c>
      <c r="L428" s="25"/>
      <c r="N428" s="25">
        <f>'Combined Retirement'!$C$18/12</f>
        <v>39153.069999999992</v>
      </c>
      <c r="O428" s="25">
        <f t="shared" si="265"/>
        <v>11007.82546143035</v>
      </c>
      <c r="P428" s="25">
        <f t="shared" si="266"/>
        <v>28145.244538569641</v>
      </c>
      <c r="Q428" s="25">
        <f t="array" aca="1" ref="Q428" ca="1">INDEX('Isaac 401k'!L:L,MATCH('Retirement Calculator'!A428,'Isaac 401k'!N:N,0),0)</f>
        <v>827275.8977877507</v>
      </c>
      <c r="R428" s="25">
        <f t="array" aca="1" ref="R428" ca="1">INDEX('Lorri 401b'!L:L,MATCH('Retirement Calculator'!A428,'Lorri 401b'!N:N,0),0)</f>
        <v>2196700.1337271435</v>
      </c>
      <c r="S428" s="25">
        <f t="shared" ca="1" si="267"/>
        <v>3023976.0315148942</v>
      </c>
    </row>
    <row r="429" spans="1:19" ht="15.75" customHeight="1" x14ac:dyDescent="0.3">
      <c r="A429" s="37">
        <v>64010</v>
      </c>
      <c r="B429" s="409">
        <f t="shared" ref="B429:C429" si="430">($A429-B$9)/365.25</f>
        <v>93.371663244353186</v>
      </c>
      <c r="C429" s="409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3525.4531757812501</v>
      </c>
      <c r="H429" s="25">
        <f>IF(B429&lt;62,0,'Combined Retirement'!$I$14)</f>
        <v>2192</v>
      </c>
      <c r="I429" s="25">
        <f>IF(C429&lt;62,0,'Combined Retirement'!$I$13)</f>
        <v>2420</v>
      </c>
      <c r="J429" s="25">
        <f t="shared" si="263"/>
        <v>7863.2184191855868</v>
      </c>
      <c r="K429" s="25">
        <f t="shared" si="264"/>
        <v>20282.026119384056</v>
      </c>
      <c r="L429" s="25"/>
      <c r="N429" s="25">
        <f>'Combined Retirement'!$C$18/12</f>
        <v>39153.069999999992</v>
      </c>
      <c r="O429" s="25">
        <f t="shared" si="265"/>
        <v>11007.82546143035</v>
      </c>
      <c r="P429" s="25">
        <f t="shared" si="266"/>
        <v>28145.244538569641</v>
      </c>
      <c r="Q429" s="25">
        <f t="array" aca="1" ref="Q429" ca="1">INDEX('Isaac 401k'!L:L,MATCH('Retirement Calculator'!A429,'Isaac 401k'!N:N,0),0)</f>
        <v>822826.89886593411</v>
      </c>
      <c r="R429" s="25">
        <f t="array" aca="1" ref="R429" ca="1">INDEX('Lorri 401b'!L:L,MATCH('Retirement Calculator'!A429,'Lorri 401b'!N:N,0),0)</f>
        <v>2185486.5163894584</v>
      </c>
      <c r="S429" s="25">
        <f t="shared" ca="1" si="267"/>
        <v>3008313.4152553924</v>
      </c>
    </row>
    <row r="430" spans="1:19" ht="15.75" customHeight="1" x14ac:dyDescent="0.3">
      <c r="A430" s="37">
        <v>64040</v>
      </c>
      <c r="B430" s="409">
        <f t="shared" ref="B430:C430" si="431">($A430-B$9)/365.25</f>
        <v>93.453798767967143</v>
      </c>
      <c r="C430" s="409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3525.4531757812501</v>
      </c>
      <c r="H430" s="25">
        <f>IF(B430&lt;62,0,'Combined Retirement'!$I$14)</f>
        <v>2192</v>
      </c>
      <c r="I430" s="25">
        <f>IF(C430&lt;62,0,'Combined Retirement'!$I$13)</f>
        <v>2420</v>
      </c>
      <c r="J430" s="25">
        <f t="shared" si="263"/>
        <v>7863.2184191855868</v>
      </c>
      <c r="K430" s="25">
        <f t="shared" si="264"/>
        <v>20282.026119384056</v>
      </c>
      <c r="L430" s="25"/>
      <c r="N430" s="25">
        <f>'Combined Retirement'!$C$18/12</f>
        <v>39153.069999999992</v>
      </c>
      <c r="O430" s="25">
        <f t="shared" si="265"/>
        <v>11007.82546143035</v>
      </c>
      <c r="P430" s="25">
        <f t="shared" si="266"/>
        <v>28145.244538569641</v>
      </c>
      <c r="Q430" s="25">
        <f t="array" aca="1" ref="Q430" ca="1">INDEX('Isaac 401k'!L:L,MATCH('Retirement Calculator'!A430,'Isaac 401k'!N:N,0),0)</f>
        <v>818359.3624486099</v>
      </c>
      <c r="R430" s="25">
        <f t="array" aca="1" ref="R430" ca="1">INDEX('Lorri 401b'!L:L,MATCH('Retirement Calculator'!A430,'Lorri 401b'!N:N,0),0)</f>
        <v>2174226.1756461998</v>
      </c>
      <c r="S430" s="25">
        <f t="shared" ca="1" si="267"/>
        <v>2992585.5380948097</v>
      </c>
    </row>
    <row r="431" spans="1:19" ht="15.75" customHeight="1" x14ac:dyDescent="0.3">
      <c r="A431" s="37">
        <v>64071</v>
      </c>
      <c r="B431" s="409">
        <f t="shared" ref="B431:C431" si="432">($A431-B$9)/365.25</f>
        <v>93.538672142368242</v>
      </c>
      <c r="C431" s="409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3525.4531757812501</v>
      </c>
      <c r="H431" s="25">
        <f>IF(B431&lt;62,0,'Combined Retirement'!$I$14)</f>
        <v>2192</v>
      </c>
      <c r="I431" s="25">
        <f>IF(C431&lt;62,0,'Combined Retirement'!$I$13)</f>
        <v>2420</v>
      </c>
      <c r="J431" s="25">
        <f t="shared" si="263"/>
        <v>7863.2184191855868</v>
      </c>
      <c r="K431" s="25">
        <f t="shared" si="264"/>
        <v>20282.026119384056</v>
      </c>
      <c r="L431" s="25"/>
      <c r="N431" s="25">
        <f>'Combined Retirement'!$C$18/12</f>
        <v>39153.069999999992</v>
      </c>
      <c r="O431" s="25">
        <f t="shared" si="265"/>
        <v>11007.82546143035</v>
      </c>
      <c r="P431" s="25">
        <f t="shared" si="266"/>
        <v>28145.244538569641</v>
      </c>
      <c r="Q431" s="25">
        <f t="array" aca="1" ref="Q431" ca="1">INDEX('Isaac 401k'!L:L,MATCH('Retirement Calculator'!A431,'Isaac 401k'!N:N,0),0)</f>
        <v>813873.21129621356</v>
      </c>
      <c r="R431" s="25">
        <f t="array" aca="1" ref="R431" ca="1">INDEX('Lorri 401b'!L:L,MATCH('Retirement Calculator'!A431,'Lorri 401b'!N:N,0),0)</f>
        <v>2162918.9168165107</v>
      </c>
      <c r="S431" s="25">
        <f t="shared" ca="1" si="267"/>
        <v>2976792.1281127241</v>
      </c>
    </row>
    <row r="432" spans="1:19" ht="15.75" customHeight="1" x14ac:dyDescent="0.3">
      <c r="A432" s="37">
        <v>64101</v>
      </c>
      <c r="B432" s="409">
        <f t="shared" ref="B432:C432" si="433">($A432-B$9)/365.25</f>
        <v>93.620807665982198</v>
      </c>
      <c r="C432" s="409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3525.4531757812501</v>
      </c>
      <c r="H432" s="25">
        <f>IF(B432&lt;62,0,'Combined Retirement'!$I$14)</f>
        <v>2192</v>
      </c>
      <c r="I432" s="25">
        <f>IF(C432&lt;62,0,'Combined Retirement'!$I$13)</f>
        <v>2420</v>
      </c>
      <c r="J432" s="25">
        <f t="shared" si="263"/>
        <v>7863.2184191855868</v>
      </c>
      <c r="K432" s="25">
        <f t="shared" si="264"/>
        <v>20282.026119384056</v>
      </c>
      <c r="L432" s="25"/>
      <c r="N432" s="25">
        <f>'Combined Retirement'!$C$18/12</f>
        <v>39153.069999999992</v>
      </c>
      <c r="O432" s="25">
        <f t="shared" si="265"/>
        <v>11007.82546143035</v>
      </c>
      <c r="P432" s="25">
        <f t="shared" si="266"/>
        <v>28145.244538569641</v>
      </c>
      <c r="Q432" s="25">
        <f t="array" aca="1" ref="Q432" ca="1">INDEX('Isaac 401k'!L:L,MATCH('Retirement Calculator'!A432,'Isaac 401k'!N:N,0),0)</f>
        <v>809368.36784734891</v>
      </c>
      <c r="R432" s="25">
        <f t="array" aca="1" ref="R432" ca="1">INDEX('Lorri 401b'!L:L,MATCH('Retirement Calculator'!A432,'Lorri 401b'!N:N,0),0)</f>
        <v>2151564.5444083647</v>
      </c>
      <c r="S432" s="25">
        <f t="shared" ca="1" si="267"/>
        <v>2960932.9122557137</v>
      </c>
    </row>
    <row r="433" spans="1:19" ht="15.75" customHeight="1" x14ac:dyDescent="0.3">
      <c r="A433" s="37">
        <v>64132</v>
      </c>
      <c r="B433" s="409">
        <f t="shared" ref="B433:C433" si="434">($A433-B$9)/365.25</f>
        <v>93.705681040383297</v>
      </c>
      <c r="C433" s="409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3525.4531757812501</v>
      </c>
      <c r="H433" s="25">
        <f>IF(B433&lt;62,0,'Combined Retirement'!$I$14)</f>
        <v>2192</v>
      </c>
      <c r="I433" s="25">
        <f>IF(C433&lt;62,0,'Combined Retirement'!$I$13)</f>
        <v>2420</v>
      </c>
      <c r="J433" s="25">
        <f t="shared" si="263"/>
        <v>7863.2184191855868</v>
      </c>
      <c r="K433" s="25">
        <f t="shared" si="264"/>
        <v>20282.026119384056</v>
      </c>
      <c r="L433" s="25"/>
      <c r="N433" s="25">
        <f>'Combined Retirement'!$C$18/12</f>
        <v>39153.069999999992</v>
      </c>
      <c r="O433" s="25">
        <f t="shared" si="265"/>
        <v>11007.82546143035</v>
      </c>
      <c r="P433" s="25">
        <f t="shared" si="266"/>
        <v>28145.244538569641</v>
      </c>
      <c r="Q433" s="25">
        <f t="array" aca="1" ref="Q433" ca="1">INDEX('Isaac 401k'!L:L,MATCH('Retirement Calculator'!A433,'Isaac 401k'!N:N,0),0)</f>
        <v>804844.75421744736</v>
      </c>
      <c r="R433" s="25">
        <f t="array" aca="1" ref="R433" ca="1">INDEX('Lorri 401b'!L:L,MATCH('Retirement Calculator'!A433,'Lorri 401b'!N:N,0),0)</f>
        <v>2140162.8621151848</v>
      </c>
      <c r="S433" s="25">
        <f t="shared" ca="1" si="267"/>
        <v>2945007.616332632</v>
      </c>
    </row>
    <row r="434" spans="1:19" ht="15.75" customHeight="1" x14ac:dyDescent="0.3">
      <c r="A434" s="37">
        <v>64163</v>
      </c>
      <c r="B434" s="409">
        <f t="shared" ref="B434:C434" si="435">($A434-B$9)/365.25</f>
        <v>93.790554414784395</v>
      </c>
      <c r="C434" s="409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3525.4531757812501</v>
      </c>
      <c r="H434" s="25">
        <f>IF(B434&lt;62,0,'Combined Retirement'!$I$14)</f>
        <v>2192</v>
      </c>
      <c r="I434" s="25">
        <f>IF(C434&lt;62,0,'Combined Retirement'!$I$13)</f>
        <v>2420</v>
      </c>
      <c r="J434" s="25">
        <f t="shared" si="263"/>
        <v>7863.2184191855868</v>
      </c>
      <c r="K434" s="25">
        <f t="shared" si="264"/>
        <v>20282.026119384056</v>
      </c>
      <c r="L434" s="25"/>
      <c r="N434" s="25">
        <f>'Combined Retirement'!$C$18/12</f>
        <v>39153.069999999992</v>
      </c>
      <c r="O434" s="25">
        <f t="shared" si="265"/>
        <v>11007.82546143035</v>
      </c>
      <c r="P434" s="25">
        <f t="shared" si="266"/>
        <v>28145.244538569641</v>
      </c>
      <c r="Q434" s="25">
        <f t="array" aca="1" ref="Q434" ca="1">INDEX('Isaac 401k'!L:L,MATCH('Retirement Calculator'!A434,'Isaac 401k'!N:N,0),0)</f>
        <v>800302.29219742119</v>
      </c>
      <c r="R434" s="25">
        <f t="array" aca="1" ref="R434" ca="1">INDEX('Lorri 401b'!L:L,MATCH('Retirement Calculator'!A434,'Lorri 401b'!N:N,0),0)</f>
        <v>2128713.6728124497</v>
      </c>
      <c r="S434" s="25">
        <f t="shared" ca="1" si="267"/>
        <v>2929015.9650098709</v>
      </c>
    </row>
    <row r="435" spans="1:19" ht="15.75" customHeight="1" x14ac:dyDescent="0.3">
      <c r="A435" s="37">
        <v>64193</v>
      </c>
      <c r="B435" s="409">
        <f t="shared" ref="B435:C435" si="436">($A435-B$9)/365.25</f>
        <v>93.872689938398352</v>
      </c>
      <c r="C435" s="409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3525.4531757812501</v>
      </c>
      <c r="H435" s="25">
        <f>IF(B435&lt;62,0,'Combined Retirement'!$I$14)</f>
        <v>2192</v>
      </c>
      <c r="I435" s="25">
        <f>IF(C435&lt;62,0,'Combined Retirement'!$I$13)</f>
        <v>2420</v>
      </c>
      <c r="J435" s="25">
        <f t="shared" si="263"/>
        <v>7863.2184191855868</v>
      </c>
      <c r="K435" s="25">
        <f t="shared" si="264"/>
        <v>20282.026119384056</v>
      </c>
      <c r="L435" s="25"/>
      <c r="N435" s="25">
        <f>'Combined Retirement'!$C$18/12</f>
        <v>39153.069999999992</v>
      </c>
      <c r="O435" s="25">
        <f t="shared" si="265"/>
        <v>11007.82546143035</v>
      </c>
      <c r="P435" s="25">
        <f t="shared" si="266"/>
        <v>28145.244538569641</v>
      </c>
      <c r="Q435" s="25">
        <f t="array" aca="1" ref="Q435" ca="1">INDEX('Isaac 401k'!L:L,MATCH('Retirement Calculator'!A435,'Isaac 401k'!N:N,0),0)</f>
        <v>795740.90325231152</v>
      </c>
      <c r="R435" s="25">
        <f t="array" aca="1" ref="R435" ca="1">INDEX('Lorri 401b'!L:L,MATCH('Retirement Calculator'!A435,'Lorri 401b'!N:N,0),0)</f>
        <v>2117216.7785542868</v>
      </c>
      <c r="S435" s="25">
        <f t="shared" ca="1" si="267"/>
        <v>2912957.6818065983</v>
      </c>
    </row>
    <row r="436" spans="1:19" ht="15.75" customHeight="1" x14ac:dyDescent="0.3">
      <c r="A436" s="37">
        <v>64224</v>
      </c>
      <c r="B436" s="409">
        <f t="shared" ref="B436:C436" si="437">($A436-B$9)/365.25</f>
        <v>93.957563312799451</v>
      </c>
      <c r="C436" s="409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3525.4531757812501</v>
      </c>
      <c r="H436" s="25">
        <f>IF(B436&lt;62,0,'Combined Retirement'!$I$14)</f>
        <v>2192</v>
      </c>
      <c r="I436" s="25">
        <f>IF(C436&lt;62,0,'Combined Retirement'!$I$13)</f>
        <v>2420</v>
      </c>
      <c r="J436" s="25">
        <f t="shared" si="263"/>
        <v>7863.2184191855868</v>
      </c>
      <c r="K436" s="25">
        <f t="shared" si="264"/>
        <v>20282.026119384056</v>
      </c>
      <c r="L436" s="25"/>
      <c r="N436" s="25">
        <f>'Combined Retirement'!$C$18/12</f>
        <v>39153.069999999992</v>
      </c>
      <c r="O436" s="25">
        <f t="shared" si="265"/>
        <v>11007.82546143035</v>
      </c>
      <c r="P436" s="25">
        <f t="shared" si="266"/>
        <v>28145.244538569641</v>
      </c>
      <c r="Q436" s="25">
        <f t="array" aca="1" ref="Q436" ca="1">INDEX('Isaac 401k'!L:L,MATCH('Retirement Calculator'!A436,'Isaac 401k'!N:N,0),0)</f>
        <v>791160.50851993065</v>
      </c>
      <c r="R436" s="25">
        <f t="array" aca="1" ref="R436" ca="1">INDEX('Lorri 401b'!L:L,MATCH('Retirement Calculator'!A436,'Lorri 401b'!N:N,0),0)</f>
        <v>2105671.9805700481</v>
      </c>
      <c r="S436" s="25">
        <f t="shared" ca="1" si="267"/>
        <v>2896832.4890899789</v>
      </c>
    </row>
    <row r="437" spans="1:19" ht="15.75" customHeight="1" x14ac:dyDescent="0.3">
      <c r="A437" s="37">
        <v>64254</v>
      </c>
      <c r="B437" s="409">
        <f t="shared" ref="B437:C437" si="438">($A437-B$9)/365.25</f>
        <v>94.039698836413422</v>
      </c>
      <c r="C437" s="409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3525.4531757812501</v>
      </c>
      <c r="H437" s="25">
        <f>IF(B437&lt;62,0,'Combined Retirement'!$I$14)</f>
        <v>2192</v>
      </c>
      <c r="I437" s="25">
        <f>IF(C437&lt;62,0,'Combined Retirement'!$I$13)</f>
        <v>2420</v>
      </c>
      <c r="J437" s="25">
        <f t="shared" si="263"/>
        <v>7863.2184191855868</v>
      </c>
      <c r="K437" s="25">
        <f t="shared" si="264"/>
        <v>20282.026119384056</v>
      </c>
      <c r="L437" s="25"/>
      <c r="N437" s="25">
        <f>'Combined Retirement'!$C$18/12</f>
        <v>39153.069999999992</v>
      </c>
      <c r="O437" s="25">
        <f t="shared" si="265"/>
        <v>11007.82546143035</v>
      </c>
      <c r="P437" s="25">
        <f t="shared" si="266"/>
        <v>28145.244538569641</v>
      </c>
      <c r="Q437" s="25">
        <f t="array" aca="1" ref="Q437" ca="1">INDEX('Isaac 401k'!L:L,MATCH('Retirement Calculator'!A437,'Isaac 401k'!N:N,0),0)</f>
        <v>786561.02880949818</v>
      </c>
      <c r="R437" s="25">
        <f t="array" aca="1" ref="R437" ca="1">INDEX('Lorri 401b'!L:L,MATCH('Retirement Calculator'!A437,'Lorri 401b'!N:N,0),0)</f>
        <v>2094079.0792608752</v>
      </c>
      <c r="S437" s="25">
        <f t="shared" ca="1" si="267"/>
        <v>2880640.1080703735</v>
      </c>
    </row>
    <row r="438" spans="1:19" ht="15.75" customHeight="1" x14ac:dyDescent="0.3">
      <c r="A438" s="37">
        <v>64285</v>
      </c>
      <c r="B438" s="409">
        <f t="shared" ref="B438:C438" si="439">($A438-B$9)/365.25</f>
        <v>94.124572210814506</v>
      </c>
      <c r="C438" s="409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3525.4531757812501</v>
      </c>
      <c r="H438" s="25">
        <f>IF(B438&lt;62,0,'Combined Retirement'!$I$14)</f>
        <v>2192</v>
      </c>
      <c r="I438" s="25">
        <f>IF(C438&lt;62,0,'Combined Retirement'!$I$13)</f>
        <v>2420</v>
      </c>
      <c r="J438" s="25">
        <f t="shared" si="263"/>
        <v>7863.2184191855868</v>
      </c>
      <c r="K438" s="25">
        <f t="shared" si="264"/>
        <v>20282.026119384056</v>
      </c>
      <c r="L438" s="25"/>
      <c r="N438" s="25">
        <f>'Combined Retirement'!$C$18/12</f>
        <v>39153.069999999992</v>
      </c>
      <c r="O438" s="25">
        <f t="shared" si="265"/>
        <v>11007.82546143035</v>
      </c>
      <c r="P438" s="25">
        <f t="shared" si="266"/>
        <v>28145.244538569641</v>
      </c>
      <c r="Q438" s="25">
        <f t="array" aca="1" ref="Q438" ca="1">INDEX('Isaac 401k'!L:L,MATCH('Retirement Calculator'!A438,'Isaac 401k'!N:N,0),0)</f>
        <v>781942.38460027217</v>
      </c>
      <c r="R438" s="25">
        <f t="array" aca="1" ref="R438" ca="1">INDEX('Lorri 401b'!L:L,MATCH('Retirement Calculator'!A438,'Lorri 401b'!N:N,0),0)</f>
        <v>2082437.8741962474</v>
      </c>
      <c r="S438" s="25">
        <f t="shared" ca="1" si="267"/>
        <v>2864380.2587965196</v>
      </c>
    </row>
    <row r="439" spans="1:19" ht="15.75" customHeight="1" x14ac:dyDescent="0.3">
      <c r="A439" s="37">
        <v>64316</v>
      </c>
      <c r="B439" s="409">
        <f t="shared" ref="B439:C439" si="440">($A439-B$9)/365.25</f>
        <v>94.209445585215605</v>
      </c>
      <c r="C439" s="409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3525.4531757812501</v>
      </c>
      <c r="H439" s="25">
        <f>IF(B439&lt;62,0,'Combined Retirement'!$I$14)</f>
        <v>2192</v>
      </c>
      <c r="I439" s="25">
        <f>IF(C439&lt;62,0,'Combined Retirement'!$I$13)</f>
        <v>2420</v>
      </c>
      <c r="J439" s="25">
        <f t="shared" si="263"/>
        <v>7863.2184191855868</v>
      </c>
      <c r="K439" s="25">
        <f t="shared" si="264"/>
        <v>20282.026119384056</v>
      </c>
      <c r="L439" s="25"/>
      <c r="N439" s="25">
        <f>'Combined Retirement'!$C$18/12</f>
        <v>39153.069999999992</v>
      </c>
      <c r="O439" s="25">
        <f t="shared" si="265"/>
        <v>11007.82546143035</v>
      </c>
      <c r="P439" s="25">
        <f t="shared" si="266"/>
        <v>28145.244538569641</v>
      </c>
      <c r="Q439" s="25">
        <f t="array" aca="1" ref="Q439" ca="1">INDEX('Isaac 401k'!L:L,MATCH('Retirement Calculator'!A439,'Isaac 401k'!N:N,0),0)</f>
        <v>777304.49604017439</v>
      </c>
      <c r="R439" s="25">
        <f t="array" aca="1" ref="R439" ca="1">INDEX('Lorri 401b'!L:L,MATCH('Retirement Calculator'!A439,'Lorri 401b'!N:N,0),0)</f>
        <v>2070748.1641105171</v>
      </c>
      <c r="S439" s="25">
        <f t="shared" ca="1" si="267"/>
        <v>2848052.6601506914</v>
      </c>
    </row>
    <row r="440" spans="1:19" ht="15.75" customHeight="1" x14ac:dyDescent="0.3">
      <c r="A440" s="37">
        <v>64345</v>
      </c>
      <c r="B440" s="409">
        <f t="shared" ref="B440:C440" si="441">($A440-B$9)/365.25</f>
        <v>94.288843258042434</v>
      </c>
      <c r="C440" s="409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3525.4531757812501</v>
      </c>
      <c r="H440" s="25">
        <f>IF(B440&lt;62,0,'Combined Retirement'!$I$14)</f>
        <v>2192</v>
      </c>
      <c r="I440" s="25">
        <f>IF(C440&lt;62,0,'Combined Retirement'!$I$13)</f>
        <v>2420</v>
      </c>
      <c r="J440" s="25">
        <f t="shared" si="263"/>
        <v>7863.2184191855868</v>
      </c>
      <c r="K440" s="25">
        <f t="shared" si="264"/>
        <v>20282.026119384056</v>
      </c>
      <c r="L440" s="25"/>
      <c r="N440" s="25">
        <f>'Combined Retirement'!$C$18/12</f>
        <v>39153.069999999992</v>
      </c>
      <c r="O440" s="25">
        <f t="shared" si="265"/>
        <v>11007.82546143035</v>
      </c>
      <c r="P440" s="25">
        <f t="shared" si="266"/>
        <v>28145.244538569641</v>
      </c>
      <c r="Q440" s="25">
        <f t="array" aca="1" ref="Q440" ca="1">INDEX('Isaac 401k'!L:L,MATCH('Retirement Calculator'!A440,'Isaac 401k'!N:N,0),0)</f>
        <v>772647.28294440953</v>
      </c>
      <c r="R440" s="25">
        <f t="array" aca="1" ref="R440" ca="1">INDEX('Lorri 401b'!L:L,MATCH('Retirement Calculator'!A440,'Lorri 401b'!N:N,0),0)</f>
        <v>2059009.7468994295</v>
      </c>
      <c r="S440" s="25">
        <f t="shared" ca="1" si="267"/>
        <v>2831657.0298438389</v>
      </c>
    </row>
    <row r="441" spans="1:19" ht="15.75" customHeight="1" x14ac:dyDescent="0.3">
      <c r="A441" s="37">
        <v>64376</v>
      </c>
      <c r="B441" s="409">
        <f t="shared" ref="B441:C441" si="442">($A441-B$9)/365.25</f>
        <v>94.373716632443532</v>
      </c>
      <c r="C441" s="409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3525.4531757812501</v>
      </c>
      <c r="H441" s="25">
        <f>IF(B441&lt;62,0,'Combined Retirement'!$I$14)</f>
        <v>2192</v>
      </c>
      <c r="I441" s="25">
        <f>IF(C441&lt;62,0,'Combined Retirement'!$I$13)</f>
        <v>2420</v>
      </c>
      <c r="J441" s="25">
        <f t="shared" si="263"/>
        <v>7863.2184191855868</v>
      </c>
      <c r="K441" s="25">
        <f t="shared" si="264"/>
        <v>20282.026119384056</v>
      </c>
      <c r="L441" s="25"/>
      <c r="N441" s="25">
        <f>'Combined Retirement'!$C$18/12</f>
        <v>39153.069999999992</v>
      </c>
      <c r="O441" s="25">
        <f t="shared" si="265"/>
        <v>11007.82546143035</v>
      </c>
      <c r="P441" s="25">
        <f t="shared" si="266"/>
        <v>28145.244538569641</v>
      </c>
      <c r="Q441" s="25">
        <f t="array" aca="1" ref="Q441" ca="1">INDEX('Isaac 401k'!L:L,MATCH('Retirement Calculator'!A441,'Isaac 401k'!N:N,0),0)</f>
        <v>767970.66479407903</v>
      </c>
      <c r="R441" s="25">
        <f t="array" aca="1" ref="R441" ca="1">INDEX('Lorri 401b'!L:L,MATCH('Retirement Calculator'!A441,'Lorri 401b'!N:N,0),0)</f>
        <v>2047222.4196166289</v>
      </c>
      <c r="S441" s="25">
        <f t="shared" ca="1" si="267"/>
        <v>2815193.0844107079</v>
      </c>
    </row>
    <row r="442" spans="1:19" ht="15.75" customHeight="1" x14ac:dyDescent="0.3">
      <c r="A442" s="37">
        <v>64406</v>
      </c>
      <c r="B442" s="409">
        <f t="shared" ref="B442:C442" si="443">($A442-B$9)/365.25</f>
        <v>94.455852156057489</v>
      </c>
      <c r="C442" s="409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3525.4531757812501</v>
      </c>
      <c r="H442" s="25">
        <f>IF(B442&lt;62,0,'Combined Retirement'!$I$14)</f>
        <v>2192</v>
      </c>
      <c r="I442" s="25">
        <f>IF(C442&lt;62,0,'Combined Retirement'!$I$13)</f>
        <v>2420</v>
      </c>
      <c r="J442" s="25">
        <f t="shared" si="263"/>
        <v>7863.2184191855868</v>
      </c>
      <c r="K442" s="25">
        <f t="shared" si="264"/>
        <v>20282.026119384056</v>
      </c>
      <c r="L442" s="25"/>
      <c r="N442" s="25">
        <f>'Combined Retirement'!$C$18/12</f>
        <v>39153.069999999992</v>
      </c>
      <c r="O442" s="25">
        <f t="shared" si="265"/>
        <v>11007.82546143035</v>
      </c>
      <c r="P442" s="25">
        <f t="shared" si="266"/>
        <v>28145.244538569641</v>
      </c>
      <c r="Q442" s="25">
        <f t="array" aca="1" ref="Q442" ca="1">INDEX('Isaac 401k'!L:L,MATCH('Retirement Calculator'!A442,'Isaac 401k'!N:N,0),0)</f>
        <v>763274.56073478877</v>
      </c>
      <c r="R442" s="25">
        <f t="array" aca="1" ref="R442" ca="1">INDEX('Lorri 401b'!L:L,MATCH('Retirement Calculator'!A442,'Lorri 401b'!N:N,0),0)</f>
        <v>2035385.9784701501</v>
      </c>
      <c r="S442" s="25">
        <f t="shared" ca="1" si="267"/>
        <v>2798660.5392049388</v>
      </c>
    </row>
    <row r="443" spans="1:19" ht="15.75" customHeight="1" x14ac:dyDescent="0.3">
      <c r="A443" s="37">
        <v>64437</v>
      </c>
      <c r="B443" s="409">
        <f t="shared" ref="B443:C443" si="444">($A443-B$9)/365.25</f>
        <v>94.540725530458587</v>
      </c>
      <c r="C443" s="409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3525.4531757812501</v>
      </c>
      <c r="H443" s="25">
        <f>IF(B443&lt;62,0,'Combined Retirement'!$I$14)</f>
        <v>2192</v>
      </c>
      <c r="I443" s="25">
        <f>IF(C443&lt;62,0,'Combined Retirement'!$I$13)</f>
        <v>2420</v>
      </c>
      <c r="J443" s="25">
        <f t="shared" si="263"/>
        <v>7863.2184191855868</v>
      </c>
      <c r="K443" s="25">
        <f t="shared" si="264"/>
        <v>20282.026119384056</v>
      </c>
      <c r="L443" s="25"/>
      <c r="N443" s="25">
        <f>'Combined Retirement'!$C$18/12</f>
        <v>39153.069999999992</v>
      </c>
      <c r="O443" s="25">
        <f t="shared" si="265"/>
        <v>11007.82546143035</v>
      </c>
      <c r="P443" s="25">
        <f t="shared" si="266"/>
        <v>28145.244538569641</v>
      </c>
      <c r="Q443" s="25">
        <f t="array" aca="1" ref="Q443" ca="1">INDEX('Isaac 401k'!L:L,MATCH('Retirement Calculator'!A443,'Isaac 401k'!N:N,0),0)</f>
        <v>758558.88957525149</v>
      </c>
      <c r="R443" s="25">
        <f t="array" aca="1" ref="R443" ca="1">INDEX('Lorri 401b'!L:L,MATCH('Retirement Calculator'!A443,'Lorri 401b'!N:N,0),0)</f>
        <v>2023500.2188188944</v>
      </c>
      <c r="S443" s="25">
        <f t="shared" ca="1" si="267"/>
        <v>2782059.108394146</v>
      </c>
    </row>
    <row r="444" spans="1:19" ht="15.75" customHeight="1" x14ac:dyDescent="0.3">
      <c r="A444" s="37">
        <v>64467</v>
      </c>
      <c r="B444" s="409">
        <f t="shared" ref="B444:C444" si="445">($A444-B$9)/365.25</f>
        <v>94.622861054072558</v>
      </c>
      <c r="C444" s="409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3525.4531757812501</v>
      </c>
      <c r="H444" s="25">
        <f>IF(B444&lt;62,0,'Combined Retirement'!$I$14)</f>
        <v>2192</v>
      </c>
      <c r="I444" s="25">
        <f>IF(C444&lt;62,0,'Combined Retirement'!$I$13)</f>
        <v>2420</v>
      </c>
      <c r="J444" s="25">
        <f t="shared" si="263"/>
        <v>7863.2184191855868</v>
      </c>
      <c r="K444" s="25">
        <f t="shared" si="264"/>
        <v>20282.026119384056</v>
      </c>
      <c r="L444" s="25"/>
      <c r="N444" s="25">
        <f>'Combined Retirement'!$C$18/12</f>
        <v>39153.069999999992</v>
      </c>
      <c r="O444" s="25">
        <f t="shared" si="265"/>
        <v>11007.82546143035</v>
      </c>
      <c r="P444" s="25">
        <f t="shared" si="266"/>
        <v>28145.244538569641</v>
      </c>
      <c r="Q444" s="25">
        <f t="array" aca="1" ref="Q444" ca="1">INDEX('Isaac 401k'!L:L,MATCH('Retirement Calculator'!A444,'Isaac 401k'!N:N,0),0)</f>
        <v>753823.56978588284</v>
      </c>
      <c r="R444" s="25">
        <f t="array" aca="1" ref="R444" ca="1">INDEX('Lorri 401b'!L:L,MATCH('Retirement Calculator'!A444,'Lorri 401b'!N:N,0),0)</f>
        <v>2011564.9351690917</v>
      </c>
      <c r="S444" s="25">
        <f t="shared" ca="1" si="267"/>
        <v>2765388.5049549746</v>
      </c>
    </row>
    <row r="445" spans="1:19" ht="15.75" customHeight="1" x14ac:dyDescent="0.3">
      <c r="A445" s="37">
        <v>64498</v>
      </c>
      <c r="B445" s="409">
        <f t="shared" ref="B445:C445" si="446">($A445-B$9)/365.25</f>
        <v>94.707734428473643</v>
      </c>
      <c r="C445" s="409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3525.4531757812501</v>
      </c>
      <c r="H445" s="25">
        <f>IF(B445&lt;62,0,'Combined Retirement'!$I$14)</f>
        <v>2192</v>
      </c>
      <c r="I445" s="25">
        <f>IF(C445&lt;62,0,'Combined Retirement'!$I$13)</f>
        <v>2420</v>
      </c>
      <c r="J445" s="25">
        <f t="shared" si="263"/>
        <v>7863.2184191855868</v>
      </c>
      <c r="K445" s="25">
        <f t="shared" si="264"/>
        <v>20282.026119384056</v>
      </c>
      <c r="L445" s="25"/>
      <c r="N445" s="25">
        <f>'Combined Retirement'!$C$18/12</f>
        <v>39153.069999999992</v>
      </c>
      <c r="O445" s="25">
        <f t="shared" si="265"/>
        <v>11007.82546143035</v>
      </c>
      <c r="P445" s="25">
        <f t="shared" si="266"/>
        <v>28145.244538569641</v>
      </c>
      <c r="Q445" s="25">
        <f t="array" aca="1" ref="Q445" ca="1">INDEX('Isaac 401k'!L:L,MATCH('Retirement Calculator'!A445,'Isaac 401k'!N:N,0),0)</f>
        <v>749068.51949739177</v>
      </c>
      <c r="R445" s="25">
        <f t="array" aca="1" ref="R445" ca="1">INDEX('Lorri 401b'!L:L,MATCH('Retirement Calculator'!A445,'Lorri 401b'!N:N,0),0)</f>
        <v>1999579.9211707481</v>
      </c>
      <c r="S445" s="25">
        <f t="shared" ca="1" si="267"/>
        <v>2748648.4406681396</v>
      </c>
    </row>
    <row r="446" spans="1:19" ht="15.75" customHeight="1" x14ac:dyDescent="0.3">
      <c r="A446" s="37">
        <v>64529</v>
      </c>
      <c r="B446" s="409">
        <f t="shared" ref="B446:C446" si="447">($A446-B$9)/365.25</f>
        <v>94.792607802874741</v>
      </c>
      <c r="C446" s="409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3525.4531757812501</v>
      </c>
      <c r="H446" s="25">
        <f>IF(B446&lt;62,0,'Combined Retirement'!$I$14)</f>
        <v>2192</v>
      </c>
      <c r="I446" s="25">
        <f>IF(C446&lt;62,0,'Combined Retirement'!$I$13)</f>
        <v>2420</v>
      </c>
      <c r="J446" s="25">
        <f t="shared" si="263"/>
        <v>7863.2184191855868</v>
      </c>
      <c r="K446" s="25">
        <f t="shared" si="264"/>
        <v>20282.026119384056</v>
      </c>
      <c r="L446" s="25"/>
      <c r="N446" s="25">
        <f>'Combined Retirement'!$C$18/12</f>
        <v>39153.069999999992</v>
      </c>
      <c r="O446" s="25">
        <f t="shared" si="265"/>
        <v>11007.82546143035</v>
      </c>
      <c r="P446" s="25">
        <f t="shared" si="266"/>
        <v>28145.244538569641</v>
      </c>
      <c r="Q446" s="25">
        <f t="array" aca="1" ref="Q446" ca="1">INDEX('Isaac 401k'!L:L,MATCH('Retirement Calculator'!A446,'Isaac 401k'!N:N,0),0)</f>
        <v>744293.65649936534</v>
      </c>
      <c r="R446" s="25">
        <f t="array" aca="1" ref="R446" ca="1">INDEX('Lorri 401b'!L:L,MATCH('Retirement Calculator'!A446,'Lorri 401b'!N:N,0),0)</f>
        <v>1987544.9696140781</v>
      </c>
      <c r="S446" s="25">
        <f t="shared" ca="1" si="267"/>
        <v>2731838.6261134436</v>
      </c>
    </row>
    <row r="447" spans="1:19" ht="15.75" customHeight="1" x14ac:dyDescent="0.3">
      <c r="A447" s="37">
        <v>64559</v>
      </c>
      <c r="B447" s="409">
        <f t="shared" ref="B447:C447" si="448">($A447-B$9)/365.25</f>
        <v>94.874743326488712</v>
      </c>
      <c r="C447" s="409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3525.4531757812501</v>
      </c>
      <c r="H447" s="25">
        <f>IF(B447&lt;62,0,'Combined Retirement'!$I$14)</f>
        <v>2192</v>
      </c>
      <c r="I447" s="25">
        <f>IF(C447&lt;62,0,'Combined Retirement'!$I$13)</f>
        <v>2420</v>
      </c>
      <c r="J447" s="25">
        <f t="shared" si="263"/>
        <v>7863.2184191855868</v>
      </c>
      <c r="K447" s="25">
        <f t="shared" si="264"/>
        <v>20282.026119384056</v>
      </c>
      <c r="L447" s="25"/>
      <c r="N447" s="25">
        <f>'Combined Retirement'!$C$18/12</f>
        <v>39153.069999999992</v>
      </c>
      <c r="O447" s="25">
        <f t="shared" si="265"/>
        <v>11007.82546143035</v>
      </c>
      <c r="P447" s="25">
        <f t="shared" si="266"/>
        <v>28145.244538569641</v>
      </c>
      <c r="Q447" s="25">
        <f t="array" aca="1" ref="Q447" ca="1">INDEX('Isaac 401k'!L:L,MATCH('Retirement Calculator'!A447,'Isaac 401k'!N:N,0),0)</f>
        <v>739498.89823884715</v>
      </c>
      <c r="R447" s="25">
        <f t="array" aca="1" ref="R447" ca="1">INDEX('Lorri 401b'!L:L,MATCH('Retirement Calculator'!A447,'Lorri 401b'!N:N,0),0)</f>
        <v>1975459.872425922</v>
      </c>
      <c r="S447" s="25">
        <f t="shared" ca="1" si="267"/>
        <v>2714958.7706647692</v>
      </c>
    </row>
    <row r="448" spans="1:19" ht="15.75" customHeight="1" x14ac:dyDescent="0.3">
      <c r="A448" s="37">
        <v>64590</v>
      </c>
      <c r="B448" s="409">
        <f t="shared" ref="B448:C448" si="449">($A448-B$9)/365.25</f>
        <v>94.959616700889796</v>
      </c>
      <c r="C448" s="409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3525.4531757812501</v>
      </c>
      <c r="H448" s="25">
        <f>IF(B448&lt;62,0,'Combined Retirement'!$I$14)</f>
        <v>2192</v>
      </c>
      <c r="I448" s="25">
        <f>IF(C448&lt;62,0,'Combined Retirement'!$I$13)</f>
        <v>2420</v>
      </c>
      <c r="J448" s="25">
        <f t="shared" si="263"/>
        <v>7863.2184191855868</v>
      </c>
      <c r="K448" s="25">
        <f t="shared" si="264"/>
        <v>20282.026119384056</v>
      </c>
      <c r="L448" s="25"/>
      <c r="N448" s="25">
        <f>'Combined Retirement'!$C$18/12</f>
        <v>39153.069999999992</v>
      </c>
      <c r="O448" s="25">
        <f t="shared" si="265"/>
        <v>11007.82546143035</v>
      </c>
      <c r="P448" s="25">
        <f t="shared" si="266"/>
        <v>28145.244538569641</v>
      </c>
      <c r="Q448" s="25">
        <f t="array" aca="1" ref="Q448" ca="1">INDEX('Isaac 401k'!L:L,MATCH('Retirement Calculator'!A448,'Isaac 401k'!N:N,0),0)</f>
        <v>734684.16181891016</v>
      </c>
      <c r="R448" s="25">
        <f t="array" aca="1" ref="R448" ca="1">INDEX('Lorri 401b'!L:L,MATCH('Retirement Calculator'!A448,'Lorri 401b'!N:N,0),0)</f>
        <v>1963324.4206661487</v>
      </c>
      <c r="S448" s="25">
        <f t="shared" ca="1" si="267"/>
        <v>2698008.5824850588</v>
      </c>
    </row>
    <row r="449" spans="1:19" ht="15.75" customHeight="1" x14ac:dyDescent="0.3">
      <c r="A449" s="37">
        <v>64620</v>
      </c>
      <c r="B449" s="409">
        <f t="shared" ref="B449:C449" si="450">($A449-B$9)/365.25</f>
        <v>95.041752224503767</v>
      </c>
      <c r="C449" s="409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3525.4531757812501</v>
      </c>
      <c r="H449" s="25">
        <f>IF(B449&lt;62,0,'Combined Retirement'!$I$14)</f>
        <v>2192</v>
      </c>
      <c r="I449" s="25">
        <f>IF(C449&lt;62,0,'Combined Retirement'!$I$13)</f>
        <v>2420</v>
      </c>
      <c r="J449" s="25">
        <f t="shared" si="263"/>
        <v>7863.2184191855868</v>
      </c>
      <c r="K449" s="25">
        <f t="shared" si="264"/>
        <v>20282.026119384056</v>
      </c>
      <c r="L449" s="25"/>
      <c r="N449" s="25">
        <f>'Combined Retirement'!$C$18/12</f>
        <v>39153.069999999992</v>
      </c>
      <c r="O449" s="25">
        <f t="shared" si="265"/>
        <v>11007.82546143035</v>
      </c>
      <c r="P449" s="25">
        <f t="shared" si="266"/>
        <v>28145.244538569641</v>
      </c>
      <c r="Q449" s="25">
        <f t="array" aca="1" ref="Q449" ca="1">INDEX('Isaac 401k'!L:L,MATCH('Retirement Calculator'!A449,'Isaac 401k'!N:N,0),0)</f>
        <v>729849.36399722344</v>
      </c>
      <c r="R449" s="25">
        <f t="array" aca="1" ref="R449" ca="1">INDEX('Lorri 401b'!L:L,MATCH('Retirement Calculator'!A449,'Lorri 401b'!N:N,0),0)</f>
        <v>1951138.404524043</v>
      </c>
      <c r="S449" s="25">
        <f t="shared" ca="1" si="267"/>
        <v>2680987.7685212665</v>
      </c>
    </row>
    <row r="450" spans="1:19" ht="15.75" customHeight="1" x14ac:dyDescent="0.3">
      <c r="A450" s="37">
        <v>64651</v>
      </c>
      <c r="B450" s="409">
        <f t="shared" ref="B450:C450" si="451">($A450-B$9)/365.25</f>
        <v>95.126625598904866</v>
      </c>
      <c r="C450" s="409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3525.4531757812501</v>
      </c>
      <c r="H450" s="25">
        <f>IF(B450&lt;62,0,'Combined Retirement'!$I$14)</f>
        <v>2192</v>
      </c>
      <c r="I450" s="25">
        <f>IF(C450&lt;62,0,'Combined Retirement'!$I$13)</f>
        <v>2420</v>
      </c>
      <c r="J450" s="25">
        <f t="shared" si="263"/>
        <v>7863.2184191855868</v>
      </c>
      <c r="K450" s="25">
        <f t="shared" si="264"/>
        <v>20282.026119384056</v>
      </c>
      <c r="L450" s="25"/>
      <c r="N450" s="25">
        <f>'Combined Retirement'!$C$18/12</f>
        <v>39153.069999999992</v>
      </c>
      <c r="O450" s="25">
        <f t="shared" si="265"/>
        <v>11007.82546143035</v>
      </c>
      <c r="P450" s="25">
        <f t="shared" si="266"/>
        <v>28145.244538569641</v>
      </c>
      <c r="Q450" s="25">
        <f t="array" aca="1" ref="Q450" ca="1">INDEX('Isaac 401k'!L:L,MATCH('Retirement Calculator'!A450,'Isaac 401k'!N:N,0),0)</f>
        <v>724994.42118461302</v>
      </c>
      <c r="R450" s="25">
        <f t="array" aca="1" ref="R450" ca="1">INDEX('Lorri 401b'!L:L,MATCH('Retirement Calculator'!A450,'Lorri 401b'!N:N,0),0)</f>
        <v>1938901.6133146784</v>
      </c>
      <c r="S450" s="25">
        <f t="shared" ca="1" si="267"/>
        <v>2663896.0344992913</v>
      </c>
    </row>
    <row r="451" spans="1:19" ht="15.75" customHeight="1" x14ac:dyDescent="0.3">
      <c r="A451" s="37">
        <v>64682</v>
      </c>
      <c r="B451" s="409">
        <f t="shared" ref="B451:C451" si="452">($A451-B$9)/365.25</f>
        <v>95.21149897330595</v>
      </c>
      <c r="C451" s="409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3525.4531757812501</v>
      </c>
      <c r="H451" s="25">
        <f>IF(B451&lt;62,0,'Combined Retirement'!$I$14)</f>
        <v>2192</v>
      </c>
      <c r="I451" s="25">
        <f>IF(C451&lt;62,0,'Combined Retirement'!$I$13)</f>
        <v>2420</v>
      </c>
      <c r="J451" s="25">
        <f t="shared" si="263"/>
        <v>7863.2184191855868</v>
      </c>
      <c r="K451" s="25">
        <f t="shared" si="264"/>
        <v>20282.026119384056</v>
      </c>
      <c r="L451" s="25"/>
      <c r="N451" s="25">
        <f>'Combined Retirement'!$C$18/12</f>
        <v>39153.069999999992</v>
      </c>
      <c r="O451" s="25">
        <f t="shared" si="265"/>
        <v>11007.82546143035</v>
      </c>
      <c r="P451" s="25">
        <f t="shared" si="266"/>
        <v>28145.244538569641</v>
      </c>
      <c r="Q451" s="25">
        <f t="array" aca="1" ref="Q451" ca="1">INDEX('Isaac 401k'!L:L,MATCH('Retirement Calculator'!A451,'Isaac 401k'!N:N,0),0)</f>
        <v>720119.24944361672</v>
      </c>
      <c r="R451" s="25">
        <f t="array" aca="1" ref="R451" ca="1">INDEX('Lorri 401b'!L:L,MATCH('Retirement Calculator'!A451,'Lorri 401b'!N:N,0),0)</f>
        <v>1926613.8354752748</v>
      </c>
      <c r="S451" s="25">
        <f t="shared" ca="1" si="267"/>
        <v>2646733.0849188915</v>
      </c>
    </row>
    <row r="452" spans="1:19" ht="15.75" customHeight="1" x14ac:dyDescent="0.3">
      <c r="A452" s="37">
        <v>64710</v>
      </c>
      <c r="B452" s="409">
        <f t="shared" ref="B452:C452" si="453">($A452-B$9)/365.25</f>
        <v>95.288158795345652</v>
      </c>
      <c r="C452" s="409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3525.4531757812501</v>
      </c>
      <c r="H452" s="25">
        <f>IF(B452&lt;62,0,'Combined Retirement'!$I$14)</f>
        <v>2192</v>
      </c>
      <c r="I452" s="25">
        <f>IF(C452&lt;62,0,'Combined Retirement'!$I$13)</f>
        <v>2420</v>
      </c>
      <c r="J452" s="25">
        <f t="shared" si="263"/>
        <v>7863.2184191855868</v>
      </c>
      <c r="K452" s="25">
        <f t="shared" si="264"/>
        <v>20282.026119384056</v>
      </c>
      <c r="L452" s="25"/>
      <c r="N452" s="25">
        <f>'Combined Retirement'!$C$18/12</f>
        <v>39153.069999999992</v>
      </c>
      <c r="O452" s="25">
        <f t="shared" si="265"/>
        <v>11007.82546143035</v>
      </c>
      <c r="P452" s="25">
        <f t="shared" si="266"/>
        <v>28145.244538569641</v>
      </c>
      <c r="Q452" s="25">
        <f t="array" aca="1" ref="Q452" ca="1">INDEX('Isaac 401k'!L:L,MATCH('Retirement Calculator'!A452,'Isaac 401k'!N:N,0),0)</f>
        <v>715223.76448703289</v>
      </c>
      <c r="R452" s="25">
        <f t="array" aca="1" ref="R452" ca="1">INDEX('Lorri 401b'!L:L,MATCH('Retirement Calculator'!A452,'Lorri 401b'!N:N,0),0)</f>
        <v>1914274.8585615405</v>
      </c>
      <c r="S452" s="25">
        <f t="shared" ca="1" si="267"/>
        <v>2629498.6230485733</v>
      </c>
    </row>
    <row r="453" spans="1:19" ht="15.75" customHeight="1" x14ac:dyDescent="0.3">
      <c r="A453" s="37">
        <v>64741</v>
      </c>
      <c r="B453" s="409">
        <f t="shared" ref="B453:C453" si="454">($A453-B$9)/365.25</f>
        <v>95.37303216974675</v>
      </c>
      <c r="C453" s="409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3525.4531757812501</v>
      </c>
      <c r="H453" s="25">
        <f>IF(B453&lt;62,0,'Combined Retirement'!$I$14)</f>
        <v>2192</v>
      </c>
      <c r="I453" s="25">
        <f>IF(C453&lt;62,0,'Combined Retirement'!$I$13)</f>
        <v>2420</v>
      </c>
      <c r="J453" s="25">
        <f t="shared" si="263"/>
        <v>7863.2184191855868</v>
      </c>
      <c r="K453" s="25">
        <f t="shared" si="264"/>
        <v>20282.026119384056</v>
      </c>
      <c r="L453" s="25"/>
      <c r="N453" s="25">
        <f>'Combined Retirement'!$C$18/12</f>
        <v>39153.069999999992</v>
      </c>
      <c r="O453" s="25">
        <f t="shared" si="265"/>
        <v>11007.82546143035</v>
      </c>
      <c r="P453" s="25">
        <f t="shared" si="266"/>
        <v>28145.244538569641</v>
      </c>
      <c r="Q453" s="25">
        <f t="array" aca="1" ref="Q453" ca="1">INDEX('Isaac 401k'!L:L,MATCH('Retirement Calculator'!A453,'Isaac 401k'!N:N,0),0)</f>
        <v>710307.88167646329</v>
      </c>
      <c r="R453" s="25">
        <f t="array" aca="1" ref="R453" ca="1">INDEX('Lorri 401b'!L:L,MATCH('Retirement Calculator'!A453,'Lorri 401b'!N:N,0),0)</f>
        <v>1901884.4692439989</v>
      </c>
      <c r="S453" s="25">
        <f t="shared" ca="1" si="267"/>
        <v>2612192.350920462</v>
      </c>
    </row>
    <row r="454" spans="1:19" ht="15.75" customHeight="1" x14ac:dyDescent="0.3">
      <c r="A454" s="37">
        <v>64771</v>
      </c>
      <c r="B454" s="409">
        <f t="shared" ref="B454:C454" si="455">($A454-B$9)/365.25</f>
        <v>95.455167693360707</v>
      </c>
      <c r="C454" s="409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3525.4531757812501</v>
      </c>
      <c r="H454" s="25">
        <f>IF(B454&lt;62,0,'Combined Retirement'!$I$14)</f>
        <v>2192</v>
      </c>
      <c r="I454" s="25">
        <f>IF(C454&lt;62,0,'Combined Retirement'!$I$13)</f>
        <v>2420</v>
      </c>
      <c r="J454" s="25">
        <f t="shared" si="263"/>
        <v>7863.2184191855868</v>
      </c>
      <c r="K454" s="25">
        <f t="shared" si="264"/>
        <v>20282.026119384056</v>
      </c>
      <c r="L454" s="25"/>
      <c r="N454" s="25">
        <f>'Combined Retirement'!$C$18/12</f>
        <v>39153.069999999992</v>
      </c>
      <c r="O454" s="25">
        <f t="shared" si="265"/>
        <v>11007.82546143035</v>
      </c>
      <c r="P454" s="25">
        <f t="shared" si="266"/>
        <v>28145.244538569641</v>
      </c>
      <c r="Q454" s="25">
        <f t="array" aca="1" ref="Q454" ca="1">INDEX('Isaac 401k'!L:L,MATCH('Retirement Calculator'!A454,'Isaac 401k'!N:N,0),0)</f>
        <v>705371.5160208497</v>
      </c>
      <c r="R454" s="25">
        <f t="array" aca="1" ref="R454" ca="1">INDEX('Lorri 401b'!L:L,MATCH('Retirement Calculator'!A454,'Lorri 401b'!N:N,0),0)</f>
        <v>1889442.4533043008</v>
      </c>
      <c r="S454" s="25">
        <f t="shared" ca="1" si="267"/>
        <v>2594813.9693251504</v>
      </c>
    </row>
    <row r="455" spans="1:19" ht="15.75" customHeight="1" x14ac:dyDescent="0.3">
      <c r="A455" s="37">
        <v>64802</v>
      </c>
      <c r="B455" s="409">
        <f t="shared" ref="B455:C455" si="456">($A455-B$9)/365.25</f>
        <v>95.540041067761805</v>
      </c>
      <c r="C455" s="409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3525.4531757812501</v>
      </c>
      <c r="H455" s="25">
        <f>IF(B455&lt;62,0,'Combined Retirement'!$I$14)</f>
        <v>2192</v>
      </c>
      <c r="I455" s="25">
        <f>IF(C455&lt;62,0,'Combined Retirement'!$I$13)</f>
        <v>2420</v>
      </c>
      <c r="J455" s="25">
        <f t="shared" si="263"/>
        <v>7863.2184191855868</v>
      </c>
      <c r="K455" s="25">
        <f t="shared" si="264"/>
        <v>20282.026119384056</v>
      </c>
      <c r="L455" s="25"/>
      <c r="N455" s="25">
        <f>'Combined Retirement'!$C$18/12</f>
        <v>39153.069999999992</v>
      </c>
      <c r="O455" s="25">
        <f t="shared" si="265"/>
        <v>11007.82546143035</v>
      </c>
      <c r="P455" s="25">
        <f t="shared" si="266"/>
        <v>28145.244538569641</v>
      </c>
      <c r="Q455" s="25">
        <f t="array" aca="1" ref="Q455" ca="1">INDEX('Isaac 401k'!L:L,MATCH('Retirement Calculator'!A455,'Isaac 401k'!N:N,0),0)</f>
        <v>700414.58217500441</v>
      </c>
      <c r="R455" s="25">
        <f t="array" aca="1" ref="R455" ca="1">INDEX('Lorri 401b'!L:L,MATCH('Retirement Calculator'!A455,'Lorri 401b'!N:N,0),0)</f>
        <v>1876948.5956315207</v>
      </c>
      <c r="S455" s="25">
        <f t="shared" ca="1" si="267"/>
        <v>2577363.177806525</v>
      </c>
    </row>
    <row r="456" spans="1:19" ht="15.75" customHeight="1" x14ac:dyDescent="0.3">
      <c r="A456" s="37">
        <v>64832</v>
      </c>
      <c r="B456" s="409">
        <f t="shared" ref="B456:C456" si="457">($A456-B$9)/365.25</f>
        <v>95.622176591375776</v>
      </c>
      <c r="C456" s="409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3525.4531757812501</v>
      </c>
      <c r="H456" s="25">
        <f>IF(B456&lt;62,0,'Combined Retirement'!$I$14)</f>
        <v>2192</v>
      </c>
      <c r="I456" s="25">
        <f>IF(C456&lt;62,0,'Combined Retirement'!$I$13)</f>
        <v>2420</v>
      </c>
      <c r="J456" s="25">
        <f t="shared" si="263"/>
        <v>7863.2184191855868</v>
      </c>
      <c r="K456" s="25">
        <f t="shared" si="264"/>
        <v>20282.026119384056</v>
      </c>
      <c r="L456" s="25"/>
      <c r="N456" s="25">
        <f>'Combined Retirement'!$C$18/12</f>
        <v>39153.069999999992</v>
      </c>
      <c r="O456" s="25">
        <f t="shared" si="265"/>
        <v>11007.82546143035</v>
      </c>
      <c r="P456" s="25">
        <f t="shared" si="266"/>
        <v>28145.244538569641</v>
      </c>
      <c r="Q456" s="25">
        <f t="array" aca="1" ref="Q456" ca="1">INDEX('Isaac 401k'!L:L,MATCH('Retirement Calculator'!A456,'Isaac 401k'!N:N,0),0)</f>
        <v>695436.99443813472</v>
      </c>
      <c r="R456" s="25">
        <f t="array" aca="1" ref="R456" ca="1">INDEX('Lorri 401b'!L:L,MATCH('Retirement Calculator'!A456,'Lorri 401b'!N:N,0),0)</f>
        <v>1864402.6802184372</v>
      </c>
      <c r="S456" s="25">
        <f t="shared" ca="1" si="267"/>
        <v>2559839.6746565718</v>
      </c>
    </row>
    <row r="457" spans="1:19" ht="15.75" customHeight="1" x14ac:dyDescent="0.3">
      <c r="A457" s="37">
        <v>64863</v>
      </c>
      <c r="B457" s="409">
        <f t="shared" ref="B457:C457" si="458">($A457-B$9)/365.25</f>
        <v>95.707049965776861</v>
      </c>
      <c r="C457" s="409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3525.4531757812501</v>
      </c>
      <c r="H457" s="25">
        <f>IF(B457&lt;62,0,'Combined Retirement'!$I$14)</f>
        <v>2192</v>
      </c>
      <c r="I457" s="25">
        <f>IF(C457&lt;62,0,'Combined Retirement'!$I$13)</f>
        <v>2420</v>
      </c>
      <c r="J457" s="25">
        <f t="shared" si="263"/>
        <v>7863.2184191855868</v>
      </c>
      <c r="K457" s="25">
        <f t="shared" si="264"/>
        <v>20282.026119384056</v>
      </c>
      <c r="L457" s="25"/>
      <c r="N457" s="25">
        <f>'Combined Retirement'!$C$18/12</f>
        <v>39153.069999999992</v>
      </c>
      <c r="O457" s="25">
        <f t="shared" si="265"/>
        <v>11007.82546143035</v>
      </c>
      <c r="P457" s="25">
        <f t="shared" si="266"/>
        <v>28145.244538569641</v>
      </c>
      <c r="Q457" s="25">
        <f t="array" aca="1" ref="Q457" ca="1">INDEX('Isaac 401k'!L:L,MATCH('Retirement Calculator'!A457,'Isaac 401k'!N:N,0),0)</f>
        <v>690438.66675236134</v>
      </c>
      <c r="R457" s="25">
        <f t="array" aca="1" ref="R457" ca="1">INDEX('Lorri 401b'!L:L,MATCH('Retirement Calculator'!A457,'Lorri 401b'!N:N,0),0)</f>
        <v>1851804.4901577993</v>
      </c>
      <c r="S457" s="25">
        <f t="shared" ca="1" si="267"/>
        <v>2542243.1569101606</v>
      </c>
    </row>
    <row r="458" spans="1:19" ht="15.75" customHeight="1" x14ac:dyDescent="0.3">
      <c r="A458" s="37">
        <v>64894</v>
      </c>
      <c r="B458" s="409">
        <f t="shared" ref="B458:C458" si="459">($A458-B$9)/365.25</f>
        <v>95.791923340177959</v>
      </c>
      <c r="C458" s="409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3525.4531757812501</v>
      </c>
      <c r="H458" s="25">
        <f>IF(B458&lt;62,0,'Combined Retirement'!$I$14)</f>
        <v>2192</v>
      </c>
      <c r="I458" s="25">
        <f>IF(C458&lt;62,0,'Combined Retirement'!$I$13)</f>
        <v>2420</v>
      </c>
      <c r="J458" s="25">
        <f t="shared" si="263"/>
        <v>7863.2184191855868</v>
      </c>
      <c r="K458" s="25">
        <f t="shared" si="264"/>
        <v>20282.026119384056</v>
      </c>
      <c r="L458" s="25"/>
      <c r="N458" s="25">
        <f>'Combined Retirement'!$C$18/12</f>
        <v>39153.069999999992</v>
      </c>
      <c r="O458" s="25">
        <f t="shared" si="265"/>
        <v>11007.82546143035</v>
      </c>
      <c r="P458" s="25">
        <f t="shared" si="266"/>
        <v>28145.244538569641</v>
      </c>
      <c r="Q458" s="25">
        <f t="array" aca="1" ref="Q458" ca="1">INDEX('Isaac 401k'!L:L,MATCH('Retirement Calculator'!A458,'Isaac 401k'!N:N,0),0)</f>
        <v>685419.51270123059</v>
      </c>
      <c r="R458" s="25">
        <f t="array" aca="1" ref="R458" ca="1">INDEX('Lorri 401b'!L:L,MATCH('Retirement Calculator'!A458,'Lorri 401b'!N:N,0),0)</f>
        <v>1839153.8076385753</v>
      </c>
      <c r="S458" s="25">
        <f t="shared" ca="1" si="267"/>
        <v>2524573.3203398059</v>
      </c>
    </row>
    <row r="459" spans="1:19" ht="15.75" customHeight="1" x14ac:dyDescent="0.3">
      <c r="A459" s="37">
        <v>64924</v>
      </c>
      <c r="B459" s="409">
        <f t="shared" ref="B459:C459" si="460">($A459-B$9)/365.25</f>
        <v>95.87405886379193</v>
      </c>
      <c r="C459" s="409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3525.4531757812501</v>
      </c>
      <c r="H459" s="25">
        <f>IF(B459&lt;62,0,'Combined Retirement'!$I$14)</f>
        <v>2192</v>
      </c>
      <c r="I459" s="25">
        <f>IF(C459&lt;62,0,'Combined Retirement'!$I$13)</f>
        <v>2420</v>
      </c>
      <c r="J459" s="25">
        <f t="shared" si="263"/>
        <v>7863.2184191855868</v>
      </c>
      <c r="K459" s="25">
        <f t="shared" si="264"/>
        <v>20282.026119384056</v>
      </c>
      <c r="L459" s="25"/>
      <c r="N459" s="25">
        <f>'Combined Retirement'!$C$18/12</f>
        <v>39153.069999999992</v>
      </c>
      <c r="O459" s="25">
        <f t="shared" si="265"/>
        <v>11007.82546143035</v>
      </c>
      <c r="P459" s="25">
        <f t="shared" si="266"/>
        <v>28145.244538569641</v>
      </c>
      <c r="Q459" s="25">
        <f t="array" aca="1" ref="Q459" ca="1">INDEX('Isaac 401k'!L:L,MATCH('Retirement Calculator'!A459,'Isaac 401k'!N:N,0),0)</f>
        <v>680379.44550822012</v>
      </c>
      <c r="R459" s="25">
        <f t="array" aca="1" ref="R459" ca="1">INDEX('Lorri 401b'!L:L,MATCH('Retirement Calculator'!A459,'Lorri 401b'!N:N,0),0)</f>
        <v>1826450.413942188</v>
      </c>
      <c r="S459" s="25">
        <f t="shared" ca="1" si="267"/>
        <v>2506829.8594504083</v>
      </c>
    </row>
    <row r="460" spans="1:19" ht="15.75" customHeight="1" x14ac:dyDescent="0.3">
      <c r="A460" s="37">
        <v>64955</v>
      </c>
      <c r="B460" s="409">
        <f t="shared" ref="B460:C460" si="461">($A460-B$9)/365.25</f>
        <v>95.958932238193015</v>
      </c>
      <c r="C460" s="409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3525.4531757812501</v>
      </c>
      <c r="H460" s="25">
        <f>IF(B460&lt;62,0,'Combined Retirement'!$I$14)</f>
        <v>2192</v>
      </c>
      <c r="I460" s="25">
        <f>IF(C460&lt;62,0,'Combined Retirement'!$I$13)</f>
        <v>2420</v>
      </c>
      <c r="J460" s="25">
        <f t="shared" si="263"/>
        <v>7863.2184191855868</v>
      </c>
      <c r="K460" s="25">
        <f t="shared" si="264"/>
        <v>20282.026119384056</v>
      </c>
      <c r="L460" s="25"/>
      <c r="N460" s="25">
        <f>'Combined Retirement'!$C$18/12</f>
        <v>39153.069999999992</v>
      </c>
      <c r="O460" s="25">
        <f t="shared" si="265"/>
        <v>11007.82546143035</v>
      </c>
      <c r="P460" s="25">
        <f t="shared" si="266"/>
        <v>28145.244538569641</v>
      </c>
      <c r="Q460" s="25">
        <f t="array" aca="1" ref="Q460" ca="1">INDEX('Isaac 401k'!L:L,MATCH('Retirement Calculator'!A460,'Isaac 401k'!N:N,0),0)</f>
        <v>675318.37803523883</v>
      </c>
      <c r="R460" s="25">
        <f t="array" aca="1" ref="R460" ca="1">INDEX('Lorri 401b'!L:L,MATCH('Retirement Calculator'!A460,'Lorri 401b'!N:N,0),0)</f>
        <v>1813694.0894387325</v>
      </c>
      <c r="S460" s="25">
        <f t="shared" ca="1" si="267"/>
        <v>2489012.4674739712</v>
      </c>
    </row>
    <row r="461" spans="1:19" ht="15.75" customHeight="1" x14ac:dyDescent="0.3">
      <c r="A461" s="37">
        <v>64985</v>
      </c>
      <c r="B461" s="409">
        <f t="shared" ref="B461:C461" si="462">($A461-B$9)/365.25</f>
        <v>96.041067761806985</v>
      </c>
      <c r="C461" s="409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3525.4531757812501</v>
      </c>
      <c r="H461" s="25">
        <f>IF(B461&lt;62,0,'Combined Retirement'!$I$14)</f>
        <v>2192</v>
      </c>
      <c r="I461" s="25">
        <f>IF(C461&lt;62,0,'Combined Retirement'!$I$13)</f>
        <v>2420</v>
      </c>
      <c r="J461" s="25">
        <f t="shared" si="263"/>
        <v>7863.2184191855868</v>
      </c>
      <c r="K461" s="25">
        <f t="shared" si="264"/>
        <v>20282.026119384056</v>
      </c>
      <c r="L461" s="25"/>
      <c r="N461" s="25">
        <f>'Combined Retirement'!$C$18/12</f>
        <v>39153.069999999992</v>
      </c>
      <c r="O461" s="25">
        <f t="shared" si="265"/>
        <v>11007.82546143035</v>
      </c>
      <c r="P461" s="25">
        <f t="shared" si="266"/>
        <v>28145.244538569641</v>
      </c>
      <c r="Q461" s="25">
        <f t="array" aca="1" ref="Q461" ca="1">INDEX('Isaac 401k'!L:L,MATCH('Retirement Calculator'!A461,'Isaac 401k'!N:N,0),0)</f>
        <v>670236.2227811201</v>
      </c>
      <c r="R461" s="25">
        <f t="array" aca="1" ref="R461" ca="1">INDEX('Lorri 401b'!L:L,MATCH('Retirement Calculator'!A461,'Lorri 401b'!N:N,0),0)</f>
        <v>1800884.6135831792</v>
      </c>
      <c r="S461" s="25">
        <f t="shared" ca="1" si="267"/>
        <v>2471120.8363642991</v>
      </c>
    </row>
    <row r="462" spans="1:19" ht="15.75" customHeight="1" x14ac:dyDescent="0.3">
      <c r="A462" s="37">
        <v>65016</v>
      </c>
      <c r="B462" s="409">
        <f t="shared" ref="B462:C462" si="463">($A462-B$9)/365.25</f>
        <v>96.12594113620807</v>
      </c>
      <c r="C462" s="409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3525.4531757812501</v>
      </c>
      <c r="H462" s="25">
        <f>IF(B462&lt;62,0,'Combined Retirement'!$I$14)</f>
        <v>2192</v>
      </c>
      <c r="I462" s="25">
        <f>IF(C462&lt;62,0,'Combined Retirement'!$I$13)</f>
        <v>2420</v>
      </c>
      <c r="J462" s="25">
        <f t="shared" si="263"/>
        <v>7863.2184191855868</v>
      </c>
      <c r="K462" s="25">
        <f t="shared" si="264"/>
        <v>20282.026119384056</v>
      </c>
      <c r="L462" s="25"/>
      <c r="N462" s="25">
        <f>'Combined Retirement'!$C$18/12</f>
        <v>39153.069999999992</v>
      </c>
      <c r="O462" s="25">
        <f t="shared" si="265"/>
        <v>11007.82546143035</v>
      </c>
      <c r="P462" s="25">
        <f t="shared" si="266"/>
        <v>28145.244538569641</v>
      </c>
      <c r="Q462" s="25">
        <f t="array" aca="1" ref="Q462" ca="1">INDEX('Isaac 401k'!L:L,MATCH('Retirement Calculator'!A462,'Isaac 401k'!N:N,0),0)</f>
        <v>665132.89188010921</v>
      </c>
      <c r="R462" s="25">
        <f t="array" aca="1" ref="R462" ca="1">INDEX('Lorri 401b'!L:L,MATCH('Retirement Calculator'!A462,'Lorri 401b'!N:N,0),0)</f>
        <v>1788021.764911561</v>
      </c>
      <c r="S462" s="25">
        <f t="shared" ca="1" si="267"/>
        <v>2453154.6567916702</v>
      </c>
    </row>
    <row r="463" spans="1:19" ht="15.75" customHeight="1" x14ac:dyDescent="0.3">
      <c r="A463" s="37">
        <v>65047</v>
      </c>
      <c r="B463" s="409">
        <f t="shared" ref="B463:C463" si="464">($A463-B$9)/365.25</f>
        <v>96.210814510609168</v>
      </c>
      <c r="C463" s="409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3525.4531757812501</v>
      </c>
      <c r="H463" s="25">
        <f>IF(B463&lt;62,0,'Combined Retirement'!$I$14)</f>
        <v>2192</v>
      </c>
      <c r="I463" s="25">
        <f>IF(C463&lt;62,0,'Combined Retirement'!$I$13)</f>
        <v>2420</v>
      </c>
      <c r="J463" s="25">
        <f t="shared" si="263"/>
        <v>7863.2184191855868</v>
      </c>
      <c r="K463" s="25">
        <f t="shared" si="264"/>
        <v>20282.026119384056</v>
      </c>
      <c r="L463" s="25"/>
      <c r="N463" s="25">
        <f>'Combined Retirement'!$C$18/12</f>
        <v>39153.069999999992</v>
      </c>
      <c r="O463" s="25">
        <f t="shared" si="265"/>
        <v>11007.82546143035</v>
      </c>
      <c r="P463" s="25">
        <f t="shared" si="266"/>
        <v>28145.244538569641</v>
      </c>
      <c r="Q463" s="25">
        <f t="array" aca="1" ref="Q463" ca="1">INDEX('Isaac 401k'!L:L,MATCH('Retirement Calculator'!A463,'Isaac 401k'!N:N,0),0)</f>
        <v>660008.29710034409</v>
      </c>
      <c r="R463" s="25">
        <f t="array" aca="1" ref="R463" ca="1">INDEX('Lorri 401b'!L:L,MATCH('Retirement Calculator'!A463,'Lorri 401b'!N:N,0),0)</f>
        <v>1775105.3210371444</v>
      </c>
      <c r="S463" s="25">
        <f t="shared" ca="1" si="267"/>
        <v>2435113.6181374886</v>
      </c>
    </row>
    <row r="464" spans="1:19" ht="15.75" customHeight="1" x14ac:dyDescent="0.3">
      <c r="A464" s="37">
        <v>65075</v>
      </c>
      <c r="B464" s="409">
        <f t="shared" ref="B464:C464" si="465">($A464-B$9)/365.25</f>
        <v>96.28747433264887</v>
      </c>
      <c r="C464" s="409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3525.4531757812501</v>
      </c>
      <c r="H464" s="25">
        <f>IF(B464&lt;62,0,'Combined Retirement'!$I$14)</f>
        <v>2192</v>
      </c>
      <c r="I464" s="25">
        <f>IF(C464&lt;62,0,'Combined Retirement'!$I$13)</f>
        <v>2420</v>
      </c>
      <c r="J464" s="25">
        <f t="shared" si="263"/>
        <v>7863.2184191855868</v>
      </c>
      <c r="K464" s="25">
        <f t="shared" si="264"/>
        <v>20282.026119384056</v>
      </c>
      <c r="L464" s="25"/>
      <c r="N464" s="25">
        <f>'Combined Retirement'!$C$18/12</f>
        <v>39153.069999999992</v>
      </c>
      <c r="O464" s="25">
        <f t="shared" si="265"/>
        <v>11007.82546143035</v>
      </c>
      <c r="P464" s="25">
        <f t="shared" si="266"/>
        <v>28145.244538569641</v>
      </c>
      <c r="Q464" s="25">
        <f t="array" aca="1" ref="Q464" ca="1">INDEX('Isaac 401k'!L:L,MATCH('Retirement Calculator'!A464,'Isaac 401k'!N:N,0),0)</f>
        <v>654862.34984232998</v>
      </c>
      <c r="R464" s="25">
        <f t="array" aca="1" ref="R464" ca="1">INDEX('Lorri 401b'!L:L,MATCH('Retirement Calculator'!A464,'Lorri 401b'!N:N,0),0)</f>
        <v>1762135.0586465844</v>
      </c>
      <c r="S464" s="25">
        <f t="shared" ca="1" si="267"/>
        <v>2416997.4084889144</v>
      </c>
    </row>
    <row r="465" spans="1:19" ht="15.75" customHeight="1" x14ac:dyDescent="0.3">
      <c r="A465" s="37">
        <v>65106</v>
      </c>
      <c r="B465" s="409">
        <f t="shared" ref="B465:C465" si="466">($A465-B$9)/365.25</f>
        <v>96.372347707049968</v>
      </c>
      <c r="C465" s="409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3525.4531757812501</v>
      </c>
      <c r="H465" s="25">
        <f>IF(B465&lt;62,0,'Combined Retirement'!$I$14)</f>
        <v>2192</v>
      </c>
      <c r="I465" s="25">
        <f>IF(C465&lt;62,0,'Combined Retirement'!$I$13)</f>
        <v>2420</v>
      </c>
      <c r="J465" s="25">
        <f t="shared" si="263"/>
        <v>7863.2184191855868</v>
      </c>
      <c r="K465" s="25">
        <f t="shared" si="264"/>
        <v>20282.026119384056</v>
      </c>
      <c r="L465" s="25"/>
      <c r="N465" s="25">
        <f>'Combined Retirement'!$C$18/12</f>
        <v>39153.069999999992</v>
      </c>
      <c r="O465" s="25">
        <f t="shared" si="265"/>
        <v>11007.82546143035</v>
      </c>
      <c r="P465" s="25">
        <f t="shared" si="266"/>
        <v>28145.244538569641</v>
      </c>
      <c r="Q465" s="25">
        <f t="array" aca="1" ref="Q465" ca="1">INDEX('Isaac 401k'!L:L,MATCH('Retirement Calculator'!A465,'Isaac 401k'!N:N,0),0)</f>
        <v>649694.96113740746</v>
      </c>
      <c r="R465" s="25">
        <f t="array" aca="1" ref="R465" ca="1">INDEX('Lorri 401b'!L:L,MATCH('Retirement Calculator'!A465,'Lorri 401b'!N:N,0),0)</f>
        <v>1749110.7534960636</v>
      </c>
      <c r="S465" s="25">
        <f t="shared" ca="1" si="267"/>
        <v>2398805.7146334713</v>
      </c>
    </row>
    <row r="466" spans="1:19" ht="15.75" customHeight="1" x14ac:dyDescent="0.3">
      <c r="A466" s="37">
        <v>65136</v>
      </c>
      <c r="B466" s="409">
        <f t="shared" ref="B466:C466" si="467">($A466-B$9)/365.25</f>
        <v>96.454483230663925</v>
      </c>
      <c r="C466" s="409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3525.4531757812501</v>
      </c>
      <c r="H466" s="25">
        <f>IF(B466&lt;62,0,'Combined Retirement'!$I$14)</f>
        <v>2192</v>
      </c>
      <c r="I466" s="25">
        <f>IF(C466&lt;62,0,'Combined Retirement'!$I$13)</f>
        <v>2420</v>
      </c>
      <c r="J466" s="25">
        <f t="shared" si="263"/>
        <v>7863.2184191855868</v>
      </c>
      <c r="K466" s="25">
        <f t="shared" si="264"/>
        <v>20282.026119384056</v>
      </c>
      <c r="L466" s="25"/>
      <c r="N466" s="25">
        <f>'Combined Retirement'!$C$18/12</f>
        <v>39153.069999999992</v>
      </c>
      <c r="O466" s="25">
        <f t="shared" si="265"/>
        <v>11007.82546143035</v>
      </c>
      <c r="P466" s="25">
        <f t="shared" si="266"/>
        <v>28145.244538569641</v>
      </c>
      <c r="Q466" s="25">
        <f t="array" aca="1" ref="Q466" ca="1">INDEX('Isaac 401k'!L:L,MATCH('Retirement Calculator'!A466,'Isaac 401k'!N:N,0),0)</f>
        <v>644506.04164621443</v>
      </c>
      <c r="R466" s="25">
        <f t="array" aca="1" ref="R466" ca="1">INDEX('Lorri 401b'!L:L,MATCH('Retirement Calculator'!A466,'Lorri 401b'!N:N,0),0)</f>
        <v>1736032.1804074158</v>
      </c>
      <c r="S466" s="25">
        <f t="shared" ca="1" si="267"/>
        <v>2380538.2220536303</v>
      </c>
    </row>
    <row r="467" spans="1:19" ht="15.75" customHeight="1" x14ac:dyDescent="0.3">
      <c r="A467" s="37">
        <v>65167</v>
      </c>
      <c r="B467" s="409">
        <f t="shared" ref="B467:C467" si="468">($A467-B$9)/365.25</f>
        <v>96.539356605065024</v>
      </c>
      <c r="C467" s="409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3525.4531757812501</v>
      </c>
      <c r="H467" s="25">
        <f>IF(B467&lt;62,0,'Combined Retirement'!$I$14)</f>
        <v>2192</v>
      </c>
      <c r="I467" s="25">
        <f>IF(C467&lt;62,0,'Combined Retirement'!$I$13)</f>
        <v>2420</v>
      </c>
      <c r="J467" s="25">
        <f t="shared" si="263"/>
        <v>7863.2184191855868</v>
      </c>
      <c r="K467" s="25">
        <f t="shared" si="264"/>
        <v>20282.026119384056</v>
      </c>
      <c r="L467" s="25"/>
      <c r="N467" s="25">
        <f>'Combined Retirement'!$C$18/12</f>
        <v>39153.069999999992</v>
      </c>
      <c r="O467" s="25">
        <f t="shared" si="265"/>
        <v>11007.82546143035</v>
      </c>
      <c r="P467" s="25">
        <f t="shared" si="266"/>
        <v>28145.244538569641</v>
      </c>
      <c r="Q467" s="25">
        <f t="array" aca="1" ref="Q467" ca="1">INDEX('Isaac 401k'!L:L,MATCH('Retirement Calculator'!A467,'Isaac 401k'!N:N,0),0)</f>
        <v>639295.50165714149</v>
      </c>
      <c r="R467" s="25">
        <f t="array" aca="1" ref="R467" ca="1">INDEX('Lorri 401b'!L:L,MATCH('Retirement Calculator'!A467,'Lorri 401b'!N:N,0),0)</f>
        <v>1722899.1132642319</v>
      </c>
      <c r="S467" s="25">
        <f t="shared" ca="1" si="267"/>
        <v>2362194.6149213733</v>
      </c>
    </row>
    <row r="468" spans="1:19" ht="15.75" customHeight="1" x14ac:dyDescent="0.3">
      <c r="A468" s="37">
        <v>65197</v>
      </c>
      <c r="B468" s="409">
        <f t="shared" ref="B468:C468" si="469">($A468-B$9)/365.25</f>
        <v>96.62149212867898</v>
      </c>
      <c r="C468" s="409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3525.4531757812501</v>
      </c>
      <c r="H468" s="25">
        <f>IF(B468&lt;62,0,'Combined Retirement'!$I$14)</f>
        <v>2192</v>
      </c>
      <c r="I468" s="25">
        <f>IF(C468&lt;62,0,'Combined Retirement'!$I$13)</f>
        <v>2420</v>
      </c>
      <c r="J468" s="25">
        <f t="shared" si="263"/>
        <v>7863.2184191855868</v>
      </c>
      <c r="K468" s="25">
        <f t="shared" si="264"/>
        <v>20282.026119384056</v>
      </c>
      <c r="L468" s="25"/>
      <c r="N468" s="25">
        <f>'Combined Retirement'!$C$18/12</f>
        <v>39153.069999999992</v>
      </c>
      <c r="O468" s="25">
        <f t="shared" si="265"/>
        <v>11007.82546143035</v>
      </c>
      <c r="P468" s="25">
        <f t="shared" si="266"/>
        <v>28145.244538569641</v>
      </c>
      <c r="Q468" s="25">
        <f t="array" aca="1" ref="Q468" ca="1">INDEX('Isaac 401k'!L:L,MATCH('Retirement Calculator'!A468,'Isaac 401k'!N:N,0),0)</f>
        <v>634063.25108478067</v>
      </c>
      <c r="R468" s="25">
        <f t="array" aca="1" ref="R468" ca="1">INDEX('Lorri 401b'!L:L,MATCH('Retirement Calculator'!A468,'Lorri 401b'!N:N,0),0)</f>
        <v>1709711.3250079516</v>
      </c>
      <c r="S468" s="25">
        <f t="shared" ca="1" si="267"/>
        <v>2343774.5760927321</v>
      </c>
    </row>
    <row r="469" spans="1:19" ht="15.75" customHeight="1" x14ac:dyDescent="0.3">
      <c r="A469" s="37">
        <v>65228</v>
      </c>
      <c r="B469" s="409">
        <f t="shared" ref="B469:C469" si="470">($A469-B$9)/365.25</f>
        <v>96.706365503080079</v>
      </c>
      <c r="C469" s="409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3525.4531757812501</v>
      </c>
      <c r="H469" s="25">
        <f>IF(B469&lt;62,0,'Combined Retirement'!$I$14)</f>
        <v>2192</v>
      </c>
      <c r="I469" s="25">
        <f>IF(C469&lt;62,0,'Combined Retirement'!$I$13)</f>
        <v>2420</v>
      </c>
      <c r="J469" s="25">
        <f t="shared" si="263"/>
        <v>7863.2184191855868</v>
      </c>
      <c r="K469" s="25">
        <f t="shared" si="264"/>
        <v>20282.026119384056</v>
      </c>
      <c r="L469" s="25"/>
      <c r="N469" s="25">
        <f>'Combined Retirement'!$C$18/12</f>
        <v>39153.069999999992</v>
      </c>
      <c r="O469" s="25">
        <f t="shared" si="265"/>
        <v>11007.82546143035</v>
      </c>
      <c r="P469" s="25">
        <f t="shared" si="266"/>
        <v>28145.244538569641</v>
      </c>
      <c r="Q469" s="25">
        <f t="array" aca="1" ref="Q469" ca="1">INDEX('Isaac 401k'!L:L,MATCH('Retirement Calculator'!A469,'Isaac 401k'!N:N,0),0)</f>
        <v>628809.19946836843</v>
      </c>
      <c r="R469" s="25">
        <f t="array" aca="1" ref="R469" ca="1">INDEX('Lorri 401b'!L:L,MATCH('Retirement Calculator'!A469,'Lorri 401b'!N:N,0),0)</f>
        <v>1696468.5876339367</v>
      </c>
      <c r="S469" s="25">
        <f t="shared" ca="1" si="267"/>
        <v>2325277.7871023053</v>
      </c>
    </row>
    <row r="470" spans="1:19" ht="15.75" customHeight="1" x14ac:dyDescent="0.3">
      <c r="A470" s="37">
        <v>65259</v>
      </c>
      <c r="B470" s="409">
        <f t="shared" ref="B470:C470" si="471">($A470-B$9)/365.25</f>
        <v>96.791238877481177</v>
      </c>
      <c r="C470" s="409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3525.4531757812501</v>
      </c>
      <c r="H470" s="25">
        <f>IF(B470&lt;62,0,'Combined Retirement'!$I$14)</f>
        <v>2192</v>
      </c>
      <c r="I470" s="25">
        <f>IF(C470&lt;62,0,'Combined Retirement'!$I$13)</f>
        <v>2420</v>
      </c>
      <c r="J470" s="25">
        <f t="shared" si="263"/>
        <v>7863.2184191855868</v>
      </c>
      <c r="K470" s="25">
        <f t="shared" si="264"/>
        <v>20282.026119384056</v>
      </c>
      <c r="L470" s="25"/>
      <c r="N470" s="25">
        <f>'Combined Retirement'!$C$18/12</f>
        <v>39153.069999999992</v>
      </c>
      <c r="O470" s="25">
        <f t="shared" si="265"/>
        <v>11007.82546143035</v>
      </c>
      <c r="P470" s="25">
        <f t="shared" si="266"/>
        <v>28145.244538569641</v>
      </c>
      <c r="Q470" s="25">
        <f t="array" aca="1" ref="Q470" ca="1">INDEX('Isaac 401k'!L:L,MATCH('Retirement Calculator'!A470,'Isaac 401k'!N:N,0),0)</f>
        <v>623533.25597022113</v>
      </c>
      <c r="R470" s="25">
        <f t="array" aca="1" ref="R470" ca="1">INDEX('Lorri 401b'!L:L,MATCH('Retirement Calculator'!A470,'Lorri 401b'!N:N,0),0)</f>
        <v>1683170.67218753</v>
      </c>
      <c r="S470" s="25">
        <f t="shared" ca="1" si="267"/>
        <v>2306703.928157751</v>
      </c>
    </row>
    <row r="471" spans="1:19" ht="15.75" customHeight="1" x14ac:dyDescent="0.3">
      <c r="A471" s="37">
        <v>65289</v>
      </c>
      <c r="B471" s="409">
        <f t="shared" ref="B471:C471" si="472">($A471-B$9)/365.25</f>
        <v>96.873374401095134</v>
      </c>
      <c r="C471" s="409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3525.4531757812501</v>
      </c>
      <c r="H471" s="25">
        <f>IF(B471&lt;62,0,'Combined Retirement'!$I$14)</f>
        <v>2192</v>
      </c>
      <c r="I471" s="25">
        <f>IF(C471&lt;62,0,'Combined Retirement'!$I$13)</f>
        <v>2420</v>
      </c>
      <c r="J471" s="25">
        <f t="shared" si="263"/>
        <v>7863.2184191855868</v>
      </c>
      <c r="K471" s="25">
        <f t="shared" si="264"/>
        <v>20282.026119384056</v>
      </c>
      <c r="L471" s="25"/>
      <c r="N471" s="25">
        <f>'Combined Retirement'!$C$18/12</f>
        <v>39153.069999999992</v>
      </c>
      <c r="O471" s="25">
        <f t="shared" si="265"/>
        <v>11007.82546143035</v>
      </c>
      <c r="P471" s="25">
        <f t="shared" si="266"/>
        <v>28145.244538569641</v>
      </c>
      <c r="Q471" s="25">
        <f t="array" aca="1" ref="Q471" ca="1">INDEX('Isaac 401k'!L:L,MATCH('Retirement Calculator'!A471,'Isaac 401k'!N:N,0),0)</f>
        <v>618235.32937416481</v>
      </c>
      <c r="R471" s="25">
        <f t="array" aca="1" ref="R471" ca="1">INDEX('Lorri 401b'!L:L,MATCH('Retirement Calculator'!A471,'Lorri 401b'!N:N,0),0)</f>
        <v>1669817.3487600966</v>
      </c>
      <c r="S471" s="25">
        <f t="shared" ca="1" si="267"/>
        <v>2288052.6781342616</v>
      </c>
    </row>
    <row r="472" spans="1:19" ht="15.75" customHeight="1" x14ac:dyDescent="0.3">
      <c r="A472" s="37">
        <v>65320</v>
      </c>
      <c r="B472" s="409">
        <f t="shared" ref="B472:C472" si="473">($A472-B$9)/365.25</f>
        <v>96.958247775496233</v>
      </c>
      <c r="C472" s="409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3525.4531757812501</v>
      </c>
      <c r="H472" s="25">
        <f>IF(B472&lt;62,0,'Combined Retirement'!$I$14)</f>
        <v>2192</v>
      </c>
      <c r="I472" s="25">
        <f>IF(C472&lt;62,0,'Combined Retirement'!$I$13)</f>
        <v>2420</v>
      </c>
      <c r="J472" s="25">
        <f t="shared" si="263"/>
        <v>7863.2184191855868</v>
      </c>
      <c r="K472" s="25">
        <f t="shared" si="264"/>
        <v>20282.026119384056</v>
      </c>
      <c r="L472" s="25"/>
      <c r="N472" s="25">
        <f>'Combined Retirement'!$C$18/12</f>
        <v>39153.069999999992</v>
      </c>
      <c r="O472" s="25">
        <f t="shared" si="265"/>
        <v>11007.82546143035</v>
      </c>
      <c r="P472" s="25">
        <f t="shared" si="266"/>
        <v>28145.244538569641</v>
      </c>
      <c r="Q472" s="25">
        <f t="array" aca="1" ref="Q472" ca="1">INDEX('Isaac 401k'!L:L,MATCH('Retirement Calculator'!A472,'Isaac 401k'!N:N,0),0)</f>
        <v>612915.32808395824</v>
      </c>
      <c r="R472" s="25">
        <f t="array" aca="1" ref="R472" ca="1">INDEX('Lorri 401b'!L:L,MATCH('Retirement Calculator'!A472,'Lorri 401b'!N:N,0),0)</f>
        <v>1656408.3864850488</v>
      </c>
      <c r="S472" s="25">
        <f t="shared" ca="1" si="267"/>
        <v>2269323.714569007</v>
      </c>
    </row>
    <row r="473" spans="1:19" ht="15.75" customHeight="1" x14ac:dyDescent="0.3">
      <c r="A473" s="37">
        <v>65350</v>
      </c>
      <c r="B473" s="409">
        <f t="shared" ref="B473:C473" si="474">($A473-B$9)/365.25</f>
        <v>97.040383299110204</v>
      </c>
      <c r="C473" s="409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3525.4531757812501</v>
      </c>
      <c r="H473" s="25">
        <f>IF(B473&lt;62,0,'Combined Retirement'!$I$14)</f>
        <v>2192</v>
      </c>
      <c r="I473" s="25">
        <f>IF(C473&lt;62,0,'Combined Retirement'!$I$13)</f>
        <v>2420</v>
      </c>
      <c r="J473" s="25">
        <f t="shared" si="263"/>
        <v>7863.2184191855868</v>
      </c>
      <c r="K473" s="25">
        <f t="shared" si="264"/>
        <v>20282.026119384056</v>
      </c>
      <c r="L473" s="25"/>
      <c r="N473" s="25">
        <f>'Combined Retirement'!$C$18/12</f>
        <v>39153.069999999992</v>
      </c>
      <c r="O473" s="25">
        <f t="shared" si="265"/>
        <v>11007.82546143035</v>
      </c>
      <c r="P473" s="25">
        <f t="shared" si="266"/>
        <v>28145.244538569641</v>
      </c>
      <c r="Q473" s="25">
        <f t="array" aca="1" ref="Q473" ca="1">INDEX('Isaac 401k'!L:L,MATCH('Retirement Calculator'!A473,'Isaac 401k'!N:N,0),0)</f>
        <v>607573.16012170922</v>
      </c>
      <c r="R473" s="25">
        <f t="array" aca="1" ref="R473" ca="1">INDEX('Lorri 401b'!L:L,MATCH('Retirement Calculator'!A473,'Lorri 401b'!N:N,0),0)</f>
        <v>1642943.5535338551</v>
      </c>
      <c r="S473" s="25">
        <f t="shared" ca="1" si="267"/>
        <v>2250516.7136555645</v>
      </c>
    </row>
    <row r="474" spans="1:19" ht="15.75" customHeight="1" x14ac:dyDescent="0.3">
      <c r="A474" s="37">
        <v>65381</v>
      </c>
      <c r="B474" s="409">
        <f t="shared" ref="B474:C474" si="475">($A474-B$9)/365.25</f>
        <v>97.125256673511288</v>
      </c>
      <c r="C474" s="409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3525.4531757812501</v>
      </c>
      <c r="H474" s="25">
        <f>IF(B474&lt;62,0,'Combined Retirement'!$I$14)</f>
        <v>2192</v>
      </c>
      <c r="I474" s="25">
        <f>IF(C474&lt;62,0,'Combined Retirement'!$I$13)</f>
        <v>2420</v>
      </c>
      <c r="J474" s="25">
        <f t="shared" si="263"/>
        <v>7863.2184191855868</v>
      </c>
      <c r="K474" s="25">
        <f t="shared" si="264"/>
        <v>20282.026119384056</v>
      </c>
      <c r="L474" s="25"/>
      <c r="N474" s="25">
        <f>'Combined Retirement'!$C$18/12</f>
        <v>39153.069999999992</v>
      </c>
      <c r="O474" s="25">
        <f t="shared" si="265"/>
        <v>11007.82546143035</v>
      </c>
      <c r="P474" s="25">
        <f t="shared" si="266"/>
        <v>28145.244538569641</v>
      </c>
      <c r="Q474" s="25">
        <f t="array" aca="1" ref="Q474" ca="1">INDEX('Isaac 401k'!L:L,MATCH('Retirement Calculator'!A474,'Isaac 401k'!N:N,0),0)</f>
        <v>602208.73312628409</v>
      </c>
      <c r="R474" s="25">
        <f t="array" aca="1" ref="R474" ca="1">INDEX('Lorri 401b'!L:L,MATCH('Retirement Calculator'!A474,'Lorri 401b'!N:N,0),0)</f>
        <v>1629422.6171120314</v>
      </c>
      <c r="S474" s="25">
        <f t="shared" ca="1" si="267"/>
        <v>2231631.3502383158</v>
      </c>
    </row>
    <row r="475" spans="1:19" ht="15.75" customHeight="1" x14ac:dyDescent="0.3">
      <c r="A475" s="37">
        <v>65412</v>
      </c>
      <c r="B475" s="409">
        <f t="shared" ref="B475:C475" si="476">($A475-B$9)/365.25</f>
        <v>97.210130047912386</v>
      </c>
      <c r="C475" s="409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3525.4531757812501</v>
      </c>
      <c r="H475" s="25">
        <f>IF(B475&lt;62,0,'Combined Retirement'!$I$14)</f>
        <v>2192</v>
      </c>
      <c r="I475" s="25">
        <f>IF(C475&lt;62,0,'Combined Retirement'!$I$13)</f>
        <v>2420</v>
      </c>
      <c r="J475" s="25">
        <f t="shared" si="263"/>
        <v>7863.2184191855868</v>
      </c>
      <c r="K475" s="25">
        <f t="shared" si="264"/>
        <v>20282.026119384056</v>
      </c>
      <c r="L475" s="25"/>
      <c r="N475" s="25">
        <f>'Combined Retirement'!$C$18/12</f>
        <v>39153.069999999992</v>
      </c>
      <c r="O475" s="25">
        <f t="shared" si="265"/>
        <v>11007.82546143035</v>
      </c>
      <c r="P475" s="25">
        <f t="shared" si="266"/>
        <v>28145.244538569641</v>
      </c>
      <c r="Q475" s="25">
        <f t="array" aca="1" ref="Q475" ca="1">INDEX('Isaac 401k'!L:L,MATCH('Retirement Calculator'!A475,'Isaac 401k'!N:N,0),0)</f>
        <v>596821.95435171144</v>
      </c>
      <c r="R475" s="25">
        <f t="array" aca="1" ref="R475" ca="1">INDEX('Lorri 401b'!L:L,MATCH('Retirement Calculator'!A475,'Lorri 401b'!N:N,0),0)</f>
        <v>1615845.3434551167</v>
      </c>
      <c r="S475" s="25">
        <f t="shared" ca="1" si="267"/>
        <v>2212667.2978068283</v>
      </c>
    </row>
    <row r="476" spans="1:19" ht="15.75" customHeight="1" x14ac:dyDescent="0.3">
      <c r="A476" s="37">
        <v>65440</v>
      </c>
      <c r="B476" s="409">
        <f t="shared" ref="B476:C476" si="477">($A476-B$9)/365.25</f>
        <v>97.286789869952088</v>
      </c>
      <c r="C476" s="409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3525.4531757812501</v>
      </c>
      <c r="H476" s="25">
        <f>IF(B476&lt;62,0,'Combined Retirement'!$I$14)</f>
        <v>2192</v>
      </c>
      <c r="I476" s="25">
        <f>IF(C476&lt;62,0,'Combined Retirement'!$I$13)</f>
        <v>2420</v>
      </c>
      <c r="J476" s="25">
        <f t="shared" si="263"/>
        <v>7863.2184191855868</v>
      </c>
      <c r="K476" s="25">
        <f t="shared" si="264"/>
        <v>20282.026119384056</v>
      </c>
      <c r="L476" s="25"/>
      <c r="N476" s="25">
        <f>'Combined Retirement'!$C$18/12</f>
        <v>39153.069999999992</v>
      </c>
      <c r="O476" s="25">
        <f t="shared" si="265"/>
        <v>11007.82546143035</v>
      </c>
      <c r="P476" s="25">
        <f t="shared" si="266"/>
        <v>28145.244538569641</v>
      </c>
      <c r="Q476" s="25">
        <f t="array" aca="1" ref="Q476" ca="1">INDEX('Isaac 401k'!L:L,MATCH('Retirement Calculator'!A476,'Isaac 401k'!N:N,0),0)</f>
        <v>591412.73066557804</v>
      </c>
      <c r="R476" s="25">
        <f t="array" aca="1" ref="R476" ca="1">INDEX('Lorri 401b'!L:L,MATCH('Retirement Calculator'!A476,'Lorri 401b'!N:N,0),0)</f>
        <v>1602211.4978246316</v>
      </c>
      <c r="S476" s="25">
        <f t="shared" ca="1" si="267"/>
        <v>2193624.2284902097</v>
      </c>
    </row>
    <row r="477" spans="1:19" ht="15.75" customHeight="1" x14ac:dyDescent="0.3">
      <c r="A477" s="37">
        <v>65471</v>
      </c>
      <c r="B477" s="409">
        <f t="shared" ref="B477:C477" si="478">($A477-B$9)/365.25</f>
        <v>97.371663244353186</v>
      </c>
      <c r="C477" s="409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3525.4531757812501</v>
      </c>
      <c r="H477" s="25">
        <f>IF(B477&lt;62,0,'Combined Retirement'!$I$14)</f>
        <v>2192</v>
      </c>
      <c r="I477" s="25">
        <f>IF(C477&lt;62,0,'Combined Retirement'!$I$13)</f>
        <v>2420</v>
      </c>
      <c r="J477" s="25">
        <f t="shared" si="263"/>
        <v>7863.2184191855868</v>
      </c>
      <c r="K477" s="25">
        <f t="shared" si="264"/>
        <v>20282.026119384056</v>
      </c>
      <c r="L477" s="25"/>
      <c r="N477" s="25">
        <f>'Combined Retirement'!$C$18/12</f>
        <v>39153.069999999992</v>
      </c>
      <c r="O477" s="25">
        <f t="shared" si="265"/>
        <v>11007.82546143035</v>
      </c>
      <c r="P477" s="25">
        <f t="shared" si="266"/>
        <v>28145.244538569641</v>
      </c>
      <c r="Q477" s="25">
        <f t="array" aca="1" ref="Q477" ca="1">INDEX('Isaac 401k'!L:L,MATCH('Retirement Calculator'!A477,'Isaac 401k'!N:N,0),0)</f>
        <v>585980.96854741906</v>
      </c>
      <c r="R477" s="25">
        <f t="array" aca="1" ref="R477" ca="1">INDEX('Lorri 401b'!L:L,MATCH('Retirement Calculator'!A477,'Lorri 401b'!N:N,0),0)</f>
        <v>1588520.8445040195</v>
      </c>
      <c r="S477" s="25">
        <f t="shared" ca="1" si="267"/>
        <v>2174501.8130514384</v>
      </c>
    </row>
    <row r="478" spans="1:19" ht="15.75" customHeight="1" x14ac:dyDescent="0.3">
      <c r="A478" s="37">
        <v>65501</v>
      </c>
      <c r="B478" s="409">
        <f t="shared" ref="B478:C478" si="479">($A478-B$9)/365.25</f>
        <v>97.453798767967143</v>
      </c>
      <c r="C478" s="409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3525.4531757812501</v>
      </c>
      <c r="H478" s="25">
        <f>IF(B478&lt;62,0,'Combined Retirement'!$I$14)</f>
        <v>2192</v>
      </c>
      <c r="I478" s="25">
        <f>IF(C478&lt;62,0,'Combined Retirement'!$I$13)</f>
        <v>2420</v>
      </c>
      <c r="J478" s="25">
        <f t="shared" si="263"/>
        <v>7863.2184191855868</v>
      </c>
      <c r="K478" s="25">
        <f t="shared" si="264"/>
        <v>20282.026119384056</v>
      </c>
      <c r="L478" s="25"/>
      <c r="N478" s="25">
        <f>'Combined Retirement'!$C$18/12</f>
        <v>39153.069999999992</v>
      </c>
      <c r="O478" s="25">
        <f t="shared" si="265"/>
        <v>11007.82546143035</v>
      </c>
      <c r="P478" s="25">
        <f t="shared" si="266"/>
        <v>28145.244538569641</v>
      </c>
      <c r="Q478" s="25">
        <f t="array" aca="1" ref="Q478" ca="1">INDEX('Isaac 401k'!L:L,MATCH('Retirement Calculator'!A478,'Isaac 401k'!N:N,0),0)</f>
        <v>580526.57408710115</v>
      </c>
      <c r="R478" s="25">
        <f t="array" aca="1" ref="R478" ca="1">INDEX('Lorri 401b'!L:L,MATCH('Retirement Calculator'!A478,'Lorri 401b'!N:N,0),0)</f>
        <v>1574773.1467945715</v>
      </c>
      <c r="S478" s="25">
        <f t="shared" ca="1" si="267"/>
        <v>2155299.7208816726</v>
      </c>
    </row>
    <row r="479" spans="1:19" ht="15.75" customHeight="1" x14ac:dyDescent="0.3">
      <c r="A479" s="37">
        <v>65532</v>
      </c>
      <c r="B479" s="409">
        <f t="shared" ref="B479:C479" si="480">($A479-B$9)/365.25</f>
        <v>97.538672142368242</v>
      </c>
      <c r="C479" s="409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3525.4531757812501</v>
      </c>
      <c r="H479" s="25">
        <f>IF(B479&lt;62,0,'Combined Retirement'!$I$14)</f>
        <v>2192</v>
      </c>
      <c r="I479" s="25">
        <f>IF(C479&lt;62,0,'Combined Retirement'!$I$13)</f>
        <v>2420</v>
      </c>
      <c r="J479" s="25">
        <f t="shared" si="263"/>
        <v>7863.2184191855868</v>
      </c>
      <c r="K479" s="25">
        <f t="shared" si="264"/>
        <v>20282.026119384056</v>
      </c>
      <c r="L479" s="25"/>
      <c r="N479" s="25">
        <f>'Combined Retirement'!$C$18/12</f>
        <v>39153.069999999992</v>
      </c>
      <c r="O479" s="25">
        <f t="shared" si="265"/>
        <v>11007.82546143035</v>
      </c>
      <c r="P479" s="25">
        <f t="shared" si="266"/>
        <v>28145.244538569641</v>
      </c>
      <c r="Q479" s="25">
        <f t="array" aca="1" ref="Q479" ca="1">INDEX('Isaac 401k'!L:L,MATCH('Retirement Calculator'!A479,'Isaac 401k'!N:N,0),0)</f>
        <v>575049.45298319857</v>
      </c>
      <c r="R479" s="25">
        <f t="array" aca="1" ref="R479" ca="1">INDEX('Lorri 401b'!L:L,MATCH('Retirement Calculator'!A479,'Lorri 401b'!N:N,0),0)</f>
        <v>1560968.1670113341</v>
      </c>
      <c r="S479" s="25">
        <f t="shared" ca="1" si="267"/>
        <v>2136017.6199945328</v>
      </c>
    </row>
    <row r="480" spans="1:19" ht="15.75" customHeight="1" x14ac:dyDescent="0.3">
      <c r="A480" s="37">
        <v>65562</v>
      </c>
      <c r="B480" s="409">
        <f t="shared" ref="B480:C480" si="481">($A480-B$9)/365.25</f>
        <v>97.620807665982198</v>
      </c>
      <c r="C480" s="409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3525.4531757812501</v>
      </c>
      <c r="H480" s="25">
        <f>IF(B480&lt;62,0,'Combined Retirement'!$I$14)</f>
        <v>2192</v>
      </c>
      <c r="I480" s="25">
        <f>IF(C480&lt;62,0,'Combined Retirement'!$I$13)</f>
        <v>2420</v>
      </c>
      <c r="J480" s="25">
        <f t="shared" si="263"/>
        <v>7863.2184191855868</v>
      </c>
      <c r="K480" s="25">
        <f t="shared" si="264"/>
        <v>20282.026119384056</v>
      </c>
      <c r="L480" s="25"/>
      <c r="N480" s="25">
        <f>'Combined Retirement'!$C$18/12</f>
        <v>39153.069999999992</v>
      </c>
      <c r="O480" s="25">
        <f t="shared" si="265"/>
        <v>11007.82546143035</v>
      </c>
      <c r="P480" s="25">
        <f t="shared" si="266"/>
        <v>28145.244538569641</v>
      </c>
      <c r="Q480" s="25">
        <f t="array" aca="1" ref="Q480" ca="1">INDEX('Isaac 401k'!L:L,MATCH('Retirement Calculator'!A480,'Isaac 401k'!N:N,0),0)</f>
        <v>569549.51054136304</v>
      </c>
      <c r="R480" s="25">
        <f t="array" aca="1" ref="R480" ca="1">INDEX('Lorri 401b'!L:L,MATCH('Retirement Calculator'!A480,'Lorri 401b'!N:N,0),0)</f>
        <v>1547105.6664789999</v>
      </c>
      <c r="S480" s="25">
        <f t="shared" ca="1" si="267"/>
        <v>2116655.177020363</v>
      </c>
    </row>
    <row r="481" spans="1:19" ht="15.75" customHeight="1" x14ac:dyDescent="0.3">
      <c r="A481" s="37">
        <v>65593</v>
      </c>
      <c r="B481" s="409">
        <f t="shared" ref="B481:C481" si="482">($A481-B$9)/365.25</f>
        <v>97.705681040383297</v>
      </c>
      <c r="C481" s="409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3525.4531757812501</v>
      </c>
      <c r="H481" s="25">
        <f>IF(B481&lt;62,0,'Combined Retirement'!$I$14)</f>
        <v>2192</v>
      </c>
      <c r="I481" s="25">
        <f>IF(C481&lt;62,0,'Combined Retirement'!$I$13)</f>
        <v>2420</v>
      </c>
      <c r="J481" s="25">
        <f t="shared" si="263"/>
        <v>7863.2184191855868</v>
      </c>
      <c r="K481" s="25">
        <f t="shared" si="264"/>
        <v>20282.026119384056</v>
      </c>
      <c r="L481" s="25"/>
      <c r="N481" s="25">
        <f>'Combined Retirement'!$C$18/12</f>
        <v>39153.069999999992</v>
      </c>
      <c r="O481" s="25">
        <f t="shared" si="265"/>
        <v>11007.82546143035</v>
      </c>
      <c r="P481" s="25">
        <f t="shared" si="266"/>
        <v>28145.244538569641</v>
      </c>
      <c r="Q481" s="25">
        <f t="array" aca="1" ref="Q481" ca="1">INDEX('Isaac 401k'!L:L,MATCH('Retirement Calculator'!A481,'Isaac 401k'!N:N,0),0)</f>
        <v>564026.65167268645</v>
      </c>
      <c r="R481" s="25">
        <f t="array" aca="1" ref="R481" ca="1">INDEX('Lorri 401b'!L:L,MATCH('Retirement Calculator'!A481,'Lorri 401b'!N:N,0),0)</f>
        <v>1533185.405527781</v>
      </c>
      <c r="S481" s="25">
        <f t="shared" ca="1" si="267"/>
        <v>2097212.0572004672</v>
      </c>
    </row>
    <row r="482" spans="1:19" ht="15.75" customHeight="1" x14ac:dyDescent="0.3">
      <c r="A482" s="37">
        <v>65624</v>
      </c>
      <c r="B482" s="409">
        <f t="shared" ref="B482:C482" si="483">($A482-B$9)/365.25</f>
        <v>97.790554414784395</v>
      </c>
      <c r="C482" s="409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3525.4531757812501</v>
      </c>
      <c r="H482" s="25">
        <f>IF(B482&lt;62,0,'Combined Retirement'!$I$14)</f>
        <v>2192</v>
      </c>
      <c r="I482" s="25">
        <f>IF(C482&lt;62,0,'Combined Retirement'!$I$13)</f>
        <v>2420</v>
      </c>
      <c r="J482" s="25">
        <f t="shared" si="263"/>
        <v>7863.2184191855868</v>
      </c>
      <c r="K482" s="25">
        <f t="shared" si="264"/>
        <v>20282.026119384056</v>
      </c>
      <c r="L482" s="25"/>
      <c r="N482" s="25">
        <f>'Combined Retirement'!$C$18/12</f>
        <v>39153.069999999992</v>
      </c>
      <c r="O482" s="25">
        <f t="shared" si="265"/>
        <v>11007.82546143035</v>
      </c>
      <c r="P482" s="25">
        <f t="shared" si="266"/>
        <v>28145.244538569641</v>
      </c>
      <c r="Q482" s="25">
        <f t="array" aca="1" ref="Q482" ca="1">INDEX('Isaac 401k'!L:L,MATCH('Retirement Calculator'!A482,'Isaac 401k'!N:N,0),0)</f>
        <v>558480.78089205711</v>
      </c>
      <c r="R482" s="25">
        <f t="array" aca="1" ref="R482" ca="1">INDEX('Lorri 401b'!L:L,MATCH('Retirement Calculator'!A482,'Lorri 401b'!N:N,0),0)</f>
        <v>1519207.1434892653</v>
      </c>
      <c r="S482" s="25">
        <f t="shared" ca="1" si="267"/>
        <v>2077687.9243813225</v>
      </c>
    </row>
    <row r="483" spans="1:19" ht="15.75" customHeight="1" x14ac:dyDescent="0.3">
      <c r="A483" s="37">
        <v>65654</v>
      </c>
      <c r="B483" s="409">
        <f t="shared" ref="B483:C483" si="484">($A483-B$9)/365.25</f>
        <v>97.872689938398352</v>
      </c>
      <c r="C483" s="409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3525.4531757812501</v>
      </c>
      <c r="H483" s="25">
        <f>IF(B483&lt;62,0,'Combined Retirement'!$I$14)</f>
        <v>2192</v>
      </c>
      <c r="I483" s="25">
        <f>IF(C483&lt;62,0,'Combined Retirement'!$I$13)</f>
        <v>2420</v>
      </c>
      <c r="J483" s="25">
        <f t="shared" si="263"/>
        <v>7863.2184191855868</v>
      </c>
      <c r="K483" s="25">
        <f t="shared" si="264"/>
        <v>20282.026119384056</v>
      </c>
      <c r="L483" s="25"/>
      <c r="N483" s="25">
        <f>'Combined Retirement'!$C$18/12</f>
        <v>39153.069999999992</v>
      </c>
      <c r="O483" s="25">
        <f t="shared" si="265"/>
        <v>11007.82546143035</v>
      </c>
      <c r="P483" s="25">
        <f t="shared" si="266"/>
        <v>28145.244538569641</v>
      </c>
      <c r="Q483" s="25">
        <f t="array" aca="1" ref="Q483" ca="1">INDEX('Isaac 401k'!L:L,MATCH('Retirement Calculator'!A483,'Isaac 401k'!N:N,0),0)</f>
        <v>552911.80231650849</v>
      </c>
      <c r="R483" s="25">
        <f t="array" aca="1" ref="R483" ca="1">INDEX('Lorri 401b'!L:L,MATCH('Retirement Calculator'!A483,'Lorri 401b'!N:N,0),0)</f>
        <v>1505170.6386922558</v>
      </c>
      <c r="S483" s="25">
        <f t="shared" ca="1" si="267"/>
        <v>2058082.4410087643</v>
      </c>
    </row>
    <row r="484" spans="1:19" ht="15.75" customHeight="1" x14ac:dyDescent="0.3">
      <c r="A484" s="37">
        <v>65685</v>
      </c>
      <c r="B484" s="409">
        <f t="shared" ref="B484:C484" si="485">($A484-B$9)/365.25</f>
        <v>97.957563312799451</v>
      </c>
      <c r="C484" s="409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3525.4531757812501</v>
      </c>
      <c r="H484" s="25">
        <f>IF(B484&lt;62,0,'Combined Retirement'!$I$14)</f>
        <v>2192</v>
      </c>
      <c r="I484" s="25">
        <f>IF(C484&lt;62,0,'Combined Retirement'!$I$13)</f>
        <v>2420</v>
      </c>
      <c r="J484" s="25">
        <f t="shared" si="263"/>
        <v>7863.2184191855868</v>
      </c>
      <c r="K484" s="25">
        <f t="shared" si="264"/>
        <v>20282.026119384056</v>
      </c>
      <c r="L484" s="25"/>
      <c r="N484" s="25">
        <f>'Combined Retirement'!$C$18/12</f>
        <v>39153.069999999992</v>
      </c>
      <c r="O484" s="25">
        <f t="shared" si="265"/>
        <v>11007.82546143035</v>
      </c>
      <c r="P484" s="25">
        <f t="shared" si="266"/>
        <v>28145.244538569641</v>
      </c>
      <c r="Q484" s="25">
        <f t="array" aca="1" ref="Q484" ca="1">INDEX('Isaac 401k'!L:L,MATCH('Retirement Calculator'!A484,'Isaac 401k'!N:N,0),0)</f>
        <v>547319.61966356169</v>
      </c>
      <c r="R484" s="25">
        <f t="array" aca="1" ref="R484" ca="1">INDEX('Lorri 401b'!L:L,MATCH('Retirement Calculator'!A484,'Lorri 401b'!N:N,0),0)</f>
        <v>1491075.6484585921</v>
      </c>
      <c r="S484" s="25">
        <f t="shared" ca="1" si="267"/>
        <v>2038395.2681221538</v>
      </c>
    </row>
    <row r="485" spans="1:19" ht="15.75" customHeight="1" x14ac:dyDescent="0.3">
      <c r="A485" s="37">
        <v>65715</v>
      </c>
      <c r="B485" s="409">
        <f t="shared" ref="B485:C485" si="486">($A485-B$9)/365.25</f>
        <v>98.039698836413422</v>
      </c>
      <c r="C485" s="409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3525.4531757812501</v>
      </c>
      <c r="H485" s="25">
        <f>IF(B485&lt;62,0,'Combined Retirement'!$I$14)</f>
        <v>2192</v>
      </c>
      <c r="I485" s="25">
        <f>IF(C485&lt;62,0,'Combined Retirement'!$I$13)</f>
        <v>2420</v>
      </c>
      <c r="J485" s="25">
        <f t="shared" si="263"/>
        <v>7863.2184191855868</v>
      </c>
      <c r="K485" s="25">
        <f t="shared" si="264"/>
        <v>20282.026119384056</v>
      </c>
      <c r="L485" s="25"/>
      <c r="N485" s="25">
        <f>'Combined Retirement'!$C$18/12</f>
        <v>39153.069999999992</v>
      </c>
      <c r="O485" s="25">
        <f t="shared" si="265"/>
        <v>11007.82546143035</v>
      </c>
      <c r="P485" s="25">
        <f t="shared" si="266"/>
        <v>28145.244538569641</v>
      </c>
      <c r="Q485" s="25">
        <f t="array" aca="1" ref="Q485" ca="1">INDEX('Isaac 401k'!L:L,MATCH('Retirement Calculator'!A485,'Isaac 401k'!N:N,0),0)</f>
        <v>541704.13624956098</v>
      </c>
      <c r="R485" s="25">
        <f t="array" aca="1" ref="R485" ca="1">INDEX('Lorri 401b'!L:L,MATCH('Retirement Calculator'!A485,'Lorri 401b'!N:N,0),0)</f>
        <v>1476921.9290989549</v>
      </c>
      <c r="S485" s="25">
        <f t="shared" ca="1" si="267"/>
        <v>2018626.0653485158</v>
      </c>
    </row>
    <row r="486" spans="1:19" ht="15.75" customHeight="1" x14ac:dyDescent="0.3">
      <c r="A486" s="37">
        <v>65746</v>
      </c>
      <c r="B486" s="409">
        <f t="shared" ref="B486:C486" si="487">($A486-B$9)/365.25</f>
        <v>98.124572210814506</v>
      </c>
      <c r="C486" s="409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3525.4531757812501</v>
      </c>
      <c r="H486" s="25">
        <f>IF(B486&lt;62,0,'Combined Retirement'!$I$14)</f>
        <v>2192</v>
      </c>
      <c r="I486" s="25">
        <f>IF(C486&lt;62,0,'Combined Retirement'!$I$13)</f>
        <v>2420</v>
      </c>
      <c r="J486" s="25">
        <f t="shared" si="263"/>
        <v>7863.2184191855868</v>
      </c>
      <c r="K486" s="25">
        <f t="shared" si="264"/>
        <v>20282.026119384056</v>
      </c>
      <c r="L486" s="25"/>
      <c r="N486" s="25">
        <f>'Combined Retirement'!$C$18/12</f>
        <v>39153.069999999992</v>
      </c>
      <c r="O486" s="25">
        <f t="shared" si="265"/>
        <v>11007.82546143035</v>
      </c>
      <c r="P486" s="25">
        <f t="shared" si="266"/>
        <v>28145.244538569641</v>
      </c>
      <c r="Q486" s="25">
        <f t="array" aca="1" ref="Q486" ca="1">INDEX('Isaac 401k'!L:L,MATCH('Retirement Calculator'!A486,'Isaac 401k'!N:N,0),0)</f>
        <v>536065.25498800189</v>
      </c>
      <c r="R486" s="25">
        <f t="array" aca="1" ref="R486" ca="1">INDEX('Lorri 401b'!L:L,MATCH('Retirement Calculator'!A486,'Lorri 401b'!N:N,0),0)</f>
        <v>1462709.2359086524</v>
      </c>
      <c r="S486" s="25">
        <f t="shared" ca="1" si="267"/>
        <v>1998774.4908966543</v>
      </c>
    </row>
    <row r="487" spans="1:19" ht="15.75" customHeight="1" x14ac:dyDescent="0.3">
      <c r="A487" s="37">
        <v>65777</v>
      </c>
      <c r="B487" s="409">
        <f t="shared" ref="B487:C487" si="488">($A487-B$9)/365.25</f>
        <v>98.209445585215605</v>
      </c>
      <c r="C487" s="409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3525.4531757812501</v>
      </c>
      <c r="H487" s="25">
        <f>IF(B487&lt;62,0,'Combined Retirement'!$I$14)</f>
        <v>2192</v>
      </c>
      <c r="I487" s="25">
        <f>IF(C487&lt;62,0,'Combined Retirement'!$I$13)</f>
        <v>2420</v>
      </c>
      <c r="J487" s="25">
        <f t="shared" si="263"/>
        <v>7863.2184191855868</v>
      </c>
      <c r="K487" s="25">
        <f t="shared" si="264"/>
        <v>20282.026119384056</v>
      </c>
      <c r="L487" s="25"/>
      <c r="N487" s="25">
        <f>'Combined Retirement'!$C$18/12</f>
        <v>39153.069999999992</v>
      </c>
      <c r="O487" s="25">
        <f t="shared" si="265"/>
        <v>11007.82546143035</v>
      </c>
      <c r="P487" s="25">
        <f t="shared" si="266"/>
        <v>28145.244538569641</v>
      </c>
      <c r="Q487" s="25">
        <f t="array" aca="1" ref="Q487" ca="1">INDEX('Isaac 401k'!L:L,MATCH('Retirement Calculator'!A487,'Isaac 401k'!N:N,0),0)</f>
        <v>530402.87838785304</v>
      </c>
      <c r="R487" s="25">
        <f t="array" aca="1" ref="R487" ca="1">INDEX('Lorri 401b'!L:L,MATCH('Retirement Calculator'!A487,'Lorri 401b'!N:N,0),0)</f>
        <v>1448437.3231633904</v>
      </c>
      <c r="S487" s="25">
        <f t="shared" ca="1" si="267"/>
        <v>1978840.2015512434</v>
      </c>
    </row>
    <row r="488" spans="1:19" ht="15.75" customHeight="1" x14ac:dyDescent="0.3">
      <c r="A488" s="37">
        <v>65806</v>
      </c>
      <c r="B488" s="409">
        <f t="shared" ref="B488:C488" si="489">($A488-B$9)/365.25</f>
        <v>98.288843258042434</v>
      </c>
      <c r="C488" s="409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3525.4531757812501</v>
      </c>
      <c r="H488" s="25">
        <f>IF(B488&lt;62,0,'Combined Retirement'!$I$14)</f>
        <v>2192</v>
      </c>
      <c r="I488" s="25">
        <f>IF(C488&lt;62,0,'Combined Retirement'!$I$13)</f>
        <v>2420</v>
      </c>
      <c r="J488" s="25">
        <f t="shared" si="263"/>
        <v>7863.2184191855868</v>
      </c>
      <c r="K488" s="25">
        <f t="shared" si="264"/>
        <v>20282.026119384056</v>
      </c>
      <c r="L488" s="25"/>
      <c r="N488" s="25">
        <f>'Combined Retirement'!$C$18/12</f>
        <v>39153.069999999992</v>
      </c>
      <c r="O488" s="25">
        <f t="shared" si="265"/>
        <v>11007.82546143035</v>
      </c>
      <c r="P488" s="25">
        <f t="shared" si="266"/>
        <v>28145.244538569641</v>
      </c>
      <c r="Q488" s="25">
        <f t="array" aca="1" ref="Q488" ca="1">INDEX('Isaac 401k'!L:L,MATCH('Retirement Calculator'!A488,'Isaac 401k'!N:N,0),0)</f>
        <v>524716.90855187026</v>
      </c>
      <c r="R488" s="25">
        <f t="array" aca="1" ref="R488" ca="1">INDEX('Lorri 401b'!L:L,MATCH('Retirement Calculator'!A488,'Lorri 401b'!N:N,0),0)</f>
        <v>1434105.9441150231</v>
      </c>
      <c r="S488" s="25">
        <f t="shared" ca="1" si="267"/>
        <v>1958822.8526668935</v>
      </c>
    </row>
    <row r="489" spans="1:19" ht="15.75" customHeight="1" x14ac:dyDescent="0.3">
      <c r="A489" s="37">
        <v>65837</v>
      </c>
      <c r="B489" s="409">
        <f t="shared" ref="B489:C489" si="490">($A489-B$9)/365.25</f>
        <v>98.373716632443532</v>
      </c>
      <c r="C489" s="409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3525.4531757812501</v>
      </c>
      <c r="H489" s="25">
        <f>IF(B489&lt;62,0,'Combined Retirement'!$I$14)</f>
        <v>2192</v>
      </c>
      <c r="I489" s="25">
        <f>IF(C489&lt;62,0,'Combined Retirement'!$I$13)</f>
        <v>2420</v>
      </c>
      <c r="J489" s="25">
        <f t="shared" si="263"/>
        <v>7863.2184191855868</v>
      </c>
      <c r="K489" s="25">
        <f t="shared" si="264"/>
        <v>20282.026119384056</v>
      </c>
      <c r="L489" s="25"/>
      <c r="N489" s="25">
        <f>'Combined Retirement'!$C$18/12</f>
        <v>39153.069999999992</v>
      </c>
      <c r="O489" s="25">
        <f t="shared" si="265"/>
        <v>11007.82546143035</v>
      </c>
      <c r="P489" s="25">
        <f t="shared" si="266"/>
        <v>28145.244538569641</v>
      </c>
      <c r="Q489" s="25">
        <f t="array" aca="1" ref="Q489" ca="1">INDEX('Isaac 401k'!L:L,MATCH('Retirement Calculator'!A489,'Isaac 401k'!N:N,0),0)</f>
        <v>519007.24717490416</v>
      </c>
      <c r="R489" s="25">
        <f t="array" aca="1" ref="R489" ca="1">INDEX('Lorri 401b'!L:L,MATCH('Retirement Calculator'!A489,'Lorri 401b'!N:N,0),0)</f>
        <v>1419714.8509872877</v>
      </c>
      <c r="S489" s="25">
        <f t="shared" ca="1" si="267"/>
        <v>1938722.0981621919</v>
      </c>
    </row>
    <row r="490" spans="1:19" ht="15.75" customHeight="1" x14ac:dyDescent="0.3">
      <c r="A490" s="37">
        <v>65867</v>
      </c>
      <c r="B490" s="409">
        <f t="shared" ref="B490:C490" si="491">($A490-B$9)/365.25</f>
        <v>98.455852156057489</v>
      </c>
      <c r="C490" s="409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3525.4531757812501</v>
      </c>
      <c r="H490" s="25">
        <f>IF(B490&lt;62,0,'Combined Retirement'!$I$14)</f>
        <v>2192</v>
      </c>
      <c r="I490" s="25">
        <f>IF(C490&lt;62,0,'Combined Retirement'!$I$13)</f>
        <v>2420</v>
      </c>
      <c r="J490" s="25">
        <f t="shared" si="263"/>
        <v>7863.2184191855868</v>
      </c>
      <c r="K490" s="25">
        <f t="shared" si="264"/>
        <v>20282.026119384056</v>
      </c>
      <c r="L490" s="25"/>
      <c r="N490" s="25">
        <f>'Combined Retirement'!$C$18/12</f>
        <v>39153.069999999992</v>
      </c>
      <c r="O490" s="25">
        <f t="shared" si="265"/>
        <v>11007.82546143035</v>
      </c>
      <c r="P490" s="25">
        <f t="shared" si="266"/>
        <v>28145.244538569641</v>
      </c>
      <c r="Q490" s="25">
        <f t="array" aca="1" ref="Q490" ca="1">INDEX('Isaac 401k'!L:L,MATCH('Retirement Calculator'!A490,'Isaac 401k'!N:N,0),0)</f>
        <v>513273.79554220074</v>
      </c>
      <c r="R490" s="25">
        <f t="array" aca="1" ref="R490" ca="1">INDEX('Lorri 401b'!L:L,MATCH('Retirement Calculator'!A490,'Lorri 401b'!N:N,0),0)</f>
        <v>1405263.7949715201</v>
      </c>
      <c r="S490" s="25">
        <f t="shared" ca="1" si="267"/>
        <v>1918537.5905137209</v>
      </c>
    </row>
    <row r="491" spans="1:19" ht="15.75" customHeight="1" x14ac:dyDescent="0.3">
      <c r="A491" s="37">
        <v>65898</v>
      </c>
      <c r="B491" s="409">
        <f t="shared" ref="B491:C491" si="492">($A491-B$9)/365.25</f>
        <v>98.540725530458587</v>
      </c>
      <c r="C491" s="409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3525.4531757812501</v>
      </c>
      <c r="H491" s="25">
        <f>IF(B491&lt;62,0,'Combined Retirement'!$I$14)</f>
        <v>2192</v>
      </c>
      <c r="I491" s="25">
        <f>IF(C491&lt;62,0,'Combined Retirement'!$I$13)</f>
        <v>2420</v>
      </c>
      <c r="J491" s="25">
        <f t="shared" si="263"/>
        <v>7863.2184191855868</v>
      </c>
      <c r="K491" s="25">
        <f t="shared" si="264"/>
        <v>20282.026119384056</v>
      </c>
      <c r="L491" s="25"/>
      <c r="N491" s="25">
        <f>'Combined Retirement'!$C$18/12</f>
        <v>39153.069999999992</v>
      </c>
      <c r="O491" s="25">
        <f t="shared" si="265"/>
        <v>11007.82546143035</v>
      </c>
      <c r="P491" s="25">
        <f t="shared" si="266"/>
        <v>28145.244538569641</v>
      </c>
      <c r="Q491" s="25">
        <f t="array" aca="1" ref="Q491" ca="1">INDEX('Isaac 401k'!L:L,MATCH('Retirement Calculator'!A491,'Isaac 401k'!N:N,0),0)</f>
        <v>507516.45452769438</v>
      </c>
      <c r="R491" s="25">
        <f t="array" aca="1" ref="R491" ca="1">INDEX('Lorri 401b'!L:L,MATCH('Retirement Calculator'!A491,'Lorri 401b'!N:N,0),0)</f>
        <v>1390752.5262223533</v>
      </c>
      <c r="S491" s="25">
        <f t="shared" ca="1" si="267"/>
        <v>1898268.9807500476</v>
      </c>
    </row>
    <row r="492" spans="1:19" ht="15.75" customHeight="1" x14ac:dyDescent="0.3">
      <c r="A492" s="37">
        <v>65928</v>
      </c>
      <c r="B492" s="409">
        <f t="shared" ref="B492:C492" si="493">($A492-B$9)/365.25</f>
        <v>98.622861054072558</v>
      </c>
      <c r="C492" s="409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3525.4531757812501</v>
      </c>
      <c r="H492" s="25">
        <f>IF(B492&lt;62,0,'Combined Retirement'!$I$14)</f>
        <v>2192</v>
      </c>
      <c r="I492" s="25">
        <f>IF(C492&lt;62,0,'Combined Retirement'!$I$13)</f>
        <v>2420</v>
      </c>
      <c r="J492" s="25">
        <f t="shared" si="263"/>
        <v>7863.2184191855868</v>
      </c>
      <c r="K492" s="25">
        <f t="shared" si="264"/>
        <v>20282.026119384056</v>
      </c>
      <c r="L492" s="25"/>
      <c r="N492" s="25">
        <f>'Combined Retirement'!$C$18/12</f>
        <v>39153.069999999992</v>
      </c>
      <c r="O492" s="25">
        <f t="shared" si="265"/>
        <v>11007.82546143035</v>
      </c>
      <c r="P492" s="25">
        <f t="shared" si="266"/>
        <v>28145.244538569641</v>
      </c>
      <c r="Q492" s="25">
        <f t="array" aca="1" ref="Q492" ca="1">INDEX('Isaac 401k'!L:L,MATCH('Retirement Calculator'!A492,'Isaac 401k'!N:N,0),0)</f>
        <v>501735.12459229422</v>
      </c>
      <c r="R492" s="25">
        <f t="array" aca="1" ref="R492" ca="1">INDEX('Lorri 401b'!L:L,MATCH('Retirement Calculator'!A492,'Lorri 401b'!N:N,0),0)</f>
        <v>1376180.7938533984</v>
      </c>
      <c r="S492" s="25">
        <f t="shared" ca="1" si="267"/>
        <v>1877915.9184456926</v>
      </c>
    </row>
    <row r="493" spans="1:19" ht="15.75" customHeight="1" x14ac:dyDescent="0.3">
      <c r="A493" s="37">
        <v>65959</v>
      </c>
      <c r="B493" s="409">
        <f t="shared" ref="B493:C493" si="494">($A493-B$9)/365.25</f>
        <v>98.707734428473643</v>
      </c>
      <c r="C493" s="409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3525.4531757812501</v>
      </c>
      <c r="H493" s="25">
        <f>IF(B493&lt;62,0,'Combined Retirement'!$I$14)</f>
        <v>2192</v>
      </c>
      <c r="I493" s="25">
        <f>IF(C493&lt;62,0,'Combined Retirement'!$I$13)</f>
        <v>2420</v>
      </c>
      <c r="J493" s="25">
        <f t="shared" si="263"/>
        <v>7863.2184191855868</v>
      </c>
      <c r="K493" s="25">
        <f t="shared" si="264"/>
        <v>20282.026119384056</v>
      </c>
      <c r="L493" s="25"/>
      <c r="N493" s="25">
        <f>'Combined Retirement'!$C$18/12</f>
        <v>39153.069999999992</v>
      </c>
      <c r="O493" s="25">
        <f t="shared" si="265"/>
        <v>11007.82546143035</v>
      </c>
      <c r="P493" s="25">
        <f t="shared" si="266"/>
        <v>28145.244538569641</v>
      </c>
      <c r="Q493" s="25">
        <f t="array" aca="1" ref="Q493" ca="1">INDEX('Isaac 401k'!L:L,MATCH('Retirement Calculator'!A493,'Isaac 401k'!N:N,0),0)</f>
        <v>495929.70578216325</v>
      </c>
      <c r="R493" s="25">
        <f t="array" aca="1" ref="R493" ca="1">INDEX('Lorri 401b'!L:L,MATCH('Retirement Calculator'!A493,'Lorri 401b'!N:N,0),0)</f>
        <v>1361548.3459329063</v>
      </c>
      <c r="S493" s="25">
        <f t="shared" ca="1" si="267"/>
        <v>1857478.0517150695</v>
      </c>
    </row>
    <row r="494" spans="1:19" ht="15.75" customHeight="1" x14ac:dyDescent="0.3">
      <c r="A494" s="37">
        <v>65990</v>
      </c>
      <c r="B494" s="409">
        <f t="shared" ref="B494:C494" si="495">($A494-B$9)/365.25</f>
        <v>98.792607802874741</v>
      </c>
      <c r="C494" s="409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3525.4531757812501</v>
      </c>
      <c r="H494" s="25">
        <f>IF(B494&lt;62,0,'Combined Retirement'!$I$14)</f>
        <v>2192</v>
      </c>
      <c r="I494" s="25">
        <f>IF(C494&lt;62,0,'Combined Retirement'!$I$13)</f>
        <v>2420</v>
      </c>
      <c r="J494" s="25">
        <f t="shared" si="263"/>
        <v>7863.2184191855868</v>
      </c>
      <c r="K494" s="25">
        <f t="shared" si="264"/>
        <v>20282.026119384056</v>
      </c>
      <c r="L494" s="25"/>
      <c r="N494" s="25">
        <f>'Combined Retirement'!$C$18/12</f>
        <v>39153.069999999992</v>
      </c>
      <c r="O494" s="25">
        <f t="shared" si="265"/>
        <v>11007.82546143035</v>
      </c>
      <c r="P494" s="25">
        <f t="shared" si="266"/>
        <v>28145.244538569641</v>
      </c>
      <c r="Q494" s="25">
        <f t="array" aca="1" ref="Q494" ca="1">INDEX('Isaac 401k'!L:L,MATCH('Retirement Calculator'!A494,'Isaac 401k'!N:N,0),0)</f>
        <v>490100.09772699006</v>
      </c>
      <c r="R494" s="25">
        <f t="array" aca="1" ref="R494" ca="1">INDEX('Lorri 401b'!L:L,MATCH('Retirement Calculator'!A494,'Lorri 401b'!N:N,0),0)</f>
        <v>1346854.929479412</v>
      </c>
      <c r="S494" s="25">
        <f t="shared" ca="1" si="267"/>
        <v>1836955.027206402</v>
      </c>
    </row>
    <row r="495" spans="1:19" ht="15.75" customHeight="1" x14ac:dyDescent="0.3">
      <c r="A495" s="37">
        <v>66020</v>
      </c>
      <c r="B495" s="409">
        <f t="shared" ref="B495:C495" si="496">($A495-B$9)/365.25</f>
        <v>98.874743326488712</v>
      </c>
      <c r="C495" s="409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3525.4531757812501</v>
      </c>
      <c r="H495" s="25">
        <f>IF(B495&lt;62,0,'Combined Retirement'!$I$14)</f>
        <v>2192</v>
      </c>
      <c r="I495" s="25">
        <f>IF(C495&lt;62,0,'Combined Retirement'!$I$13)</f>
        <v>2420</v>
      </c>
      <c r="J495" s="25">
        <f t="shared" si="263"/>
        <v>7863.2184191855868</v>
      </c>
      <c r="K495" s="25">
        <f t="shared" si="264"/>
        <v>20282.026119384056</v>
      </c>
      <c r="L495" s="25"/>
      <c r="N495" s="25">
        <f>'Combined Retirement'!$C$18/12</f>
        <v>39153.069999999992</v>
      </c>
      <c r="O495" s="25">
        <f t="shared" si="265"/>
        <v>11007.82546143035</v>
      </c>
      <c r="P495" s="25">
        <f t="shared" si="266"/>
        <v>28145.244538569641</v>
      </c>
      <c r="Q495" s="25">
        <f t="array" aca="1" ref="Q495" ca="1">INDEX('Isaac 401k'!L:L,MATCH('Retirement Calculator'!A495,'Isaac 401k'!N:N,0),0)</f>
        <v>484246.19963825366</v>
      </c>
      <c r="R495" s="25">
        <f t="array" aca="1" ref="R495" ca="1">INDEX('Lorri 401b'!L:L,MATCH('Retirement Calculator'!A495,'Lorri 401b'!N:N,0),0)</f>
        <v>1332100.2904573616</v>
      </c>
      <c r="S495" s="25">
        <f t="shared" ca="1" si="267"/>
        <v>1816346.4900956154</v>
      </c>
    </row>
    <row r="496" spans="1:19" ht="15.75" customHeight="1" x14ac:dyDescent="0.3">
      <c r="A496" s="37">
        <v>66051</v>
      </c>
      <c r="B496" s="409">
        <f t="shared" ref="B496:C496" si="497">($A496-B$9)/365.25</f>
        <v>98.959616700889796</v>
      </c>
      <c r="C496" s="409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3525.4531757812501</v>
      </c>
      <c r="H496" s="25">
        <f>IF(B496&lt;62,0,'Combined Retirement'!$I$14)</f>
        <v>2192</v>
      </c>
      <c r="I496" s="25">
        <f>IF(C496&lt;62,0,'Combined Retirement'!$I$13)</f>
        <v>2420</v>
      </c>
      <c r="J496" s="25">
        <f t="shared" si="263"/>
        <v>7863.2184191855868</v>
      </c>
      <c r="K496" s="25">
        <f t="shared" si="264"/>
        <v>20282.026119384056</v>
      </c>
      <c r="L496" s="25"/>
      <c r="N496" s="25">
        <f>'Combined Retirement'!$C$18/12</f>
        <v>39153.069999999992</v>
      </c>
      <c r="O496" s="25">
        <f t="shared" si="265"/>
        <v>11007.82546143035</v>
      </c>
      <c r="P496" s="25">
        <f t="shared" si="266"/>
        <v>28145.244538569641</v>
      </c>
      <c r="Q496" s="25">
        <f t="array" aca="1" ref="Q496" ca="1">INDEX('Isaac 401k'!L:L,MATCH('Retirement Calculator'!A496,'Isaac 401k'!N:N,0),0)</f>
        <v>478367.91030748084</v>
      </c>
      <c r="R496" s="25">
        <f t="array" aca="1" ref="R496" ca="1">INDEX('Lorri 401b'!L:L,MATCH('Retirement Calculator'!A496,'Lorri 401b'!N:N,0),0)</f>
        <v>1317284.1737727192</v>
      </c>
      <c r="S496" s="25">
        <f t="shared" ca="1" si="267"/>
        <v>1795652.0840802002</v>
      </c>
    </row>
    <row r="497" spans="1:19" ht="15.75" customHeight="1" x14ac:dyDescent="0.3">
      <c r="A497" s="37">
        <v>66081</v>
      </c>
      <c r="B497" s="409">
        <f t="shared" ref="B497:C497" si="498">($A497-B$9)/365.25</f>
        <v>99.041752224503767</v>
      </c>
      <c r="C497" s="409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3525.4531757812501</v>
      </c>
      <c r="H497" s="25">
        <f>IF(B497&lt;62,0,'Combined Retirement'!$I$14)</f>
        <v>2192</v>
      </c>
      <c r="I497" s="25">
        <f>IF(C497&lt;62,0,'Combined Retirement'!$I$13)</f>
        <v>2420</v>
      </c>
      <c r="J497" s="25">
        <f t="shared" si="263"/>
        <v>7863.2184191855868</v>
      </c>
      <c r="K497" s="25">
        <f t="shared" si="264"/>
        <v>20282.026119384056</v>
      </c>
      <c r="L497" s="25"/>
      <c r="N497" s="25">
        <f>'Combined Retirement'!$C$18/12</f>
        <v>39153.069999999992</v>
      </c>
      <c r="O497" s="25">
        <f t="shared" si="265"/>
        <v>11007.82546143035</v>
      </c>
      <c r="P497" s="25">
        <f t="shared" si="266"/>
        <v>28145.244538569641</v>
      </c>
      <c r="Q497" s="25">
        <f t="array" aca="1" ref="Q497" ca="1">INDEX('Isaac 401k'!L:L,MATCH('Retirement Calculator'!A497,'Isaac 401k'!N:N,0),0)</f>
        <v>472465.12810449646</v>
      </c>
      <c r="R497" s="25">
        <f t="array" aca="1" ref="R497" ca="1">INDEX('Lorri 401b'!L:L,MATCH('Retirement Calculator'!A497,'Lorri 401b'!N:N,0),0)</f>
        <v>1302406.3232685574</v>
      </c>
      <c r="S497" s="25">
        <f t="shared" ca="1" si="267"/>
        <v>1774871.4513730539</v>
      </c>
    </row>
    <row r="498" spans="1:19" ht="15.75" customHeight="1" x14ac:dyDescent="0.3">
      <c r="A498" s="37">
        <v>66112</v>
      </c>
      <c r="B498" s="409">
        <f t="shared" ref="B498:C498" si="499">($A498-B$9)/365.25</f>
        <v>99.126625598904866</v>
      </c>
      <c r="C498" s="409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3525.4531757812501</v>
      </c>
      <c r="H498" s="25">
        <f>IF(B498&lt;62,0,'Combined Retirement'!$I$14)</f>
        <v>2192</v>
      </c>
      <c r="I498" s="25">
        <f>IF(C498&lt;62,0,'Combined Retirement'!$I$13)</f>
        <v>2420</v>
      </c>
      <c r="J498" s="25">
        <f t="shared" si="263"/>
        <v>7863.2184191855868</v>
      </c>
      <c r="K498" s="25">
        <f t="shared" si="264"/>
        <v>20282.026119384056</v>
      </c>
      <c r="L498" s="25"/>
      <c r="N498" s="25">
        <f>'Combined Retirement'!$C$18/12</f>
        <v>39153.069999999992</v>
      </c>
      <c r="O498" s="25">
        <f t="shared" si="265"/>
        <v>11007.82546143035</v>
      </c>
      <c r="P498" s="25">
        <f t="shared" si="266"/>
        <v>28145.244538569641</v>
      </c>
      <c r="Q498" s="25">
        <f t="array" aca="1" ref="Q498" ca="1">INDEX('Isaac 401k'!L:L,MATCH('Retirement Calculator'!A498,'Isaac 401k'!N:N,0),0)</f>
        <v>466537.75097566633</v>
      </c>
      <c r="R498" s="25">
        <f t="array" aca="1" ref="R498" ca="1">INDEX('Lorri 401b'!L:L,MATCH('Retirement Calculator'!A498,'Lorri 401b'!N:N,0),0)</f>
        <v>1287466.4817206284</v>
      </c>
      <c r="S498" s="25">
        <f t="shared" ca="1" si="267"/>
        <v>1754004.2326962948</v>
      </c>
    </row>
    <row r="499" spans="1:19" ht="15.75" customHeight="1" x14ac:dyDescent="0.3">
      <c r="A499" s="37">
        <v>66143</v>
      </c>
      <c r="B499" s="409">
        <f t="shared" ref="B499:C499" si="500">($A499-B$9)/365.25</f>
        <v>99.21149897330595</v>
      </c>
      <c r="C499" s="409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3525.4531757812501</v>
      </c>
      <c r="H499" s="25">
        <f>IF(B499&lt;62,0,'Combined Retirement'!$I$14)</f>
        <v>2192</v>
      </c>
      <c r="I499" s="25">
        <f>IF(C499&lt;62,0,'Combined Retirement'!$I$13)</f>
        <v>2420</v>
      </c>
      <c r="J499" s="25">
        <f t="shared" si="263"/>
        <v>7863.2184191855868</v>
      </c>
      <c r="K499" s="25">
        <f t="shared" si="264"/>
        <v>20282.026119384056</v>
      </c>
      <c r="L499" s="25"/>
      <c r="N499" s="25">
        <f>'Combined Retirement'!$C$18/12</f>
        <v>39153.069999999992</v>
      </c>
      <c r="O499" s="25">
        <f t="shared" si="265"/>
        <v>11007.82546143035</v>
      </c>
      <c r="P499" s="25">
        <f t="shared" si="266"/>
        <v>28145.244538569641</v>
      </c>
      <c r="Q499" s="25">
        <f t="array" aca="1" ref="Q499" ca="1">INDEX('Isaac 401k'!L:L,MATCH('Retirement Calculator'!A499,'Isaac 401k'!N:N,0),0)</f>
        <v>460585.67644213274</v>
      </c>
      <c r="R499" s="25">
        <f t="array" aca="1" ref="R499" ca="1">INDEX('Lorri 401b'!L:L,MATCH('Retirement Calculator'!A499,'Lorri 401b'!N:N,0),0)</f>
        <v>1272464.3908329164</v>
      </c>
      <c r="S499" s="25">
        <f t="shared" ca="1" si="267"/>
        <v>1733050.0672750492</v>
      </c>
    </row>
    <row r="500" spans="1:19" ht="15.75" customHeight="1" x14ac:dyDescent="0.3">
      <c r="A500" s="37">
        <v>66171</v>
      </c>
      <c r="B500" s="409">
        <f t="shared" ref="B500:C500" si="501">($A500-B$9)/365.25</f>
        <v>99.288158795345652</v>
      </c>
      <c r="C500" s="409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3525.4531757812501</v>
      </c>
      <c r="H500" s="25">
        <f>IF(B500&lt;62,0,'Combined Retirement'!$I$14)</f>
        <v>2192</v>
      </c>
      <c r="I500" s="25">
        <f>IF(C500&lt;62,0,'Combined Retirement'!$I$13)</f>
        <v>2420</v>
      </c>
      <c r="J500" s="25">
        <f t="shared" si="263"/>
        <v>7863.2184191855868</v>
      </c>
      <c r="K500" s="25">
        <f t="shared" si="264"/>
        <v>20282.026119384056</v>
      </c>
      <c r="L500" s="25"/>
      <c r="N500" s="25">
        <f>'Combined Retirement'!$C$18/12</f>
        <v>39153.069999999992</v>
      </c>
      <c r="O500" s="25">
        <f t="shared" si="265"/>
        <v>11007.82546143035</v>
      </c>
      <c r="P500" s="25">
        <f t="shared" si="266"/>
        <v>28145.244538569641</v>
      </c>
      <c r="Q500" s="25">
        <f t="array" aca="1" ref="Q500" ca="1">INDEX('Isaac 401k'!L:L,MATCH('Retirement Calculator'!A500,'Isaac 401k'!N:N,0),0)</f>
        <v>454608.80159804277</v>
      </c>
      <c r="R500" s="25">
        <f t="array" aca="1" ref="R500" ca="1">INDEX('Lorri 401b'!L:L,MATCH('Retirement Calculator'!A500,'Lorri 401b'!N:N,0),0)</f>
        <v>1257399.7912331722</v>
      </c>
      <c r="S500" s="25">
        <f t="shared" ca="1" si="267"/>
        <v>1712008.5928312149</v>
      </c>
    </row>
    <row r="501" spans="1:19" ht="15.75" customHeight="1" x14ac:dyDescent="0.3">
      <c r="A501" s="37">
        <v>66202</v>
      </c>
      <c r="B501" s="409">
        <f t="shared" ref="B501:C501" si="502">($A501-B$9)/365.25</f>
        <v>99.37303216974675</v>
      </c>
      <c r="C501" s="409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3525.4531757812501</v>
      </c>
      <c r="H501" s="25">
        <f>IF(B501&lt;62,0,'Combined Retirement'!$I$14)</f>
        <v>2192</v>
      </c>
      <c r="I501" s="25">
        <f>IF(C501&lt;62,0,'Combined Retirement'!$I$13)</f>
        <v>2420</v>
      </c>
      <c r="J501" s="25">
        <f t="shared" si="263"/>
        <v>7863.2184191855868</v>
      </c>
      <c r="K501" s="25">
        <f t="shared" si="264"/>
        <v>20282.026119384056</v>
      </c>
      <c r="L501" s="25"/>
      <c r="N501" s="25">
        <f>'Combined Retirement'!$C$18/12</f>
        <v>39153.069999999992</v>
      </c>
      <c r="O501" s="25">
        <f t="shared" si="265"/>
        <v>11007.82546143035</v>
      </c>
      <c r="P501" s="25">
        <f t="shared" si="266"/>
        <v>28145.244538569641</v>
      </c>
      <c r="Q501" s="25">
        <f t="array" aca="1" ref="Q501" ca="1">INDEX('Isaac 401k'!L:L,MATCH('Retirement Calculator'!A501,'Isaac 401k'!N:N,0),0)</f>
        <v>448607.02310876909</v>
      </c>
      <c r="R501" s="25">
        <f t="array" aca="1" ref="R501" ca="1">INDEX('Lorri 401b'!L:L,MATCH('Retirement Calculator'!A501,'Lorri 401b'!N:N,0),0)</f>
        <v>1242272.422468429</v>
      </c>
      <c r="S501" s="25">
        <f t="shared" ca="1" si="267"/>
        <v>1690879.4455771982</v>
      </c>
    </row>
    <row r="502" spans="1:19" ht="15.75" customHeight="1" x14ac:dyDescent="0.3">
      <c r="A502" s="37">
        <v>66232</v>
      </c>
      <c r="B502" s="409">
        <f t="shared" ref="B502:C502" si="503">($A502-B$9)/365.25</f>
        <v>99.455167693360707</v>
      </c>
      <c r="C502" s="409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3525.4531757812501</v>
      </c>
      <c r="H502" s="25">
        <f>IF(B502&lt;62,0,'Combined Retirement'!$I$14)</f>
        <v>2192</v>
      </c>
      <c r="I502" s="25">
        <f>IF(C502&lt;62,0,'Combined Retirement'!$I$13)</f>
        <v>2420</v>
      </c>
      <c r="J502" s="25">
        <f t="shared" si="263"/>
        <v>7863.2184191855868</v>
      </c>
      <c r="K502" s="25">
        <f t="shared" si="264"/>
        <v>20282.026119384056</v>
      </c>
      <c r="L502" s="25"/>
      <c r="N502" s="25">
        <f>'Combined Retirement'!$C$18/12</f>
        <v>39153.069999999992</v>
      </c>
      <c r="O502" s="25">
        <f t="shared" si="265"/>
        <v>11007.82546143035</v>
      </c>
      <c r="P502" s="25">
        <f t="shared" si="266"/>
        <v>28145.244538569641</v>
      </c>
      <c r="Q502" s="25">
        <f t="array" aca="1" ref="Q502" ca="1">INDEX('Isaac 401k'!L:L,MATCH('Retirement Calculator'!A502,'Isaac 401k'!N:N,0),0)</f>
        <v>442580.23720912344</v>
      </c>
      <c r="R502" s="25">
        <f t="array" aca="1" ref="R502" ca="1">INDEX('Lorri 401b'!L:L,MATCH('Retirement Calculator'!A502,'Lorri 401b'!N:N,0),0)</f>
        <v>1227082.0230004992</v>
      </c>
      <c r="S502" s="25">
        <f t="shared" ca="1" si="267"/>
        <v>1669662.2602096228</v>
      </c>
    </row>
    <row r="503" spans="1:19" ht="15.75" customHeight="1" x14ac:dyDescent="0.3">
      <c r="A503" s="37">
        <v>66263</v>
      </c>
      <c r="B503" s="409">
        <f t="shared" ref="B503:C503" si="504">($A503-B$9)/365.25</f>
        <v>99.540041067761805</v>
      </c>
      <c r="C503" s="409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3525.4531757812501</v>
      </c>
      <c r="H503" s="25">
        <f>IF(B503&lt;62,0,'Combined Retirement'!$I$14)</f>
        <v>2192</v>
      </c>
      <c r="I503" s="25">
        <f>IF(C503&lt;62,0,'Combined Retirement'!$I$13)</f>
        <v>2420</v>
      </c>
      <c r="J503" s="25">
        <f t="shared" si="263"/>
        <v>7863.2184191855868</v>
      </c>
      <c r="K503" s="25">
        <f t="shared" si="264"/>
        <v>20282.026119384056</v>
      </c>
      <c r="L503" s="25"/>
      <c r="N503" s="25">
        <f>'Combined Retirement'!$C$18/12</f>
        <v>39153.069999999992</v>
      </c>
      <c r="O503" s="25">
        <f t="shared" si="265"/>
        <v>11007.82546143035</v>
      </c>
      <c r="P503" s="25">
        <f t="shared" si="266"/>
        <v>28145.244538569641</v>
      </c>
      <c r="Q503" s="25">
        <f t="array" aca="1" ref="Q503" ca="1">INDEX('Isaac 401k'!L:L,MATCH('Retirement Calculator'!A503,'Isaac 401k'!N:N,0),0)</f>
        <v>436528.3397015626</v>
      </c>
      <c r="R503" s="25">
        <f t="array" aca="1" ref="R503" ca="1">INDEX('Lorri 401b'!L:L,MATCH('Retirement Calculator'!A503,'Lorri 401b'!N:N,0),0)</f>
        <v>1211828.3302014533</v>
      </c>
      <c r="S503" s="25">
        <f t="shared" ca="1" si="267"/>
        <v>1648356.669903016</v>
      </c>
    </row>
    <row r="504" spans="1:19" ht="15.75" customHeight="1" x14ac:dyDescent="0.3">
      <c r="A504" s="37">
        <v>66293</v>
      </c>
      <c r="B504" s="409">
        <f t="shared" ref="B504:C504" si="505">($A504-B$9)/365.25</f>
        <v>99.622176591375776</v>
      </c>
      <c r="C504" s="409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3525.4531757812501</v>
      </c>
      <c r="H504" s="25">
        <f>IF(B504&lt;62,0,'Combined Retirement'!$I$14)</f>
        <v>2192</v>
      </c>
      <c r="I504" s="25">
        <f>IF(C504&lt;62,0,'Combined Retirement'!$I$13)</f>
        <v>2420</v>
      </c>
      <c r="J504" s="25">
        <f t="shared" si="263"/>
        <v>7863.2184191855868</v>
      </c>
      <c r="K504" s="25">
        <f t="shared" si="264"/>
        <v>20282.026119384056</v>
      </c>
      <c r="L504" s="25"/>
      <c r="N504" s="25">
        <f>'Combined Retirement'!$C$18/12</f>
        <v>39153.069999999992</v>
      </c>
      <c r="O504" s="25">
        <f t="shared" si="265"/>
        <v>11007.82546143035</v>
      </c>
      <c r="P504" s="25">
        <f t="shared" si="266"/>
        <v>28145.244538569641</v>
      </c>
      <c r="Q504" s="25">
        <f t="array" aca="1" ref="Q504" ca="1">INDEX('Isaac 401k'!L:L,MATCH('Retirement Calculator'!A504,'Isaac 401k'!N:N,0),0)</f>
        <v>430451.22595438687</v>
      </c>
      <c r="R504" s="25">
        <f t="array" aca="1" ref="R504" ca="1">INDEX('Lorri 401b'!L:L,MATCH('Retirement Calculator'!A504,'Lorri 401b'!N:N,0),0)</f>
        <v>1196511.0803490779</v>
      </c>
      <c r="S504" s="25">
        <f t="shared" ca="1" si="267"/>
        <v>1626962.3063034648</v>
      </c>
    </row>
    <row r="505" spans="1:19" ht="15.75" customHeight="1" x14ac:dyDescent="0.3">
      <c r="A505" s="37">
        <v>66324</v>
      </c>
      <c r="B505" s="409">
        <f t="shared" ref="B505:C505" si="506">($A505-B$9)/365.25</f>
        <v>99.707049965776861</v>
      </c>
      <c r="C505" s="409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3525.4531757812501</v>
      </c>
      <c r="H505" s="25">
        <f>IF(B505&lt;62,0,'Combined Retirement'!$I$14)</f>
        <v>2192</v>
      </c>
      <c r="I505" s="25">
        <f>IF(C505&lt;62,0,'Combined Retirement'!$I$13)</f>
        <v>2420</v>
      </c>
      <c r="J505" s="25">
        <f t="shared" si="263"/>
        <v>7863.2184191855868</v>
      </c>
      <c r="K505" s="25">
        <f t="shared" si="264"/>
        <v>20282.026119384056</v>
      </c>
      <c r="L505" s="25"/>
      <c r="N505" s="25">
        <f>'Combined Retirement'!$C$18/12</f>
        <v>39153.069999999992</v>
      </c>
      <c r="O505" s="25">
        <f t="shared" si="265"/>
        <v>11007.82546143035</v>
      </c>
      <c r="P505" s="25">
        <f t="shared" si="266"/>
        <v>28145.244538569641</v>
      </c>
      <c r="Q505" s="25">
        <f t="array" aca="1" ref="Q505" ca="1">INDEX('Isaac 401k'!L:L,MATCH('Retirement Calculator'!A505,'Isaac 401k'!N:N,0),0)</f>
        <v>424348.79089993128</v>
      </c>
      <c r="R505" s="25">
        <f t="array" aca="1" ref="R505" ca="1">INDEX('Lorri 401b'!L:L,MATCH('Retirement Calculator'!A505,'Lorri 401b'!N:N,0),0)</f>
        <v>1181130.0086223176</v>
      </c>
      <c r="S505" s="25">
        <f t="shared" ca="1" si="267"/>
        <v>1605478.7995222488</v>
      </c>
    </row>
    <row r="506" spans="1:19" ht="15.75" customHeight="1" x14ac:dyDescent="0.3">
      <c r="A506" s="37">
        <v>66355</v>
      </c>
      <c r="B506" s="409">
        <f t="shared" ref="B506:C506" si="507">($A506-B$9)/365.25</f>
        <v>99.791923340177959</v>
      </c>
      <c r="C506" s="409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3525.4531757812501</v>
      </c>
      <c r="H506" s="25">
        <f>IF(B506&lt;62,0,'Combined Retirement'!$I$14)</f>
        <v>2192</v>
      </c>
      <c r="I506" s="25">
        <f>IF(C506&lt;62,0,'Combined Retirement'!$I$13)</f>
        <v>2420</v>
      </c>
      <c r="J506" s="25">
        <f t="shared" si="263"/>
        <v>7863.2184191855868</v>
      </c>
      <c r="K506" s="25">
        <f t="shared" si="264"/>
        <v>20282.026119384056</v>
      </c>
      <c r="L506" s="25"/>
      <c r="N506" s="25">
        <f>'Combined Retirement'!$C$18/12</f>
        <v>39153.069999999992</v>
      </c>
      <c r="O506" s="25">
        <f t="shared" si="265"/>
        <v>11007.82546143035</v>
      </c>
      <c r="P506" s="25">
        <f t="shared" si="266"/>
        <v>28145.244538569641</v>
      </c>
      <c r="Q506" s="25">
        <f t="array" aca="1" ref="Q506" ca="1">INDEX('Isaac 401k'!L:L,MATCH('Retirement Calculator'!A506,'Isaac 401k'!N:N,0),0)</f>
        <v>418220.9290327488</v>
      </c>
      <c r="R506" s="25">
        <f t="array" aca="1" ref="R506" ca="1">INDEX('Lorri 401b'!L:L,MATCH('Retirement Calculator'!A506,'Lorri 401b'!N:N,0),0)</f>
        <v>1165684.8490966959</v>
      </c>
      <c r="S506" s="25">
        <f t="shared" ca="1" si="267"/>
        <v>1583905.7781294447</v>
      </c>
    </row>
    <row r="507" spans="1:19" ht="15.75" customHeight="1" x14ac:dyDescent="0.3">
      <c r="A507" s="37">
        <v>66385</v>
      </c>
      <c r="B507" s="409">
        <f t="shared" ref="B507:C507" si="508">($A507-B$9)/365.25</f>
        <v>99.87405886379193</v>
      </c>
      <c r="C507" s="409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3525.4531757812501</v>
      </c>
      <c r="H507" s="25">
        <f>IF(B507&lt;62,0,'Combined Retirement'!$I$14)</f>
        <v>2192</v>
      </c>
      <c r="I507" s="25">
        <f>IF(C507&lt;62,0,'Combined Retirement'!$I$13)</f>
        <v>2420</v>
      </c>
      <c r="J507" s="25">
        <f t="shared" si="263"/>
        <v>7863.2184191855868</v>
      </c>
      <c r="K507" s="25">
        <f t="shared" si="264"/>
        <v>20282.026119384056</v>
      </c>
      <c r="L507" s="25"/>
      <c r="N507" s="25">
        <f>'Combined Retirement'!$C$18/12</f>
        <v>39153.069999999992</v>
      </c>
      <c r="O507" s="25">
        <f t="shared" si="265"/>
        <v>11007.82546143035</v>
      </c>
      <c r="P507" s="25">
        <f t="shared" si="266"/>
        <v>28145.244538569641</v>
      </c>
      <c r="Q507" s="25">
        <f t="array" aca="1" ref="Q507" ca="1">INDEX('Isaac 401k'!L:L,MATCH('Retirement Calculator'!A507,'Isaac 401k'!N:N,0),0)</f>
        <v>412067.53440778638</v>
      </c>
      <c r="R507" s="25">
        <f t="array" aca="1" ref="R507" ca="1">INDEX('Lorri 401b'!L:L,MATCH('Retirement Calculator'!A507,'Lorri 401b'!N:N,0),0)</f>
        <v>1150175.3347397174</v>
      </c>
      <c r="S507" s="25">
        <f t="shared" ca="1" si="267"/>
        <v>1562242.8691475037</v>
      </c>
    </row>
    <row r="508" spans="1:19" ht="15.75" customHeight="1" x14ac:dyDescent="0.3">
      <c r="A508" s="37">
        <v>66416</v>
      </c>
      <c r="B508" s="409">
        <f t="shared" ref="B508:C508" si="509">($A508-B$9)/365.25</f>
        <v>99.958932238193015</v>
      </c>
      <c r="C508" s="409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3525.4531757812501</v>
      </c>
      <c r="H508" s="25">
        <f>IF(B508&lt;62,0,'Combined Retirement'!$I$14)</f>
        <v>2192</v>
      </c>
      <c r="I508" s="25">
        <f>IF(C508&lt;62,0,'Combined Retirement'!$I$13)</f>
        <v>2420</v>
      </c>
      <c r="J508" s="25">
        <f t="shared" si="263"/>
        <v>7863.2184191855868</v>
      </c>
      <c r="K508" s="25">
        <f t="shared" si="264"/>
        <v>20282.026119384056</v>
      </c>
      <c r="L508" s="25"/>
      <c r="N508" s="25">
        <f>'Combined Retirement'!$C$18/12</f>
        <v>39153.069999999992</v>
      </c>
      <c r="O508" s="25">
        <f t="shared" si="265"/>
        <v>11007.82546143035</v>
      </c>
      <c r="P508" s="25">
        <f t="shared" si="266"/>
        <v>28145.244538569641</v>
      </c>
      <c r="Q508" s="25">
        <f t="array" aca="1" ref="Q508" ca="1">INDEX('Isaac 401k'!L:L,MATCH('Retirement Calculator'!A508,'Isaac 401k'!N:N,0),0)</f>
        <v>405888.50063855329</v>
      </c>
      <c r="R508" s="25">
        <f t="array" aca="1" ref="R508" ca="1">INDEX('Lorri 401b'!L:L,MATCH('Retirement Calculator'!A508,'Lorri 401b'!N:N,0),0)</f>
        <v>1134601.1974062514</v>
      </c>
      <c r="S508" s="25">
        <f t="shared" ca="1" si="267"/>
        <v>1540489.6980448049</v>
      </c>
    </row>
    <row r="509" spans="1:19" ht="15.75" customHeight="1" x14ac:dyDescent="0.3">
      <c r="A509" s="37">
        <v>66446</v>
      </c>
      <c r="B509" s="409">
        <f t="shared" ref="B509:C509" si="510">($A509-B$9)/365.25</f>
        <v>100.04106776180699</v>
      </c>
      <c r="C509" s="409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3525.4531757812501</v>
      </c>
      <c r="H509" s="25">
        <f>IF(B509&lt;62,0,'Combined Retirement'!$I$14)</f>
        <v>2192</v>
      </c>
      <c r="I509" s="25">
        <f>IF(C509&lt;62,0,'Combined Retirement'!$I$13)</f>
        <v>2420</v>
      </c>
      <c r="J509" s="25">
        <f t="shared" si="263"/>
        <v>7863.2184191855868</v>
      </c>
      <c r="K509" s="25">
        <f t="shared" si="264"/>
        <v>20282.026119384056</v>
      </c>
      <c r="L509" s="25"/>
      <c r="N509" s="25">
        <f>'Combined Retirement'!$C$18/12</f>
        <v>39153.069999999992</v>
      </c>
      <c r="O509" s="25">
        <f t="shared" si="265"/>
        <v>11007.82546143035</v>
      </c>
      <c r="P509" s="25">
        <f t="shared" si="266"/>
        <v>28145.244538569641</v>
      </c>
      <c r="Q509" s="25">
        <f t="array" aca="1" ref="Q509" ca="1">INDEX('Isaac 401k'!L:L,MATCH('Retirement Calculator'!A509,'Isaac 401k'!N:N,0),0)</f>
        <v>399683.7208952817</v>
      </c>
      <c r="R509" s="25">
        <f t="array" aca="1" ref="R509" ca="1">INDEX('Lorri 401b'!L:L,MATCH('Retirement Calculator'!A509,'Lorri 401b'!N:N,0),0)</f>
        <v>1118962.1678338961</v>
      </c>
      <c r="S509" s="25">
        <f t="shared" ca="1" si="267"/>
        <v>1518645.8887291779</v>
      </c>
    </row>
    <row r="510" spans="1:19" ht="15.75" customHeight="1" x14ac:dyDescent="0.3">
      <c r="A510" s="37">
        <v>66477</v>
      </c>
      <c r="B510" s="409">
        <f t="shared" ref="B510:C510" si="511">($A510-B$9)/365.25</f>
        <v>100.12594113620807</v>
      </c>
      <c r="C510" s="409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3525.4531757812501</v>
      </c>
      <c r="H510" s="25">
        <f>IF(B510&lt;62,0,'Combined Retirement'!$I$14)</f>
        <v>2192</v>
      </c>
      <c r="I510" s="25">
        <f>IF(C510&lt;62,0,'Combined Retirement'!$I$13)</f>
        <v>2420</v>
      </c>
      <c r="J510" s="25">
        <f t="shared" si="263"/>
        <v>7863.2184191855868</v>
      </c>
      <c r="K510" s="25">
        <f t="shared" si="264"/>
        <v>20282.026119384056</v>
      </c>
      <c r="L510" s="25"/>
      <c r="N510" s="25">
        <f>'Combined Retirement'!$C$18/12</f>
        <v>39153.069999999992</v>
      </c>
      <c r="O510" s="25">
        <f t="shared" si="265"/>
        <v>11007.82546143035</v>
      </c>
      <c r="P510" s="25">
        <f t="shared" si="266"/>
        <v>28145.244538569641</v>
      </c>
      <c r="Q510" s="25">
        <f t="array" aca="1" ref="Q510" ca="1">INDEX('Isaac 401k'!L:L,MATCH('Retirement Calculator'!A510,'Isaac 401k'!N:N,0),0)</f>
        <v>393453.08790307981</v>
      </c>
      <c r="R510" s="25">
        <f t="array" aca="1" ref="R510" ca="1">INDEX('Lorri 401b'!L:L,MATCH('Retirement Calculator'!A510,'Lorri 401b'!N:N,0),0)</f>
        <v>1103257.9756383225</v>
      </c>
      <c r="S510" s="25">
        <f t="shared" ca="1" si="267"/>
        <v>1496711.0635414023</v>
      </c>
    </row>
    <row r="511" spans="1:19" ht="15.75" customHeight="1" x14ac:dyDescent="0.3">
      <c r="A511" s="37">
        <v>66508</v>
      </c>
      <c r="B511" s="409">
        <f t="shared" ref="B511:C511" si="512">($A511-B$9)/365.25</f>
        <v>100.21081451060917</v>
      </c>
      <c r="C511" s="409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3525.4531757812501</v>
      </c>
      <c r="H511" s="25">
        <f>IF(B511&lt;62,0,'Combined Retirement'!$I$14)</f>
        <v>2192</v>
      </c>
      <c r="I511" s="25">
        <f>IF(C511&lt;62,0,'Combined Retirement'!$I$13)</f>
        <v>2420</v>
      </c>
      <c r="J511" s="25">
        <f t="shared" si="263"/>
        <v>7863.2184191855868</v>
      </c>
      <c r="K511" s="25">
        <f t="shared" si="264"/>
        <v>20282.026119384056</v>
      </c>
      <c r="L511" s="25"/>
      <c r="N511" s="25">
        <f>'Combined Retirement'!$C$18/12</f>
        <v>39153.069999999992</v>
      </c>
      <c r="O511" s="25">
        <f t="shared" si="265"/>
        <v>11007.82546143035</v>
      </c>
      <c r="P511" s="25">
        <f t="shared" si="266"/>
        <v>28145.244538569641</v>
      </c>
      <c r="Q511" s="25">
        <f t="array" aca="1" ref="Q511" ca="1">INDEX('Isaac 401k'!L:L,MATCH('Retirement Calculator'!A511,'Isaac 401k'!N:N,0),0)</f>
        <v>387196.49394007708</v>
      </c>
      <c r="R511" s="25">
        <f t="array" aca="1" ref="R511" ca="1">INDEX('Lorri 401b'!L:L,MATCH('Retirement Calculator'!A511,'Lorri 401b'!N:N,0),0)</f>
        <v>1087488.3493086009</v>
      </c>
      <c r="S511" s="25">
        <f t="shared" ca="1" si="267"/>
        <v>1474684.8432486779</v>
      </c>
    </row>
    <row r="512" spans="1:19" ht="15.75" customHeight="1" x14ac:dyDescent="0.3">
      <c r="A512" s="37">
        <v>66536</v>
      </c>
      <c r="B512" s="409">
        <f t="shared" ref="B512:C512" si="513">($A512-B$9)/365.25</f>
        <v>100.28747433264887</v>
      </c>
      <c r="C512" s="409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3525.4531757812501</v>
      </c>
      <c r="H512" s="25">
        <f>IF(B512&lt;62,0,'Combined Retirement'!$I$14)</f>
        <v>2192</v>
      </c>
      <c r="I512" s="25">
        <f>IF(C512&lt;62,0,'Combined Retirement'!$I$13)</f>
        <v>2420</v>
      </c>
      <c r="J512" s="25">
        <f t="shared" si="263"/>
        <v>7863.2184191855868</v>
      </c>
      <c r="K512" s="25">
        <f t="shared" si="264"/>
        <v>20282.026119384056</v>
      </c>
      <c r="L512" s="25"/>
      <c r="N512" s="25">
        <f>'Combined Retirement'!$C$18/12</f>
        <v>39153.069999999992</v>
      </c>
      <c r="O512" s="25">
        <f t="shared" si="265"/>
        <v>11007.82546143035</v>
      </c>
      <c r="P512" s="25">
        <f t="shared" si="266"/>
        <v>28145.244538569641</v>
      </c>
      <c r="Q512" s="25">
        <f t="array" aca="1" ref="Q512" ca="1">INDEX('Isaac 401k'!L:L,MATCH('Retirement Calculator'!A512,'Isaac 401k'!N:N,0),0)</f>
        <v>380913.83083556185</v>
      </c>
      <c r="R512" s="25">
        <f t="array" aca="1" ref="R512" ca="1">INDEX('Lorri 401b'!L:L,MATCH('Retirement Calculator'!A512,'Lorri 401b'!N:N,0),0)</f>
        <v>1071653.0162025052</v>
      </c>
      <c r="S512" s="25">
        <f t="shared" ca="1" si="267"/>
        <v>1452566.8470380669</v>
      </c>
    </row>
    <row r="513" spans="1:19" ht="15.75" customHeight="1" x14ac:dyDescent="0.3">
      <c r="A513" s="37">
        <v>66567</v>
      </c>
      <c r="B513" s="409">
        <f t="shared" ref="B513:C513" si="514">($A513-B$9)/365.25</f>
        <v>100.37234770704997</v>
      </c>
      <c r="C513" s="409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3525.4531757812501</v>
      </c>
      <c r="H513" s="25">
        <f>IF(B513&lt;62,0,'Combined Retirement'!$I$14)</f>
        <v>2192</v>
      </c>
      <c r="I513" s="25">
        <f>IF(C513&lt;62,0,'Combined Retirement'!$I$13)</f>
        <v>2420</v>
      </c>
      <c r="J513" s="25">
        <f t="shared" si="263"/>
        <v>7863.2184191855868</v>
      </c>
      <c r="K513" s="25">
        <f t="shared" si="264"/>
        <v>20282.026119384056</v>
      </c>
      <c r="L513" s="25"/>
      <c r="N513" s="25">
        <f>'Combined Retirement'!$C$18/12</f>
        <v>39153.069999999992</v>
      </c>
      <c r="O513" s="25">
        <f t="shared" si="265"/>
        <v>11007.82546143035</v>
      </c>
      <c r="P513" s="25">
        <f t="shared" si="266"/>
        <v>28145.244538569641</v>
      </c>
      <c r="Q513" s="25">
        <f t="array" aca="1" ref="Q513" ca="1">INDEX('Isaac 401k'!L:L,MATCH('Retirement Calculator'!A513,'Isaac 401k'!N:N,0),0)</f>
        <v>374604.98996811116</v>
      </c>
      <c r="R513" s="25">
        <f t="array" aca="1" ref="R513" ca="1">INDEX('Lorri 401b'!L:L,MATCH('Retirement Calculator'!A513,'Lorri 401b'!N:N,0),0)</f>
        <v>1055751.7025418009</v>
      </c>
      <c r="S513" s="25">
        <f t="shared" ca="1" si="267"/>
        <v>1430356.692509912</v>
      </c>
    </row>
    <row r="514" spans="1:19" ht="15.75" customHeight="1" x14ac:dyDescent="0.3">
      <c r="A514" s="37">
        <v>66597</v>
      </c>
      <c r="B514" s="409">
        <f t="shared" ref="B514:C514" si="515">($A514-B$9)/365.25</f>
        <v>100.45448323066393</v>
      </c>
      <c r="C514" s="409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3525.4531757812501</v>
      </c>
      <c r="H514" s="25">
        <f>IF(B514&lt;62,0,'Combined Retirement'!$I$14)</f>
        <v>2192</v>
      </c>
      <c r="I514" s="25">
        <f>IF(C514&lt;62,0,'Combined Retirement'!$I$13)</f>
        <v>2420</v>
      </c>
      <c r="J514" s="25">
        <f t="shared" si="263"/>
        <v>7863.2184191855868</v>
      </c>
      <c r="K514" s="25">
        <f t="shared" si="264"/>
        <v>20282.026119384056</v>
      </c>
      <c r="L514" s="25"/>
      <c r="N514" s="25">
        <f>'Combined Retirement'!$C$18/12</f>
        <v>39153.069999999992</v>
      </c>
      <c r="O514" s="25">
        <f t="shared" si="265"/>
        <v>11007.82546143035</v>
      </c>
      <c r="P514" s="25">
        <f t="shared" si="266"/>
        <v>28145.244538569641</v>
      </c>
      <c r="Q514" s="25">
        <f t="array" aca="1" ref="Q514" ca="1">INDEX('Isaac 401k'!L:L,MATCH('Retirement Calculator'!A514,'Isaac 401k'!N:N,0),0)</f>
        <v>368269.86226371274</v>
      </c>
      <c r="R514" s="25">
        <f t="array" aca="1" ref="R514" ca="1">INDEX('Lorri 401b'!L:L,MATCH('Retirement Calculator'!A514,'Lorri 401b'!N:N,0),0)</f>
        <v>1039784.1334075102</v>
      </c>
      <c r="S514" s="25">
        <f t="shared" ca="1" si="267"/>
        <v>1408053.9956712229</v>
      </c>
    </row>
    <row r="515" spans="1:19" ht="15.75" customHeight="1" x14ac:dyDescent="0.3">
      <c r="A515" s="37">
        <v>66628</v>
      </c>
      <c r="B515" s="409">
        <f t="shared" ref="B515:C515" si="516">($A515-B$9)/365.25</f>
        <v>100.53935660506502</v>
      </c>
      <c r="C515" s="409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3525.4531757812501</v>
      </c>
      <c r="H515" s="25">
        <f>IF(B515&lt;62,0,'Combined Retirement'!$I$14)</f>
        <v>2192</v>
      </c>
      <c r="I515" s="25">
        <f>IF(C515&lt;62,0,'Combined Retirement'!$I$13)</f>
        <v>2420</v>
      </c>
      <c r="J515" s="25">
        <f t="shared" si="263"/>
        <v>7863.2184191855868</v>
      </c>
      <c r="K515" s="25">
        <f t="shared" si="264"/>
        <v>20282.026119384056</v>
      </c>
      <c r="L515" s="25"/>
      <c r="N515" s="25">
        <f>'Combined Retirement'!$C$18/12</f>
        <v>39153.069999999992</v>
      </c>
      <c r="O515" s="25">
        <f t="shared" si="265"/>
        <v>11007.82546143035</v>
      </c>
      <c r="P515" s="25">
        <f t="shared" si="266"/>
        <v>28145.244538569641</v>
      </c>
      <c r="Q515" s="25">
        <f t="array" aca="1" ref="Q515" ca="1">INDEX('Isaac 401k'!L:L,MATCH('Retirement Calculator'!A515,'Isaac 401k'!N:N,0),0)</f>
        <v>361908.33819387935</v>
      </c>
      <c r="R515" s="25">
        <f t="array" aca="1" ref="R515" ca="1">INDEX('Lorri 401b'!L:L,MATCH('Retirement Calculator'!A515,'Lorri 401b'!N:N,0),0)</f>
        <v>1023750.03273516</v>
      </c>
      <c r="S515" s="25">
        <f t="shared" ca="1" si="267"/>
        <v>1385658.3709290393</v>
      </c>
    </row>
    <row r="516" spans="1:19" ht="15.75" customHeight="1" x14ac:dyDescent="0.3">
      <c r="A516" s="37">
        <v>66658</v>
      </c>
      <c r="B516" s="409">
        <f t="shared" ref="B516:C516" si="517">($A516-B$9)/365.25</f>
        <v>100.62149212867898</v>
      </c>
      <c r="C516" s="409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3525.4531757812501</v>
      </c>
      <c r="H516" s="25">
        <f>IF(B516&lt;62,0,'Combined Retirement'!$I$14)</f>
        <v>2192</v>
      </c>
      <c r="I516" s="25">
        <f>IF(C516&lt;62,0,'Combined Retirement'!$I$13)</f>
        <v>2420</v>
      </c>
      <c r="J516" s="25">
        <f t="shared" si="263"/>
        <v>7863.2184191855868</v>
      </c>
      <c r="K516" s="25">
        <f t="shared" si="264"/>
        <v>20282.026119384056</v>
      </c>
      <c r="L516" s="25"/>
      <c r="N516" s="25">
        <f>'Combined Retirement'!$C$18/12</f>
        <v>39153.069999999992</v>
      </c>
      <c r="O516" s="25">
        <f t="shared" si="265"/>
        <v>11007.82546143035</v>
      </c>
      <c r="P516" s="25">
        <f t="shared" si="266"/>
        <v>28145.244538569641</v>
      </c>
      <c r="Q516" s="25">
        <f t="array" aca="1" ref="Q516" ca="1">INDEX('Isaac 401k'!L:L,MATCH('Retirement Calculator'!A516,'Isaac 401k'!N:N,0),0)</f>
        <v>355520.30777375499</v>
      </c>
      <c r="R516" s="25">
        <f t="array" aca="1" ref="R516" ca="1">INDEX('Lorri 401b'!L:L,MATCH('Retirement Calculator'!A516,'Lorri 401b'!N:N,0),0)</f>
        <v>1007649.1233100083</v>
      </c>
      <c r="S516" s="25">
        <f t="shared" ca="1" si="267"/>
        <v>1363169.4310837633</v>
      </c>
    </row>
    <row r="517" spans="1:19" ht="15.75" customHeight="1" x14ac:dyDescent="0.3">
      <c r="A517" s="37">
        <v>66689</v>
      </c>
      <c r="B517" s="409">
        <f t="shared" ref="B517:C517" si="518">($A517-B$9)/365.25</f>
        <v>100.70636550308008</v>
      </c>
      <c r="C517" s="409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3525.4531757812501</v>
      </c>
      <c r="H517" s="25">
        <f>IF(B517&lt;62,0,'Combined Retirement'!$I$14)</f>
        <v>2192</v>
      </c>
      <c r="I517" s="25">
        <f>IF(C517&lt;62,0,'Combined Retirement'!$I$13)</f>
        <v>2420</v>
      </c>
      <c r="J517" s="25">
        <f t="shared" si="263"/>
        <v>7863.2184191855868</v>
      </c>
      <c r="K517" s="25">
        <f t="shared" si="264"/>
        <v>20282.026119384056</v>
      </c>
      <c r="L517" s="25"/>
      <c r="N517" s="25">
        <f>'Combined Retirement'!$C$18/12</f>
        <v>39153.069999999992</v>
      </c>
      <c r="O517" s="25">
        <f t="shared" si="265"/>
        <v>11007.82546143035</v>
      </c>
      <c r="P517" s="25">
        <f t="shared" si="266"/>
        <v>28145.244538569641</v>
      </c>
      <c r="Q517" s="25">
        <f t="array" aca="1" ref="Q517" ca="1">INDEX('Isaac 401k'!L:L,MATCH('Retirement Calculator'!A517,'Isaac 401k'!N:N,0),0)</f>
        <v>349105.66056021344</v>
      </c>
      <c r="R517" s="25">
        <f t="array" aca="1" ref="R517" ca="1">INDEX('Lorri 401b'!L:L,MATCH('Retirement Calculator'!A517,'Lorri 401b'!N:N,0),0)</f>
        <v>991481.12676225184</v>
      </c>
      <c r="S517" s="25">
        <f t="shared" ca="1" si="267"/>
        <v>1340586.7873224653</v>
      </c>
    </row>
    <row r="518" spans="1:19" ht="15.75" customHeight="1" x14ac:dyDescent="0.3">
      <c r="A518" s="37">
        <v>66720</v>
      </c>
      <c r="B518" s="409">
        <f t="shared" ref="B518:C518" si="519">($A518-B$9)/365.25</f>
        <v>100.79123887748118</v>
      </c>
      <c r="C518" s="409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3525.4531757812501</v>
      </c>
      <c r="H518" s="25">
        <f>IF(B518&lt;62,0,'Combined Retirement'!$I$14)</f>
        <v>2192</v>
      </c>
      <c r="I518" s="25">
        <f>IF(C518&lt;62,0,'Combined Retirement'!$I$13)</f>
        <v>2420</v>
      </c>
      <c r="J518" s="25">
        <f t="shared" si="263"/>
        <v>7863.2184191855868</v>
      </c>
      <c r="K518" s="25">
        <f t="shared" si="264"/>
        <v>20282.026119384056</v>
      </c>
      <c r="L518" s="25"/>
      <c r="N518" s="25">
        <f>'Combined Retirement'!$C$18/12</f>
        <v>39153.069999999992</v>
      </c>
      <c r="O518" s="25">
        <f t="shared" si="265"/>
        <v>11007.82546143035</v>
      </c>
      <c r="P518" s="25">
        <f t="shared" si="266"/>
        <v>28145.244538569641</v>
      </c>
      <c r="Q518" s="25">
        <f t="array" aca="1" ref="Q518" ca="1">INDEX('Isaac 401k'!L:L,MATCH('Retirement Calculator'!A518,'Isaac 401k'!N:N,0),0)</f>
        <v>342664.28564994875</v>
      </c>
      <c r="R518" s="25">
        <f t="array" aca="1" ref="R518" ca="1">INDEX('Lorri 401b'!L:L,MATCH('Retirement Calculator'!A518,'Lorri 401b'!N:N,0),0)</f>
        <v>975245.76356221305</v>
      </c>
      <c r="S518" s="25">
        <f t="shared" ca="1" si="267"/>
        <v>1317910.0492121619</v>
      </c>
    </row>
    <row r="519" spans="1:19" ht="15.75" customHeight="1" x14ac:dyDescent="0.3">
      <c r="A519" s="37">
        <v>66750</v>
      </c>
      <c r="B519" s="409">
        <f t="shared" ref="B519:C519" si="520">($A519-B$9)/365.25</f>
        <v>100.87337440109513</v>
      </c>
      <c r="C519" s="409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3525.4531757812501</v>
      </c>
      <c r="H519" s="25">
        <f>IF(B519&lt;62,0,'Combined Retirement'!$I$14)</f>
        <v>2192</v>
      </c>
      <c r="I519" s="25">
        <f>IF(C519&lt;62,0,'Combined Retirement'!$I$13)</f>
        <v>2420</v>
      </c>
      <c r="J519" s="25">
        <f t="shared" si="263"/>
        <v>7863.2184191855868</v>
      </c>
      <c r="K519" s="25">
        <f t="shared" si="264"/>
        <v>20282.026119384056</v>
      </c>
      <c r="L519" s="25"/>
      <c r="N519" s="25">
        <f>'Combined Retirement'!$C$18/12</f>
        <v>39153.069999999992</v>
      </c>
      <c r="O519" s="25">
        <f t="shared" si="265"/>
        <v>11007.82546143035</v>
      </c>
      <c r="P519" s="25">
        <f t="shared" si="266"/>
        <v>28145.244538569641</v>
      </c>
      <c r="Q519" s="25">
        <f t="array" aca="1" ref="Q519" ca="1">INDEX('Isaac 401k'!L:L,MATCH('Retirement Calculator'!A519,'Isaac 401k'!N:N,0),0)</f>
        <v>336196.07167755801</v>
      </c>
      <c r="R519" s="25">
        <f t="array" aca="1" ref="R519" ca="1">INDEX('Lorri 401b'!L:L,MATCH('Retirement Calculator'!A519,'Lorri 401b'!N:N,0),0)</f>
        <v>958942.75301550736</v>
      </c>
      <c r="S519" s="25">
        <f t="shared" ca="1" si="267"/>
        <v>1295138.8246930654</v>
      </c>
    </row>
    <row r="520" spans="1:19" ht="15.75" customHeight="1" x14ac:dyDescent="0.3">
      <c r="A520" s="37">
        <v>66781</v>
      </c>
      <c r="B520" s="409">
        <f t="shared" ref="B520:C520" si="521">($A520-B$9)/365.25</f>
        <v>100.95824777549623</v>
      </c>
      <c r="C520" s="409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3525.4531757812501</v>
      </c>
      <c r="H520" s="25">
        <f>IF(B520&lt;62,0,'Combined Retirement'!$I$14)</f>
        <v>2192</v>
      </c>
      <c r="I520" s="25">
        <f>IF(C520&lt;62,0,'Combined Retirement'!$I$13)</f>
        <v>2420</v>
      </c>
      <c r="J520" s="25">
        <f t="shared" si="263"/>
        <v>7863.2184191855868</v>
      </c>
      <c r="K520" s="25">
        <f t="shared" si="264"/>
        <v>20282.026119384056</v>
      </c>
      <c r="L520" s="25"/>
      <c r="N520" s="25">
        <f>'Combined Retirement'!$C$18/12</f>
        <v>39153.069999999992</v>
      </c>
      <c r="O520" s="25">
        <f t="shared" si="265"/>
        <v>11007.82546143035</v>
      </c>
      <c r="P520" s="25">
        <f t="shared" si="266"/>
        <v>28145.244538569641</v>
      </c>
      <c r="Q520" s="25">
        <f t="array" aca="1" ref="Q520" ca="1">INDEX('Isaac 401k'!L:L,MATCH('Retirement Calculator'!A520,'Isaac 401k'!N:N,0),0)</f>
        <v>329700.90681361564</v>
      </c>
      <c r="R520" s="25">
        <f t="array" aca="1" ref="R520" ca="1">INDEX('Lorri 401b'!L:L,MATCH('Retirement Calculator'!A520,'Lorri 401b'!N:N,0),0)</f>
        <v>942571.81325819041</v>
      </c>
      <c r="S520" s="25">
        <f t="shared" ca="1" si="267"/>
        <v>1272272.7200718061</v>
      </c>
    </row>
    <row r="521" spans="1:19" ht="15.75" customHeight="1" x14ac:dyDescent="0.3">
      <c r="A521" s="37">
        <v>66811</v>
      </c>
      <c r="B521" s="409">
        <f t="shared" ref="B521:C521" si="522">($A521-B$9)/365.25</f>
        <v>101.0403832991102</v>
      </c>
      <c r="C521" s="409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3525.4531757812501</v>
      </c>
      <c r="H521" s="25">
        <f>IF(B521&lt;62,0,'Combined Retirement'!$I$14)</f>
        <v>2192</v>
      </c>
      <c r="I521" s="25">
        <f>IF(C521&lt;62,0,'Combined Retirement'!$I$13)</f>
        <v>2420</v>
      </c>
      <c r="J521" s="25">
        <f t="shared" ref="J521:J775" si="523">IF(C521&lt;59.5,P521,P521*$J$7)</f>
        <v>7863.2184191855868</v>
      </c>
      <c r="K521" s="25">
        <f t="shared" ref="K521:K775" si="524">IF(C521&lt;59.5,0,IF(C521&lt;$B$7,0,P521*$K$7))</f>
        <v>20282.026119384056</v>
      </c>
      <c r="L521" s="25"/>
      <c r="N521" s="25">
        <f>'Combined Retirement'!$C$18/12</f>
        <v>39153.069999999992</v>
      </c>
      <c r="O521" s="25">
        <f t="shared" ref="O521:O775" si="525">SUM(E521:I521)</f>
        <v>11007.82546143035</v>
      </c>
      <c r="P521" s="25">
        <f t="shared" ref="P521:P775" si="526">N521-O521</f>
        <v>28145.244538569641</v>
      </c>
      <c r="Q521" s="25">
        <f t="array" aca="1" ref="Q521" ca="1">INDEX('Isaac 401k'!L:L,MATCH('Retirement Calculator'!A521,'Isaac 401k'!N:N,0),0)</f>
        <v>323178.67876274016</v>
      </c>
      <c r="R521" s="25">
        <f t="array" aca="1" ref="R521" ca="1">INDEX('Lorri 401b'!L:L,MATCH('Retirement Calculator'!A521,'Lorri 401b'!N:N,0),0)</f>
        <v>926132.66125188465</v>
      </c>
      <c r="S521" s="25">
        <f t="shared" ref="S521:S775" ca="1" si="527">SUM(Q521:R521)</f>
        <v>1249311.3400146249</v>
      </c>
    </row>
    <row r="522" spans="1:19" ht="15.75" customHeight="1" x14ac:dyDescent="0.3">
      <c r="A522" s="37">
        <v>66842</v>
      </c>
      <c r="B522" s="409">
        <f t="shared" ref="B522:C522" si="528">($A522-B$9)/365.25</f>
        <v>101.12525667351129</v>
      </c>
      <c r="C522" s="409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3525.4531757812501</v>
      </c>
      <c r="H522" s="25">
        <f>IF(B522&lt;62,0,'Combined Retirement'!$I$14)</f>
        <v>2192</v>
      </c>
      <c r="I522" s="25">
        <f>IF(C522&lt;62,0,'Combined Retirement'!$I$13)</f>
        <v>2420</v>
      </c>
      <c r="J522" s="25">
        <f t="shared" si="523"/>
        <v>7863.2184191855868</v>
      </c>
      <c r="K522" s="25">
        <f t="shared" si="524"/>
        <v>20282.026119384056</v>
      </c>
      <c r="L522" s="25"/>
      <c r="N522" s="25">
        <f>'Combined Retirement'!$C$18/12</f>
        <v>39153.069999999992</v>
      </c>
      <c r="O522" s="25">
        <f t="shared" si="525"/>
        <v>11007.82546143035</v>
      </c>
      <c r="P522" s="25">
        <f t="shared" si="526"/>
        <v>28145.244538569641</v>
      </c>
      <c r="Q522" s="25">
        <f t="array" aca="1" ref="Q522" ca="1">INDEX('Isaac 401k'!L:L,MATCH('Retirement Calculator'!A522,'Isaac 401k'!N:N,0),0)</f>
        <v>316629.27476165269</v>
      </c>
      <c r="R522" s="25">
        <f t="array" aca="1" ref="R522" ca="1">INDEX('Lorri 401b'!L:L,MATCH('Retirement Calculator'!A522,'Lorri 401b'!N:N,0),0)</f>
        <v>909625.01277888601</v>
      </c>
      <c r="S522" s="25">
        <f t="shared" ca="1" si="527"/>
        <v>1226254.2875405387</v>
      </c>
    </row>
    <row r="523" spans="1:19" ht="15.75" customHeight="1" x14ac:dyDescent="0.3">
      <c r="A523" s="37">
        <v>66873</v>
      </c>
      <c r="B523" s="409">
        <f t="shared" ref="B523:C523" si="529">($A523-B$9)/365.25</f>
        <v>101.21013004791239</v>
      </c>
      <c r="C523" s="409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3525.4531757812501</v>
      </c>
      <c r="H523" s="25">
        <f>IF(B523&lt;62,0,'Combined Retirement'!$I$14)</f>
        <v>2192</v>
      </c>
      <c r="I523" s="25">
        <f>IF(C523&lt;62,0,'Combined Retirement'!$I$13)</f>
        <v>2420</v>
      </c>
      <c r="J523" s="25">
        <f t="shared" si="523"/>
        <v>7863.2184191855868</v>
      </c>
      <c r="K523" s="25">
        <f t="shared" si="524"/>
        <v>20282.026119384056</v>
      </c>
      <c r="L523" s="25"/>
      <c r="N523" s="25">
        <f>'Combined Retirement'!$C$18/12</f>
        <v>39153.069999999992</v>
      </c>
      <c r="O523" s="25">
        <f t="shared" si="525"/>
        <v>11007.82546143035</v>
      </c>
      <c r="P523" s="25">
        <f t="shared" si="526"/>
        <v>28145.244538569641</v>
      </c>
      <c r="Q523" s="25">
        <f t="array" aca="1" ref="Q523" ca="1">INDEX('Isaac 401k'!L:L,MATCH('Retirement Calculator'!A523,'Isaac 401k'!N:N,0),0)</f>
        <v>310052.58157722733</v>
      </c>
      <c r="R523" s="25">
        <f t="array" aca="1" ref="R523" ca="1">INDEX('Lorri 401b'!L:L,MATCH('Retirement Calculator'!A523,'Lorri 401b'!N:N,0),0)</f>
        <v>893048.58243724983</v>
      </c>
      <c r="S523" s="25">
        <f t="shared" ca="1" si="527"/>
        <v>1203101.1640144773</v>
      </c>
    </row>
    <row r="524" spans="1:19" ht="15.75" customHeight="1" x14ac:dyDescent="0.3">
      <c r="A524" s="37">
        <v>66901</v>
      </c>
      <c r="B524" s="409">
        <f t="shared" ref="B524:C524" si="530">($A524-B$9)/365.25</f>
        <v>101.28678986995209</v>
      </c>
      <c r="C524" s="409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3525.4531757812501</v>
      </c>
      <c r="H524" s="25">
        <f>IF(B524&lt;62,0,'Combined Retirement'!$I$14)</f>
        <v>2192</v>
      </c>
      <c r="I524" s="25">
        <f>IF(C524&lt;62,0,'Combined Retirement'!$I$13)</f>
        <v>2420</v>
      </c>
      <c r="J524" s="25">
        <f t="shared" si="523"/>
        <v>7863.2184191855868</v>
      </c>
      <c r="K524" s="25">
        <f t="shared" si="524"/>
        <v>20282.026119384056</v>
      </c>
      <c r="L524" s="25"/>
      <c r="N524" s="25">
        <f>'Combined Retirement'!$C$18/12</f>
        <v>39153.069999999992</v>
      </c>
      <c r="O524" s="25">
        <f t="shared" si="525"/>
        <v>11007.82546143035</v>
      </c>
      <c r="P524" s="25">
        <f t="shared" si="526"/>
        <v>28145.244538569641</v>
      </c>
      <c r="Q524" s="25">
        <f t="array" aca="1" ref="Q524" ca="1">INDEX('Isaac 401k'!L:L,MATCH('Retirement Calculator'!A524,'Isaac 401k'!N:N,0),0)</f>
        <v>303448.48550453357</v>
      </c>
      <c r="R524" s="25">
        <f t="array" aca="1" ref="R524" ca="1">INDEX('Lorri 401b'!L:L,MATCH('Retirement Calculator'!A524,'Lorri 401b'!N:N,0),0)</f>
        <v>876403.08363585686</v>
      </c>
      <c r="S524" s="25">
        <f t="shared" ca="1" si="527"/>
        <v>1179851.5691403905</v>
      </c>
    </row>
    <row r="525" spans="1:19" ht="15.75" customHeight="1" x14ac:dyDescent="0.3">
      <c r="A525" s="37">
        <v>66932</v>
      </c>
      <c r="B525" s="409">
        <f t="shared" ref="B525:C525" si="531">($A525-B$9)/365.25</f>
        <v>101.37166324435319</v>
      </c>
      <c r="C525" s="409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3525.4531757812501</v>
      </c>
      <c r="H525" s="25">
        <f>IF(B525&lt;62,0,'Combined Retirement'!$I$14)</f>
        <v>2192</v>
      </c>
      <c r="I525" s="25">
        <f>IF(C525&lt;62,0,'Combined Retirement'!$I$13)</f>
        <v>2420</v>
      </c>
      <c r="J525" s="25">
        <f t="shared" si="523"/>
        <v>7863.2184191855868</v>
      </c>
      <c r="K525" s="25">
        <f t="shared" si="524"/>
        <v>20282.026119384056</v>
      </c>
      <c r="L525" s="25"/>
      <c r="N525" s="25">
        <f>'Combined Retirement'!$C$18/12</f>
        <v>39153.069999999992</v>
      </c>
      <c r="O525" s="25">
        <f t="shared" si="525"/>
        <v>11007.82546143035</v>
      </c>
      <c r="P525" s="25">
        <f t="shared" si="526"/>
        <v>28145.244538569641</v>
      </c>
      <c r="Q525" s="25">
        <f t="array" aca="1" ref="Q525" ca="1">INDEX('Isaac 401k'!L:L,MATCH('Retirement Calculator'!A525,'Isaac 401k'!N:N,0),0)</f>
        <v>296816.87236487027</v>
      </c>
      <c r="R525" s="25">
        <f t="array" aca="1" ref="R525" ca="1">INDEX('Lorri 401b'!L:L,MATCH('Retirement Calculator'!A525,'Lorri 401b'!N:N,0),0)</f>
        <v>859688.22858945804</v>
      </c>
      <c r="S525" s="25">
        <f t="shared" ca="1" si="527"/>
        <v>1156505.1009543282</v>
      </c>
    </row>
    <row r="526" spans="1:19" ht="15.75" customHeight="1" x14ac:dyDescent="0.3">
      <c r="A526" s="37">
        <v>66962</v>
      </c>
      <c r="B526" s="409">
        <f t="shared" ref="B526:C526" si="532">($A526-B$9)/365.25</f>
        <v>101.45379876796714</v>
      </c>
      <c r="C526" s="409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3525.4531757812501</v>
      </c>
      <c r="H526" s="25">
        <f>IF(B526&lt;62,0,'Combined Retirement'!$I$14)</f>
        <v>2192</v>
      </c>
      <c r="I526" s="25">
        <f>IF(C526&lt;62,0,'Combined Retirement'!$I$13)</f>
        <v>2420</v>
      </c>
      <c r="J526" s="25">
        <f t="shared" si="523"/>
        <v>7863.2184191855868</v>
      </c>
      <c r="K526" s="25">
        <f t="shared" si="524"/>
        <v>20282.026119384056</v>
      </c>
      <c r="L526" s="25"/>
      <c r="N526" s="25">
        <f>'Combined Retirement'!$C$18/12</f>
        <v>39153.069999999992</v>
      </c>
      <c r="O526" s="25">
        <f t="shared" si="525"/>
        <v>11007.82546143035</v>
      </c>
      <c r="P526" s="25">
        <f t="shared" si="526"/>
        <v>28145.244538569641</v>
      </c>
      <c r="Q526" s="25">
        <f t="array" aca="1" ref="Q526" ca="1">INDEX('Isaac 401k'!L:L,MATCH('Retirement Calculator'!A526,'Isaac 401k'!N:N,0),0)</f>
        <v>290157.62750379171</v>
      </c>
      <c r="R526" s="25">
        <f t="array" aca="1" ref="R526" ca="1">INDEX('Lorri 401b'!L:L,MATCH('Retirement Calculator'!A526,'Lorri 401b'!N:N,0),0)</f>
        <v>842903.72831369925</v>
      </c>
      <c r="S526" s="25">
        <f t="shared" ca="1" si="527"/>
        <v>1133061.355817491</v>
      </c>
    </row>
    <row r="527" spans="1:19" ht="15.75" customHeight="1" x14ac:dyDescent="0.3">
      <c r="A527" s="37">
        <v>66993</v>
      </c>
      <c r="B527" s="409">
        <f t="shared" ref="B527:C527" si="533">($A527-B$9)/365.25</f>
        <v>101.53867214236824</v>
      </c>
      <c r="C527" s="409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3525.4531757812501</v>
      </c>
      <c r="H527" s="25">
        <f>IF(B527&lt;62,0,'Combined Retirement'!$I$14)</f>
        <v>2192</v>
      </c>
      <c r="I527" s="25">
        <f>IF(C527&lt;62,0,'Combined Retirement'!$I$13)</f>
        <v>2420</v>
      </c>
      <c r="J527" s="25">
        <f t="shared" si="523"/>
        <v>7863.2184191855868</v>
      </c>
      <c r="K527" s="25">
        <f t="shared" si="524"/>
        <v>20282.026119384056</v>
      </c>
      <c r="L527" s="25"/>
      <c r="N527" s="25">
        <f>'Combined Retirement'!$C$18/12</f>
        <v>39153.069999999992</v>
      </c>
      <c r="O527" s="25">
        <f t="shared" si="525"/>
        <v>11007.82546143035</v>
      </c>
      <c r="P527" s="25">
        <f t="shared" si="526"/>
        <v>28145.244538569641</v>
      </c>
      <c r="Q527" s="25">
        <f t="array" aca="1" ref="Q527" ca="1">INDEX('Isaac 401k'!L:L,MATCH('Retirement Calculator'!A527,'Isaac 401k'!N:N,0),0)</f>
        <v>283470.63578912528</v>
      </c>
      <c r="R527" s="25">
        <f t="array" aca="1" ref="R527" ca="1">INDEX('Lorri 401b'!L:L,MATCH('Retirement Calculator'!A527,'Lorri 401b'!N:N,0),0)</f>
        <v>826049.29262012476</v>
      </c>
      <c r="S527" s="25">
        <f t="shared" ca="1" si="527"/>
        <v>1109519.92840925</v>
      </c>
    </row>
    <row r="528" spans="1:19" ht="15.75" customHeight="1" x14ac:dyDescent="0.3">
      <c r="A528" s="37">
        <v>67023</v>
      </c>
      <c r="B528" s="409">
        <f t="shared" ref="B528:C528" si="534">($A528-B$9)/365.25</f>
        <v>101.6208076659822</v>
      </c>
      <c r="C528" s="409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3525.4531757812501</v>
      </c>
      <c r="H528" s="25">
        <f>IF(B528&lt;62,0,'Combined Retirement'!$I$14)</f>
        <v>2192</v>
      </c>
      <c r="I528" s="25">
        <f>IF(C528&lt;62,0,'Combined Retirement'!$I$13)</f>
        <v>2420</v>
      </c>
      <c r="J528" s="25">
        <f t="shared" si="523"/>
        <v>7863.2184191855868</v>
      </c>
      <c r="K528" s="25">
        <f t="shared" si="524"/>
        <v>20282.026119384056</v>
      </c>
      <c r="L528" s="25"/>
      <c r="N528" s="25">
        <f>'Combined Retirement'!$C$18/12</f>
        <v>39153.069999999992</v>
      </c>
      <c r="O528" s="25">
        <f t="shared" si="525"/>
        <v>11007.82546143035</v>
      </c>
      <c r="P528" s="25">
        <f t="shared" si="526"/>
        <v>28145.244538569641</v>
      </c>
      <c r="Q528" s="25">
        <f t="array" aca="1" ref="Q528" ca="1">INDEX('Isaac 401k'!L:L,MATCH('Retirement Calculator'!A528,'Isaac 401k'!N:N,0),0)</f>
        <v>276755.78160898108</v>
      </c>
      <c r="R528" s="25">
        <f t="array" aca="1" ref="R528" ca="1">INDEX('Lorri 401b'!L:L,MATCH('Retirement Calculator'!A528,'Lorri 401b'!N:N,0),0)</f>
        <v>809124.63011116046</v>
      </c>
      <c r="S528" s="25">
        <f t="shared" ca="1" si="527"/>
        <v>1085880.4117201415</v>
      </c>
    </row>
    <row r="529" spans="1:19" ht="15.75" customHeight="1" x14ac:dyDescent="0.3">
      <c r="A529" s="37">
        <v>67054</v>
      </c>
      <c r="B529" s="409">
        <f t="shared" ref="B529:C529" si="535">($A529-B$9)/365.25</f>
        <v>101.7056810403833</v>
      </c>
      <c r="C529" s="409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3525.4531757812501</v>
      </c>
      <c r="H529" s="25">
        <f>IF(B529&lt;62,0,'Combined Retirement'!$I$14)</f>
        <v>2192</v>
      </c>
      <c r="I529" s="25">
        <f>IF(C529&lt;62,0,'Combined Retirement'!$I$13)</f>
        <v>2420</v>
      </c>
      <c r="J529" s="25">
        <f t="shared" si="523"/>
        <v>7863.2184191855868</v>
      </c>
      <c r="K529" s="25">
        <f t="shared" si="524"/>
        <v>20282.026119384056</v>
      </c>
      <c r="L529" s="25"/>
      <c r="N529" s="25">
        <f>'Combined Retirement'!$C$18/12</f>
        <v>39153.069999999992</v>
      </c>
      <c r="O529" s="25">
        <f t="shared" si="525"/>
        <v>11007.82546143035</v>
      </c>
      <c r="P529" s="25">
        <f t="shared" si="526"/>
        <v>28145.244538569641</v>
      </c>
      <c r="Q529" s="25">
        <f t="array" aca="1" ref="Q529" ca="1">INDEX('Isaac 401k'!L:L,MATCH('Retirement Calculator'!A529,'Isaac 401k'!N:N,0),0)</f>
        <v>270012.94886975293</v>
      </c>
      <c r="R529" s="25">
        <f t="array" aca="1" ref="R529" ca="1">INDEX('Lorri 401b'!L:L,MATCH('Retirement Calculator'!A529,'Lorri 401b'!N:N,0),0)</f>
        <v>792129.44817507546</v>
      </c>
      <c r="S529" s="25">
        <f t="shared" ca="1" si="527"/>
        <v>1062142.3970448284</v>
      </c>
    </row>
    <row r="530" spans="1:19" ht="15.75" customHeight="1" x14ac:dyDescent="0.3">
      <c r="A530" s="37">
        <v>67085</v>
      </c>
      <c r="B530" s="409">
        <f t="shared" ref="B530:C530" si="536">($A530-B$9)/365.25</f>
        <v>101.7905544147844</v>
      </c>
      <c r="C530" s="409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3525.4531757812501</v>
      </c>
      <c r="H530" s="25">
        <f>IF(B530&lt;62,0,'Combined Retirement'!$I$14)</f>
        <v>2192</v>
      </c>
      <c r="I530" s="25">
        <f>IF(C530&lt;62,0,'Combined Retirement'!$I$13)</f>
        <v>2420</v>
      </c>
      <c r="J530" s="25">
        <f t="shared" si="523"/>
        <v>7863.2184191855868</v>
      </c>
      <c r="K530" s="25">
        <f t="shared" si="524"/>
        <v>20282.026119384056</v>
      </c>
      <c r="L530" s="25"/>
      <c r="N530" s="25">
        <f>'Combined Retirement'!$C$18/12</f>
        <v>39153.069999999992</v>
      </c>
      <c r="O530" s="25">
        <f t="shared" si="525"/>
        <v>11007.82546143035</v>
      </c>
      <c r="P530" s="25">
        <f t="shared" si="526"/>
        <v>28145.244538569641</v>
      </c>
      <c r="Q530" s="25">
        <f t="array" aca="1" ref="Q530" ca="1">INDEX('Isaac 401k'!L:L,MATCH('Retirement Calculator'!A530,'Isaac 401k'!N:N,0),0)</f>
        <v>263242.02099411137</v>
      </c>
      <c r="R530" s="25">
        <f t="array" aca="1" ref="R530" ca="1">INDEX('Lorri 401b'!L:L,MATCH('Retirement Calculator'!A530,'Lorri 401b'!N:N,0),0)</f>
        <v>775063.45298092347</v>
      </c>
      <c r="S530" s="25">
        <f t="shared" ca="1" si="527"/>
        <v>1038305.4739750349</v>
      </c>
    </row>
    <row r="531" spans="1:19" ht="15.75" customHeight="1" x14ac:dyDescent="0.3">
      <c r="A531" s="37">
        <v>67115</v>
      </c>
      <c r="B531" s="409">
        <f t="shared" ref="B531:C531" si="537">($A531-B$9)/365.25</f>
        <v>101.87268993839835</v>
      </c>
      <c r="C531" s="409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3525.4531757812501</v>
      </c>
      <c r="H531" s="25">
        <f>IF(B531&lt;62,0,'Combined Retirement'!$I$14)</f>
        <v>2192</v>
      </c>
      <c r="I531" s="25">
        <f>IF(C531&lt;62,0,'Combined Retirement'!$I$13)</f>
        <v>2420</v>
      </c>
      <c r="J531" s="25">
        <f t="shared" si="523"/>
        <v>7863.2184191855868</v>
      </c>
      <c r="K531" s="25">
        <f t="shared" si="524"/>
        <v>20282.026119384056</v>
      </c>
      <c r="L531" s="25"/>
      <c r="N531" s="25">
        <f>'Combined Retirement'!$C$18/12</f>
        <v>39153.069999999992</v>
      </c>
      <c r="O531" s="25">
        <f t="shared" si="525"/>
        <v>11007.82546143035</v>
      </c>
      <c r="P531" s="25">
        <f t="shared" si="526"/>
        <v>28145.244538569641</v>
      </c>
      <c r="Q531" s="25">
        <f t="array" aca="1" ref="Q531" ca="1">INDEX('Isaac 401k'!L:L,MATCH('Retirement Calculator'!A531,'Isaac 401k'!N:N,0),0)</f>
        <v>256442.880918988</v>
      </c>
      <c r="R531" s="25">
        <f t="array" aca="1" ref="R531" ca="1">INDEX('Lorri 401b'!L:L,MATCH('Retirement Calculator'!A531,'Lorri 401b'!N:N,0),0)</f>
        <v>757926.34947346244</v>
      </c>
      <c r="S531" s="25">
        <f t="shared" ca="1" si="527"/>
        <v>1014369.2303924505</v>
      </c>
    </row>
    <row r="532" spans="1:19" ht="15.75" customHeight="1" x14ac:dyDescent="0.3">
      <c r="A532" s="37">
        <v>67146</v>
      </c>
      <c r="B532" s="409">
        <f t="shared" ref="B532:C532" si="538">($A532-B$9)/365.25</f>
        <v>101.95756331279945</v>
      </c>
      <c r="C532" s="409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3525.4531757812501</v>
      </c>
      <c r="H532" s="25">
        <f>IF(B532&lt;62,0,'Combined Retirement'!$I$14)</f>
        <v>2192</v>
      </c>
      <c r="I532" s="25">
        <f>IF(C532&lt;62,0,'Combined Retirement'!$I$13)</f>
        <v>2420</v>
      </c>
      <c r="J532" s="25">
        <f t="shared" si="523"/>
        <v>7863.2184191855868</v>
      </c>
      <c r="K532" s="25">
        <f t="shared" si="524"/>
        <v>20282.026119384056</v>
      </c>
      <c r="L532" s="25"/>
      <c r="N532" s="25">
        <f>'Combined Retirement'!$C$18/12</f>
        <v>39153.069999999992</v>
      </c>
      <c r="O532" s="25">
        <f t="shared" si="525"/>
        <v>11007.82546143035</v>
      </c>
      <c r="P532" s="25">
        <f t="shared" si="526"/>
        <v>28145.244538569641</v>
      </c>
      <c r="Q532" s="25">
        <f t="array" aca="1" ref="Q532" ca="1">INDEX('Isaac 401k'!L:L,MATCH('Retirement Calculator'!A532,'Isaac 401k'!N:N,0),0)</f>
        <v>249615.41109355161</v>
      </c>
      <c r="R532" s="25">
        <f t="array" aca="1" ref="R532" ca="1">INDEX('Lorri 401b'!L:L,MATCH('Retirement Calculator'!A532,'Lorri 401b'!N:N,0),0)</f>
        <v>740717.84136805369</v>
      </c>
      <c r="S532" s="25">
        <f t="shared" ca="1" si="527"/>
        <v>990333.25246160524</v>
      </c>
    </row>
    <row r="533" spans="1:19" ht="15.75" customHeight="1" x14ac:dyDescent="0.3">
      <c r="A533" s="37">
        <v>67176</v>
      </c>
      <c r="B533" s="409">
        <f t="shared" ref="B533:C533" si="539">($A533-B$9)/365.25</f>
        <v>102.03969883641342</v>
      </c>
      <c r="C533" s="409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3525.4531757812501</v>
      </c>
      <c r="H533" s="25">
        <f>IF(B533&lt;62,0,'Combined Retirement'!$I$14)</f>
        <v>2192</v>
      </c>
      <c r="I533" s="25">
        <f>IF(C533&lt;62,0,'Combined Retirement'!$I$13)</f>
        <v>2420</v>
      </c>
      <c r="J533" s="25">
        <f t="shared" si="523"/>
        <v>7863.2184191855868</v>
      </c>
      <c r="K533" s="25">
        <f t="shared" si="524"/>
        <v>20282.026119384056</v>
      </c>
      <c r="L533" s="25"/>
      <c r="N533" s="25">
        <f>'Combined Retirement'!$C$18/12</f>
        <v>39153.069999999992</v>
      </c>
      <c r="O533" s="25">
        <f t="shared" si="525"/>
        <v>11007.82546143035</v>
      </c>
      <c r="P533" s="25">
        <f t="shared" si="526"/>
        <v>28145.244538569641</v>
      </c>
      <c r="Q533" s="25">
        <f t="array" aca="1" ref="Q533" ca="1">INDEX('Isaac 401k'!L:L,MATCH('Retirement Calculator'!A533,'Isaac 401k'!N:N,0),0)</f>
        <v>242759.49347717589</v>
      </c>
      <c r="R533" s="25">
        <f t="array" aca="1" ref="R533" ca="1">INDEX('Lorri 401b'!L:L,MATCH('Retirement Calculator'!A533,'Lorri 401b'!N:N,0),0)</f>
        <v>723437.631145539</v>
      </c>
      <c r="S533" s="25">
        <f t="shared" ca="1" si="527"/>
        <v>966197.12462271494</v>
      </c>
    </row>
    <row r="534" spans="1:19" ht="15.75" customHeight="1" x14ac:dyDescent="0.3">
      <c r="A534" s="37">
        <v>67207</v>
      </c>
      <c r="B534" s="409">
        <f t="shared" ref="B534:C534" si="540">($A534-B$9)/365.25</f>
        <v>102.12457221081451</v>
      </c>
      <c r="C534" s="409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3525.4531757812501</v>
      </c>
      <c r="H534" s="25">
        <f>IF(B534&lt;62,0,'Combined Retirement'!$I$14)</f>
        <v>2192</v>
      </c>
      <c r="I534" s="25">
        <f>IF(C534&lt;62,0,'Combined Retirement'!$I$13)</f>
        <v>2420</v>
      </c>
      <c r="J534" s="25">
        <f t="shared" si="523"/>
        <v>7863.2184191855868</v>
      </c>
      <c r="K534" s="25">
        <f t="shared" si="524"/>
        <v>20282.026119384056</v>
      </c>
      <c r="L534" s="25"/>
      <c r="N534" s="25">
        <f>'Combined Retirement'!$C$18/12</f>
        <v>39153.069999999992</v>
      </c>
      <c r="O534" s="25">
        <f t="shared" si="525"/>
        <v>11007.82546143035</v>
      </c>
      <c r="P534" s="25">
        <f t="shared" si="526"/>
        <v>28145.244538569641</v>
      </c>
      <c r="Q534" s="25">
        <f t="array" aca="1" ref="Q534" ca="1">INDEX('Isaac 401k'!L:L,MATCH('Retirement Calculator'!A534,'Isaac 401k'!N:N,0),0)</f>
        <v>235875.00953739861</v>
      </c>
      <c r="R534" s="25">
        <f t="array" aca="1" ref="R534" ca="1">INDEX('Lorri 401b'!L:L,MATCH('Retirement Calculator'!A534,'Lorri 401b'!N:N,0),0)</f>
        <v>706085.42004709726</v>
      </c>
      <c r="S534" s="25">
        <f t="shared" ca="1" si="527"/>
        <v>941960.42958449584</v>
      </c>
    </row>
    <row r="535" spans="1:19" ht="15.75" customHeight="1" x14ac:dyDescent="0.3">
      <c r="A535" s="37">
        <v>67238</v>
      </c>
      <c r="B535" s="409">
        <f t="shared" ref="B535:C535" si="541">($A535-B$9)/365.25</f>
        <v>102.2094455852156</v>
      </c>
      <c r="C535" s="409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3525.4531757812501</v>
      </c>
      <c r="H535" s="25">
        <f>IF(B535&lt;62,0,'Combined Retirement'!$I$14)</f>
        <v>2192</v>
      </c>
      <c r="I535" s="25">
        <f>IF(C535&lt;62,0,'Combined Retirement'!$I$13)</f>
        <v>2420</v>
      </c>
      <c r="J535" s="25">
        <f t="shared" si="523"/>
        <v>7863.2184191855868</v>
      </c>
      <c r="K535" s="25">
        <f t="shared" si="524"/>
        <v>20282.026119384056</v>
      </c>
      <c r="L535" s="25"/>
      <c r="N535" s="25">
        <f>'Combined Retirement'!$C$18/12</f>
        <v>39153.069999999992</v>
      </c>
      <c r="O535" s="25">
        <f t="shared" si="525"/>
        <v>11007.82546143035</v>
      </c>
      <c r="P535" s="25">
        <f t="shared" si="526"/>
        <v>28145.244538569641</v>
      </c>
      <c r="Q535" s="25">
        <f t="array" aca="1" ref="Q535" ca="1">INDEX('Isaac 401k'!L:L,MATCH('Retirement Calculator'!A535,'Isaac 401k'!N:N,0),0)</f>
        <v>228961.84024787226</v>
      </c>
      <c r="R535" s="25">
        <f t="array" aca="1" ref="R535" ca="1">INDEX('Lorri 401b'!L:L,MATCH('Retirement Calculator'!A535,'Lorri 401b'!N:N,0),0)</f>
        <v>688660.90806907858</v>
      </c>
      <c r="S535" s="25">
        <f t="shared" ca="1" si="527"/>
        <v>917622.74831695086</v>
      </c>
    </row>
    <row r="536" spans="1:19" ht="15.75" customHeight="1" x14ac:dyDescent="0.3">
      <c r="A536" s="37">
        <v>67267</v>
      </c>
      <c r="B536" s="409">
        <f t="shared" ref="B536:C536" si="542">($A536-B$9)/365.25</f>
        <v>102.28884325804243</v>
      </c>
      <c r="C536" s="409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3525.4531757812501</v>
      </c>
      <c r="H536" s="25">
        <f>IF(B536&lt;62,0,'Combined Retirement'!$I$14)</f>
        <v>2192</v>
      </c>
      <c r="I536" s="25">
        <f>IF(C536&lt;62,0,'Combined Retirement'!$I$13)</f>
        <v>2420</v>
      </c>
      <c r="J536" s="25">
        <f t="shared" si="523"/>
        <v>7863.2184191855868</v>
      </c>
      <c r="K536" s="25">
        <f t="shared" si="524"/>
        <v>20282.026119384056</v>
      </c>
      <c r="L536" s="25"/>
      <c r="N536" s="25">
        <f>'Combined Retirement'!$C$18/12</f>
        <v>39153.069999999992</v>
      </c>
      <c r="O536" s="25">
        <f t="shared" si="525"/>
        <v>11007.82546143035</v>
      </c>
      <c r="P536" s="25">
        <f t="shared" si="526"/>
        <v>28145.244538569641</v>
      </c>
      <c r="Q536" s="25">
        <f t="array" aca="1" ref="Q536" ca="1">INDEX('Isaac 401k'!L:L,MATCH('Retirement Calculator'!A536,'Isaac 401k'!N:N,0),0)</f>
        <v>222019.8660863062</v>
      </c>
      <c r="R536" s="25">
        <f t="array" aca="1" ref="R536" ca="1">INDEX('Lorri 401b'!L:L,MATCH('Retirement Calculator'!A536,'Lorri 401b'!N:N,0),0)</f>
        <v>671163.79395781818</v>
      </c>
      <c r="S536" s="25">
        <f t="shared" ca="1" si="527"/>
        <v>893183.66004412435</v>
      </c>
    </row>
    <row r="537" spans="1:19" ht="15.75" customHeight="1" x14ac:dyDescent="0.3">
      <c r="A537" s="37">
        <v>67298</v>
      </c>
      <c r="B537" s="409">
        <f t="shared" ref="B537:C537" si="543">($A537-B$9)/365.25</f>
        <v>102.37371663244353</v>
      </c>
      <c r="C537" s="409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3525.4531757812501</v>
      </c>
      <c r="H537" s="25">
        <f>IF(B537&lt;62,0,'Combined Retirement'!$I$14)</f>
        <v>2192</v>
      </c>
      <c r="I537" s="25">
        <f>IF(C537&lt;62,0,'Combined Retirement'!$I$13)</f>
        <v>2420</v>
      </c>
      <c r="J537" s="25">
        <f t="shared" si="523"/>
        <v>7863.2184191855868</v>
      </c>
      <c r="K537" s="25">
        <f t="shared" si="524"/>
        <v>20282.026119384056</v>
      </c>
      <c r="L537" s="25"/>
      <c r="N537" s="25">
        <f>'Combined Retirement'!$C$18/12</f>
        <v>39153.069999999992</v>
      </c>
      <c r="O537" s="25">
        <f t="shared" si="525"/>
        <v>11007.82546143035</v>
      </c>
      <c r="P537" s="25">
        <f t="shared" si="526"/>
        <v>28145.244538569641</v>
      </c>
      <c r="Q537" s="25">
        <f t="array" aca="1" ref="Q537" ca="1">INDEX('Isaac 401k'!L:L,MATCH('Retirement Calculator'!A537,'Isaac 401k'!N:N,0),0)</f>
        <v>215048.96703240028</v>
      </c>
      <c r="R537" s="25">
        <f t="array" aca="1" ref="R537" ca="1">INDEX('Lorri 401b'!L:L,MATCH('Retirement Calculator'!A537,'Lorri 401b'!N:N,0),0)</f>
        <v>653593.77520442754</v>
      </c>
      <c r="S537" s="25">
        <f t="shared" ca="1" si="527"/>
        <v>868642.74223682785</v>
      </c>
    </row>
    <row r="538" spans="1:19" ht="15.75" customHeight="1" x14ac:dyDescent="0.3">
      <c r="A538" s="37">
        <v>67328</v>
      </c>
      <c r="B538" s="409">
        <f t="shared" ref="B538:C538" si="544">($A538-B$9)/365.25</f>
        <v>102.45585215605749</v>
      </c>
      <c r="C538" s="409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3525.4531757812501</v>
      </c>
      <c r="H538" s="25">
        <f>IF(B538&lt;62,0,'Combined Retirement'!$I$14)</f>
        <v>2192</v>
      </c>
      <c r="I538" s="25">
        <f>IF(C538&lt;62,0,'Combined Retirement'!$I$13)</f>
        <v>2420</v>
      </c>
      <c r="J538" s="25">
        <f t="shared" si="523"/>
        <v>7863.2184191855868</v>
      </c>
      <c r="K538" s="25">
        <f t="shared" si="524"/>
        <v>20282.026119384056</v>
      </c>
      <c r="L538" s="25"/>
      <c r="N538" s="25">
        <f>'Combined Retirement'!$C$18/12</f>
        <v>39153.069999999992</v>
      </c>
      <c r="O538" s="25">
        <f t="shared" si="525"/>
        <v>11007.82546143035</v>
      </c>
      <c r="P538" s="25">
        <f t="shared" si="526"/>
        <v>28145.244538569641</v>
      </c>
      <c r="Q538" s="25">
        <f t="array" aca="1" ref="Q538" ca="1">INDEX('Isaac 401k'!L:L,MATCH('Retirement Calculator'!A538,'Isaac 401k'!N:N,0),0)</f>
        <v>208049.02256576976</v>
      </c>
      <c r="R538" s="25">
        <f t="array" aca="1" ref="R538" ca="1">INDEX('Lorri 401b'!L:L,MATCH('Retirement Calculator'!A538,'Lorri 401b'!N:N,0),0)</f>
        <v>635950.5480395644</v>
      </c>
      <c r="S538" s="25">
        <f t="shared" ca="1" si="527"/>
        <v>843999.57060533413</v>
      </c>
    </row>
    <row r="539" spans="1:19" ht="15.75" customHeight="1" x14ac:dyDescent="0.3">
      <c r="A539" s="37">
        <v>67359</v>
      </c>
      <c r="B539" s="409">
        <f t="shared" ref="B539:C539" si="545">($A539-B$9)/365.25</f>
        <v>102.54072553045859</v>
      </c>
      <c r="C539" s="409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3525.4531757812501</v>
      </c>
      <c r="H539" s="25">
        <f>IF(B539&lt;62,0,'Combined Retirement'!$I$14)</f>
        <v>2192</v>
      </c>
      <c r="I539" s="25">
        <f>IF(C539&lt;62,0,'Combined Retirement'!$I$13)</f>
        <v>2420</v>
      </c>
      <c r="J539" s="25">
        <f t="shared" si="523"/>
        <v>7863.2184191855868</v>
      </c>
      <c r="K539" s="25">
        <f t="shared" si="524"/>
        <v>20282.026119384056</v>
      </c>
      <c r="L539" s="25"/>
      <c r="N539" s="25">
        <f>'Combined Retirement'!$C$18/12</f>
        <v>39153.069999999992</v>
      </c>
      <c r="O539" s="25">
        <f t="shared" si="525"/>
        <v>11007.82546143035</v>
      </c>
      <c r="P539" s="25">
        <f t="shared" si="526"/>
        <v>28145.244538569641</v>
      </c>
      <c r="Q539" s="25">
        <f t="array" aca="1" ref="Q539" ca="1">INDEX('Isaac 401k'!L:L,MATCH('Retirement Calculator'!A539,'Isaac 401k'!N:N,0),0)</f>
        <v>201019.91166386163</v>
      </c>
      <c r="R539" s="25">
        <f t="array" aca="1" ref="R539" ca="1">INDEX('Lorri 401b'!L:L,MATCH('Retirement Calculator'!A539,'Lorri 401b'!N:N,0),0)</f>
        <v>618233.80742818106</v>
      </c>
      <c r="S539" s="25">
        <f t="shared" ca="1" si="527"/>
        <v>819253.71909204265</v>
      </c>
    </row>
    <row r="540" spans="1:19" ht="15.75" customHeight="1" x14ac:dyDescent="0.3">
      <c r="A540" s="37">
        <v>67389</v>
      </c>
      <c r="B540" s="409">
        <f t="shared" ref="B540:C540" si="546">($A540-B$9)/365.25</f>
        <v>102.62286105407256</v>
      </c>
      <c r="C540" s="409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3525.4531757812501</v>
      </c>
      <c r="H540" s="25">
        <f>IF(B540&lt;62,0,'Combined Retirement'!$I$14)</f>
        <v>2192</v>
      </c>
      <c r="I540" s="25">
        <f>IF(C540&lt;62,0,'Combined Retirement'!$I$13)</f>
        <v>2420</v>
      </c>
      <c r="J540" s="25">
        <f t="shared" si="523"/>
        <v>7863.2184191855868</v>
      </c>
      <c r="K540" s="25">
        <f t="shared" si="524"/>
        <v>20282.026119384056</v>
      </c>
      <c r="L540" s="25"/>
      <c r="N540" s="25">
        <f>'Combined Retirement'!$C$18/12</f>
        <v>39153.069999999992</v>
      </c>
      <c r="O540" s="25">
        <f t="shared" si="525"/>
        <v>11007.82546143035</v>
      </c>
      <c r="P540" s="25">
        <f t="shared" si="526"/>
        <v>28145.244538569641</v>
      </c>
      <c r="Q540" s="25">
        <f t="array" aca="1" ref="Q540" ca="1">INDEX('Isaac 401k'!L:L,MATCH('Retirement Calculator'!A540,'Isaac 401k'!N:N,0),0)</f>
        <v>193961.51279986219</v>
      </c>
      <c r="R540" s="25">
        <f t="array" aca="1" ref="R540" ca="1">INDEX('Lorri 401b'!L:L,MATCH('Retirement Calculator'!A540,'Lorri 401b'!N:N,0),0)</f>
        <v>600443.24706425029</v>
      </c>
      <c r="S540" s="25">
        <f t="shared" ca="1" si="527"/>
        <v>794404.75986411248</v>
      </c>
    </row>
    <row r="541" spans="1:19" ht="15.75" customHeight="1" x14ac:dyDescent="0.3">
      <c r="A541" s="37">
        <v>67420</v>
      </c>
      <c r="B541" s="409">
        <f t="shared" ref="B541:C541" si="547">($A541-B$9)/365.25</f>
        <v>102.70773442847364</v>
      </c>
      <c r="C541" s="409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3525.4531757812501</v>
      </c>
      <c r="H541" s="25">
        <f>IF(B541&lt;62,0,'Combined Retirement'!$I$14)</f>
        <v>2192</v>
      </c>
      <c r="I541" s="25">
        <f>IF(C541&lt;62,0,'Combined Retirement'!$I$13)</f>
        <v>2420</v>
      </c>
      <c r="J541" s="25">
        <f t="shared" si="523"/>
        <v>7863.2184191855868</v>
      </c>
      <c r="K541" s="25">
        <f t="shared" si="524"/>
        <v>20282.026119384056</v>
      </c>
      <c r="L541" s="25"/>
      <c r="N541" s="25">
        <f>'Combined Retirement'!$C$18/12</f>
        <v>39153.069999999992</v>
      </c>
      <c r="O541" s="25">
        <f t="shared" si="525"/>
        <v>11007.82546143035</v>
      </c>
      <c r="P541" s="25">
        <f t="shared" si="526"/>
        <v>28145.244538569641</v>
      </c>
      <c r="Q541" s="25">
        <f t="array" aca="1" ref="Q541" ca="1">INDEX('Isaac 401k'!L:L,MATCH('Retirement Calculator'!A541,'Isaac 401k'!N:N,0),0)</f>
        <v>186873.70394059611</v>
      </c>
      <c r="R541" s="25">
        <f t="array" aca="1" ref="R541" ca="1">INDEX('Lorri 401b'!L:L,MATCH('Retirement Calculator'!A541,'Lorri 401b'!N:N,0),0)</f>
        <v>582578.55936546985</v>
      </c>
      <c r="S541" s="25">
        <f t="shared" ca="1" si="527"/>
        <v>769452.26330606593</v>
      </c>
    </row>
    <row r="542" spans="1:19" ht="15.75" customHeight="1" x14ac:dyDescent="0.3">
      <c r="A542" s="37">
        <v>67451</v>
      </c>
      <c r="B542" s="409">
        <f t="shared" ref="B542:C542" si="548">($A542-B$9)/365.25</f>
        <v>102.79260780287474</v>
      </c>
      <c r="C542" s="409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3525.4531757812501</v>
      </c>
      <c r="H542" s="25">
        <f>IF(B542&lt;62,0,'Combined Retirement'!$I$14)</f>
        <v>2192</v>
      </c>
      <c r="I542" s="25">
        <f>IF(C542&lt;62,0,'Combined Retirement'!$I$13)</f>
        <v>2420</v>
      </c>
      <c r="J542" s="25">
        <f t="shared" si="523"/>
        <v>7863.2184191855868</v>
      </c>
      <c r="K542" s="25">
        <f t="shared" si="524"/>
        <v>20282.026119384056</v>
      </c>
      <c r="L542" s="25"/>
      <c r="N542" s="25">
        <f>'Combined Retirement'!$C$18/12</f>
        <v>39153.069999999992</v>
      </c>
      <c r="O542" s="25">
        <f t="shared" si="525"/>
        <v>11007.82546143035</v>
      </c>
      <c r="P542" s="25">
        <f t="shared" si="526"/>
        <v>28145.244538569641</v>
      </c>
      <c r="Q542" s="25">
        <f t="array" aca="1" ref="Q542" ca="1">INDEX('Isaac 401k'!L:L,MATCH('Retirement Calculator'!A542,'Isaac 401k'!N:N,0),0)</f>
        <v>179756.36254441642</v>
      </c>
      <c r="R542" s="25">
        <f t="array" aca="1" ref="R542" ca="1">INDEX('Lorri 401b'!L:L,MATCH('Retirement Calculator'!A542,'Lorri 401b'!N:N,0),0)</f>
        <v>564639.43546794448</v>
      </c>
      <c r="S542" s="25">
        <f t="shared" ca="1" si="527"/>
        <v>744395.79801236093</v>
      </c>
    </row>
    <row r="543" spans="1:19" ht="15.75" customHeight="1" x14ac:dyDescent="0.3">
      <c r="A543" s="37">
        <v>67481</v>
      </c>
      <c r="B543" s="409">
        <f t="shared" ref="B543:C543" si="549">($A543-B$9)/365.25</f>
        <v>102.87474332648871</v>
      </c>
      <c r="C543" s="409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3525.4531757812501</v>
      </c>
      <c r="H543" s="25">
        <f>IF(B543&lt;62,0,'Combined Retirement'!$I$14)</f>
        <v>2192</v>
      </c>
      <c r="I543" s="25">
        <f>IF(C543&lt;62,0,'Combined Retirement'!$I$13)</f>
        <v>2420</v>
      </c>
      <c r="J543" s="25">
        <f t="shared" si="523"/>
        <v>7863.2184191855868</v>
      </c>
      <c r="K543" s="25">
        <f t="shared" si="524"/>
        <v>20282.026119384056</v>
      </c>
      <c r="L543" s="25"/>
      <c r="N543" s="25">
        <f>'Combined Retirement'!$C$18/12</f>
        <v>39153.069999999992</v>
      </c>
      <c r="O543" s="25">
        <f t="shared" si="525"/>
        <v>11007.82546143035</v>
      </c>
      <c r="P543" s="25">
        <f t="shared" si="526"/>
        <v>28145.244538569641</v>
      </c>
      <c r="Q543" s="25">
        <f t="array" aca="1" ref="Q543" ca="1">INDEX('Isaac 401k'!L:L,MATCH('Retirement Calculator'!A543,'Isaac 401k'!N:N,0),0)</f>
        <v>172609.36555908597</v>
      </c>
      <c r="R543" s="25">
        <f t="array" aca="1" ref="R543" ca="1">INDEX('Lorri 401b'!L:L,MATCH('Retirement Calculator'!A543,'Lorri 401b'!N:N,0),0)</f>
        <v>546625.5652208461</v>
      </c>
      <c r="S543" s="25">
        <f t="shared" ca="1" si="527"/>
        <v>719234.93077993207</v>
      </c>
    </row>
    <row r="544" spans="1:19" ht="15.75" customHeight="1" x14ac:dyDescent="0.3">
      <c r="A544" s="37">
        <v>67512</v>
      </c>
      <c r="B544" s="409">
        <f t="shared" ref="B544:C544" si="550">($A544-B$9)/365.25</f>
        <v>102.9596167008898</v>
      </c>
      <c r="C544" s="409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3525.4531757812501</v>
      </c>
      <c r="H544" s="25">
        <f>IF(B544&lt;62,0,'Combined Retirement'!$I$14)</f>
        <v>2192</v>
      </c>
      <c r="I544" s="25">
        <f>IF(C544&lt;62,0,'Combined Retirement'!$I$13)</f>
        <v>2420</v>
      </c>
      <c r="J544" s="25">
        <f t="shared" si="523"/>
        <v>7863.2184191855868</v>
      </c>
      <c r="K544" s="25">
        <f t="shared" si="524"/>
        <v>20282.026119384056</v>
      </c>
      <c r="L544" s="25"/>
      <c r="N544" s="25">
        <f>'Combined Retirement'!$C$18/12</f>
        <v>39153.069999999992</v>
      </c>
      <c r="O544" s="25">
        <f t="shared" si="525"/>
        <v>11007.82546143035</v>
      </c>
      <c r="P544" s="25">
        <f t="shared" si="526"/>
        <v>28145.244538569641</v>
      </c>
      <c r="Q544" s="25">
        <f t="array" aca="1" ref="Q544" ca="1">INDEX('Isaac 401k'!L:L,MATCH('Retirement Calculator'!A544,'Isaac 401k'!N:N,0),0)</f>
        <v>165432.58941964997</v>
      </c>
      <c r="R544" s="25">
        <f t="array" aca="1" ref="R544" ca="1">INDEX('Lorri 401b'!L:L,MATCH('Retirement Calculator'!A544,'Lorri 401b'!N:N,0),0)</f>
        <v>528536.63718105142</v>
      </c>
      <c r="S544" s="25">
        <f t="shared" ca="1" si="527"/>
        <v>693969.22660070146</v>
      </c>
    </row>
    <row r="545" spans="1:19" ht="15.75" customHeight="1" x14ac:dyDescent="0.3">
      <c r="A545" s="37">
        <v>67542</v>
      </c>
      <c r="B545" s="409">
        <f t="shared" ref="B545:C545" si="551">($A545-B$9)/365.25</f>
        <v>103.04175222450377</v>
      </c>
      <c r="C545" s="409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3525.4531757812501</v>
      </c>
      <c r="H545" s="25">
        <f>IF(B545&lt;62,0,'Combined Retirement'!$I$14)</f>
        <v>2192</v>
      </c>
      <c r="I545" s="25">
        <f>IF(C545&lt;62,0,'Combined Retirement'!$I$13)</f>
        <v>2420</v>
      </c>
      <c r="J545" s="25">
        <f t="shared" si="523"/>
        <v>7863.2184191855868</v>
      </c>
      <c r="K545" s="25">
        <f t="shared" si="524"/>
        <v>20282.026119384056</v>
      </c>
      <c r="L545" s="25"/>
      <c r="N545" s="25">
        <f>'Combined Retirement'!$C$18/12</f>
        <v>39153.069999999992</v>
      </c>
      <c r="O545" s="25">
        <f t="shared" si="525"/>
        <v>11007.82546143035</v>
      </c>
      <c r="P545" s="25">
        <f t="shared" si="526"/>
        <v>28145.244538569641</v>
      </c>
      <c r="Q545" s="25">
        <f t="array" aca="1" ref="Q545" ca="1">INDEX('Isaac 401k'!L:L,MATCH('Retirement Calculator'!A545,'Isaac 401k'!N:N,0),0)</f>
        <v>158225.91004629966</v>
      </c>
      <c r="R545" s="25">
        <f t="array" aca="1" ref="R545" ca="1">INDEX('Lorri 401b'!L:L,MATCH('Retirement Calculator'!A545,'Lorri 401b'!N:N,0),0)</f>
        <v>510372.33860775764</v>
      </c>
      <c r="S545" s="25">
        <f t="shared" ca="1" si="527"/>
        <v>668598.24865405727</v>
      </c>
    </row>
    <row r="546" spans="1:19" ht="15.75" customHeight="1" x14ac:dyDescent="0.3">
      <c r="A546" s="37">
        <v>67573</v>
      </c>
      <c r="B546" s="409">
        <f t="shared" ref="B546:C546" si="552">($A546-B$9)/365.25</f>
        <v>103.12662559890487</v>
      </c>
      <c r="C546" s="409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3525.4531757812501</v>
      </c>
      <c r="H546" s="25">
        <f>IF(B546&lt;62,0,'Combined Retirement'!$I$14)</f>
        <v>2192</v>
      </c>
      <c r="I546" s="25">
        <f>IF(C546&lt;62,0,'Combined Retirement'!$I$13)</f>
        <v>2420</v>
      </c>
      <c r="J546" s="25">
        <f t="shared" si="523"/>
        <v>7863.2184191855868</v>
      </c>
      <c r="K546" s="25">
        <f t="shared" si="524"/>
        <v>20282.026119384056</v>
      </c>
      <c r="L546" s="25"/>
      <c r="N546" s="25">
        <f>'Combined Retirement'!$C$18/12</f>
        <v>39153.069999999992</v>
      </c>
      <c r="O546" s="25">
        <f t="shared" si="525"/>
        <v>11007.82546143035</v>
      </c>
      <c r="P546" s="25">
        <f t="shared" si="526"/>
        <v>28145.244538569641</v>
      </c>
      <c r="Q546" s="25">
        <f t="array" aca="1" ref="Q546" ca="1">INDEX('Isaac 401k'!L:L,MATCH('Retirement Calculator'!A546,'Isaac 401k'!N:N,0),0)</f>
        <v>150989.20284222707</v>
      </c>
      <c r="R546" s="25">
        <f t="array" aca="1" ref="R546" ca="1">INDEX('Lorri 401b'!L:L,MATCH('Retirement Calculator'!A546,'Lorri 401b'!N:N,0),0)</f>
        <v>492132.35545707517</v>
      </c>
      <c r="S546" s="25">
        <f t="shared" ca="1" si="527"/>
        <v>643121.55829930224</v>
      </c>
    </row>
    <row r="547" spans="1:19" ht="15.75" customHeight="1" x14ac:dyDescent="0.3">
      <c r="A547" s="37">
        <v>67604</v>
      </c>
      <c r="B547" s="409">
        <f t="shared" ref="B547:C547" si="553">($A547-B$9)/365.25</f>
        <v>103.21149897330595</v>
      </c>
      <c r="C547" s="409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3525.4531757812501</v>
      </c>
      <c r="H547" s="25">
        <f>IF(B547&lt;62,0,'Combined Retirement'!$I$14)</f>
        <v>2192</v>
      </c>
      <c r="I547" s="25">
        <f>IF(C547&lt;62,0,'Combined Retirement'!$I$13)</f>
        <v>2420</v>
      </c>
      <c r="J547" s="25">
        <f t="shared" si="523"/>
        <v>7863.2184191855868</v>
      </c>
      <c r="K547" s="25">
        <f t="shared" si="524"/>
        <v>20282.026119384056</v>
      </c>
      <c r="L547" s="25"/>
      <c r="N547" s="25">
        <f>'Combined Retirement'!$C$18/12</f>
        <v>39153.069999999992</v>
      </c>
      <c r="O547" s="25">
        <f t="shared" si="525"/>
        <v>11007.82546143035</v>
      </c>
      <c r="P547" s="25">
        <f t="shared" si="526"/>
        <v>28145.244538569641</v>
      </c>
      <c r="Q547" s="25">
        <f t="array" aca="1" ref="Q547" ca="1">INDEX('Isaac 401k'!L:L,MATCH('Retirement Calculator'!A547,'Isaac 401k'!N:N,0),0)</f>
        <v>143722.34269147084</v>
      </c>
      <c r="R547" s="25">
        <f t="array" aca="1" ref="R547" ca="1">INDEX('Lorri 401b'!L:L,MATCH('Retirement Calculator'!A547,'Lorri 401b'!N:N,0),0)</f>
        <v>473816.37237659818</v>
      </c>
      <c r="S547" s="25">
        <f t="shared" ca="1" si="527"/>
        <v>617538.71506806905</v>
      </c>
    </row>
    <row r="548" spans="1:19" ht="15.75" customHeight="1" x14ac:dyDescent="0.3">
      <c r="A548" s="37">
        <v>67632</v>
      </c>
      <c r="B548" s="409">
        <f t="shared" ref="B548:C548" si="554">($A548-B$9)/365.25</f>
        <v>103.28815879534565</v>
      </c>
      <c r="C548" s="409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3525.4531757812501</v>
      </c>
      <c r="H548" s="25">
        <f>IF(B548&lt;62,0,'Combined Retirement'!$I$14)</f>
        <v>2192</v>
      </c>
      <c r="I548" s="25">
        <f>IF(C548&lt;62,0,'Combined Retirement'!$I$13)</f>
        <v>2420</v>
      </c>
      <c r="J548" s="25">
        <f t="shared" si="523"/>
        <v>7863.2184191855868</v>
      </c>
      <c r="K548" s="25">
        <f t="shared" si="524"/>
        <v>20282.026119384056</v>
      </c>
      <c r="L548" s="25"/>
      <c r="N548" s="25">
        <f>'Combined Retirement'!$C$18/12</f>
        <v>39153.069999999992</v>
      </c>
      <c r="O548" s="25">
        <f t="shared" si="525"/>
        <v>11007.82546143035</v>
      </c>
      <c r="P548" s="25">
        <f t="shared" si="526"/>
        <v>28145.244538569641</v>
      </c>
      <c r="Q548" s="25">
        <f t="array" aca="1" ref="Q548" ca="1">INDEX('Isaac 401k'!L:L,MATCH('Retirement Calculator'!A548,'Isaac 401k'!N:N,0),0)</f>
        <v>136425.20395675313</v>
      </c>
      <c r="R548" s="25">
        <f t="array" aca="1" ref="R548" ca="1">INDEX('Lorri 401b'!L:L,MATCH('Retirement Calculator'!A548,'Lorri 401b'!N:N,0),0)</f>
        <v>455424.07269995252</v>
      </c>
      <c r="S548" s="25">
        <f t="shared" ca="1" si="527"/>
        <v>591849.27665670565</v>
      </c>
    </row>
    <row r="549" spans="1:19" ht="15.75" customHeight="1" x14ac:dyDescent="0.3">
      <c r="A549" s="37">
        <v>67663</v>
      </c>
      <c r="B549" s="409">
        <f t="shared" ref="B549:C549" si="555">($A549-B$9)/365.25</f>
        <v>103.37303216974675</v>
      </c>
      <c r="C549" s="409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3525.4531757812501</v>
      </c>
      <c r="H549" s="25">
        <f>IF(B549&lt;62,0,'Combined Retirement'!$I$14)</f>
        <v>2192</v>
      </c>
      <c r="I549" s="25">
        <f>IF(C549&lt;62,0,'Combined Retirement'!$I$13)</f>
        <v>2420</v>
      </c>
      <c r="J549" s="25">
        <f t="shared" si="523"/>
        <v>7863.2184191855868</v>
      </c>
      <c r="K549" s="25">
        <f t="shared" si="524"/>
        <v>20282.026119384056</v>
      </c>
      <c r="L549" s="25"/>
      <c r="N549" s="25">
        <f>'Combined Retirement'!$C$18/12</f>
        <v>39153.069999999992</v>
      </c>
      <c r="O549" s="25">
        <f t="shared" si="525"/>
        <v>11007.82546143035</v>
      </c>
      <c r="P549" s="25">
        <f t="shared" si="526"/>
        <v>28145.244538569641</v>
      </c>
      <c r="Q549" s="25">
        <f t="array" aca="1" ref="Q549" ca="1">INDEX('Isaac 401k'!L:L,MATCH('Retirement Calculator'!A549,'Isaac 401k'!N:N,0),0)</f>
        <v>129097.66047730741</v>
      </c>
      <c r="R549" s="25">
        <f t="array" aca="1" ref="R549" ca="1">INDEX('Lorri 401b'!L:L,MATCH('Retirement Calculator'!A549,'Lorri 401b'!N:N,0),0)</f>
        <v>436955.13844132086</v>
      </c>
      <c r="S549" s="25">
        <f t="shared" ca="1" si="527"/>
        <v>566052.79891862825</v>
      </c>
    </row>
    <row r="550" spans="1:19" ht="15.75" customHeight="1" x14ac:dyDescent="0.3">
      <c r="A550" s="37">
        <v>67693</v>
      </c>
      <c r="B550" s="409">
        <f t="shared" ref="B550:C550" si="556">($A550-B$9)/365.25</f>
        <v>103.45516769336071</v>
      </c>
      <c r="C550" s="409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3525.4531757812501</v>
      </c>
      <c r="H550" s="25">
        <f>IF(B550&lt;62,0,'Combined Retirement'!$I$14)</f>
        <v>2192</v>
      </c>
      <c r="I550" s="25">
        <f>IF(C550&lt;62,0,'Combined Retirement'!$I$13)</f>
        <v>2420</v>
      </c>
      <c r="J550" s="25">
        <f t="shared" si="523"/>
        <v>7863.2184191855868</v>
      </c>
      <c r="K550" s="25">
        <f t="shared" si="524"/>
        <v>20282.026119384056</v>
      </c>
      <c r="L550" s="25"/>
      <c r="N550" s="25">
        <f>'Combined Retirement'!$C$18/12</f>
        <v>39153.069999999992</v>
      </c>
      <c r="O550" s="25">
        <f t="shared" si="525"/>
        <v>11007.82546143035</v>
      </c>
      <c r="P550" s="25">
        <f t="shared" si="526"/>
        <v>28145.244538569641</v>
      </c>
      <c r="Q550" s="25">
        <f t="array" aca="1" ref="Q550" ca="1">INDEX('Isaac 401k'!L:L,MATCH('Retirement Calculator'!A550,'Isaac 401k'!N:N,0),0)</f>
        <v>121739.58556669732</v>
      </c>
      <c r="R550" s="25">
        <f t="array" aca="1" ref="R550" ca="1">INDEX('Lorri 401b'!L:L,MATCH('Retirement Calculator'!A550,'Lorri 401b'!N:N,0),0)</f>
        <v>418409.25028994487</v>
      </c>
      <c r="S550" s="25">
        <f t="shared" ca="1" si="527"/>
        <v>540148.83585664222</v>
      </c>
    </row>
    <row r="551" spans="1:19" ht="15.75" customHeight="1" x14ac:dyDescent="0.3">
      <c r="A551" s="37">
        <v>67724</v>
      </c>
      <c r="B551" s="409">
        <f t="shared" ref="B551:C551" si="557">($A551-B$9)/365.25</f>
        <v>103.54004106776181</v>
      </c>
      <c r="C551" s="409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3525.4531757812501</v>
      </c>
      <c r="H551" s="25">
        <f>IF(B551&lt;62,0,'Combined Retirement'!$I$14)</f>
        <v>2192</v>
      </c>
      <c r="I551" s="25">
        <f>IF(C551&lt;62,0,'Combined Retirement'!$I$13)</f>
        <v>2420</v>
      </c>
      <c r="J551" s="25">
        <f t="shared" si="523"/>
        <v>7863.2184191855868</v>
      </c>
      <c r="K551" s="25">
        <f t="shared" si="524"/>
        <v>20282.026119384056</v>
      </c>
      <c r="L551" s="25"/>
      <c r="N551" s="25">
        <f>'Combined Retirement'!$C$18/12</f>
        <v>39153.069999999992</v>
      </c>
      <c r="O551" s="25">
        <f t="shared" si="525"/>
        <v>11007.82546143035</v>
      </c>
      <c r="P551" s="25">
        <f t="shared" si="526"/>
        <v>28145.244538569641</v>
      </c>
      <c r="Q551" s="25">
        <f t="array" aca="1" ref="Q551" ca="1">INDEX('Isaac 401k'!L:L,MATCH('Retirement Calculator'!A551,'Isaac 401k'!N:N,0),0)</f>
        <v>114350.85201062636</v>
      </c>
      <c r="R551" s="25">
        <f t="array" aca="1" ref="R551" ca="1">INDEX('Lorri 401b'!L:L,MATCH('Retirement Calculator'!A551,'Lorri 401b'!N:N,0),0)</f>
        <v>399786.08760460484</v>
      </c>
      <c r="S551" s="25">
        <f t="shared" ca="1" si="527"/>
        <v>514136.93961523118</v>
      </c>
    </row>
    <row r="552" spans="1:19" ht="15.75" customHeight="1" x14ac:dyDescent="0.3">
      <c r="A552" s="37">
        <v>67754</v>
      </c>
      <c r="B552" s="409">
        <f t="shared" ref="B552:C552" si="558">($A552-B$9)/365.25</f>
        <v>103.62217659137578</v>
      </c>
      <c r="C552" s="409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3525.4531757812501</v>
      </c>
      <c r="H552" s="25">
        <f>IF(B552&lt;62,0,'Combined Retirement'!$I$14)</f>
        <v>2192</v>
      </c>
      <c r="I552" s="25">
        <f>IF(C552&lt;62,0,'Combined Retirement'!$I$13)</f>
        <v>2420</v>
      </c>
      <c r="J552" s="25">
        <f t="shared" si="523"/>
        <v>7863.2184191855868</v>
      </c>
      <c r="K552" s="25">
        <f t="shared" si="524"/>
        <v>20282.026119384056</v>
      </c>
      <c r="L552" s="25"/>
      <c r="N552" s="25">
        <f>'Combined Retirement'!$C$18/12</f>
        <v>39153.069999999992</v>
      </c>
      <c r="O552" s="25">
        <f t="shared" si="525"/>
        <v>11007.82546143035</v>
      </c>
      <c r="P552" s="25">
        <f t="shared" si="526"/>
        <v>28145.244538569641</v>
      </c>
      <c r="Q552" s="25">
        <f t="array" aca="1" ref="Q552" ca="1">INDEX('Isaac 401k'!L:L,MATCH('Retirement Calculator'!A552,'Isaac 401k'!N:N,0),0)</f>
        <v>106931.33206473844</v>
      </c>
      <c r="R552" s="25">
        <f t="array" aca="1" ref="R552" ca="1">INDEX('Lorri 401b'!L:L,MATCH('Retirement Calculator'!A552,'Lorri 401b'!N:N,0),0)</f>
        <v>381085.3284080759</v>
      </c>
      <c r="S552" s="25">
        <f t="shared" ca="1" si="527"/>
        <v>488016.66047281434</v>
      </c>
    </row>
    <row r="553" spans="1:19" ht="15.75" customHeight="1" x14ac:dyDescent="0.3">
      <c r="A553" s="37">
        <v>67785</v>
      </c>
      <c r="B553" s="409">
        <f t="shared" ref="B553:C553" si="559">($A553-B$9)/365.25</f>
        <v>103.70704996577686</v>
      </c>
      <c r="C553" s="409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3525.4531757812501</v>
      </c>
      <c r="H553" s="25">
        <f>IF(B553&lt;62,0,'Combined Retirement'!$I$14)</f>
        <v>2192</v>
      </c>
      <c r="I553" s="25">
        <f>IF(C553&lt;62,0,'Combined Retirement'!$I$13)</f>
        <v>2420</v>
      </c>
      <c r="J553" s="25">
        <f t="shared" si="523"/>
        <v>7863.2184191855868</v>
      </c>
      <c r="K553" s="25">
        <f t="shared" si="524"/>
        <v>20282.026119384056</v>
      </c>
      <c r="L553" s="25"/>
      <c r="N553" s="25">
        <f>'Combined Retirement'!$C$18/12</f>
        <v>39153.069999999992</v>
      </c>
      <c r="O553" s="25">
        <f t="shared" si="525"/>
        <v>11007.82546143035</v>
      </c>
      <c r="P553" s="25">
        <f t="shared" si="526"/>
        <v>28145.244538569641</v>
      </c>
      <c r="Q553" s="25">
        <f t="array" aca="1" ref="Q553" ca="1">INDEX('Isaac 401k'!L:L,MATCH('Retirement Calculator'!A553,'Isaac 401k'!N:N,0),0)</f>
        <v>99480.897452409321</v>
      </c>
      <c r="R553" s="25">
        <f t="array" aca="1" ref="R553" ca="1">INDEX('Lorri 401b'!L:L,MATCH('Retirement Calculator'!A553,'Lorri 401b'!N:N,0),0)</f>
        <v>362306.64938156144</v>
      </c>
      <c r="S553" s="25">
        <f t="shared" ca="1" si="527"/>
        <v>461787.54683397076</v>
      </c>
    </row>
    <row r="554" spans="1:19" ht="15.75" customHeight="1" x14ac:dyDescent="0.3">
      <c r="A554" s="37">
        <v>67816</v>
      </c>
      <c r="B554" s="409">
        <f t="shared" ref="B554:C554" si="560">($A554-B$9)/365.25</f>
        <v>103.79192334017796</v>
      </c>
      <c r="C554" s="409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3525.4531757812501</v>
      </c>
      <c r="H554" s="25">
        <f>IF(B554&lt;62,0,'Combined Retirement'!$I$14)</f>
        <v>2192</v>
      </c>
      <c r="I554" s="25">
        <f>IF(C554&lt;62,0,'Combined Retirement'!$I$13)</f>
        <v>2420</v>
      </c>
      <c r="J554" s="25">
        <f t="shared" si="523"/>
        <v>7863.2184191855868</v>
      </c>
      <c r="K554" s="25">
        <f t="shared" si="524"/>
        <v>20282.026119384056</v>
      </c>
      <c r="L554" s="25"/>
      <c r="N554" s="25">
        <f>'Combined Retirement'!$C$18/12</f>
        <v>39153.069999999992</v>
      </c>
      <c r="O554" s="25">
        <f t="shared" si="525"/>
        <v>11007.82546143035</v>
      </c>
      <c r="P554" s="25">
        <f t="shared" si="526"/>
        <v>28145.244538569641</v>
      </c>
      <c r="Q554" s="25">
        <f t="array" aca="1" ref="Q554" ca="1">INDEX('Isaac 401k'!L:L,MATCH('Retirement Calculator'!A554,'Isaac 401k'!N:N,0),0)</f>
        <v>91999.419362528832</v>
      </c>
      <c r="R554" s="25">
        <f t="array" aca="1" ref="R554" ca="1">INDEX('Lorri 401b'!L:L,MATCH('Retirement Calculator'!A554,'Lorri 401b'!N:N,0),0)</f>
        <v>343449.72585910314</v>
      </c>
      <c r="S554" s="25">
        <f t="shared" ca="1" si="527"/>
        <v>435449.14522163197</v>
      </c>
    </row>
    <row r="555" spans="1:19" ht="15.75" customHeight="1" x14ac:dyDescent="0.3">
      <c r="A555" s="37">
        <v>67846</v>
      </c>
      <c r="B555" s="409">
        <f t="shared" ref="B555:C555" si="561">($A555-B$9)/365.25</f>
        <v>103.87405886379193</v>
      </c>
      <c r="C555" s="409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3525.4531757812501</v>
      </c>
      <c r="H555" s="25">
        <f>IF(B555&lt;62,0,'Combined Retirement'!$I$14)</f>
        <v>2192</v>
      </c>
      <c r="I555" s="25">
        <f>IF(C555&lt;62,0,'Combined Retirement'!$I$13)</f>
        <v>2420</v>
      </c>
      <c r="J555" s="25">
        <f t="shared" si="523"/>
        <v>7863.2184191855868</v>
      </c>
      <c r="K555" s="25">
        <f t="shared" si="524"/>
        <v>20282.026119384056</v>
      </c>
      <c r="L555" s="25"/>
      <c r="N555" s="25">
        <f>'Combined Retirement'!$C$18/12</f>
        <v>39153.069999999992</v>
      </c>
      <c r="O555" s="25">
        <f t="shared" si="525"/>
        <v>11007.82546143035</v>
      </c>
      <c r="P555" s="25">
        <f t="shared" si="526"/>
        <v>28145.244538569641</v>
      </c>
      <c r="Q555" s="25">
        <f t="array" aca="1" ref="Q555" ca="1">INDEX('Isaac 401k'!L:L,MATCH('Retirement Calculator'!A555,'Isaac 401k'!N:N,0),0)</f>
        <v>84486.768447273833</v>
      </c>
      <c r="R555" s="25">
        <f t="array" aca="1" ref="R555" ca="1">INDEX('Lorri 401b'!L:L,MATCH('Retirement Calculator'!A555,'Lorri 401b'!N:N,0),0)</f>
        <v>324514.23182196793</v>
      </c>
      <c r="S555" s="25">
        <f t="shared" ca="1" si="527"/>
        <v>409001.00026924175</v>
      </c>
    </row>
    <row r="556" spans="1:19" ht="15.75" customHeight="1" x14ac:dyDescent="0.3">
      <c r="A556" s="37">
        <v>67877</v>
      </c>
      <c r="B556" s="409">
        <f t="shared" ref="B556:C556" si="562">($A556-B$9)/365.25</f>
        <v>103.95893223819301</v>
      </c>
      <c r="C556" s="409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3525.4531757812501</v>
      </c>
      <c r="H556" s="25">
        <f>IF(B556&lt;62,0,'Combined Retirement'!$I$14)</f>
        <v>2192</v>
      </c>
      <c r="I556" s="25">
        <f>IF(C556&lt;62,0,'Combined Retirement'!$I$13)</f>
        <v>2420</v>
      </c>
      <c r="J556" s="25">
        <f t="shared" si="523"/>
        <v>7863.2184191855868</v>
      </c>
      <c r="K556" s="25">
        <f t="shared" si="524"/>
        <v>20282.026119384056</v>
      </c>
      <c r="L556" s="25"/>
      <c r="N556" s="25">
        <f>'Combined Retirement'!$C$18/12</f>
        <v>39153.069999999992</v>
      </c>
      <c r="O556" s="25">
        <f t="shared" si="525"/>
        <v>11007.82546143035</v>
      </c>
      <c r="P556" s="25">
        <f t="shared" si="526"/>
        <v>28145.244538569641</v>
      </c>
      <c r="Q556" s="25">
        <f t="array" aca="1" ref="Q556" ca="1">INDEX('Isaac 401k'!L:L,MATCH('Retirement Calculator'!A556,'Isaac 401k'!N:N,0),0)</f>
        <v>76942.814819871943</v>
      </c>
      <c r="R556" s="25">
        <f t="array" aca="1" ref="R556" ca="1">INDEX('Lorri 401b'!L:L,MATCH('Retirement Calculator'!A556,'Lorri 401b'!N:N,0),0)</f>
        <v>305499.83989301132</v>
      </c>
      <c r="S556" s="25">
        <f t="shared" ca="1" si="527"/>
        <v>382442.65471288329</v>
      </c>
    </row>
    <row r="557" spans="1:19" ht="15.75" customHeight="1" x14ac:dyDescent="0.3">
      <c r="A557" s="37">
        <v>67907</v>
      </c>
      <c r="B557" s="409">
        <f t="shared" ref="B557:C557" si="563">($A557-B$9)/365.25</f>
        <v>104.04106776180699</v>
      </c>
      <c r="C557" s="409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3525.4531757812501</v>
      </c>
      <c r="H557" s="25">
        <f>IF(B557&lt;62,0,'Combined Retirement'!$I$14)</f>
        <v>2192</v>
      </c>
      <c r="I557" s="25">
        <f>IF(C557&lt;62,0,'Combined Retirement'!$I$13)</f>
        <v>2420</v>
      </c>
      <c r="J557" s="25">
        <f t="shared" si="523"/>
        <v>7863.2184191855868</v>
      </c>
      <c r="K557" s="25">
        <f t="shared" si="524"/>
        <v>20282.026119384056</v>
      </c>
      <c r="L557" s="25"/>
      <c r="N557" s="25">
        <f>'Combined Retirement'!$C$18/12</f>
        <v>39153.069999999992</v>
      </c>
      <c r="O557" s="25">
        <f t="shared" si="525"/>
        <v>11007.82546143035</v>
      </c>
      <c r="P557" s="25">
        <f t="shared" si="526"/>
        <v>28145.244538569641</v>
      </c>
      <c r="Q557" s="25">
        <f t="array" aca="1" ref="Q557" ca="1">INDEX('Isaac 401k'!L:L,MATCH('Retirement Calculator'!A557,'Isaac 401k'!N:N,0),0)</f>
        <v>69367.42805235587</v>
      </c>
      <c r="R557" s="25">
        <f t="array" aca="1" ref="R557" ca="1">INDEX('Lorri 401b'!L:L,MATCH('Retirement Calculator'!A557,'Lorri 401b'!N:N,0),0)</f>
        <v>286406.22133101738</v>
      </c>
      <c r="S557" s="25">
        <f t="shared" ca="1" si="527"/>
        <v>355773.64938337327</v>
      </c>
    </row>
    <row r="558" spans="1:19" ht="15.75" customHeight="1" x14ac:dyDescent="0.3">
      <c r="A558" s="37">
        <v>67938</v>
      </c>
      <c r="B558" s="409">
        <f t="shared" ref="B558:C558" si="564">($A558-B$9)/365.25</f>
        <v>104.12594113620807</v>
      </c>
      <c r="C558" s="409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3525.4531757812501</v>
      </c>
      <c r="H558" s="25">
        <f>IF(B558&lt;62,0,'Combined Retirement'!$I$14)</f>
        <v>2192</v>
      </c>
      <c r="I558" s="25">
        <f>IF(C558&lt;62,0,'Combined Retirement'!$I$13)</f>
        <v>2420</v>
      </c>
      <c r="J558" s="25">
        <f t="shared" si="523"/>
        <v>7863.2184191855868</v>
      </c>
      <c r="K558" s="25">
        <f t="shared" si="524"/>
        <v>20282.026119384056</v>
      </c>
      <c r="L558" s="25"/>
      <c r="N558" s="25">
        <f>'Combined Retirement'!$C$18/12</f>
        <v>39153.069999999992</v>
      </c>
      <c r="O558" s="25">
        <f t="shared" si="525"/>
        <v>11007.82546143035</v>
      </c>
      <c r="P558" s="25">
        <f t="shared" si="526"/>
        <v>28145.244538569641</v>
      </c>
      <c r="Q558" s="25">
        <f t="array" aca="1" ref="Q558" ca="1">INDEX('Isaac 401k'!L:L,MATCH('Retirement Calculator'!A558,'Isaac 401k'!N:N,0),0)</f>
        <v>61760.477173308493</v>
      </c>
      <c r="R558" s="25">
        <f t="array" aca="1" ref="R558" ca="1">INDEX('Lorri 401b'!L:L,MATCH('Retirement Calculator'!A558,'Lorri 401b'!N:N,0),0)</f>
        <v>267233.04602501512</v>
      </c>
      <c r="S558" s="25">
        <f t="shared" ca="1" si="527"/>
        <v>328993.52319832362</v>
      </c>
    </row>
    <row r="559" spans="1:19" ht="15.75" customHeight="1" x14ac:dyDescent="0.3">
      <c r="A559" s="37">
        <v>67969</v>
      </c>
      <c r="B559" s="409">
        <f t="shared" ref="B559:C559" si="565">($A559-B$9)/365.25</f>
        <v>104.21081451060917</v>
      </c>
      <c r="C559" s="409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3525.4531757812501</v>
      </c>
      <c r="H559" s="25">
        <f>IF(B559&lt;62,0,'Combined Retirement'!$I$14)</f>
        <v>2192</v>
      </c>
      <c r="I559" s="25">
        <f>IF(C559&lt;62,0,'Combined Retirement'!$I$13)</f>
        <v>2420</v>
      </c>
      <c r="J559" s="25">
        <f t="shared" si="523"/>
        <v>7863.2184191855868</v>
      </c>
      <c r="K559" s="25">
        <f t="shared" si="524"/>
        <v>20282.026119384056</v>
      </c>
      <c r="L559" s="25"/>
      <c r="N559" s="25">
        <f>'Combined Retirement'!$C$18/12</f>
        <v>39153.069999999992</v>
      </c>
      <c r="O559" s="25">
        <f t="shared" si="525"/>
        <v>11007.82546143035</v>
      </c>
      <c r="P559" s="25">
        <f t="shared" si="526"/>
        <v>28145.244538569641</v>
      </c>
      <c r="Q559" s="25">
        <f t="array" aca="1" ref="Q559" ca="1">INDEX('Isaac 401k'!L:L,MATCH('Retirement Calculator'!A559,'Isaac 401k'!N:N,0),0)</f>
        <v>54121.83066559842</v>
      </c>
      <c r="R559" s="25">
        <f t="array" aca="1" ref="R559" ca="1">INDEX('Lorri 401b'!L:L,MATCH('Retirement Calculator'!A559,'Lorri 401b'!N:N,0),0)</f>
        <v>247979.9824885712</v>
      </c>
      <c r="S559" s="25">
        <f t="shared" ca="1" si="527"/>
        <v>302101.81315416959</v>
      </c>
    </row>
    <row r="560" spans="1:19" ht="15.75" customHeight="1" x14ac:dyDescent="0.3">
      <c r="A560" s="37">
        <v>67997</v>
      </c>
      <c r="B560" s="409">
        <f t="shared" ref="B560:C560" si="566">($A560-B$9)/365.25</f>
        <v>104.28747433264887</v>
      </c>
      <c r="C560" s="409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3525.4531757812501</v>
      </c>
      <c r="H560" s="25">
        <f>IF(B560&lt;62,0,'Combined Retirement'!$I$14)</f>
        <v>2192</v>
      </c>
      <c r="I560" s="25">
        <f>IF(C560&lt;62,0,'Combined Retirement'!$I$13)</f>
        <v>2420</v>
      </c>
      <c r="J560" s="25">
        <f t="shared" si="523"/>
        <v>7863.2184191855868</v>
      </c>
      <c r="K560" s="25">
        <f t="shared" si="524"/>
        <v>20282.026119384056</v>
      </c>
      <c r="L560" s="25"/>
      <c r="N560" s="25">
        <f>'Combined Retirement'!$C$18/12</f>
        <v>39153.069999999992</v>
      </c>
      <c r="O560" s="25">
        <f t="shared" si="525"/>
        <v>11007.82546143035</v>
      </c>
      <c r="P560" s="25">
        <f t="shared" si="526"/>
        <v>28145.244538569641</v>
      </c>
      <c r="Q560" s="25">
        <f t="array" aca="1" ref="Q560" ca="1">INDEX('Isaac 401k'!L:L,MATCH('Retirement Calculator'!A560,'Isaac 401k'!N:N,0),0)</f>
        <v>46451.356464106218</v>
      </c>
      <c r="R560" s="25">
        <f t="array" aca="1" ref="R560" ca="1">INDEX('Lorri 401b'!L:L,MATCH('Retirement Calculator'!A560,'Lorri 401b'!N:N,0),0)</f>
        <v>228646.69785405876</v>
      </c>
      <c r="S560" s="25">
        <f t="shared" ca="1" si="527"/>
        <v>275098.054318165</v>
      </c>
    </row>
    <row r="561" spans="1:19" ht="15.75" customHeight="1" x14ac:dyDescent="0.3">
      <c r="A561" s="37">
        <v>68028</v>
      </c>
      <c r="B561" s="409">
        <f t="shared" ref="B561:C561" si="567">($A561-B$9)/365.25</f>
        <v>104.37234770704997</v>
      </c>
      <c r="C561" s="409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3525.4531757812501</v>
      </c>
      <c r="H561" s="25">
        <f>IF(B561&lt;62,0,'Combined Retirement'!$I$14)</f>
        <v>2192</v>
      </c>
      <c r="I561" s="25">
        <f>IF(C561&lt;62,0,'Combined Retirement'!$I$13)</f>
        <v>2420</v>
      </c>
      <c r="J561" s="25">
        <f t="shared" si="523"/>
        <v>7863.2184191855868</v>
      </c>
      <c r="K561" s="25">
        <f t="shared" si="524"/>
        <v>20282.026119384056</v>
      </c>
      <c r="L561" s="25"/>
      <c r="N561" s="25">
        <f>'Combined Retirement'!$C$18/12</f>
        <v>39153.069999999992</v>
      </c>
      <c r="O561" s="25">
        <f t="shared" si="525"/>
        <v>11007.82546143035</v>
      </c>
      <c r="P561" s="25">
        <f t="shared" si="526"/>
        <v>28145.244538569641</v>
      </c>
      <c r="Q561" s="25">
        <f t="array" aca="1" ref="Q561" ca="1">INDEX('Isaac 401k'!L:L,MATCH('Retirement Calculator'!A561,'Isaac 401k'!N:N,0),0)</f>
        <v>38748.921953441139</v>
      </c>
      <c r="R561" s="25">
        <f t="array" aca="1" ref="R561" ca="1">INDEX('Lorri 401b'!L:L,MATCH('Retirement Calculator'!A561,'Lorri 401b'!N:N,0),0)</f>
        <v>209232.85786690252</v>
      </c>
      <c r="S561" s="25">
        <f t="shared" ca="1" si="527"/>
        <v>247981.77982034365</v>
      </c>
    </row>
    <row r="562" spans="1:19" ht="15.75" customHeight="1" x14ac:dyDescent="0.3">
      <c r="A562" s="37">
        <v>68058</v>
      </c>
      <c r="B562" s="409">
        <f t="shared" ref="B562:C562" si="568">($A562-B$9)/365.25</f>
        <v>104.45448323066393</v>
      </c>
      <c r="C562" s="409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3525.4531757812501</v>
      </c>
      <c r="H562" s="25">
        <f>IF(B562&lt;62,0,'Combined Retirement'!$I$14)</f>
        <v>2192</v>
      </c>
      <c r="I562" s="25">
        <f>IF(C562&lt;62,0,'Combined Retirement'!$I$13)</f>
        <v>2420</v>
      </c>
      <c r="J562" s="25">
        <f t="shared" si="523"/>
        <v>7863.2184191855868</v>
      </c>
      <c r="K562" s="25">
        <f t="shared" si="524"/>
        <v>20282.026119384056</v>
      </c>
      <c r="L562" s="25"/>
      <c r="N562" s="25">
        <f>'Combined Retirement'!$C$18/12</f>
        <v>39153.069999999992</v>
      </c>
      <c r="O562" s="25">
        <f t="shared" si="525"/>
        <v>11007.82546143035</v>
      </c>
      <c r="P562" s="25">
        <f t="shared" si="526"/>
        <v>28145.244538569641</v>
      </c>
      <c r="Q562" s="25">
        <f t="array" aca="1" ref="Q562" ca="1">INDEX('Isaac 401k'!L:L,MATCH('Retirement Calculator'!A562,'Isaac 401k'!N:N,0),0)</f>
        <v>31014.393965648283</v>
      </c>
      <c r="R562" s="25">
        <f t="array" aca="1" ref="R562" ca="1">INDEX('Lorri 401b'!L:L,MATCH('Retirement Calculator'!A562,'Lorri 401b'!N:N,0),0)</f>
        <v>189738.12687979976</v>
      </c>
      <c r="S562" s="25">
        <f t="shared" ca="1" si="527"/>
        <v>220752.52084544805</v>
      </c>
    </row>
    <row r="563" spans="1:19" ht="15.75" customHeight="1" x14ac:dyDescent="0.3">
      <c r="A563" s="37">
        <v>68089</v>
      </c>
      <c r="B563" s="409">
        <f t="shared" ref="B563:C563" si="569">($A563-B$9)/365.25</f>
        <v>104.53935660506502</v>
      </c>
      <c r="C563" s="409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3525.4531757812501</v>
      </c>
      <c r="H563" s="25">
        <f>IF(B563&lt;62,0,'Combined Retirement'!$I$14)</f>
        <v>2192</v>
      </c>
      <c r="I563" s="25">
        <f>IF(C563&lt;62,0,'Combined Retirement'!$I$13)</f>
        <v>2420</v>
      </c>
      <c r="J563" s="25">
        <f t="shared" si="523"/>
        <v>7863.2184191855868</v>
      </c>
      <c r="K563" s="25">
        <f t="shared" si="524"/>
        <v>20282.026119384056</v>
      </c>
      <c r="L563" s="25"/>
      <c r="N563" s="25">
        <f>'Combined Retirement'!$C$18/12</f>
        <v>39153.069999999992</v>
      </c>
      <c r="O563" s="25">
        <f t="shared" si="525"/>
        <v>11007.82546143035</v>
      </c>
      <c r="P563" s="25">
        <f t="shared" si="526"/>
        <v>28145.244538569641</v>
      </c>
      <c r="Q563" s="25">
        <f t="array" aca="1" ref="Q563" ca="1">INDEX('Isaac 401k'!L:L,MATCH('Retirement Calculator'!A563,'Isaac 401k'!N:N,0),0)</f>
        <v>23247.638777906293</v>
      </c>
      <c r="R563" s="25">
        <f t="array" aca="1" ref="R563" ca="1">INDEX('Lorri 401b'!L:L,MATCH('Retirement Calculator'!A563,'Lorri 401b'!N:N,0),0)</f>
        <v>170162.16784691747</v>
      </c>
      <c r="S563" s="25">
        <f t="shared" ca="1" si="527"/>
        <v>193409.80662482377</v>
      </c>
    </row>
    <row r="564" spans="1:19" ht="15.75" customHeight="1" x14ac:dyDescent="0.3">
      <c r="A564" s="37">
        <v>68119</v>
      </c>
      <c r="B564" s="409">
        <f t="shared" ref="B564:C564" si="570">($A564-B$9)/365.25</f>
        <v>104.62149212867898</v>
      </c>
      <c r="C564" s="409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3525.4531757812501</v>
      </c>
      <c r="H564" s="25">
        <f>IF(B564&lt;62,0,'Combined Retirement'!$I$14)</f>
        <v>2192</v>
      </c>
      <c r="I564" s="25">
        <f>IF(C564&lt;62,0,'Combined Retirement'!$I$13)</f>
        <v>2420</v>
      </c>
      <c r="J564" s="25">
        <f t="shared" si="523"/>
        <v>7863.2184191855868</v>
      </c>
      <c r="K564" s="25">
        <f t="shared" si="524"/>
        <v>20282.026119384056</v>
      </c>
      <c r="L564" s="25"/>
      <c r="N564" s="25">
        <f>'Combined Retirement'!$C$18/12</f>
        <v>39153.069999999992</v>
      </c>
      <c r="O564" s="25">
        <f t="shared" si="525"/>
        <v>11007.82546143035</v>
      </c>
      <c r="P564" s="25">
        <f t="shared" si="526"/>
        <v>28145.244538569641</v>
      </c>
      <c r="Q564" s="25">
        <f t="array" aca="1" ref="Q564" ca="1">INDEX('Isaac 401k'!L:L,MATCH('Retirement Calculator'!A564,'Isaac 401k'!N:N,0),0)</f>
        <v>15448.522110215376</v>
      </c>
      <c r="R564" s="25">
        <f t="array" aca="1" ref="R564" ca="1">INDEX('Lorri 401b'!L:L,MATCH('Retirement Calculator'!A564,'Lorri 401b'!N:N,0),0)</f>
        <v>150504.64231806481</v>
      </c>
      <c r="S564" s="25">
        <f t="shared" ca="1" si="527"/>
        <v>165953.1644282802</v>
      </c>
    </row>
    <row r="565" spans="1:19" ht="15.75" customHeight="1" x14ac:dyDescent="0.3">
      <c r="A565" s="37">
        <v>68150</v>
      </c>
      <c r="B565" s="409">
        <f t="shared" ref="B565:C565" si="571">($A565-B$9)/365.25</f>
        <v>104.70636550308008</v>
      </c>
      <c r="C565" s="409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3525.4531757812501</v>
      </c>
      <c r="H565" s="25">
        <f>IF(B565&lt;62,0,'Combined Retirement'!$I$14)</f>
        <v>2192</v>
      </c>
      <c r="I565" s="25">
        <f>IF(C565&lt;62,0,'Combined Retirement'!$I$13)</f>
        <v>2420</v>
      </c>
      <c r="J565" s="25">
        <f t="shared" si="523"/>
        <v>7863.2184191855868</v>
      </c>
      <c r="K565" s="25">
        <f t="shared" si="524"/>
        <v>20282.026119384056</v>
      </c>
      <c r="L565" s="25"/>
      <c r="N565" s="25">
        <f>'Combined Retirement'!$C$18/12</f>
        <v>39153.069999999992</v>
      </c>
      <c r="O565" s="25">
        <f t="shared" si="525"/>
        <v>11007.82546143035</v>
      </c>
      <c r="P565" s="25">
        <f t="shared" si="526"/>
        <v>28145.244538569641</v>
      </c>
      <c r="Q565" s="25">
        <f t="array" aca="1" ref="Q565" ca="1">INDEX('Isaac 401k'!L:L,MATCH('Retirement Calculator'!A565,'Isaac 401k'!N:N,0),0)</f>
        <v>7616.9091230757458</v>
      </c>
      <c r="R565" s="25">
        <f t="array" aca="1" ref="R565" ca="1">INDEX('Lorri 401b'!L:L,MATCH('Retirement Calculator'!A565,'Lorri 401b'!N:N,0),0)</f>
        <v>130765.21043284192</v>
      </c>
      <c r="S565" s="25">
        <f t="shared" ca="1" si="527"/>
        <v>138382.11955591766</v>
      </c>
    </row>
    <row r="566" spans="1:19" ht="15.75" customHeight="1" x14ac:dyDescent="0.3">
      <c r="A566" s="37">
        <v>68181</v>
      </c>
      <c r="B566" s="409">
        <f t="shared" ref="B566:C566" si="572">($A566-B$9)/365.25</f>
        <v>104.79123887748118</v>
      </c>
      <c r="C566" s="409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3525.4531757812501</v>
      </c>
      <c r="H566" s="25">
        <f>IF(B566&lt;62,0,'Combined Retirement'!$I$14)</f>
        <v>2192</v>
      </c>
      <c r="I566" s="25">
        <f>IF(C566&lt;62,0,'Combined Retirement'!$I$13)</f>
        <v>2420</v>
      </c>
      <c r="J566" s="25">
        <f t="shared" si="523"/>
        <v>7863.2184191855868</v>
      </c>
      <c r="K566" s="25">
        <f t="shared" si="524"/>
        <v>20282.026119384056</v>
      </c>
      <c r="L566" s="25"/>
      <c r="N566" s="25">
        <f>'Combined Retirement'!$C$18/12</f>
        <v>39153.069999999992</v>
      </c>
      <c r="O566" s="25">
        <f t="shared" si="525"/>
        <v>11007.82546143035</v>
      </c>
      <c r="P566" s="25">
        <f t="shared" si="526"/>
        <v>28145.244538569641</v>
      </c>
      <c r="Q566" s="25">
        <f t="array" aca="1" ref="Q566" ca="1">INDEX('Isaac 401k'!L:L,MATCH('Retirement Calculator'!A566,'Isaac 401k'!N:N,0),0)</f>
        <v>-247.33558484363195</v>
      </c>
      <c r="R566" s="25">
        <f t="array" aca="1" ref="R566" ca="1">INDEX('Lorri 401b'!L:L,MATCH('Retirement Calculator'!A566,'Lorri 401b'!N:N,0),0)</f>
        <v>110943.53091476393</v>
      </c>
      <c r="S566" s="25">
        <f t="shared" ca="1" si="527"/>
        <v>110696.1953299203</v>
      </c>
    </row>
    <row r="567" spans="1:19" ht="15.75" customHeight="1" x14ac:dyDescent="0.3">
      <c r="A567" s="37">
        <v>68211</v>
      </c>
      <c r="B567" s="409">
        <f t="shared" ref="B567:C567" si="573">($A567-B$9)/365.25</f>
        <v>104.87337440109513</v>
      </c>
      <c r="C567" s="409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3525.4531757812501</v>
      </c>
      <c r="H567" s="25">
        <f>IF(B567&lt;62,0,'Combined Retirement'!$I$14)</f>
        <v>2192</v>
      </c>
      <c r="I567" s="25">
        <f>IF(C567&lt;62,0,'Combined Retirement'!$I$13)</f>
        <v>2420</v>
      </c>
      <c r="J567" s="25">
        <f t="shared" si="523"/>
        <v>7863.2184191855868</v>
      </c>
      <c r="K567" s="25">
        <f t="shared" si="524"/>
        <v>20282.026119384056</v>
      </c>
      <c r="L567" s="25"/>
      <c r="N567" s="25">
        <f>'Combined Retirement'!$C$18/12</f>
        <v>39153.069999999992</v>
      </c>
      <c r="O567" s="25">
        <f t="shared" si="525"/>
        <v>11007.82546143035</v>
      </c>
      <c r="P567" s="25">
        <f t="shared" si="526"/>
        <v>28145.244538569641</v>
      </c>
      <c r="Q567" s="25">
        <f t="array" aca="1" ref="Q567" ca="1">INDEX('Isaac 401k'!L:L,MATCH('Retirement Calculator'!A567,'Isaac 401k'!N:N,0),0)</f>
        <v>-8144.3479790460078</v>
      </c>
      <c r="R567" s="25">
        <f t="array" aca="1" ref="R567" ca="1">INDEX('Lorri 401b'!L:L,MATCH('Retirement Calculator'!A567,'Lorri 401b'!N:N,0),0)</f>
        <v>91039.261065360624</v>
      </c>
      <c r="S567" s="25">
        <f t="shared" ca="1" si="527"/>
        <v>82894.913086314613</v>
      </c>
    </row>
    <row r="568" spans="1:19" ht="15.75" customHeight="1" x14ac:dyDescent="0.3">
      <c r="A568" s="37">
        <v>68242</v>
      </c>
      <c r="B568" s="409">
        <f t="shared" ref="B568:C568" si="574">($A568-B$9)/365.25</f>
        <v>104.95824777549623</v>
      </c>
      <c r="C568" s="409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3525.4531757812501</v>
      </c>
      <c r="H568" s="25">
        <f>IF(B568&lt;62,0,'Combined Retirement'!$I$14)</f>
        <v>2192</v>
      </c>
      <c r="I568" s="25">
        <f>IF(C568&lt;62,0,'Combined Retirement'!$I$13)</f>
        <v>2420</v>
      </c>
      <c r="J568" s="25">
        <f t="shared" si="523"/>
        <v>7863.2184191855868</v>
      </c>
      <c r="K568" s="25">
        <f t="shared" si="524"/>
        <v>20282.026119384056</v>
      </c>
      <c r="L568" s="25"/>
      <c r="N568" s="25">
        <f>'Combined Retirement'!$C$18/12</f>
        <v>39153.069999999992</v>
      </c>
      <c r="O568" s="25">
        <f t="shared" si="525"/>
        <v>11007.82546143035</v>
      </c>
      <c r="P568" s="25">
        <f t="shared" si="526"/>
        <v>28145.244538569641</v>
      </c>
      <c r="Q568" s="25">
        <f t="array" aca="1" ref="Q568" ca="1">INDEX('Isaac 401k'!L:L,MATCH('Retirement Calculator'!A568,'Isaac 401k'!N:N,0),0)</f>
        <v>-16074.264591557559</v>
      </c>
      <c r="R568" s="25">
        <f t="array" aca="1" ref="R568" ca="1">INDEX('Lorri 401b'!L:L,MATCH('Retirement Calculator'!A568,'Lorri 401b'!N:N,0),0)</f>
        <v>71052.056758251478</v>
      </c>
      <c r="S568" s="25">
        <f t="shared" ca="1" si="527"/>
        <v>54977.792166693922</v>
      </c>
    </row>
    <row r="569" spans="1:19" ht="15.75" customHeight="1" x14ac:dyDescent="0.3">
      <c r="A569" s="37">
        <v>68272</v>
      </c>
      <c r="B569" s="409">
        <f t="shared" ref="B569:C569" si="575">($A569-B$9)/365.25</f>
        <v>105.0403832991102</v>
      </c>
      <c r="C569" s="409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3525.4531757812501</v>
      </c>
      <c r="H569" s="25">
        <f>IF(B569&lt;62,0,'Combined Retirement'!$I$14)</f>
        <v>2192</v>
      </c>
      <c r="I569" s="25">
        <f>IF(C569&lt;62,0,'Combined Retirement'!$I$13)</f>
        <v>2420</v>
      </c>
      <c r="J569" s="25">
        <f t="shared" si="523"/>
        <v>7863.2184191855868</v>
      </c>
      <c r="K569" s="25">
        <f t="shared" si="524"/>
        <v>20282.026119384056</v>
      </c>
      <c r="L569" s="25"/>
      <c r="N569" s="25">
        <f>'Combined Retirement'!$C$18/12</f>
        <v>39153.069999999992</v>
      </c>
      <c r="O569" s="25">
        <f t="shared" si="525"/>
        <v>11007.82546143035</v>
      </c>
      <c r="P569" s="25">
        <f t="shared" si="526"/>
        <v>28145.244538569641</v>
      </c>
      <c r="Q569" s="25">
        <f t="array" aca="1" ref="Q569" ca="1">INDEX('Isaac 401k'!L:L,MATCH('Retirement Calculator'!A569,'Isaac 401k'!N:N,0),0)</f>
        <v>-24037.22252328791</v>
      </c>
      <c r="R569" s="25">
        <f t="array" aca="1" ref="R569" ca="1">INDEX('Lorri 401b'!L:L,MATCH('Retirement Calculator'!A569,'Lorri 401b'!N:N,0),0)</f>
        <v>50981.572433196037</v>
      </c>
      <c r="S569" s="25">
        <f t="shared" ca="1" si="527"/>
        <v>26944.349909908127</v>
      </c>
    </row>
    <row r="570" spans="1:19" ht="15.75" customHeight="1" x14ac:dyDescent="0.3">
      <c r="A570" s="37">
        <v>68303</v>
      </c>
      <c r="B570" s="409">
        <f t="shared" ref="B570:C570" si="576">($A570-B$9)/365.25</f>
        <v>105.12525667351129</v>
      </c>
      <c r="C570" s="409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3525.4531757812501</v>
      </c>
      <c r="H570" s="25">
        <f>IF(B570&lt;62,0,'Combined Retirement'!$I$14)</f>
        <v>2192</v>
      </c>
      <c r="I570" s="25">
        <f>IF(C570&lt;62,0,'Combined Retirement'!$I$13)</f>
        <v>2420</v>
      </c>
      <c r="J570" s="25">
        <f t="shared" si="523"/>
        <v>7863.2184191855868</v>
      </c>
      <c r="K570" s="25">
        <f t="shared" si="524"/>
        <v>20282.026119384056</v>
      </c>
      <c r="L570" s="25"/>
      <c r="N570" s="25">
        <f>'Combined Retirement'!$C$18/12</f>
        <v>39153.069999999992</v>
      </c>
      <c r="O570" s="25">
        <f t="shared" si="525"/>
        <v>11007.82546143035</v>
      </c>
      <c r="P570" s="25">
        <f t="shared" si="526"/>
        <v>28145.244538569641</v>
      </c>
      <c r="Q570" s="25">
        <f t="array" aca="1" ref="Q570" ca="1">INDEX('Isaac 401k'!L:L,MATCH('Retirement Calculator'!A570,'Isaac 401k'!N:N,0),0)</f>
        <v>-32033.359446400471</v>
      </c>
      <c r="R570" s="25">
        <f t="array" aca="1" ref="R570" ca="1">INDEX('Lorri 401b'!L:L,MATCH('Retirement Calculator'!A570,'Lorri 401b'!N:N,0),0)</f>
        <v>30827.46109011953</v>
      </c>
      <c r="S570" s="25">
        <f t="shared" ca="1" si="527"/>
        <v>-1205.8983562809408</v>
      </c>
    </row>
    <row r="571" spans="1:19" ht="15.75" customHeight="1" x14ac:dyDescent="0.3">
      <c r="A571" s="37">
        <v>68334</v>
      </c>
      <c r="B571" s="409">
        <f t="shared" ref="B571:C571" si="577">($A571-B$9)/365.25</f>
        <v>105.21013004791239</v>
      </c>
      <c r="C571" s="409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3525.4531757812501</v>
      </c>
      <c r="H571" s="25">
        <f>IF(B571&lt;62,0,'Combined Retirement'!$I$14)</f>
        <v>2192</v>
      </c>
      <c r="I571" s="25">
        <f>IF(C571&lt;62,0,'Combined Retirement'!$I$13)</f>
        <v>2420</v>
      </c>
      <c r="J571" s="25">
        <f t="shared" si="523"/>
        <v>7863.2184191855868</v>
      </c>
      <c r="K571" s="25">
        <f t="shared" si="524"/>
        <v>20282.026119384056</v>
      </c>
      <c r="L571" s="25"/>
      <c r="N571" s="25">
        <f>'Combined Retirement'!$C$18/12</f>
        <v>39153.069999999992</v>
      </c>
      <c r="O571" s="25">
        <f t="shared" si="525"/>
        <v>11007.82546143035</v>
      </c>
      <c r="P571" s="25">
        <f t="shared" si="526"/>
        <v>28145.244538569641</v>
      </c>
      <c r="Q571" s="25">
        <f t="array" aca="1" ref="Q571" ca="1">INDEX('Isaac 401k'!L:L,MATCH('Retirement Calculator'!A571,'Isaac 401k'!N:N,0),0)</f>
        <v>-40062.813606692667</v>
      </c>
      <c r="R571" s="25">
        <f t="array" aca="1" ref="R571" ca="1">INDEX('Lorri 401b'!L:L,MATCH('Retirement Calculator'!A571,'Lorri 401b'!N:N,0),0)</f>
        <v>10589.374283113539</v>
      </c>
      <c r="S571" s="25">
        <f t="shared" ca="1" si="527"/>
        <v>-29473.439323579129</v>
      </c>
    </row>
    <row r="572" spans="1:19" ht="15.75" customHeight="1" x14ac:dyDescent="0.3">
      <c r="A572" s="37">
        <v>68362</v>
      </c>
      <c r="B572" s="409">
        <f t="shared" ref="B572:C572" si="578">($A572-B$9)/365.25</f>
        <v>105.28678986995209</v>
      </c>
      <c r="C572" s="409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3525.4531757812501</v>
      </c>
      <c r="H572" s="25">
        <f>IF(B572&lt;62,0,'Combined Retirement'!$I$14)</f>
        <v>2192</v>
      </c>
      <c r="I572" s="25">
        <f>IF(C572&lt;62,0,'Combined Retirement'!$I$13)</f>
        <v>2420</v>
      </c>
      <c r="J572" s="25">
        <f t="shared" si="523"/>
        <v>7863.2184191855868</v>
      </c>
      <c r="K572" s="25">
        <f t="shared" si="524"/>
        <v>20282.026119384056</v>
      </c>
      <c r="L572" s="25"/>
      <c r="N572" s="25">
        <f>'Combined Retirement'!$C$18/12</f>
        <v>39153.069999999992</v>
      </c>
      <c r="O572" s="25">
        <f t="shared" si="525"/>
        <v>11007.82546143035</v>
      </c>
      <c r="P572" s="25">
        <f t="shared" si="526"/>
        <v>28145.244538569641</v>
      </c>
      <c r="Q572" s="25">
        <f t="array" aca="1" ref="Q572" ca="1">INDEX('Isaac 401k'!L:L,MATCH('Retirement Calculator'!A572,'Isaac 401k'!N:N,0),0)</f>
        <v>-48125.723825986075</v>
      </c>
      <c r="R572" s="25">
        <f t="array" aca="1" ref="R572" ca="1">INDEX('Lorri 401b'!L:L,MATCH('Retirement Calculator'!A572,'Lorri 401b'!N:N,0),0)</f>
        <v>-9733.0378855883118</v>
      </c>
      <c r="S572" s="25">
        <f t="shared" ca="1" si="527"/>
        <v>-57858.761711574385</v>
      </c>
    </row>
    <row r="573" spans="1:19" ht="15.75" customHeight="1" x14ac:dyDescent="0.3">
      <c r="A573" s="37">
        <v>68393</v>
      </c>
      <c r="B573" s="409">
        <f t="shared" ref="B573:C573" si="579">($A573-B$9)/365.25</f>
        <v>105.37166324435319</v>
      </c>
      <c r="C573" s="409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3525.4531757812501</v>
      </c>
      <c r="H573" s="25">
        <f>IF(B573&lt;62,0,'Combined Retirement'!$I$14)</f>
        <v>2192</v>
      </c>
      <c r="I573" s="25">
        <f>IF(C573&lt;62,0,'Combined Retirement'!$I$13)</f>
        <v>2420</v>
      </c>
      <c r="J573" s="25">
        <f t="shared" si="523"/>
        <v>7863.2184191855868</v>
      </c>
      <c r="K573" s="25">
        <f t="shared" si="524"/>
        <v>20282.026119384056</v>
      </c>
      <c r="L573" s="25"/>
      <c r="N573" s="25">
        <f>'Combined Retirement'!$C$18/12</f>
        <v>39153.069999999992</v>
      </c>
      <c r="O573" s="25">
        <f t="shared" si="525"/>
        <v>11007.82546143035</v>
      </c>
      <c r="P573" s="25">
        <f t="shared" si="526"/>
        <v>28145.244538569641</v>
      </c>
      <c r="Q573" s="25">
        <f t="array" aca="1" ref="Q573" ca="1">INDEX('Isaac 401k'!L:L,MATCH('Retirement Calculator'!A573,'Isaac 401k'!N:N,0),0)</f>
        <v>-56222.229504526542</v>
      </c>
      <c r="R573" s="25">
        <f t="array" aca="1" ref="R573" ca="1">INDEX('Lorri 401b'!L:L,MATCH('Retirement Calculator'!A573,'Lorri 401b'!N:N,0),0)</f>
        <v>-30140.12677165975</v>
      </c>
      <c r="S573" s="25">
        <f t="shared" ca="1" si="527"/>
        <v>-86362.3562761863</v>
      </c>
    </row>
    <row r="574" spans="1:19" ht="15.75" customHeight="1" x14ac:dyDescent="0.3">
      <c r="A574" s="37">
        <v>68423</v>
      </c>
      <c r="B574" s="409">
        <f t="shared" ref="B574:C574" si="580">($A574-B$9)/365.25</f>
        <v>105.45379876796714</v>
      </c>
      <c r="C574" s="409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3525.4531757812501</v>
      </c>
      <c r="H574" s="25">
        <f>IF(B574&lt;62,0,'Combined Retirement'!$I$14)</f>
        <v>2192</v>
      </c>
      <c r="I574" s="25">
        <f>IF(C574&lt;62,0,'Combined Retirement'!$I$13)</f>
        <v>2420</v>
      </c>
      <c r="J574" s="25">
        <f t="shared" si="523"/>
        <v>7863.2184191855868</v>
      </c>
      <c r="K574" s="25">
        <f t="shared" si="524"/>
        <v>20282.026119384056</v>
      </c>
      <c r="L574" s="25"/>
      <c r="N574" s="25">
        <f>'Combined Retirement'!$C$18/12</f>
        <v>39153.069999999992</v>
      </c>
      <c r="O574" s="25">
        <f t="shared" si="525"/>
        <v>11007.82546143035</v>
      </c>
      <c r="P574" s="25">
        <f t="shared" si="526"/>
        <v>28145.244538569641</v>
      </c>
      <c r="Q574" s="25">
        <f t="array" aca="1" ref="Q574" ca="1">INDEX('Isaac 401k'!L:L,MATCH('Retirement Calculator'!A574,'Isaac 401k'!N:N,0),0)</f>
        <v>-64352.470623394263</v>
      </c>
      <c r="R574" s="25">
        <f t="array" aca="1" ref="R574" ca="1">INDEX('Lorri 401b'!L:L,MATCH('Retirement Calculator'!A574,'Lorri 401b'!N:N,0),0)</f>
        <v>-50632.245194756491</v>
      </c>
      <c r="S574" s="25">
        <f t="shared" ca="1" si="527"/>
        <v>-114984.71581815075</v>
      </c>
    </row>
    <row r="575" spans="1:19" ht="15.75" customHeight="1" x14ac:dyDescent="0.3">
      <c r="A575" s="37">
        <v>68454</v>
      </c>
      <c r="B575" s="409">
        <f t="shared" ref="B575:C575" si="581">($A575-B$9)/365.25</f>
        <v>105.53867214236824</v>
      </c>
      <c r="C575" s="409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3525.4531757812501</v>
      </c>
      <c r="H575" s="25">
        <f>IF(B575&lt;62,0,'Combined Retirement'!$I$14)</f>
        <v>2192</v>
      </c>
      <c r="I575" s="25">
        <f>IF(C575&lt;62,0,'Combined Retirement'!$I$13)</f>
        <v>2420</v>
      </c>
      <c r="J575" s="25">
        <f t="shared" si="523"/>
        <v>7863.2184191855868</v>
      </c>
      <c r="K575" s="25">
        <f t="shared" si="524"/>
        <v>20282.026119384056</v>
      </c>
      <c r="L575" s="25"/>
      <c r="N575" s="25">
        <f>'Combined Retirement'!$C$18/12</f>
        <v>39153.069999999992</v>
      </c>
      <c r="O575" s="25">
        <f t="shared" si="525"/>
        <v>11007.82546143035</v>
      </c>
      <c r="P575" s="25">
        <f t="shared" si="526"/>
        <v>28145.244538569641</v>
      </c>
      <c r="Q575" s="25">
        <f t="array" aca="1" ref="Q575" ca="1">INDEX('Isaac 401k'!L:L,MATCH('Retirement Calculator'!A575,'Isaac 401k'!N:N,0),0)</f>
        <v>-72516.587746923935</v>
      </c>
      <c r="R575" s="25">
        <f t="array" aca="1" ref="R575" ca="1">INDEX('Lorri 401b'!L:L,MATCH('Retirement Calculator'!A575,'Lorri 401b'!N:N,0),0)</f>
        <v>-71209.747444616136</v>
      </c>
      <c r="S575" s="25">
        <f t="shared" ca="1" si="527"/>
        <v>-143726.33519154007</v>
      </c>
    </row>
    <row r="576" spans="1:19" ht="15.75" customHeight="1" x14ac:dyDescent="0.3">
      <c r="A576" s="37">
        <v>68484</v>
      </c>
      <c r="B576" s="409">
        <f t="shared" ref="B576:C576" si="582">($A576-B$9)/365.25</f>
        <v>105.6208076659822</v>
      </c>
      <c r="C576" s="409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3525.4531757812501</v>
      </c>
      <c r="H576" s="25">
        <f>IF(B576&lt;62,0,'Combined Retirement'!$I$14)</f>
        <v>2192</v>
      </c>
      <c r="I576" s="25">
        <f>IF(C576&lt;62,0,'Combined Retirement'!$I$13)</f>
        <v>2420</v>
      </c>
      <c r="J576" s="25">
        <f t="shared" si="523"/>
        <v>7863.2184191855868</v>
      </c>
      <c r="K576" s="25">
        <f t="shared" si="524"/>
        <v>20282.026119384056</v>
      </c>
      <c r="L576" s="25"/>
      <c r="N576" s="25">
        <f>'Combined Retirement'!$C$18/12</f>
        <v>39153.069999999992</v>
      </c>
      <c r="O576" s="25">
        <f t="shared" si="525"/>
        <v>11007.82546143035</v>
      </c>
      <c r="P576" s="25">
        <f t="shared" si="526"/>
        <v>28145.244538569641</v>
      </c>
      <c r="Q576" s="25">
        <f t="array" aca="1" ref="Q576" ca="1">INDEX('Isaac 401k'!L:L,MATCH('Retirement Calculator'!A576,'Isaac 401k'!N:N,0),0)</f>
        <v>-80714.722025134979</v>
      </c>
      <c r="R576" s="25">
        <f t="array" aca="1" ref="R576" ca="1">INDEX('Lorri 401b'!L:L,MATCH('Retirement Calculator'!A576,'Lorri 401b'!N:N,0),0)</f>
        <v>-91872.989287183533</v>
      </c>
      <c r="S576" s="25">
        <f t="shared" ca="1" si="527"/>
        <v>-172587.71131231851</v>
      </c>
    </row>
    <row r="577" spans="1:19" ht="15.75" customHeight="1" x14ac:dyDescent="0.3">
      <c r="A577" s="37">
        <v>68515</v>
      </c>
      <c r="B577" s="409">
        <f t="shared" ref="B577:C577" si="583">($A577-B$9)/365.25</f>
        <v>105.7056810403833</v>
      </c>
      <c r="C577" s="409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3525.4531757812501</v>
      </c>
      <c r="H577" s="25">
        <f>IF(B577&lt;62,0,'Combined Retirement'!$I$14)</f>
        <v>2192</v>
      </c>
      <c r="I577" s="25">
        <f>IF(C577&lt;62,0,'Combined Retirement'!$I$13)</f>
        <v>2420</v>
      </c>
      <c r="J577" s="25">
        <f t="shared" si="523"/>
        <v>7863.2184191855868</v>
      </c>
      <c r="K577" s="25">
        <f t="shared" si="524"/>
        <v>20282.026119384056</v>
      </c>
      <c r="L577" s="25"/>
      <c r="N577" s="25">
        <f>'Combined Retirement'!$C$18/12</f>
        <v>39153.069999999992</v>
      </c>
      <c r="O577" s="25">
        <f t="shared" si="525"/>
        <v>11007.82546143035</v>
      </c>
      <c r="P577" s="25">
        <f t="shared" si="526"/>
        <v>28145.244538569641</v>
      </c>
      <c r="Q577" s="25">
        <f t="array" aca="1" ref="Q577" ca="1">INDEX('Isaac 401k'!L:L,MATCH('Retirement Calculator'!A577,'Isaac 401k'!N:N,0),0)</f>
        <v>-88947.015196171909</v>
      </c>
      <c r="R577" s="25">
        <f t="array" aca="1" ref="R577" ca="1">INDEX('Lorri 401b'!L:L,MATCH('Retirement Calculator'!A577,'Lorri 401b'!N:N,0),0)</f>
        <v>-112622.32797076162</v>
      </c>
      <c r="S577" s="25">
        <f t="shared" ca="1" si="527"/>
        <v>-201569.34316693351</v>
      </c>
    </row>
    <row r="578" spans="1:19" ht="15.75" customHeight="1" x14ac:dyDescent="0.3">
      <c r="A578" s="37">
        <v>68546</v>
      </c>
      <c r="B578" s="409">
        <f t="shared" ref="B578:C578" si="584">($A578-B$9)/365.25</f>
        <v>105.7905544147844</v>
      </c>
      <c r="C578" s="409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3525.4531757812501</v>
      </c>
      <c r="H578" s="25">
        <f>IF(B578&lt;62,0,'Combined Retirement'!$I$14)</f>
        <v>2192</v>
      </c>
      <c r="I578" s="25">
        <f>IF(C578&lt;62,0,'Combined Retirement'!$I$13)</f>
        <v>2420</v>
      </c>
      <c r="J578" s="25">
        <f t="shared" si="523"/>
        <v>7863.2184191855868</v>
      </c>
      <c r="K578" s="25">
        <f t="shared" si="524"/>
        <v>20282.026119384056</v>
      </c>
      <c r="L578" s="25"/>
      <c r="N578" s="25">
        <f>'Combined Retirement'!$C$18/12</f>
        <v>39153.069999999992</v>
      </c>
      <c r="O578" s="25">
        <f t="shared" si="525"/>
        <v>11007.82546143035</v>
      </c>
      <c r="P578" s="25">
        <f t="shared" si="526"/>
        <v>28145.244538569641</v>
      </c>
      <c r="Q578" s="25">
        <f t="array" aca="1" ref="Q578" ca="1">INDEX('Isaac 401k'!L:L,MATCH('Retirement Calculator'!A578,'Isaac 401k'!N:N,0),0)</f>
        <v>-97213.609588754829</v>
      </c>
      <c r="R578" s="25">
        <f t="array" aca="1" ref="R578" ca="1">INDEX('Lorri 401b'!L:L,MATCH('Retirement Calculator'!A578,'Lorri 401b'!N:N,0),0)</f>
        <v>-133458.12223218795</v>
      </c>
      <c r="S578" s="25">
        <f t="shared" ca="1" si="527"/>
        <v>-230671.73182094278</v>
      </c>
    </row>
    <row r="579" spans="1:19" ht="15.75" customHeight="1" x14ac:dyDescent="0.3">
      <c r="A579" s="37">
        <v>68576</v>
      </c>
      <c r="B579" s="409">
        <f t="shared" ref="B579:C579" si="585">($A579-B$9)/365.25</f>
        <v>105.87268993839835</v>
      </c>
      <c r="C579" s="409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3525.4531757812501</v>
      </c>
      <c r="H579" s="25">
        <f>IF(B579&lt;62,0,'Combined Retirement'!$I$14)</f>
        <v>2192</v>
      </c>
      <c r="I579" s="25">
        <f>IF(C579&lt;62,0,'Combined Retirement'!$I$13)</f>
        <v>2420</v>
      </c>
      <c r="J579" s="25">
        <f t="shared" si="523"/>
        <v>7863.2184191855868</v>
      </c>
      <c r="K579" s="25">
        <f t="shared" si="524"/>
        <v>20282.026119384056</v>
      </c>
      <c r="L579" s="25"/>
      <c r="N579" s="25">
        <f>'Combined Retirement'!$C$18/12</f>
        <v>39153.069999999992</v>
      </c>
      <c r="O579" s="25">
        <f t="shared" si="525"/>
        <v>11007.82546143035</v>
      </c>
      <c r="P579" s="25">
        <f t="shared" si="526"/>
        <v>28145.244538569641</v>
      </c>
      <c r="Q579" s="25">
        <f t="array" aca="1" ref="Q579" ca="1">INDEX('Isaac 401k'!L:L,MATCH('Retirement Calculator'!A579,'Isaac 401k'!N:N,0),0)</f>
        <v>-105514.64812464017</v>
      </c>
      <c r="R579" s="25">
        <f t="array" aca="1" ref="R579" ca="1">INDEX('Lorri 401b'!L:L,MATCH('Retirement Calculator'!A579,'Lorri 401b'!N:N,0),0)</f>
        <v>-154380.73230303687</v>
      </c>
      <c r="S579" s="25">
        <f t="shared" ca="1" si="527"/>
        <v>-259895.38042767704</v>
      </c>
    </row>
    <row r="580" spans="1:19" ht="15.75" customHeight="1" x14ac:dyDescent="0.3">
      <c r="A580" s="37">
        <v>68607</v>
      </c>
      <c r="B580" s="409">
        <f t="shared" ref="B580:C580" si="586">($A580-B$9)/365.25</f>
        <v>105.95756331279945</v>
      </c>
      <c r="C580" s="409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3525.4531757812501</v>
      </c>
      <c r="H580" s="25">
        <f>IF(B580&lt;62,0,'Combined Retirement'!$I$14)</f>
        <v>2192</v>
      </c>
      <c r="I580" s="25">
        <f>IF(C580&lt;62,0,'Combined Retirement'!$I$13)</f>
        <v>2420</v>
      </c>
      <c r="J580" s="25">
        <f t="shared" si="523"/>
        <v>7863.2184191855868</v>
      </c>
      <c r="K580" s="25">
        <f t="shared" si="524"/>
        <v>20282.026119384056</v>
      </c>
      <c r="L580" s="25"/>
      <c r="N580" s="25">
        <f>'Combined Retirement'!$C$18/12</f>
        <v>39153.069999999992</v>
      </c>
      <c r="O580" s="25">
        <f t="shared" si="525"/>
        <v>11007.82546143035</v>
      </c>
      <c r="P580" s="25">
        <f t="shared" si="526"/>
        <v>28145.244538569641</v>
      </c>
      <c r="Q580" s="25">
        <f t="array" aca="1" ref="Q580" ca="1">INDEX('Isaac 401k'!L:L,MATCH('Retirement Calculator'!A580,'Isaac 401k'!N:N,0),0)</f>
        <v>-113850.2743210917</v>
      </c>
      <c r="R580" s="25">
        <f t="array" aca="1" ref="R580" ca="1">INDEX('Lorri 401b'!L:L,MATCH('Retirement Calculator'!A580,'Lorri 401b'!N:N,0),0)</f>
        <v>-175390.51991584769</v>
      </c>
      <c r="S580" s="25">
        <f t="shared" ca="1" si="527"/>
        <v>-289240.7942369394</v>
      </c>
    </row>
    <row r="581" spans="1:19" ht="15.75" customHeight="1" x14ac:dyDescent="0.3">
      <c r="A581" s="37">
        <v>68637</v>
      </c>
      <c r="B581" s="409">
        <f t="shared" ref="B581:C581" si="587">($A581-B$9)/365.25</f>
        <v>106.03969883641342</v>
      </c>
      <c r="C581" s="409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3525.4531757812501</v>
      </c>
      <c r="H581" s="25">
        <f>IF(B581&lt;62,0,'Combined Retirement'!$I$14)</f>
        <v>2192</v>
      </c>
      <c r="I581" s="25">
        <f>IF(C581&lt;62,0,'Combined Retirement'!$I$13)</f>
        <v>2420</v>
      </c>
      <c r="J581" s="25">
        <f t="shared" si="523"/>
        <v>7863.2184191855868</v>
      </c>
      <c r="K581" s="25">
        <f t="shared" si="524"/>
        <v>20282.026119384056</v>
      </c>
      <c r="L581" s="25"/>
      <c r="N581" s="25">
        <f>'Combined Retirement'!$C$18/12</f>
        <v>39153.069999999992</v>
      </c>
      <c r="O581" s="25">
        <f t="shared" si="525"/>
        <v>11007.82546143035</v>
      </c>
      <c r="P581" s="25">
        <f t="shared" si="526"/>
        <v>28145.244538569641</v>
      </c>
      <c r="Q581" s="25">
        <f t="array" aca="1" ref="Q581" ca="1">INDEX('Isaac 401k'!L:L,MATCH('Retirement Calculator'!A581,'Isaac 401k'!N:N,0),0)</f>
        <v>-122220.63229336178</v>
      </c>
      <c r="R581" s="25">
        <f t="array" aca="1" ref="R581" ca="1">INDEX('Lorri 401b'!L:L,MATCH('Retirement Calculator'!A581,'Lorri 401b'!N:N,0),0)</f>
        <v>-196487.84831037853</v>
      </c>
      <c r="S581" s="25">
        <f t="shared" ca="1" si="527"/>
        <v>-318708.48060374032</v>
      </c>
    </row>
    <row r="582" spans="1:19" ht="15.75" customHeight="1" x14ac:dyDescent="0.3">
      <c r="A582" s="37">
        <v>68668</v>
      </c>
      <c r="B582" s="409">
        <f t="shared" ref="B582:C582" si="588">($A582-B$9)/365.25</f>
        <v>106.12457221081451</v>
      </c>
      <c r="C582" s="409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3525.4531757812501</v>
      </c>
      <c r="H582" s="25">
        <f>IF(B582&lt;62,0,'Combined Retirement'!$I$14)</f>
        <v>2192</v>
      </c>
      <c r="I582" s="25">
        <f>IF(C582&lt;62,0,'Combined Retirement'!$I$13)</f>
        <v>2420</v>
      </c>
      <c r="J582" s="25">
        <f t="shared" si="523"/>
        <v>7863.2184191855868</v>
      </c>
      <c r="K582" s="25">
        <f t="shared" si="524"/>
        <v>20282.026119384056</v>
      </c>
      <c r="L582" s="25"/>
      <c r="N582" s="25">
        <f>'Combined Retirement'!$C$18/12</f>
        <v>39153.069999999992</v>
      </c>
      <c r="O582" s="25">
        <f t="shared" si="525"/>
        <v>11007.82546143035</v>
      </c>
      <c r="P582" s="25">
        <f t="shared" si="526"/>
        <v>28145.244538569641</v>
      </c>
      <c r="Q582" s="25">
        <f t="array" aca="1" ref="Q582" ca="1">INDEX('Isaac 401k'!L:L,MATCH('Retirement Calculator'!A582,'Isaac 401k'!N:N,0),0)</f>
        <v>-130625.86675718299</v>
      </c>
      <c r="R582" s="25">
        <f t="array" aca="1" ref="R582" ca="1">INDEX('Lorri 401b'!L:L,MATCH('Retirement Calculator'!A582,'Lorri 401b'!N:N,0),0)</f>
        <v>-217673.0822398866</v>
      </c>
      <c r="S582" s="25">
        <f t="shared" ca="1" si="527"/>
        <v>-348298.94899706962</v>
      </c>
    </row>
    <row r="583" spans="1:19" ht="15.75" customHeight="1" x14ac:dyDescent="0.3">
      <c r="A583" s="37">
        <v>68699</v>
      </c>
      <c r="B583" s="409">
        <f t="shared" ref="B583:C583" si="589">($A583-B$9)/365.25</f>
        <v>106.2094455852156</v>
      </c>
      <c r="C583" s="409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3525.4531757812501</v>
      </c>
      <c r="H583" s="25">
        <f>IF(B583&lt;62,0,'Combined Retirement'!$I$14)</f>
        <v>2192</v>
      </c>
      <c r="I583" s="25">
        <f>IF(C583&lt;62,0,'Combined Retirement'!$I$13)</f>
        <v>2420</v>
      </c>
      <c r="J583" s="25">
        <f t="shared" si="523"/>
        <v>7863.2184191855868</v>
      </c>
      <c r="K583" s="25">
        <f t="shared" si="524"/>
        <v>20282.026119384056</v>
      </c>
      <c r="L583" s="25"/>
      <c r="N583" s="25">
        <f>'Combined Retirement'!$C$18/12</f>
        <v>39153.069999999992</v>
      </c>
      <c r="O583" s="25">
        <f t="shared" si="525"/>
        <v>11007.82546143035</v>
      </c>
      <c r="P583" s="25">
        <f t="shared" si="526"/>
        <v>28145.244538569641</v>
      </c>
      <c r="Q583" s="25">
        <f t="array" aca="1" ref="Q583" ca="1">INDEX('Isaac 401k'!L:L,MATCH('Retirement Calculator'!A583,'Isaac 401k'!N:N,0),0)</f>
        <v>-139066.12303127011</v>
      </c>
      <c r="R583" s="25">
        <f t="array" aca="1" ref="R583" ca="1">INDEX('Lorri 401b'!L:L,MATCH('Retirement Calculator'!A583,'Lorri 401b'!N:N,0),0)</f>
        <v>-238946.5879774343</v>
      </c>
      <c r="S583" s="25">
        <f t="shared" ca="1" si="527"/>
        <v>-378012.71100870438</v>
      </c>
    </row>
    <row r="584" spans="1:19" ht="15.75" customHeight="1" x14ac:dyDescent="0.3">
      <c r="A584" s="37">
        <v>68728</v>
      </c>
      <c r="B584" s="409">
        <f t="shared" ref="B584:C584" si="590">($A584-B$9)/365.25</f>
        <v>106.28884325804243</v>
      </c>
      <c r="C584" s="409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3525.4531757812501</v>
      </c>
      <c r="H584" s="25">
        <f>IF(B584&lt;62,0,'Combined Retirement'!$I$14)</f>
        <v>2192</v>
      </c>
      <c r="I584" s="25">
        <f>IF(C584&lt;62,0,'Combined Retirement'!$I$13)</f>
        <v>2420</v>
      </c>
      <c r="J584" s="25">
        <f t="shared" si="523"/>
        <v>7863.2184191855868</v>
      </c>
      <c r="K584" s="25">
        <f t="shared" si="524"/>
        <v>20282.026119384056</v>
      </c>
      <c r="L584" s="25"/>
      <c r="N584" s="25">
        <f>'Combined Retirement'!$C$18/12</f>
        <v>39153.069999999992</v>
      </c>
      <c r="O584" s="25">
        <f t="shared" si="525"/>
        <v>11007.82546143035</v>
      </c>
      <c r="P584" s="25">
        <f t="shared" si="526"/>
        <v>28145.244538569641</v>
      </c>
      <c r="Q584" s="25">
        <f t="array" aca="1" ref="Q584" ca="1">INDEX('Isaac 401k'!L:L,MATCH('Retirement Calculator'!A584,'Isaac 401k'!N:N,0),0)</f>
        <v>-147541.54703983257</v>
      </c>
      <c r="R584" s="25">
        <f t="array" aca="1" ref="R584" ca="1">INDEX('Lorri 401b'!L:L,MATCH('Retirement Calculator'!A584,'Lorri 401b'!N:N,0),0)</f>
        <v>-260308.73332222179</v>
      </c>
      <c r="S584" s="25">
        <f t="shared" ca="1" si="527"/>
        <v>-407850.28036205436</v>
      </c>
    </row>
    <row r="585" spans="1:19" ht="15.75" customHeight="1" x14ac:dyDescent="0.3">
      <c r="A585" s="37">
        <v>68759</v>
      </c>
      <c r="B585" s="409">
        <f t="shared" ref="B585:C585" si="591">($A585-B$9)/365.25</f>
        <v>106.37371663244353</v>
      </c>
      <c r="C585" s="409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3525.4531757812501</v>
      </c>
      <c r="H585" s="25">
        <f>IF(B585&lt;62,0,'Combined Retirement'!$I$14)</f>
        <v>2192</v>
      </c>
      <c r="I585" s="25">
        <f>IF(C585&lt;62,0,'Combined Retirement'!$I$13)</f>
        <v>2420</v>
      </c>
      <c r="J585" s="25">
        <f t="shared" si="523"/>
        <v>7863.2184191855868</v>
      </c>
      <c r="K585" s="25">
        <f t="shared" si="524"/>
        <v>20282.026119384056</v>
      </c>
      <c r="L585" s="25"/>
      <c r="N585" s="25">
        <f>'Combined Retirement'!$C$18/12</f>
        <v>39153.069999999992</v>
      </c>
      <c r="O585" s="25">
        <f t="shared" si="525"/>
        <v>11007.82546143035</v>
      </c>
      <c r="P585" s="25">
        <f t="shared" si="526"/>
        <v>28145.244538569641</v>
      </c>
      <c r="Q585" s="25">
        <f t="array" aca="1" ref="Q585" ca="1">INDEX('Isaac 401k'!L:L,MATCH('Retirement Calculator'!A585,'Isaac 401k'!N:N,0),0)</f>
        <v>-156052.2853150974</v>
      </c>
      <c r="R585" s="25">
        <f t="array" aca="1" ref="R585" ca="1">INDEX('Lorri 401b'!L:L,MATCH('Retirement Calculator'!A585,'Lorri 401b'!N:N,0),0)</f>
        <v>-281759.88760594587</v>
      </c>
      <c r="S585" s="25">
        <f t="shared" ca="1" si="527"/>
        <v>-437812.17292104324</v>
      </c>
    </row>
    <row r="586" spans="1:19" ht="15.75" customHeight="1" x14ac:dyDescent="0.3">
      <c r="A586" s="37">
        <v>68789</v>
      </c>
      <c r="B586" s="409">
        <f t="shared" ref="B586:C586" si="592">($A586-B$9)/365.25</f>
        <v>106.45585215605749</v>
      </c>
      <c r="C586" s="409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3525.4531757812501</v>
      </c>
      <c r="H586" s="25">
        <f>IF(B586&lt;62,0,'Combined Retirement'!$I$14)</f>
        <v>2192</v>
      </c>
      <c r="I586" s="25">
        <f>IF(C586&lt;62,0,'Combined Retirement'!$I$13)</f>
        <v>2420</v>
      </c>
      <c r="J586" s="25">
        <f t="shared" si="523"/>
        <v>7863.2184191855868</v>
      </c>
      <c r="K586" s="25">
        <f t="shared" si="524"/>
        <v>20282.026119384056</v>
      </c>
      <c r="L586" s="25"/>
      <c r="N586" s="25">
        <f>'Combined Retirement'!$C$18/12</f>
        <v>39153.069999999992</v>
      </c>
      <c r="O586" s="25">
        <f t="shared" si="525"/>
        <v>11007.82546143035</v>
      </c>
      <c r="P586" s="25">
        <f t="shared" si="526"/>
        <v>28145.244538569641</v>
      </c>
      <c r="Q586" s="25">
        <f t="array" aca="1" ref="Q586" ca="1">INDEX('Isaac 401k'!L:L,MATCH('Retirement Calculator'!A586,'Isaac 401k'!N:N,0),0)</f>
        <v>-164598.48499984248</v>
      </c>
      <c r="R586" s="25">
        <f t="array" aca="1" ref="R586" ca="1">INDEX('Lorri 401b'!L:L,MATCH('Retirement Calculator'!A586,'Lorri 401b'!N:N,0),0)</f>
        <v>-303300.42169918545</v>
      </c>
      <c r="S586" s="25">
        <f t="shared" ca="1" si="527"/>
        <v>-467898.90669902792</v>
      </c>
    </row>
    <row r="587" spans="1:19" ht="15.75" customHeight="1" x14ac:dyDescent="0.3">
      <c r="A587" s="37">
        <v>68820</v>
      </c>
      <c r="B587" s="409">
        <f t="shared" ref="B587:C587" si="593">($A587-B$9)/365.25</f>
        <v>106.54072553045859</v>
      </c>
      <c r="C587" s="409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3525.4531757812501</v>
      </c>
      <c r="H587" s="25">
        <f>IF(B587&lt;62,0,'Combined Retirement'!$I$14)</f>
        <v>2192</v>
      </c>
      <c r="I587" s="25">
        <f>IF(C587&lt;62,0,'Combined Retirement'!$I$13)</f>
        <v>2420</v>
      </c>
      <c r="J587" s="25">
        <f t="shared" si="523"/>
        <v>7863.2184191855868</v>
      </c>
      <c r="K587" s="25">
        <f t="shared" si="524"/>
        <v>20282.026119384056</v>
      </c>
      <c r="L587" s="25"/>
      <c r="N587" s="25">
        <f>'Combined Retirement'!$C$18/12</f>
        <v>39153.069999999992</v>
      </c>
      <c r="O587" s="25">
        <f t="shared" si="525"/>
        <v>11007.82546143035</v>
      </c>
      <c r="P587" s="25">
        <f t="shared" si="526"/>
        <v>28145.244538569641</v>
      </c>
      <c r="Q587" s="25">
        <f t="array" aca="1" ref="Q587" ca="1">INDEX('Isaac 401k'!L:L,MATCH('Retirement Calculator'!A587,'Isaac 401k'!N:N,0),0)</f>
        <v>-173180.29384994067</v>
      </c>
      <c r="R587" s="25">
        <f t="array" aca="1" ref="R587" ca="1">INDEX('Lorri 401b'!L:L,MATCH('Retirement Calculator'!A587,'Lorri 401b'!N:N,0),0)</f>
        <v>-324930.70801781351</v>
      </c>
      <c r="S587" s="25">
        <f t="shared" ca="1" si="527"/>
        <v>-498111.00186775415</v>
      </c>
    </row>
    <row r="588" spans="1:19" ht="15.75" customHeight="1" x14ac:dyDescent="0.3">
      <c r="A588" s="37">
        <v>68850</v>
      </c>
      <c r="B588" s="409">
        <f t="shared" ref="B588:C588" si="594">($A588-B$9)/365.25</f>
        <v>106.62286105407256</v>
      </c>
      <c r="C588" s="409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3525.4531757812501</v>
      </c>
      <c r="H588" s="25">
        <f>IF(B588&lt;62,0,'Combined Retirement'!$I$14)</f>
        <v>2192</v>
      </c>
      <c r="I588" s="25">
        <f>IF(C588&lt;62,0,'Combined Retirement'!$I$13)</f>
        <v>2420</v>
      </c>
      <c r="J588" s="25">
        <f t="shared" si="523"/>
        <v>7863.2184191855868</v>
      </c>
      <c r="K588" s="25">
        <f t="shared" si="524"/>
        <v>20282.026119384056</v>
      </c>
      <c r="L588" s="25"/>
      <c r="N588" s="25">
        <f>'Combined Retirement'!$C$18/12</f>
        <v>39153.069999999992</v>
      </c>
      <c r="O588" s="25">
        <f t="shared" si="525"/>
        <v>11007.82546143035</v>
      </c>
      <c r="P588" s="25">
        <f t="shared" si="526"/>
        <v>28145.244538569641</v>
      </c>
      <c r="Q588" s="25">
        <f t="array" aca="1" ref="Q588" ca="1">INDEX('Isaac 401k'!L:L,MATCH('Retirement Calculator'!A588,'Isaac 401k'!N:N,0),0)</f>
        <v>-181797.86023691428</v>
      </c>
      <c r="R588" s="25">
        <f t="array" aca="1" ref="R588" ca="1">INDEX('Lorri 401b'!L:L,MATCH('Retirement Calculator'!A588,'Lorri 401b'!N:N,0),0)</f>
        <v>-346651.12052943587</v>
      </c>
      <c r="S588" s="25">
        <f t="shared" ca="1" si="527"/>
        <v>-528448.98076635017</v>
      </c>
    </row>
    <row r="589" spans="1:19" ht="15.75" customHeight="1" x14ac:dyDescent="0.3">
      <c r="A589" s="37">
        <v>68881</v>
      </c>
      <c r="B589" s="409">
        <f t="shared" ref="B589:C589" si="595">($A589-B$9)/365.25</f>
        <v>106.70773442847364</v>
      </c>
      <c r="C589" s="409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3525.4531757812501</v>
      </c>
      <c r="H589" s="25">
        <f>IF(B589&lt;62,0,'Combined Retirement'!$I$14)</f>
        <v>2192</v>
      </c>
      <c r="I589" s="25">
        <f>IF(C589&lt;62,0,'Combined Retirement'!$I$13)</f>
        <v>2420</v>
      </c>
      <c r="J589" s="25">
        <f t="shared" si="523"/>
        <v>7863.2184191855868</v>
      </c>
      <c r="K589" s="25">
        <f t="shared" si="524"/>
        <v>20282.026119384056</v>
      </c>
      <c r="L589" s="25"/>
      <c r="N589" s="25">
        <f>'Combined Retirement'!$C$18/12</f>
        <v>39153.069999999992</v>
      </c>
      <c r="O589" s="25">
        <f t="shared" si="525"/>
        <v>11007.82546143035</v>
      </c>
      <c r="P589" s="25">
        <f t="shared" si="526"/>
        <v>28145.244538569641</v>
      </c>
      <c r="Q589" s="25">
        <f t="array" aca="1" ref="Q589" ca="1">INDEX('Isaac 401k'!L:L,MATCH('Retirement Calculator'!A589,'Isaac 401k'!N:N,0),0)</f>
        <v>-190451.33315050026</v>
      </c>
      <c r="R589" s="25">
        <f t="array" aca="1" ref="R589" ca="1">INDEX('Lorri 401b'!L:L,MATCH('Retirement Calculator'!A589,'Lorri 401b'!N:N,0),0)</f>
        <v>-368462.03475985664</v>
      </c>
      <c r="S589" s="25">
        <f t="shared" ca="1" si="527"/>
        <v>-558913.36791035696</v>
      </c>
    </row>
    <row r="590" spans="1:19" ht="15.75" customHeight="1" x14ac:dyDescent="0.3">
      <c r="A590" s="37">
        <v>68912</v>
      </c>
      <c r="B590" s="409">
        <f t="shared" ref="B590:C590" si="596">($A590-B$9)/365.25</f>
        <v>106.79260780287474</v>
      </c>
      <c r="C590" s="409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3525.4531757812501</v>
      </c>
      <c r="H590" s="25">
        <f>IF(B590&lt;62,0,'Combined Retirement'!$I$14)</f>
        <v>2192</v>
      </c>
      <c r="I590" s="25">
        <f>IF(C590&lt;62,0,'Combined Retirement'!$I$13)</f>
        <v>2420</v>
      </c>
      <c r="J590" s="25">
        <f t="shared" si="523"/>
        <v>7863.2184191855868</v>
      </c>
      <c r="K590" s="25">
        <f t="shared" si="524"/>
        <v>20282.026119384056</v>
      </c>
      <c r="L590" s="25"/>
      <c r="N590" s="25">
        <f>'Combined Retirement'!$C$18/12</f>
        <v>39153.069999999992</v>
      </c>
      <c r="O590" s="25">
        <f t="shared" si="525"/>
        <v>11007.82546143035</v>
      </c>
      <c r="P590" s="25">
        <f t="shared" si="526"/>
        <v>28145.244538569641</v>
      </c>
      <c r="Q590" s="25">
        <f t="array" aca="1" ref="Q590" ca="1">INDEX('Isaac 401k'!L:L,MATCH('Retirement Calculator'!A590,'Isaac 401k'!N:N,0),0)</f>
        <v>-199140.86220122621</v>
      </c>
      <c r="R590" s="25">
        <f t="array" aca="1" ref="R590" ca="1">INDEX('Lorri 401b'!L:L,MATCH('Retirement Calculator'!A590,'Lorri 401b'!N:N,0),0)</f>
        <v>-390363.82779957086</v>
      </c>
      <c r="S590" s="25">
        <f t="shared" ca="1" si="527"/>
        <v>-589504.69000079704</v>
      </c>
    </row>
    <row r="591" spans="1:19" ht="15.75" customHeight="1" x14ac:dyDescent="0.3">
      <c r="A591" s="37">
        <v>68942</v>
      </c>
      <c r="B591" s="409">
        <f t="shared" ref="B591:C591" si="597">($A591-B$9)/365.25</f>
        <v>106.87474332648871</v>
      </c>
      <c r="C591" s="409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3525.4531757812501</v>
      </c>
      <c r="H591" s="25">
        <f>IF(B591&lt;62,0,'Combined Retirement'!$I$14)</f>
        <v>2192</v>
      </c>
      <c r="I591" s="25">
        <f>IF(C591&lt;62,0,'Combined Retirement'!$I$13)</f>
        <v>2420</v>
      </c>
      <c r="J591" s="25">
        <f t="shared" si="523"/>
        <v>7863.2184191855868</v>
      </c>
      <c r="K591" s="25">
        <f t="shared" si="524"/>
        <v>20282.026119384056</v>
      </c>
      <c r="L591" s="25"/>
      <c r="N591" s="25">
        <f>'Combined Retirement'!$C$18/12</f>
        <v>39153.069999999992</v>
      </c>
      <c r="O591" s="25">
        <f t="shared" si="525"/>
        <v>11007.82546143035</v>
      </c>
      <c r="P591" s="25">
        <f t="shared" si="526"/>
        <v>28145.244538569641</v>
      </c>
      <c r="Q591" s="25">
        <f t="array" aca="1" ref="Q591" ca="1">INDEX('Isaac 401k'!L:L,MATCH('Retirement Calculator'!A591,'Isaac 401k'!N:N,0),0)</f>
        <v>-207866.59762299684</v>
      </c>
      <c r="R591" s="25">
        <f t="array" aca="1" ref="R591" ca="1">INDEX('Lorri 401b'!L:L,MATCH('Retirement Calculator'!A591,'Lorri 401b'!N:N,0),0)</f>
        <v>-412356.87831028388</v>
      </c>
      <c r="S591" s="25">
        <f t="shared" ca="1" si="527"/>
        <v>-620223.47593328077</v>
      </c>
    </row>
    <row r="592" spans="1:19" ht="15.75" customHeight="1" x14ac:dyDescent="0.3">
      <c r="A592" s="37">
        <v>68973</v>
      </c>
      <c r="B592" s="409">
        <f t="shared" ref="B592:C592" si="598">($A592-B$9)/365.25</f>
        <v>106.9596167008898</v>
      </c>
      <c r="C592" s="409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3525.4531757812501</v>
      </c>
      <c r="H592" s="25">
        <f>IF(B592&lt;62,0,'Combined Retirement'!$I$14)</f>
        <v>2192</v>
      </c>
      <c r="I592" s="25">
        <f>IF(C592&lt;62,0,'Combined Retirement'!$I$13)</f>
        <v>2420</v>
      </c>
      <c r="J592" s="25">
        <f t="shared" si="523"/>
        <v>7863.2184191855868</v>
      </c>
      <c r="K592" s="25">
        <f t="shared" si="524"/>
        <v>20282.026119384056</v>
      </c>
      <c r="L592" s="25"/>
      <c r="N592" s="25">
        <f>'Combined Retirement'!$C$18/12</f>
        <v>39153.069999999992</v>
      </c>
      <c r="O592" s="25">
        <f t="shared" si="525"/>
        <v>11007.82546143035</v>
      </c>
      <c r="P592" s="25">
        <f t="shared" si="526"/>
        <v>28145.244538569641</v>
      </c>
      <c r="Q592" s="25">
        <f t="array" aca="1" ref="Q592" ca="1">INDEX('Isaac 401k'!L:L,MATCH('Retirement Calculator'!A592,'Isaac 401k'!N:N,0),0)</f>
        <v>-216628.69027569151</v>
      </c>
      <c r="R592" s="25">
        <f t="array" aca="1" ref="R592" ca="1">INDEX('Lorri 401b'!L:L,MATCH('Retirement Calculator'!A592,'Lorri 401b'!N:N,0),0)</f>
        <v>-434441.56653145823</v>
      </c>
      <c r="S592" s="25">
        <f t="shared" ca="1" si="527"/>
        <v>-651070.25680714974</v>
      </c>
    </row>
    <row r="593" spans="1:19" ht="15.75" customHeight="1" x14ac:dyDescent="0.3">
      <c r="A593" s="37">
        <v>69003</v>
      </c>
      <c r="B593" s="409">
        <f t="shared" ref="B593:C593" si="599">($A593-B$9)/365.25</f>
        <v>107.04175222450377</v>
      </c>
      <c r="C593" s="409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3525.4531757812501</v>
      </c>
      <c r="H593" s="25">
        <f>IF(B593&lt;62,0,'Combined Retirement'!$I$14)</f>
        <v>2192</v>
      </c>
      <c r="I593" s="25">
        <f>IF(C593&lt;62,0,'Combined Retirement'!$I$13)</f>
        <v>2420</v>
      </c>
      <c r="J593" s="25">
        <f t="shared" si="523"/>
        <v>7863.2184191855868</v>
      </c>
      <c r="K593" s="25">
        <f t="shared" si="524"/>
        <v>20282.026119384056</v>
      </c>
      <c r="L593" s="25"/>
      <c r="N593" s="25">
        <f>'Combined Retirement'!$C$18/12</f>
        <v>39153.069999999992</v>
      </c>
      <c r="O593" s="25">
        <f t="shared" si="525"/>
        <v>11007.82546143035</v>
      </c>
      <c r="P593" s="25">
        <f t="shared" si="526"/>
        <v>28145.244538569641</v>
      </c>
      <c r="Q593" s="25">
        <f t="array" aca="1" ref="Q593" ca="1">INDEX('Isaac 401k'!L:L,MATCH('Retirement Calculator'!A593,'Isaac 401k'!N:N,0),0)</f>
        <v>-225427.29164777242</v>
      </c>
      <c r="R593" s="25">
        <f t="array" aca="1" ref="R593" ca="1">INDEX('Lorri 401b'!L:L,MATCH('Retirement Calculator'!A593,'Lorri 401b'!N:N,0),0)</f>
        <v>-456618.27428688743</v>
      </c>
      <c r="S593" s="25">
        <f t="shared" ca="1" si="527"/>
        <v>-682045.56593465991</v>
      </c>
    </row>
    <row r="594" spans="1:19" ht="15.75" customHeight="1" x14ac:dyDescent="0.3">
      <c r="A594" s="37">
        <v>69034</v>
      </c>
      <c r="B594" s="409">
        <f t="shared" ref="B594:C594" si="600">($A594-B$9)/365.25</f>
        <v>107.12662559890487</v>
      </c>
      <c r="C594" s="409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3525.4531757812501</v>
      </c>
      <c r="H594" s="25">
        <f>IF(B594&lt;62,0,'Combined Retirement'!$I$14)</f>
        <v>2192</v>
      </c>
      <c r="I594" s="25">
        <f>IF(C594&lt;62,0,'Combined Retirement'!$I$13)</f>
        <v>2420</v>
      </c>
      <c r="J594" s="25">
        <f t="shared" si="523"/>
        <v>7863.2184191855868</v>
      </c>
      <c r="K594" s="25">
        <f t="shared" si="524"/>
        <v>20282.026119384056</v>
      </c>
      <c r="L594" s="25"/>
      <c r="N594" s="25">
        <f>'Combined Retirement'!$C$18/12</f>
        <v>39153.069999999992</v>
      </c>
      <c r="O594" s="25">
        <f t="shared" si="525"/>
        <v>11007.82546143035</v>
      </c>
      <c r="P594" s="25">
        <f t="shared" si="526"/>
        <v>28145.244538569641</v>
      </c>
      <c r="Q594" s="25">
        <f t="array" aca="1" ref="Q594" ca="1">INDEX('Isaac 401k'!L:L,MATCH('Retirement Calculator'!A594,'Isaac 401k'!N:N,0),0)</f>
        <v>-234262.55385890364</v>
      </c>
      <c r="R594" s="25">
        <f t="array" aca="1" ref="R594" ca="1">INDEX('Lorri 401b'!L:L,MATCH('Retirement Calculator'!A594,'Lorri 401b'!N:N,0),0)</f>
        <v>-478887.38499129761</v>
      </c>
      <c r="S594" s="25">
        <f t="shared" ca="1" si="527"/>
        <v>-713149.9388502012</v>
      </c>
    </row>
    <row r="595" spans="1:19" ht="15.75" customHeight="1" x14ac:dyDescent="0.3">
      <c r="A595" s="37">
        <v>69065</v>
      </c>
      <c r="B595" s="409">
        <f t="shared" ref="B595:C595" si="601">($A595-B$9)/365.25</f>
        <v>107.21149897330595</v>
      </c>
      <c r="C595" s="409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3525.4531757812501</v>
      </c>
      <c r="H595" s="25">
        <f>IF(B595&lt;62,0,'Combined Retirement'!$I$14)</f>
        <v>2192</v>
      </c>
      <c r="I595" s="25">
        <f>IF(C595&lt;62,0,'Combined Retirement'!$I$13)</f>
        <v>2420</v>
      </c>
      <c r="J595" s="25">
        <f t="shared" si="523"/>
        <v>7863.2184191855868</v>
      </c>
      <c r="K595" s="25">
        <f t="shared" si="524"/>
        <v>20282.026119384056</v>
      </c>
      <c r="L595" s="25"/>
      <c r="N595" s="25">
        <f>'Combined Retirement'!$C$18/12</f>
        <v>39153.069999999992</v>
      </c>
      <c r="O595" s="25">
        <f t="shared" si="525"/>
        <v>11007.82546143035</v>
      </c>
      <c r="P595" s="25">
        <f t="shared" si="526"/>
        <v>28145.244538569641</v>
      </c>
      <c r="Q595" s="25">
        <f t="array" aca="1" ref="Q595" ca="1">INDEX('Isaac 401k'!L:L,MATCH('Retirement Calculator'!A595,'Isaac 401k'!N:N,0),0)</f>
        <v>-243134.62966258125</v>
      </c>
      <c r="R595" s="25">
        <f t="array" aca="1" ref="R595" ca="1">INDEX('Lorri 401b'!L:L,MATCH('Retirement Calculator'!A595,'Lorri 401b'!N:N,0),0)</f>
        <v>-501249.28365697619</v>
      </c>
      <c r="S595" s="25">
        <f t="shared" ca="1" si="527"/>
        <v>-744383.91331955744</v>
      </c>
    </row>
    <row r="596" spans="1:19" ht="15.75" customHeight="1" x14ac:dyDescent="0.3">
      <c r="A596" s="37">
        <v>69093</v>
      </c>
      <c r="B596" s="409">
        <f t="shared" ref="B596:C596" si="602">($A596-B$9)/365.25</f>
        <v>107.28815879534565</v>
      </c>
      <c r="C596" s="409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3525.4531757812501</v>
      </c>
      <c r="H596" s="25">
        <f>IF(B596&lt;62,0,'Combined Retirement'!$I$14)</f>
        <v>2192</v>
      </c>
      <c r="I596" s="25">
        <f>IF(C596&lt;62,0,'Combined Retirement'!$I$13)</f>
        <v>2420</v>
      </c>
      <c r="J596" s="25">
        <f t="shared" si="523"/>
        <v>7863.2184191855868</v>
      </c>
      <c r="K596" s="25">
        <f t="shared" si="524"/>
        <v>20282.026119384056</v>
      </c>
      <c r="L596" s="25"/>
      <c r="N596" s="25">
        <f>'Combined Retirement'!$C$18/12</f>
        <v>39153.069999999992</v>
      </c>
      <c r="O596" s="25">
        <f t="shared" si="525"/>
        <v>11007.82546143035</v>
      </c>
      <c r="P596" s="25">
        <f t="shared" si="526"/>
        <v>28145.244538569641</v>
      </c>
      <c r="Q596" s="25">
        <f t="array" aca="1" ref="Q596" ca="1">INDEX('Isaac 401k'!L:L,MATCH('Retirement Calculator'!A596,'Isaac 401k'!N:N,0),0)</f>
        <v>-252043.67244877419</v>
      </c>
      <c r="R596" s="25">
        <f t="array" aca="1" ref="R596" ca="1">INDEX('Lorri 401b'!L:L,MATCH('Retirement Calculator'!A596,'Lorri 401b'!N:N,0),0)</f>
        <v>-523704.35690042842</v>
      </c>
      <c r="S596" s="25">
        <f t="shared" ca="1" si="527"/>
        <v>-775748.02934920264</v>
      </c>
    </row>
    <row r="597" spans="1:19" ht="15.75" customHeight="1" x14ac:dyDescent="0.3">
      <c r="A597" s="37">
        <v>69124</v>
      </c>
      <c r="B597" s="409">
        <f t="shared" ref="B597:C597" si="603">($A597-B$9)/365.25</f>
        <v>107.37303216974675</v>
      </c>
      <c r="C597" s="409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3525.4531757812501</v>
      </c>
      <c r="H597" s="25">
        <f>IF(B597&lt;62,0,'Combined Retirement'!$I$14)</f>
        <v>2192</v>
      </c>
      <c r="I597" s="25">
        <f>IF(C597&lt;62,0,'Combined Retirement'!$I$13)</f>
        <v>2420</v>
      </c>
      <c r="J597" s="25">
        <f t="shared" si="523"/>
        <v>7863.2184191855868</v>
      </c>
      <c r="K597" s="25">
        <f t="shared" si="524"/>
        <v>20282.026119384056</v>
      </c>
      <c r="L597" s="25"/>
      <c r="N597" s="25">
        <f>'Combined Retirement'!$C$18/12</f>
        <v>39153.069999999992</v>
      </c>
      <c r="O597" s="25">
        <f t="shared" si="525"/>
        <v>11007.82546143035</v>
      </c>
      <c r="P597" s="25">
        <f t="shared" si="526"/>
        <v>28145.244538569641</v>
      </c>
      <c r="Q597" s="25">
        <f t="array" aca="1" ref="Q597" ca="1">INDEX('Isaac 401k'!L:L,MATCH('Retirement Calculator'!A597,'Isaac 401k'!N:N,0),0)</f>
        <v>-260989.83624657628</v>
      </c>
      <c r="R597" s="25">
        <f t="array" aca="1" ref="R597" ca="1">INDEX('Lorri 401b'!L:L,MATCH('Retirement Calculator'!A597,'Lorri 401b'!N:N,0),0)</f>
        <v>-546252.99294906179</v>
      </c>
      <c r="S597" s="25">
        <f t="shared" ca="1" si="527"/>
        <v>-807242.82919563807</v>
      </c>
    </row>
    <row r="598" spans="1:19" ht="15.75" customHeight="1" x14ac:dyDescent="0.3">
      <c r="A598" s="37">
        <v>69154</v>
      </c>
      <c r="B598" s="409">
        <f t="shared" ref="B598:C598" si="604">($A598-B$9)/365.25</f>
        <v>107.45516769336071</v>
      </c>
      <c r="C598" s="409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3525.4531757812501</v>
      </c>
      <c r="H598" s="25">
        <f>IF(B598&lt;62,0,'Combined Retirement'!$I$14)</f>
        <v>2192</v>
      </c>
      <c r="I598" s="25">
        <f>IF(C598&lt;62,0,'Combined Retirement'!$I$13)</f>
        <v>2420</v>
      </c>
      <c r="J598" s="25">
        <f t="shared" si="523"/>
        <v>7863.2184191855868</v>
      </c>
      <c r="K598" s="25">
        <f t="shared" si="524"/>
        <v>20282.026119384056</v>
      </c>
      <c r="L598" s="25"/>
      <c r="N598" s="25">
        <f>'Combined Retirement'!$C$18/12</f>
        <v>39153.069999999992</v>
      </c>
      <c r="O598" s="25">
        <f t="shared" si="525"/>
        <v>11007.82546143035</v>
      </c>
      <c r="P598" s="25">
        <f t="shared" si="526"/>
        <v>28145.244538569641</v>
      </c>
      <c r="Q598" s="25">
        <f t="array" aca="1" ref="Q598" ca="1">INDEX('Isaac 401k'!L:L,MATCH('Retirement Calculator'!A598,'Isaac 401k'!N:N,0),0)</f>
        <v>-269973.27572686924</v>
      </c>
      <c r="R598" s="25">
        <f t="array" aca="1" ref="R598" ca="1">INDEX('Lorri 401b'!L:L,MATCH('Retirement Calculator'!A598,'Lorri 401b'!N:N,0),0)</f>
        <v>-568895.58164789772</v>
      </c>
      <c r="S598" s="25">
        <f t="shared" ca="1" si="527"/>
        <v>-838868.85737476696</v>
      </c>
    </row>
    <row r="599" spans="1:19" ht="15.75" customHeight="1" x14ac:dyDescent="0.3">
      <c r="A599" s="37">
        <v>69185</v>
      </c>
      <c r="B599" s="409">
        <f t="shared" ref="B599:C599" si="605">($A599-B$9)/365.25</f>
        <v>107.54004106776181</v>
      </c>
      <c r="C599" s="409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3525.4531757812501</v>
      </c>
      <c r="H599" s="25">
        <f>IF(B599&lt;62,0,'Combined Retirement'!$I$14)</f>
        <v>2192</v>
      </c>
      <c r="I599" s="25">
        <f>IF(C599&lt;62,0,'Combined Retirement'!$I$13)</f>
        <v>2420</v>
      </c>
      <c r="J599" s="25">
        <f t="shared" si="523"/>
        <v>7863.2184191855868</v>
      </c>
      <c r="K599" s="25">
        <f t="shared" si="524"/>
        <v>20282.026119384056</v>
      </c>
      <c r="L599" s="25"/>
      <c r="N599" s="25">
        <f>'Combined Retirement'!$C$18/12</f>
        <v>39153.069999999992</v>
      </c>
      <c r="O599" s="25">
        <f t="shared" si="525"/>
        <v>11007.82546143035</v>
      </c>
      <c r="P599" s="25">
        <f t="shared" si="526"/>
        <v>28145.244538569641</v>
      </c>
      <c r="Q599" s="25">
        <f t="array" aca="1" ref="Q599" ca="1">INDEX('Isaac 401k'!L:L,MATCH('Retirement Calculator'!A599,'Isaac 401k'!N:N,0),0)</f>
        <v>-278994.14620499674</v>
      </c>
      <c r="R599" s="25">
        <f t="array" aca="1" ref="R599" ca="1">INDEX('Lorri 401b'!L:L,MATCH('Retirement Calculator'!A599,'Lorri 401b'!N:N,0),0)</f>
        <v>-591632.51446631213</v>
      </c>
      <c r="S599" s="25">
        <f t="shared" ca="1" si="527"/>
        <v>-870626.66067130887</v>
      </c>
    </row>
    <row r="600" spans="1:19" ht="15.75" customHeight="1" x14ac:dyDescent="0.3">
      <c r="A600" s="37">
        <v>69215</v>
      </c>
      <c r="B600" s="409">
        <f t="shared" ref="B600:C600" si="606">($A600-B$9)/365.25</f>
        <v>107.62217659137578</v>
      </c>
      <c r="C600" s="409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3525.4531757812501</v>
      </c>
      <c r="H600" s="25">
        <f>IF(B600&lt;62,0,'Combined Retirement'!$I$14)</f>
        <v>2192</v>
      </c>
      <c r="I600" s="25">
        <f>IF(C600&lt;62,0,'Combined Retirement'!$I$13)</f>
        <v>2420</v>
      </c>
      <c r="J600" s="25">
        <f t="shared" si="523"/>
        <v>7863.2184191855868</v>
      </c>
      <c r="K600" s="25">
        <f t="shared" si="524"/>
        <v>20282.026119384056</v>
      </c>
      <c r="L600" s="25"/>
      <c r="N600" s="25">
        <f>'Combined Retirement'!$C$18/12</f>
        <v>39153.069999999992</v>
      </c>
      <c r="O600" s="25">
        <f t="shared" si="525"/>
        <v>11007.82546143035</v>
      </c>
      <c r="P600" s="25">
        <f t="shared" si="526"/>
        <v>28145.244538569641</v>
      </c>
      <c r="Q600" s="25">
        <f t="array" aca="1" ref="Q600" ca="1">INDEX('Isaac 401k'!L:L,MATCH('Retirement Calculator'!A600,'Isaac 401k'!N:N,0),0)</f>
        <v>-288052.60364344978</v>
      </c>
      <c r="R600" s="25">
        <f t="array" aca="1" ref="R600" ca="1">INDEX('Lorri 401b'!L:L,MATCH('Retirement Calculator'!A600,'Lorri 401b'!N:N,0),0)</f>
        <v>-614464.18450480327</v>
      </c>
      <c r="S600" s="25">
        <f t="shared" ca="1" si="527"/>
        <v>-902516.78814825299</v>
      </c>
    </row>
    <row r="601" spans="1:19" ht="15.75" customHeight="1" x14ac:dyDescent="0.3">
      <c r="A601" s="37">
        <v>69246</v>
      </c>
      <c r="B601" s="409">
        <f t="shared" ref="B601:C601" si="607">($A601-B$9)/365.25</f>
        <v>107.70704996577686</v>
      </c>
      <c r="C601" s="409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3525.4531757812501</v>
      </c>
      <c r="H601" s="25">
        <f>IF(B601&lt;62,0,'Combined Retirement'!$I$14)</f>
        <v>2192</v>
      </c>
      <c r="I601" s="25">
        <f>IF(C601&lt;62,0,'Combined Retirement'!$I$13)</f>
        <v>2420</v>
      </c>
      <c r="J601" s="25">
        <f t="shared" si="523"/>
        <v>7863.2184191855868</v>
      </c>
      <c r="K601" s="25">
        <f t="shared" si="524"/>
        <v>20282.026119384056</v>
      </c>
      <c r="L601" s="25"/>
      <c r="N601" s="25">
        <f>'Combined Retirement'!$C$18/12</f>
        <v>39153.069999999992</v>
      </c>
      <c r="O601" s="25">
        <f t="shared" si="525"/>
        <v>11007.82546143035</v>
      </c>
      <c r="P601" s="25">
        <f t="shared" si="526"/>
        <v>28145.244538569641</v>
      </c>
      <c r="Q601" s="25">
        <f t="array" aca="1" ref="Q601" ca="1">INDEX('Isaac 401k'!L:L,MATCH('Retirement Calculator'!A601,'Isaac 401k'!N:N,0),0)</f>
        <v>-297148.80465456302</v>
      </c>
      <c r="R601" s="25">
        <f t="array" aca="1" ref="R601" ca="1">INDEX('Lorri 401b'!L:L,MATCH('Retirement Calculator'!A601,'Lorri 401b'!N:N,0),0)</f>
        <v>-637390.98650178814</v>
      </c>
      <c r="S601" s="25">
        <f t="shared" ca="1" si="527"/>
        <v>-934539.7911563511</v>
      </c>
    </row>
    <row r="602" spans="1:19" ht="15.75" customHeight="1" x14ac:dyDescent="0.3">
      <c r="A602" s="37">
        <v>69277</v>
      </c>
      <c r="B602" s="409">
        <f t="shared" ref="B602:C602" si="608">($A602-B$9)/365.25</f>
        <v>107.79192334017796</v>
      </c>
      <c r="C602" s="409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3525.4531757812501</v>
      </c>
      <c r="H602" s="25">
        <f>IF(B602&lt;62,0,'Combined Retirement'!$I$14)</f>
        <v>2192</v>
      </c>
      <c r="I602" s="25">
        <f>IF(C602&lt;62,0,'Combined Retirement'!$I$13)</f>
        <v>2420</v>
      </c>
      <c r="J602" s="25">
        <f t="shared" si="523"/>
        <v>7863.2184191855868</v>
      </c>
      <c r="K602" s="25">
        <f t="shared" si="524"/>
        <v>20282.026119384056</v>
      </c>
      <c r="L602" s="25"/>
      <c r="N602" s="25">
        <f>'Combined Retirement'!$C$18/12</f>
        <v>39153.069999999992</v>
      </c>
      <c r="O602" s="25">
        <f t="shared" si="525"/>
        <v>11007.82546143035</v>
      </c>
      <c r="P602" s="25">
        <f t="shared" si="526"/>
        <v>28145.244538569641</v>
      </c>
      <c r="Q602" s="25">
        <f t="array" aca="1" ref="Q602" ca="1">INDEX('Isaac 401k'!L:L,MATCH('Retirement Calculator'!A602,'Isaac 401k'!N:N,0),0)</f>
        <v>-306282.90650322259</v>
      </c>
      <c r="R602" s="25">
        <f t="array" aca="1" ref="R602" ca="1">INDEX('Lorri 401b'!L:L,MATCH('Retirement Calculator'!A602,'Lorri 401b'!N:N,0),0)</f>
        <v>-660413.31684042711</v>
      </c>
      <c r="S602" s="25">
        <f t="shared" ca="1" si="527"/>
        <v>-966696.22334364965</v>
      </c>
    </row>
    <row r="603" spans="1:19" ht="15.75" customHeight="1" x14ac:dyDescent="0.3">
      <c r="A603" s="37">
        <v>69307</v>
      </c>
      <c r="B603" s="409">
        <f t="shared" ref="B603:C603" si="609">($A603-B$9)/365.25</f>
        <v>107.87405886379193</v>
      </c>
      <c r="C603" s="409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3525.4531757812501</v>
      </c>
      <c r="H603" s="25">
        <f>IF(B603&lt;62,0,'Combined Retirement'!$I$14)</f>
        <v>2192</v>
      </c>
      <c r="I603" s="25">
        <f>IF(C603&lt;62,0,'Combined Retirement'!$I$13)</f>
        <v>2420</v>
      </c>
      <c r="J603" s="25">
        <f t="shared" si="523"/>
        <v>7863.2184191855868</v>
      </c>
      <c r="K603" s="25">
        <f t="shared" si="524"/>
        <v>20282.026119384056</v>
      </c>
      <c r="L603" s="25"/>
      <c r="N603" s="25">
        <f>'Combined Retirement'!$C$18/12</f>
        <v>39153.069999999992</v>
      </c>
      <c r="O603" s="25">
        <f t="shared" si="525"/>
        <v>11007.82546143035</v>
      </c>
      <c r="P603" s="25">
        <f t="shared" si="526"/>
        <v>28145.244538569641</v>
      </c>
      <c r="Q603" s="25">
        <f t="array" aca="1" ref="Q603" ca="1">INDEX('Isaac 401k'!L:L,MATCH('Retirement Calculator'!A603,'Isaac 401k'!N:N,0),0)</f>
        <v>-315455.06710958492</v>
      </c>
      <c r="R603" s="25">
        <f t="array" aca="1" ref="R603" ca="1">INDEX('Lorri 401b'!L:L,MATCH('Retirement Calculator'!A603,'Lorri 401b'!N:N,0),0)</f>
        <v>-683531.57355547708</v>
      </c>
      <c r="S603" s="25">
        <f t="shared" ca="1" si="527"/>
        <v>-998986.640665062</v>
      </c>
    </row>
    <row r="604" spans="1:19" ht="15.75" customHeight="1" x14ac:dyDescent="0.3">
      <c r="A604" s="37">
        <v>69338</v>
      </c>
      <c r="B604" s="409">
        <f t="shared" ref="B604:C604" si="610">($A604-B$9)/365.25</f>
        <v>107.95893223819301</v>
      </c>
      <c r="C604" s="409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3525.4531757812501</v>
      </c>
      <c r="H604" s="25">
        <f>IF(B604&lt;62,0,'Combined Retirement'!$I$14)</f>
        <v>2192</v>
      </c>
      <c r="I604" s="25">
        <f>IF(C604&lt;62,0,'Combined Retirement'!$I$13)</f>
        <v>2420</v>
      </c>
      <c r="J604" s="25">
        <f t="shared" si="523"/>
        <v>7863.2184191855868</v>
      </c>
      <c r="K604" s="25">
        <f t="shared" si="524"/>
        <v>20282.026119384056</v>
      </c>
      <c r="L604" s="25"/>
      <c r="N604" s="25">
        <f>'Combined Retirement'!$C$18/12</f>
        <v>39153.069999999992</v>
      </c>
      <c r="O604" s="25">
        <f t="shared" si="525"/>
        <v>11007.82546143035</v>
      </c>
      <c r="P604" s="25">
        <f t="shared" si="526"/>
        <v>28145.244538569641</v>
      </c>
      <c r="Q604" s="25">
        <f t="array" aca="1" ref="Q604" ca="1">INDEX('Isaac 401k'!L:L,MATCH('Retirement Calculator'!A604,'Isaac 401k'!N:N,0),0)</f>
        <v>-324665.4450518071</v>
      </c>
      <c r="R604" s="25">
        <f t="array" aca="1" ref="R604" ca="1">INDEX('Lorri 401b'!L:L,MATCH('Retirement Calculator'!A604,'Lorri 401b'!N:N,0),0)</f>
        <v>-706746.1563401731</v>
      </c>
      <c r="S604" s="25">
        <f t="shared" ca="1" si="527"/>
        <v>-1031411.6013919802</v>
      </c>
    </row>
    <row r="605" spans="1:19" ht="15.75" customHeight="1" x14ac:dyDescent="0.3">
      <c r="A605" s="37">
        <v>69368</v>
      </c>
      <c r="B605" s="409">
        <f t="shared" ref="B605:C605" si="611">($A605-B$9)/365.25</f>
        <v>108.04106776180699</v>
      </c>
      <c r="C605" s="409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3525.4531757812501</v>
      </c>
      <c r="H605" s="25">
        <f>IF(B605&lt;62,0,'Combined Retirement'!$I$14)</f>
        <v>2192</v>
      </c>
      <c r="I605" s="25">
        <f>IF(C605&lt;62,0,'Combined Retirement'!$I$13)</f>
        <v>2420</v>
      </c>
      <c r="J605" s="25">
        <f t="shared" si="523"/>
        <v>7863.2184191855868</v>
      </c>
      <c r="K605" s="25">
        <f t="shared" si="524"/>
        <v>20282.026119384056</v>
      </c>
      <c r="L605" s="25"/>
      <c r="N605" s="25">
        <f>'Combined Retirement'!$C$18/12</f>
        <v>39153.069999999992</v>
      </c>
      <c r="O605" s="25">
        <f t="shared" si="525"/>
        <v>11007.82546143035</v>
      </c>
      <c r="P605" s="25">
        <f t="shared" si="526"/>
        <v>28145.244538569641</v>
      </c>
      <c r="Q605" s="25">
        <f t="array" aca="1" ref="Q605" ca="1">INDEX('Isaac 401k'!L:L,MATCH('Retirement Calculator'!A605,'Isaac 401k'!N:N,0),0)</f>
        <v>-333914.19956878852</v>
      </c>
      <c r="R605" s="25">
        <f t="array" aca="1" ref="R605" ca="1">INDEX('Lorri 401b'!L:L,MATCH('Retirement Calculator'!A605,'Lorri 401b'!N:N,0),0)</f>
        <v>-730057.46655313869</v>
      </c>
      <c r="S605" s="25">
        <f t="shared" ca="1" si="527"/>
        <v>-1063971.6661219271</v>
      </c>
    </row>
    <row r="606" spans="1:19" ht="15.75" customHeight="1" x14ac:dyDescent="0.3">
      <c r="A606" s="37">
        <v>69399</v>
      </c>
      <c r="B606" s="409">
        <f t="shared" ref="B606:C606" si="612">($A606-B$9)/365.25</f>
        <v>108.12594113620807</v>
      </c>
      <c r="C606" s="409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3525.4531757812501</v>
      </c>
      <c r="H606" s="25">
        <f>IF(B606&lt;62,0,'Combined Retirement'!$I$14)</f>
        <v>2192</v>
      </c>
      <c r="I606" s="25">
        <f>IF(C606&lt;62,0,'Combined Retirement'!$I$13)</f>
        <v>2420</v>
      </c>
      <c r="J606" s="25">
        <f t="shared" si="523"/>
        <v>7863.2184191855868</v>
      </c>
      <c r="K606" s="25">
        <f t="shared" si="524"/>
        <v>20282.026119384056</v>
      </c>
      <c r="L606" s="25"/>
      <c r="N606" s="25">
        <f>'Combined Retirement'!$C$18/12</f>
        <v>39153.069999999992</v>
      </c>
      <c r="O606" s="25">
        <f t="shared" si="525"/>
        <v>11007.82546143035</v>
      </c>
      <c r="P606" s="25">
        <f t="shared" si="526"/>
        <v>28145.244538569641</v>
      </c>
      <c r="Q606" s="25">
        <f t="array" aca="1" ref="Q606" ca="1">INDEX('Isaac 401k'!L:L,MATCH('Retirement Calculator'!A606,'Isaac 401k'!N:N,0),0)</f>
        <v>-343201.49056292401</v>
      </c>
      <c r="R606" s="25">
        <f t="array" aca="1" ref="R606" ca="1">INDEX('Lorri 401b'!L:L,MATCH('Retirement Calculator'!A606,'Lorri 401b'!N:N,0),0)</f>
        <v>-753465.90722532501</v>
      </c>
      <c r="S606" s="25">
        <f t="shared" ca="1" si="527"/>
        <v>-1096667.397788249</v>
      </c>
    </row>
    <row r="607" spans="1:19" ht="15.75" customHeight="1" x14ac:dyDescent="0.3">
      <c r="A607" s="37">
        <v>69430</v>
      </c>
      <c r="B607" s="409">
        <f t="shared" ref="B607:C607" si="613">($A607-B$9)/365.25</f>
        <v>108.21081451060917</v>
      </c>
      <c r="C607" s="409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3525.4531757812501</v>
      </c>
      <c r="H607" s="25">
        <f>IF(B607&lt;62,0,'Combined Retirement'!$I$14)</f>
        <v>2192</v>
      </c>
      <c r="I607" s="25">
        <f>IF(C607&lt;62,0,'Combined Retirement'!$I$13)</f>
        <v>2420</v>
      </c>
      <c r="J607" s="25">
        <f t="shared" si="523"/>
        <v>7863.2184191855868</v>
      </c>
      <c r="K607" s="25">
        <f t="shared" si="524"/>
        <v>20282.026119384056</v>
      </c>
      <c r="L607" s="25"/>
      <c r="N607" s="25">
        <f>'Combined Retirement'!$C$18/12</f>
        <v>39153.069999999992</v>
      </c>
      <c r="O607" s="25">
        <f t="shared" si="525"/>
        <v>11007.82546143035</v>
      </c>
      <c r="P607" s="25">
        <f t="shared" si="526"/>
        <v>28145.244538569641</v>
      </c>
      <c r="Q607" s="25">
        <f t="array" aca="1" ref="Q607" ca="1">INDEX('Isaac 401k'!L:L,MATCH('Retirement Calculator'!A607,'Isaac 401k'!N:N,0),0)</f>
        <v>-352527.47860286839</v>
      </c>
      <c r="R607" s="25">
        <f t="array" aca="1" ref="R607" ca="1">INDEX('Lorri 401b'!L:L,MATCH('Retirement Calculator'!A607,'Lorri 401b'!N:N,0),0)</f>
        <v>-776971.88306697877</v>
      </c>
      <c r="S607" s="25">
        <f t="shared" ca="1" si="527"/>
        <v>-1129499.3616698473</v>
      </c>
    </row>
    <row r="608" spans="1:19" ht="15.75" customHeight="1" x14ac:dyDescent="0.3">
      <c r="A608" s="37">
        <v>69458</v>
      </c>
      <c r="B608" s="409">
        <f t="shared" ref="B608:C608" si="614">($A608-B$9)/365.25</f>
        <v>108.28747433264887</v>
      </c>
      <c r="C608" s="409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3525.4531757812501</v>
      </c>
      <c r="H608" s="25">
        <f>IF(B608&lt;62,0,'Combined Retirement'!$I$14)</f>
        <v>2192</v>
      </c>
      <c r="I608" s="25">
        <f>IF(C608&lt;62,0,'Combined Retirement'!$I$13)</f>
        <v>2420</v>
      </c>
      <c r="J608" s="25">
        <f t="shared" si="523"/>
        <v>7863.2184191855868</v>
      </c>
      <c r="K608" s="25">
        <f t="shared" si="524"/>
        <v>20282.026119384056</v>
      </c>
      <c r="L608" s="25"/>
      <c r="N608" s="25">
        <f>'Combined Retirement'!$C$18/12</f>
        <v>39153.069999999992</v>
      </c>
      <c r="O608" s="25">
        <f t="shared" si="525"/>
        <v>11007.82546143035</v>
      </c>
      <c r="P608" s="25">
        <f t="shared" si="526"/>
        <v>28145.244538569641</v>
      </c>
      <c r="Q608" s="25">
        <f t="array" aca="1" ref="Q608" ca="1">INDEX('Isaac 401k'!L:L,MATCH('Retirement Calculator'!A608,'Isaac 401k'!N:N,0),0)</f>
        <v>-361892.32492631255</v>
      </c>
      <c r="R608" s="25">
        <f t="array" aca="1" ref="R608" ca="1">INDEX('Lorri 401b'!L:L,MATCH('Retirement Calculator'!A608,'Lorri 401b'!N:N,0),0)</f>
        <v>-800575.8004746394</v>
      </c>
      <c r="S608" s="25">
        <f t="shared" ca="1" si="527"/>
        <v>-1162468.1254009521</v>
      </c>
    </row>
    <row r="609" spans="1:19" ht="15.75" customHeight="1" x14ac:dyDescent="0.3">
      <c r="A609" s="37">
        <v>69489</v>
      </c>
      <c r="B609" s="409">
        <f t="shared" ref="B609:C609" si="615">($A609-B$9)/365.25</f>
        <v>108.37234770704997</v>
      </c>
      <c r="C609" s="409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3525.4531757812501</v>
      </c>
      <c r="H609" s="25">
        <f>IF(B609&lt;62,0,'Combined Retirement'!$I$14)</f>
        <v>2192</v>
      </c>
      <c r="I609" s="25">
        <f>IF(C609&lt;62,0,'Combined Retirement'!$I$13)</f>
        <v>2420</v>
      </c>
      <c r="J609" s="25">
        <f t="shared" si="523"/>
        <v>7863.2184191855868</v>
      </c>
      <c r="K609" s="25">
        <f t="shared" si="524"/>
        <v>20282.026119384056</v>
      </c>
      <c r="L609" s="25"/>
      <c r="N609" s="25">
        <f>'Combined Retirement'!$C$18/12</f>
        <v>39153.069999999992</v>
      </c>
      <c r="O609" s="25">
        <f t="shared" si="525"/>
        <v>11007.82546143035</v>
      </c>
      <c r="P609" s="25">
        <f t="shared" si="526"/>
        <v>28145.244538569641</v>
      </c>
      <c r="Q609" s="25">
        <f t="array" aca="1" ref="Q609" ca="1">INDEX('Isaac 401k'!L:L,MATCH('Retirement Calculator'!A609,'Isaac 401k'!N:N,0),0)</f>
        <v>-371296.19144277106</v>
      </c>
      <c r="R609" s="25">
        <f t="array" aca="1" ref="R609" ca="1">INDEX('Lorri 401b'!L:L,MATCH('Retirement Calculator'!A609,'Lorri 401b'!N:N,0),0)</f>
        <v>-824278.06753816525</v>
      </c>
      <c r="S609" s="25">
        <f t="shared" ca="1" si="527"/>
        <v>-1195574.2589809364</v>
      </c>
    </row>
    <row r="610" spans="1:19" ht="15.75" customHeight="1" x14ac:dyDescent="0.3">
      <c r="A610" s="37">
        <v>69519</v>
      </c>
      <c r="B610" s="409">
        <f t="shared" ref="B610:C610" si="616">($A610-B$9)/365.25</f>
        <v>108.45448323066393</v>
      </c>
      <c r="C610" s="409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3525.4531757812501</v>
      </c>
      <c r="H610" s="25">
        <f>IF(B610&lt;62,0,'Combined Retirement'!$I$14)</f>
        <v>2192</v>
      </c>
      <c r="I610" s="25">
        <f>IF(C610&lt;62,0,'Combined Retirement'!$I$13)</f>
        <v>2420</v>
      </c>
      <c r="J610" s="25">
        <f t="shared" si="523"/>
        <v>7863.2184191855868</v>
      </c>
      <c r="K610" s="25">
        <f t="shared" si="524"/>
        <v>20282.026119384056</v>
      </c>
      <c r="L610" s="25"/>
      <c r="N610" s="25">
        <f>'Combined Retirement'!$C$18/12</f>
        <v>39153.069999999992</v>
      </c>
      <c r="O610" s="25">
        <f t="shared" si="525"/>
        <v>11007.82546143035</v>
      </c>
      <c r="P610" s="25">
        <f t="shared" si="526"/>
        <v>28145.244538569641</v>
      </c>
      <c r="Q610" s="25">
        <f t="array" aca="1" ref="Q610" ca="1">INDEX('Isaac 401k'!L:L,MATCH('Retirement Calculator'!A610,'Isaac 401k'!N:N,0),0)</f>
        <v>-380739.2407363815</v>
      </c>
      <c r="R610" s="25">
        <f t="array" aca="1" ref="R610" ca="1">INDEX('Lorri 401b'!L:L,MATCH('Retirement Calculator'!A610,'Lorri 401b'!N:N,0),0)</f>
        <v>-848079.09404778911</v>
      </c>
      <c r="S610" s="25">
        <f t="shared" ca="1" si="527"/>
        <v>-1228818.3347841706</v>
      </c>
    </row>
    <row r="611" spans="1:19" ht="15.75" customHeight="1" x14ac:dyDescent="0.3">
      <c r="A611" s="37">
        <v>69550</v>
      </c>
      <c r="B611" s="409">
        <f t="shared" ref="B611:C611" si="617">($A611-B$9)/365.25</f>
        <v>108.53935660506502</v>
      </c>
      <c r="C611" s="409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3525.4531757812501</v>
      </c>
      <c r="H611" s="25">
        <f>IF(B611&lt;62,0,'Combined Retirement'!$I$14)</f>
        <v>2192</v>
      </c>
      <c r="I611" s="25">
        <f>IF(C611&lt;62,0,'Combined Retirement'!$I$13)</f>
        <v>2420</v>
      </c>
      <c r="J611" s="25">
        <f t="shared" si="523"/>
        <v>7863.2184191855868</v>
      </c>
      <c r="K611" s="25">
        <f t="shared" si="524"/>
        <v>20282.026119384056</v>
      </c>
      <c r="L611" s="25"/>
      <c r="N611" s="25">
        <f>'Combined Retirement'!$C$18/12</f>
        <v>39153.069999999992</v>
      </c>
      <c r="O611" s="25">
        <f t="shared" si="525"/>
        <v>11007.82546143035</v>
      </c>
      <c r="P611" s="25">
        <f t="shared" si="526"/>
        <v>28145.244538569641</v>
      </c>
      <c r="Q611" s="25">
        <f t="array" aca="1" ref="Q611" ca="1">INDEX('Isaac 401k'!L:L,MATCH('Retirement Calculator'!A611,'Isaac 401k'!N:N,0),0)</f>
        <v>-390221.63606871531</v>
      </c>
      <c r="R611" s="25">
        <f t="array" aca="1" ref="R611" ca="1">INDEX('Lorri 401b'!L:L,MATCH('Retirement Calculator'!A611,'Lorri 401b'!N:N,0),0)</f>
        <v>-871979.29150120309</v>
      </c>
      <c r="S611" s="25">
        <f t="shared" ca="1" si="527"/>
        <v>-1262200.9275699183</v>
      </c>
    </row>
    <row r="612" spans="1:19" ht="15.75" customHeight="1" x14ac:dyDescent="0.3">
      <c r="A612" s="37">
        <v>69580</v>
      </c>
      <c r="B612" s="409">
        <f t="shared" ref="B612:C612" si="618">($A612-B$9)/365.25</f>
        <v>108.62149212867898</v>
      </c>
      <c r="C612" s="409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3525.4531757812501</v>
      </c>
      <c r="H612" s="25">
        <f>IF(B612&lt;62,0,'Combined Retirement'!$I$14)</f>
        <v>2192</v>
      </c>
      <c r="I612" s="25">
        <f>IF(C612&lt;62,0,'Combined Retirement'!$I$13)</f>
        <v>2420</v>
      </c>
      <c r="J612" s="25">
        <f t="shared" si="523"/>
        <v>7863.2184191855868</v>
      </c>
      <c r="K612" s="25">
        <f t="shared" si="524"/>
        <v>20282.026119384056</v>
      </c>
      <c r="L612" s="25"/>
      <c r="N612" s="25">
        <f>'Combined Retirement'!$C$18/12</f>
        <v>39153.069999999992</v>
      </c>
      <c r="O612" s="25">
        <f t="shared" si="525"/>
        <v>11007.82546143035</v>
      </c>
      <c r="P612" s="25">
        <f t="shared" si="526"/>
        <v>28145.244538569641</v>
      </c>
      <c r="Q612" s="25">
        <f t="array" aca="1" ref="Q612" ca="1">INDEX('Isaac 401k'!L:L,MATCH('Retirement Calculator'!A612,'Isaac 401k'!N:N,0),0)</f>
        <v>-399743.54138160049</v>
      </c>
      <c r="R612" s="25">
        <f t="array" aca="1" ref="R612" ca="1">INDEX('Lorri 401b'!L:L,MATCH('Retirement Calculator'!A612,'Lorri 401b'!N:N,0),0)</f>
        <v>-895979.07311067299</v>
      </c>
      <c r="S612" s="25">
        <f t="shared" ca="1" si="527"/>
        <v>-1295722.6144922734</v>
      </c>
    </row>
    <row r="613" spans="1:19" ht="15.75" customHeight="1" x14ac:dyDescent="0.3">
      <c r="A613" s="37">
        <v>69611</v>
      </c>
      <c r="B613" s="409">
        <f t="shared" ref="B613:C613" si="619">($A613-B$9)/365.25</f>
        <v>108.70636550308008</v>
      </c>
      <c r="C613" s="409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3525.4531757812501</v>
      </c>
      <c r="H613" s="25">
        <f>IF(B613&lt;62,0,'Combined Retirement'!$I$14)</f>
        <v>2192</v>
      </c>
      <c r="I613" s="25">
        <f>IF(C613&lt;62,0,'Combined Retirement'!$I$13)</f>
        <v>2420</v>
      </c>
      <c r="J613" s="25">
        <f t="shared" si="523"/>
        <v>7863.2184191855868</v>
      </c>
      <c r="K613" s="25">
        <f t="shared" si="524"/>
        <v>20282.026119384056</v>
      </c>
      <c r="L613" s="25"/>
      <c r="N613" s="25">
        <f>'Combined Retirement'!$C$18/12</f>
        <v>39153.069999999992</v>
      </c>
      <c r="O613" s="25">
        <f t="shared" si="525"/>
        <v>11007.82546143035</v>
      </c>
      <c r="P613" s="25">
        <f t="shared" si="526"/>
        <v>28145.244538569641</v>
      </c>
      <c r="Q613" s="25">
        <f t="array" aca="1" ref="Q613" ca="1">INDEX('Isaac 401k'!L:L,MATCH('Retirement Calculator'!A613,'Isaac 401k'!N:N,0),0)</f>
        <v>-409305.12129995605</v>
      </c>
      <c r="R613" s="25">
        <f t="array" aca="1" ref="R613" ca="1">INDEX('Lorri 401b'!L:L,MATCH('Retirement Calculator'!A613,'Lorri 401b'!N:N,0),0)</f>
        <v>-920078.85381018231</v>
      </c>
      <c r="S613" s="25">
        <f t="shared" ca="1" si="527"/>
        <v>-1329383.9751101383</v>
      </c>
    </row>
    <row r="614" spans="1:19" ht="15.75" customHeight="1" x14ac:dyDescent="0.3">
      <c r="A614" s="37">
        <v>69642</v>
      </c>
      <c r="B614" s="409">
        <f t="shared" ref="B614:C614" si="620">($A614-B$9)/365.25</f>
        <v>108.79123887748118</v>
      </c>
      <c r="C614" s="409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3525.4531757812501</v>
      </c>
      <c r="H614" s="25">
        <f>IF(B614&lt;62,0,'Combined Retirement'!$I$14)</f>
        <v>2192</v>
      </c>
      <c r="I614" s="25">
        <f>IF(C614&lt;62,0,'Combined Retirement'!$I$13)</f>
        <v>2420</v>
      </c>
      <c r="J614" s="25">
        <f t="shared" si="523"/>
        <v>7863.2184191855868</v>
      </c>
      <c r="K614" s="25">
        <f t="shared" si="524"/>
        <v>20282.026119384056</v>
      </c>
      <c r="L614" s="25"/>
      <c r="N614" s="25">
        <f>'Combined Retirement'!$C$18/12</f>
        <v>39153.069999999992</v>
      </c>
      <c r="O614" s="25">
        <f t="shared" si="525"/>
        <v>11007.82546143035</v>
      </c>
      <c r="P614" s="25">
        <f t="shared" si="526"/>
        <v>28145.244538569641</v>
      </c>
      <c r="Q614" s="25">
        <f t="array" aca="1" ref="Q614" ca="1">INDEX('Isaac 401k'!L:L,MATCH('Retirement Calculator'!A614,'Isaac 401k'!N:N,0),0)</f>
        <v>-418906.54113463807</v>
      </c>
      <c r="R614" s="25">
        <f t="array" aca="1" ref="R614" ca="1">INDEX('Lorri 401b'!L:L,MATCH('Retirement Calculator'!A614,'Lorri 401b'!N:N,0),0)</f>
        <v>-944279.05026260624</v>
      </c>
      <c r="S614" s="25">
        <f t="shared" ca="1" si="527"/>
        <v>-1363185.5913972443</v>
      </c>
    </row>
    <row r="615" spans="1:19" ht="15.75" customHeight="1" x14ac:dyDescent="0.3">
      <c r="A615" s="37">
        <v>69672</v>
      </c>
      <c r="B615" s="409">
        <f t="shared" ref="B615:C615" si="621">($A615-B$9)/365.25</f>
        <v>108.87337440109513</v>
      </c>
      <c r="C615" s="409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3525.4531757812501</v>
      </c>
      <c r="H615" s="25">
        <f>IF(B615&lt;62,0,'Combined Retirement'!$I$14)</f>
        <v>2192</v>
      </c>
      <c r="I615" s="25">
        <f>IF(C615&lt;62,0,'Combined Retirement'!$I$13)</f>
        <v>2420</v>
      </c>
      <c r="J615" s="25">
        <f t="shared" si="523"/>
        <v>7863.2184191855868</v>
      </c>
      <c r="K615" s="25">
        <f t="shared" si="524"/>
        <v>20282.026119384056</v>
      </c>
      <c r="L615" s="25"/>
      <c r="N615" s="25">
        <f>'Combined Retirement'!$C$18/12</f>
        <v>39153.069999999992</v>
      </c>
      <c r="O615" s="25">
        <f t="shared" si="525"/>
        <v>11007.82546143035</v>
      </c>
      <c r="P615" s="25">
        <f t="shared" si="526"/>
        <v>28145.244538569641</v>
      </c>
      <c r="Q615" s="25">
        <f t="array" aca="1" ref="Q615" ca="1">INDEX('Isaac 401k'!L:L,MATCH('Retirement Calculator'!A615,'Isaac 401k'!N:N,0),0)</f>
        <v>-428547.96688529797</v>
      </c>
      <c r="R615" s="25">
        <f t="array" aca="1" ref="R615" ca="1">INDEX('Lorri 401b'!L:L,MATCH('Retirement Calculator'!A615,'Lorri 401b'!N:N,0),0)</f>
        <v>-968580.08086691529</v>
      </c>
      <c r="S615" s="25">
        <f t="shared" ca="1" si="527"/>
        <v>-1397128.0477522132</v>
      </c>
    </row>
    <row r="616" spans="1:19" ht="15.75" customHeight="1" x14ac:dyDescent="0.3">
      <c r="A616" s="37">
        <v>69703</v>
      </c>
      <c r="B616" s="409">
        <f t="shared" ref="B616:C616" si="622">($A616-B$9)/365.25</f>
        <v>108.95824777549623</v>
      </c>
      <c r="C616" s="409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3525.4531757812501</v>
      </c>
      <c r="H616" s="25">
        <f>IF(B616&lt;62,0,'Combined Retirement'!$I$14)</f>
        <v>2192</v>
      </c>
      <c r="I616" s="25">
        <f>IF(C616&lt;62,0,'Combined Retirement'!$I$13)</f>
        <v>2420</v>
      </c>
      <c r="J616" s="25">
        <f t="shared" si="523"/>
        <v>7863.2184191855868</v>
      </c>
      <c r="K616" s="25">
        <f t="shared" si="524"/>
        <v>20282.026119384056</v>
      </c>
      <c r="L616" s="25"/>
      <c r="N616" s="25">
        <f>'Combined Retirement'!$C$18/12</f>
        <v>39153.069999999992</v>
      </c>
      <c r="O616" s="25">
        <f t="shared" si="525"/>
        <v>11007.82546143035</v>
      </c>
      <c r="P616" s="25">
        <f t="shared" si="526"/>
        <v>28145.244538569641</v>
      </c>
      <c r="Q616" s="25">
        <f t="array" aca="1" ref="Q616" ca="1">INDEX('Isaac 401k'!L:L,MATCH('Retirement Calculator'!A616,'Isaac 401k'!N:N,0),0)</f>
        <v>-438229.56524325226</v>
      </c>
      <c r="R616" s="25">
        <f t="array" aca="1" ref="R616" ca="1">INDEX('Lorri 401b'!L:L,MATCH('Retirement Calculator'!A616,'Lorri 401b'!N:N,0),0)</f>
        <v>-992982.36576540896</v>
      </c>
      <c r="S616" s="25">
        <f t="shared" ca="1" si="527"/>
        <v>-1431211.9310086612</v>
      </c>
    </row>
    <row r="617" spans="1:19" ht="15.75" customHeight="1" x14ac:dyDescent="0.3">
      <c r="A617" s="37">
        <v>69733</v>
      </c>
      <c r="B617" s="409">
        <f t="shared" ref="B617:C617" si="623">($A617-B$9)/365.25</f>
        <v>109.0403832991102</v>
      </c>
      <c r="C617" s="409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3525.4531757812501</v>
      </c>
      <c r="H617" s="25">
        <f>IF(B617&lt;62,0,'Combined Retirement'!$I$14)</f>
        <v>2192</v>
      </c>
      <c r="I617" s="25">
        <f>IF(C617&lt;62,0,'Combined Retirement'!$I$13)</f>
        <v>2420</v>
      </c>
      <c r="J617" s="25">
        <f t="shared" si="523"/>
        <v>7863.2184191855868</v>
      </c>
      <c r="K617" s="25">
        <f t="shared" si="524"/>
        <v>20282.026119384056</v>
      </c>
      <c r="L617" s="25"/>
      <c r="N617" s="25">
        <f>'Combined Retirement'!$C$18/12</f>
        <v>39153.069999999992</v>
      </c>
      <c r="O617" s="25">
        <f t="shared" si="525"/>
        <v>11007.82546143035</v>
      </c>
      <c r="P617" s="25">
        <f t="shared" si="526"/>
        <v>28145.244538569641</v>
      </c>
      <c r="Q617" s="25">
        <f t="array" aca="1" ref="Q617" ca="1">INDEX('Isaac 401k'!L:L,MATCH('Retirement Calculator'!A617,'Isaac 401k'!N:N,0),0)</f>
        <v>-447951.50359436468</v>
      </c>
      <c r="R617" s="25">
        <f t="array" aca="1" ref="R617" ca="1">INDEX('Lorri 401b'!L:L,MATCH('Retirement Calculator'!A617,'Lorri 401b'!N:N,0),0)</f>
        <v>-1017486.3268509797</v>
      </c>
      <c r="S617" s="25">
        <f t="shared" ca="1" si="527"/>
        <v>-1465437.8304453443</v>
      </c>
    </row>
    <row r="618" spans="1:19" ht="15.75" customHeight="1" x14ac:dyDescent="0.3">
      <c r="A618" s="37">
        <v>69764</v>
      </c>
      <c r="B618" s="409">
        <f t="shared" ref="B618:C618" si="624">($A618-B$9)/365.25</f>
        <v>109.12525667351129</v>
      </c>
      <c r="C618" s="409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3525.4531757812501</v>
      </c>
      <c r="H618" s="25">
        <f>IF(B618&lt;62,0,'Combined Retirement'!$I$14)</f>
        <v>2192</v>
      </c>
      <c r="I618" s="25">
        <f>IF(C618&lt;62,0,'Combined Retirement'!$I$13)</f>
        <v>2420</v>
      </c>
      <c r="J618" s="25">
        <f t="shared" si="523"/>
        <v>7863.2184191855868</v>
      </c>
      <c r="K618" s="25">
        <f t="shared" si="524"/>
        <v>20282.026119384056</v>
      </c>
      <c r="L618" s="25"/>
      <c r="N618" s="25">
        <f>'Combined Retirement'!$C$18/12</f>
        <v>39153.069999999992</v>
      </c>
      <c r="O618" s="25">
        <f t="shared" si="525"/>
        <v>11007.82546143035</v>
      </c>
      <c r="P618" s="25">
        <f t="shared" si="526"/>
        <v>28145.244538569641</v>
      </c>
      <c r="Q618" s="25">
        <f t="array" aca="1" ref="Q618" ca="1">INDEX('Isaac 401k'!L:L,MATCH('Retirement Calculator'!A618,'Isaac 401k'!N:N,0),0)</f>
        <v>-457713.95002194005</v>
      </c>
      <c r="R618" s="25">
        <f t="array" aca="1" ref="R618" ca="1">INDEX('Lorri 401b'!L:L,MATCH('Retirement Calculator'!A618,'Lorri 401b'!N:N,0),0)</f>
        <v>-1042092.3877744069</v>
      </c>
      <c r="S618" s="25">
        <f t="shared" ca="1" si="527"/>
        <v>-1499806.337796347</v>
      </c>
    </row>
    <row r="619" spans="1:19" ht="15.75" customHeight="1" x14ac:dyDescent="0.3">
      <c r="A619" s="37">
        <v>69795</v>
      </c>
      <c r="B619" s="409">
        <f t="shared" ref="B619:C619" si="625">($A619-B$9)/365.25</f>
        <v>109.21013004791239</v>
      </c>
      <c r="C619" s="409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3525.4531757812501</v>
      </c>
      <c r="H619" s="25">
        <f>IF(B619&lt;62,0,'Combined Retirement'!$I$14)</f>
        <v>2192</v>
      </c>
      <c r="I619" s="25">
        <f>IF(C619&lt;62,0,'Combined Retirement'!$I$13)</f>
        <v>2420</v>
      </c>
      <c r="J619" s="25">
        <f t="shared" si="523"/>
        <v>7863.2184191855868</v>
      </c>
      <c r="K619" s="25">
        <f t="shared" si="524"/>
        <v>20282.026119384056</v>
      </c>
      <c r="L619" s="25"/>
      <c r="N619" s="25">
        <f>'Combined Retirement'!$C$18/12</f>
        <v>39153.069999999992</v>
      </c>
      <c r="O619" s="25">
        <f t="shared" si="525"/>
        <v>11007.82546143035</v>
      </c>
      <c r="P619" s="25">
        <f t="shared" si="526"/>
        <v>28145.244538569641</v>
      </c>
      <c r="Q619" s="25">
        <f t="array" aca="1" ref="Q619" ca="1">INDEX('Isaac 401k'!L:L,MATCH('Retirement Calculator'!A619,'Isaac 401k'!N:N,0),0)</f>
        <v>-467517.07330963033</v>
      </c>
      <c r="R619" s="25">
        <f t="array" aca="1" ref="R619" ca="1">INDEX('Lorri 401b'!L:L,MATCH('Retirement Calculator'!A619,'Lorri 401b'!N:N,0),0)</f>
        <v>-1066800.9739516817</v>
      </c>
      <c r="S619" s="25">
        <f t="shared" ca="1" si="527"/>
        <v>-1534318.0472613121</v>
      </c>
    </row>
    <row r="620" spans="1:19" ht="15.75" customHeight="1" x14ac:dyDescent="0.3">
      <c r="A620" s="37">
        <v>69823</v>
      </c>
      <c r="B620" s="409">
        <f t="shared" ref="B620:C620" si="626">($A620-B$9)/365.25</f>
        <v>109.28678986995209</v>
      </c>
      <c r="C620" s="409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3525.4531757812501</v>
      </c>
      <c r="H620" s="25">
        <f>IF(B620&lt;62,0,'Combined Retirement'!$I$14)</f>
        <v>2192</v>
      </c>
      <c r="I620" s="25">
        <f>IF(C620&lt;62,0,'Combined Retirement'!$I$13)</f>
        <v>2420</v>
      </c>
      <c r="J620" s="25">
        <f t="shared" si="523"/>
        <v>7863.2184191855868</v>
      </c>
      <c r="K620" s="25">
        <f t="shared" si="524"/>
        <v>20282.026119384056</v>
      </c>
      <c r="L620" s="25"/>
      <c r="N620" s="25">
        <f>'Combined Retirement'!$C$18/12</f>
        <v>39153.069999999992</v>
      </c>
      <c r="O620" s="25">
        <f t="shared" si="525"/>
        <v>11007.82546143035</v>
      </c>
      <c r="P620" s="25">
        <f t="shared" si="526"/>
        <v>28145.244538569641</v>
      </c>
      <c r="Q620" s="25">
        <f t="array" aca="1" ref="Q620" ca="1">INDEX('Isaac 401k'!L:L,MATCH('Retirement Calculator'!A620,'Isaac 401k'!N:N,0),0)</f>
        <v>-477361.04294435267</v>
      </c>
      <c r="R620" s="25">
        <f t="array" aca="1" ref="R620" ca="1">INDEX('Lorri 401b'!L:L,MATCH('Retirement Calculator'!A620,'Lorri 401b'!N:N,0),0)</f>
        <v>-1091612.5125713618</v>
      </c>
      <c r="S620" s="25">
        <f t="shared" ca="1" si="527"/>
        <v>-1568973.5555157145</v>
      </c>
    </row>
    <row r="621" spans="1:19" ht="15.75" customHeight="1" x14ac:dyDescent="0.3">
      <c r="A621" s="37">
        <v>69854</v>
      </c>
      <c r="B621" s="409">
        <f t="shared" ref="B621:C621" si="627">($A621-B$9)/365.25</f>
        <v>109.37166324435319</v>
      </c>
      <c r="C621" s="409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3525.4531757812501</v>
      </c>
      <c r="H621" s="25">
        <f>IF(B621&lt;62,0,'Combined Retirement'!$I$14)</f>
        <v>2192</v>
      </c>
      <c r="I621" s="25">
        <f>IF(C621&lt;62,0,'Combined Retirement'!$I$13)</f>
        <v>2420</v>
      </c>
      <c r="J621" s="25">
        <f t="shared" si="523"/>
        <v>7863.2184191855868</v>
      </c>
      <c r="K621" s="25">
        <f t="shared" si="524"/>
        <v>20282.026119384056</v>
      </c>
      <c r="L621" s="25"/>
      <c r="N621" s="25">
        <f>'Combined Retirement'!$C$18/12</f>
        <v>39153.069999999992</v>
      </c>
      <c r="O621" s="25">
        <f t="shared" si="525"/>
        <v>11007.82546143035</v>
      </c>
      <c r="P621" s="25">
        <f t="shared" si="526"/>
        <v>28145.244538569641</v>
      </c>
      <c r="Q621" s="25">
        <f t="array" aca="1" ref="Q621" ca="1">INDEX('Isaac 401k'!L:L,MATCH('Retirement Calculator'!A621,'Isaac 401k'!N:N,0),0)</f>
        <v>-487246.02911921969</v>
      </c>
      <c r="R621" s="25">
        <f t="array" aca="1" ref="R621" ca="1">INDEX('Lorri 401b'!L:L,MATCH('Retirement Calculator'!A621,'Lorri 401b'!N:N,0),0)</f>
        <v>-1116527.4326019573</v>
      </c>
      <c r="S621" s="25">
        <f t="shared" ca="1" si="527"/>
        <v>-1603773.461721177</v>
      </c>
    </row>
    <row r="622" spans="1:19" ht="15.75" customHeight="1" x14ac:dyDescent="0.3">
      <c r="A622" s="37">
        <v>69884</v>
      </c>
      <c r="B622" s="409">
        <f t="shared" ref="B622:C622" si="628">($A622-B$9)/365.25</f>
        <v>109.45379876796714</v>
      </c>
      <c r="C622" s="409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3525.4531757812501</v>
      </c>
      <c r="H622" s="25">
        <f>IF(B622&lt;62,0,'Combined Retirement'!$I$14)</f>
        <v>2192</v>
      </c>
      <c r="I622" s="25">
        <f>IF(C622&lt;62,0,'Combined Retirement'!$I$13)</f>
        <v>2420</v>
      </c>
      <c r="J622" s="25">
        <f t="shared" si="523"/>
        <v>7863.2184191855868</v>
      </c>
      <c r="K622" s="25">
        <f t="shared" si="524"/>
        <v>20282.026119384056</v>
      </c>
      <c r="L622" s="25"/>
      <c r="N622" s="25">
        <f>'Combined Retirement'!$C$18/12</f>
        <v>39153.069999999992</v>
      </c>
      <c r="O622" s="25">
        <f t="shared" si="525"/>
        <v>11007.82546143035</v>
      </c>
      <c r="P622" s="25">
        <f t="shared" si="526"/>
        <v>28145.244538569641</v>
      </c>
      <c r="Q622" s="25">
        <f t="array" aca="1" ref="Q622" ca="1">INDEX('Isaac 401k'!L:L,MATCH('Retirement Calculator'!A622,'Isaac 401k'!N:N,0),0)</f>
        <v>-497172.20273648197</v>
      </c>
      <c r="R622" s="25">
        <f t="array" aca="1" ref="R622" ca="1">INDEX('Lorri 401b'!L:L,MATCH('Retirement Calculator'!A622,'Lorri 401b'!N:N,0),0)</f>
        <v>-1141546.1647993468</v>
      </c>
      <c r="S622" s="25">
        <f t="shared" ca="1" si="527"/>
        <v>-1638718.3675358288</v>
      </c>
    </row>
    <row r="623" spans="1:19" ht="15.75" customHeight="1" x14ac:dyDescent="0.3">
      <c r="A623" s="37">
        <v>69915</v>
      </c>
      <c r="B623" s="409">
        <f t="shared" ref="B623:C623" si="629">($A623-B$9)/365.25</f>
        <v>109.53867214236824</v>
      </c>
      <c r="C623" s="409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3525.4531757812501</v>
      </c>
      <c r="H623" s="25">
        <f>IF(B623&lt;62,0,'Combined Retirement'!$I$14)</f>
        <v>2192</v>
      </c>
      <c r="I623" s="25">
        <f>IF(C623&lt;62,0,'Combined Retirement'!$I$13)</f>
        <v>2420</v>
      </c>
      <c r="J623" s="25">
        <f t="shared" si="523"/>
        <v>7863.2184191855868</v>
      </c>
      <c r="K623" s="25">
        <f t="shared" si="524"/>
        <v>20282.026119384056</v>
      </c>
      <c r="L623" s="25"/>
      <c r="N623" s="25">
        <f>'Combined Retirement'!$C$18/12</f>
        <v>39153.069999999992</v>
      </c>
      <c r="O623" s="25">
        <f t="shared" si="525"/>
        <v>11007.82546143035</v>
      </c>
      <c r="P623" s="25">
        <f t="shared" si="526"/>
        <v>28145.244538569641</v>
      </c>
      <c r="Q623" s="25">
        <f t="array" aca="1" ref="Q623" ca="1">INDEX('Isaac 401k'!L:L,MATCH('Retirement Calculator'!A623,'Isaac 401k'!N:N,0),0)</f>
        <v>-507139.73541048286</v>
      </c>
      <c r="R623" s="25">
        <f t="array" aca="1" ref="R623" ca="1">INDEX('Lorri 401b'!L:L,MATCH('Retirement Calculator'!A623,'Lorri 401b'!N:N,0),0)</f>
        <v>-1166669.1417142255</v>
      </c>
      <c r="S623" s="25">
        <f t="shared" ca="1" si="527"/>
        <v>-1673808.8771247084</v>
      </c>
    </row>
    <row r="624" spans="1:19" ht="15.75" customHeight="1" x14ac:dyDescent="0.3">
      <c r="A624" s="37">
        <v>69945</v>
      </c>
      <c r="B624" s="409">
        <f t="shared" ref="B624:C624" si="630">($A624-B$9)/365.25</f>
        <v>109.6208076659822</v>
      </c>
      <c r="C624" s="409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3525.4531757812501</v>
      </c>
      <c r="H624" s="25">
        <f>IF(B624&lt;62,0,'Combined Retirement'!$I$14)</f>
        <v>2192</v>
      </c>
      <c r="I624" s="25">
        <f>IF(C624&lt;62,0,'Combined Retirement'!$I$13)</f>
        <v>2420</v>
      </c>
      <c r="J624" s="25">
        <f t="shared" si="523"/>
        <v>7863.2184191855868</v>
      </c>
      <c r="K624" s="25">
        <f t="shared" si="524"/>
        <v>20282.026119384056</v>
      </c>
      <c r="L624" s="25"/>
      <c r="N624" s="25">
        <f>'Combined Retirement'!$C$18/12</f>
        <v>39153.069999999992</v>
      </c>
      <c r="O624" s="25">
        <f t="shared" si="525"/>
        <v>11007.82546143035</v>
      </c>
      <c r="P624" s="25">
        <f t="shared" si="526"/>
        <v>28145.244538569641</v>
      </c>
      <c r="Q624" s="25">
        <f t="array" aca="1" ref="Q624" ca="1">INDEX('Isaac 401k'!L:L,MATCH('Retirement Calculator'!A624,'Isaac 401k'!N:N,0),0)</f>
        <v>-517148.79947062541</v>
      </c>
      <c r="R624" s="25">
        <f t="array" aca="1" ref="R624" ca="1">INDEX('Lorri 401b'!L:L,MATCH('Retirement Calculator'!A624,'Lorri 401b'!N:N,0),0)</f>
        <v>-1191896.7976995828</v>
      </c>
      <c r="S624" s="25">
        <f t="shared" ca="1" si="527"/>
        <v>-1709045.5971702081</v>
      </c>
    </row>
    <row r="625" spans="1:19" ht="15.75" customHeight="1" x14ac:dyDescent="0.3">
      <c r="A625" s="37">
        <v>69976</v>
      </c>
      <c r="B625" s="409">
        <f t="shared" ref="B625:C625" si="631">($A625-B$9)/365.25</f>
        <v>109.7056810403833</v>
      </c>
      <c r="C625" s="409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3525.4531757812501</v>
      </c>
      <c r="H625" s="25">
        <f>IF(B625&lt;62,0,'Combined Retirement'!$I$14)</f>
        <v>2192</v>
      </c>
      <c r="I625" s="25">
        <f>IF(C625&lt;62,0,'Combined Retirement'!$I$13)</f>
        <v>2420</v>
      </c>
      <c r="J625" s="25">
        <f t="shared" si="523"/>
        <v>7863.2184191855868</v>
      </c>
      <c r="K625" s="25">
        <f t="shared" si="524"/>
        <v>20282.026119384056</v>
      </c>
      <c r="L625" s="25"/>
      <c r="N625" s="25">
        <f>'Combined Retirement'!$C$18/12</f>
        <v>39153.069999999992</v>
      </c>
      <c r="O625" s="25">
        <f t="shared" si="525"/>
        <v>11007.82546143035</v>
      </c>
      <c r="P625" s="25">
        <f t="shared" si="526"/>
        <v>28145.244538569641</v>
      </c>
      <c r="Q625" s="25">
        <f t="array" aca="1" ref="Q625" ca="1">INDEX('Isaac 401k'!L:L,MATCH('Retirement Calculator'!A625,'Isaac 401k'!N:N,0),0)</f>
        <v>-527199.56796435185</v>
      </c>
      <c r="R625" s="25">
        <f t="array" aca="1" ref="R625" ca="1">INDEX('Lorri 401b'!L:L,MATCH('Retirement Calculator'!A625,'Lorri 401b'!N:N,0),0)</f>
        <v>-1217229.5689182125</v>
      </c>
      <c r="S625" s="25">
        <f t="shared" ca="1" si="527"/>
        <v>-1744429.1368825645</v>
      </c>
    </row>
    <row r="626" spans="1:19" ht="15.75" customHeight="1" x14ac:dyDescent="0.3">
      <c r="A626" s="37">
        <v>70007</v>
      </c>
      <c r="B626" s="409">
        <f t="shared" ref="B626:C626" si="632">($A626-B$9)/365.25</f>
        <v>109.7905544147844</v>
      </c>
      <c r="C626" s="409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3525.4531757812501</v>
      </c>
      <c r="H626" s="25">
        <f>IF(B626&lt;62,0,'Combined Retirement'!$I$14)</f>
        <v>2192</v>
      </c>
      <c r="I626" s="25">
        <f>IF(C626&lt;62,0,'Combined Retirement'!$I$13)</f>
        <v>2420</v>
      </c>
      <c r="J626" s="25">
        <f t="shared" si="523"/>
        <v>7863.2184191855868</v>
      </c>
      <c r="K626" s="25">
        <f t="shared" si="524"/>
        <v>20282.026119384056</v>
      </c>
      <c r="L626" s="25"/>
      <c r="N626" s="25">
        <f>'Combined Retirement'!$C$18/12</f>
        <v>39153.069999999992</v>
      </c>
      <c r="O626" s="25">
        <f t="shared" si="525"/>
        <v>11007.82546143035</v>
      </c>
      <c r="P626" s="25">
        <f t="shared" si="526"/>
        <v>28145.244538569641</v>
      </c>
      <c r="Q626" s="25">
        <f t="array" aca="1" ref="Q626" ca="1">INDEX('Isaac 401k'!L:L,MATCH('Retirement Calculator'!A626,'Isaac 401k'!N:N,0),0)</f>
        <v>-537292.21466013556</v>
      </c>
      <c r="R626" s="25">
        <f t="array" aca="1" ref="R626" ca="1">INDEX('Lorri 401b'!L:L,MATCH('Retirement Calculator'!A626,'Lorri 401b'!N:N,0),0)</f>
        <v>-1242667.8933502531</v>
      </c>
      <c r="S626" s="25">
        <f t="shared" ca="1" si="527"/>
        <v>-1779960.1080103887</v>
      </c>
    </row>
    <row r="627" spans="1:19" ht="15.75" customHeight="1" x14ac:dyDescent="0.3">
      <c r="A627" s="37">
        <v>70037</v>
      </c>
      <c r="B627" s="409">
        <f t="shared" ref="B627:C627" si="633">($A627-B$9)/365.25</f>
        <v>109.87268993839835</v>
      </c>
      <c r="C627" s="409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3525.4531757812501</v>
      </c>
      <c r="H627" s="25">
        <f>IF(B627&lt;62,0,'Combined Retirement'!$I$14)</f>
        <v>2192</v>
      </c>
      <c r="I627" s="25">
        <f>IF(C627&lt;62,0,'Combined Retirement'!$I$13)</f>
        <v>2420</v>
      </c>
      <c r="J627" s="25">
        <f t="shared" si="523"/>
        <v>7863.2184191855868</v>
      </c>
      <c r="K627" s="25">
        <f t="shared" si="524"/>
        <v>20282.026119384056</v>
      </c>
      <c r="L627" s="25"/>
      <c r="N627" s="25">
        <f>'Combined Retirement'!$C$18/12</f>
        <v>39153.069999999992</v>
      </c>
      <c r="O627" s="25">
        <f t="shared" si="525"/>
        <v>11007.82546143035</v>
      </c>
      <c r="P627" s="25">
        <f t="shared" si="526"/>
        <v>28145.244538569641</v>
      </c>
      <c r="Q627" s="25">
        <f t="array" aca="1" ref="Q627" ca="1">INDEX('Isaac 401k'!L:L,MATCH('Retirement Calculator'!A627,'Isaac 401k'!N:N,0),0)</f>
        <v>-547426.91405048501</v>
      </c>
      <c r="R627" s="25">
        <f t="array" aca="1" ref="R627" ca="1">INDEX('Lorri 401b'!L:L,MATCH('Retirement Calculator'!A627,'Lorri 401b'!N:N,0),0)</f>
        <v>-1268212.2108007607</v>
      </c>
      <c r="S627" s="25">
        <f t="shared" ca="1" si="527"/>
        <v>-1815639.1248512457</v>
      </c>
    </row>
    <row r="628" spans="1:19" ht="15.75" customHeight="1" x14ac:dyDescent="0.3">
      <c r="A628" s="37">
        <v>70068</v>
      </c>
      <c r="B628" s="409">
        <f t="shared" ref="B628:C628" si="634">($A628-B$9)/365.25</f>
        <v>109.95756331279945</v>
      </c>
      <c r="C628" s="409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3525.4531757812501</v>
      </c>
      <c r="H628" s="25">
        <f>IF(B628&lt;62,0,'Combined Retirement'!$I$14)</f>
        <v>2192</v>
      </c>
      <c r="I628" s="25">
        <f>IF(C628&lt;62,0,'Combined Retirement'!$I$13)</f>
        <v>2420</v>
      </c>
      <c r="J628" s="25">
        <f t="shared" si="523"/>
        <v>7863.2184191855868</v>
      </c>
      <c r="K628" s="25">
        <f t="shared" si="524"/>
        <v>20282.026119384056</v>
      </c>
      <c r="L628" s="25"/>
      <c r="N628" s="25">
        <f>'Combined Retirement'!$C$18/12</f>
        <v>39153.069999999992</v>
      </c>
      <c r="O628" s="25">
        <f t="shared" si="525"/>
        <v>11007.82546143035</v>
      </c>
      <c r="P628" s="25">
        <f t="shared" si="526"/>
        <v>28145.244538569641</v>
      </c>
      <c r="Q628" s="25">
        <f t="array" aca="1" ref="Q628" ca="1">INDEX('Isaac 401k'!L:L,MATCH('Retirement Calculator'!A628,'Isaac 401k'!N:N,0),0)</f>
        <v>-557603.84135496092</v>
      </c>
      <c r="R628" s="25">
        <f t="array" aca="1" ref="R628" ca="1">INDEX('Lorri 401b'!L:L,MATCH('Retirement Calculator'!A628,'Lorri 401b'!N:N,0),0)</f>
        <v>-1293862.962907312</v>
      </c>
      <c r="S628" s="25">
        <f t="shared" ca="1" si="527"/>
        <v>-1851466.804262273</v>
      </c>
    </row>
    <row r="629" spans="1:19" ht="15.75" customHeight="1" x14ac:dyDescent="0.3">
      <c r="A629" s="37">
        <v>70098</v>
      </c>
      <c r="B629" s="409">
        <f t="shared" ref="B629:C629" si="635">($A629-B$9)/365.25</f>
        <v>110.03969883641342</v>
      </c>
      <c r="C629" s="409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3525.4531757812501</v>
      </c>
      <c r="H629" s="25">
        <f>IF(B629&lt;62,0,'Combined Retirement'!$I$14)</f>
        <v>2192</v>
      </c>
      <c r="I629" s="25">
        <f>IF(C629&lt;62,0,'Combined Retirement'!$I$13)</f>
        <v>2420</v>
      </c>
      <c r="J629" s="25">
        <f t="shared" si="523"/>
        <v>7863.2184191855868</v>
      </c>
      <c r="K629" s="25">
        <f t="shared" si="524"/>
        <v>20282.026119384056</v>
      </c>
      <c r="L629" s="25"/>
      <c r="N629" s="25">
        <f>'Combined Retirement'!$C$18/12</f>
        <v>39153.069999999992</v>
      </c>
      <c r="O629" s="25">
        <f t="shared" si="525"/>
        <v>11007.82546143035</v>
      </c>
      <c r="P629" s="25">
        <f t="shared" si="526"/>
        <v>28145.244538569641</v>
      </c>
      <c r="Q629" s="25">
        <f t="array" aca="1" ref="Q629" ca="1">INDEX('Isaac 401k'!L:L,MATCH('Retirement Calculator'!A629,'Isaac 401k'!N:N,0),0)</f>
        <v>-567823.17252320552</v>
      </c>
      <c r="R629" s="25">
        <f t="array" aca="1" ref="R629" ca="1">INDEX('Lorri 401b'!L:L,MATCH('Retirement Calculator'!A629,'Lorri 401b'!N:N,0),0)</f>
        <v>-1319620.5931476406</v>
      </c>
      <c r="S629" s="25">
        <f t="shared" ca="1" si="527"/>
        <v>-1887443.7656708462</v>
      </c>
    </row>
    <row r="630" spans="1:19" ht="15.75" customHeight="1" x14ac:dyDescent="0.3">
      <c r="A630" s="37">
        <v>70129</v>
      </c>
      <c r="B630" s="409">
        <f t="shared" ref="B630:C630" si="636">($A630-B$9)/365.25</f>
        <v>110.12457221081451</v>
      </c>
      <c r="C630" s="409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3525.4531757812501</v>
      </c>
      <c r="H630" s="25">
        <f>IF(B630&lt;62,0,'Combined Retirement'!$I$14)</f>
        <v>2192</v>
      </c>
      <c r="I630" s="25">
        <f>IF(C630&lt;62,0,'Combined Retirement'!$I$13)</f>
        <v>2420</v>
      </c>
      <c r="J630" s="25">
        <f t="shared" si="523"/>
        <v>7863.2184191855868</v>
      </c>
      <c r="K630" s="25">
        <f t="shared" si="524"/>
        <v>20282.026119384056</v>
      </c>
      <c r="L630" s="25"/>
      <c r="N630" s="25">
        <f>'Combined Retirement'!$C$18/12</f>
        <v>39153.069999999992</v>
      </c>
      <c r="O630" s="25">
        <f t="shared" si="525"/>
        <v>11007.82546143035</v>
      </c>
      <c r="P630" s="25">
        <f t="shared" si="526"/>
        <v>28145.244538569641</v>
      </c>
      <c r="Q630" s="25">
        <f t="array" aca="1" ref="Q630" ca="1">INDEX('Isaac 401k'!L:L,MATCH('Retirement Calculator'!A630,'Isaac 401k'!N:N,0),0)</f>
        <v>-578085.08423798438</v>
      </c>
      <c r="R630" s="25">
        <f t="array" aca="1" ref="R630" ca="1">INDEX('Lorri 401b'!L:L,MATCH('Retirement Calculator'!A630,'Lorri 401b'!N:N,0),0)</f>
        <v>-1345485.5468473039</v>
      </c>
      <c r="S630" s="25">
        <f t="shared" ca="1" si="527"/>
        <v>-1923570.6310852882</v>
      </c>
    </row>
    <row r="631" spans="1:19" ht="15.75" customHeight="1" x14ac:dyDescent="0.3">
      <c r="A631" s="37">
        <v>70160</v>
      </c>
      <c r="B631" s="409">
        <f t="shared" ref="B631:C631" si="637">($A631-B$9)/365.25</f>
        <v>110.2094455852156</v>
      </c>
      <c r="C631" s="409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3525.4531757812501</v>
      </c>
      <c r="H631" s="25">
        <f>IF(B631&lt;62,0,'Combined Retirement'!$I$14)</f>
        <v>2192</v>
      </c>
      <c r="I631" s="25">
        <f>IF(C631&lt;62,0,'Combined Retirement'!$I$13)</f>
        <v>2420</v>
      </c>
      <c r="J631" s="25">
        <f t="shared" si="523"/>
        <v>7863.2184191855868</v>
      </c>
      <c r="K631" s="25">
        <f t="shared" si="524"/>
        <v>20282.026119384056</v>
      </c>
      <c r="L631" s="25"/>
      <c r="N631" s="25">
        <f>'Combined Retirement'!$C$18/12</f>
        <v>39153.069999999992</v>
      </c>
      <c r="O631" s="25">
        <f t="shared" si="525"/>
        <v>11007.82546143035</v>
      </c>
      <c r="P631" s="25">
        <f t="shared" si="526"/>
        <v>28145.244538569641</v>
      </c>
      <c r="Q631" s="25">
        <f t="array" aca="1" ref="Q631" ca="1">INDEX('Isaac 401k'!L:L,MATCH('Retirement Calculator'!A631,'Isaac 401k'!N:N,0),0)</f>
        <v>-588389.75391824148</v>
      </c>
      <c r="R631" s="25">
        <f t="array" aca="1" ref="R631" ca="1">INDEX('Lorri 401b'!L:L,MATCH('Retirement Calculator'!A631,'Lorri 401b'!N:N,0),0)</f>
        <v>-1371458.2711873823</v>
      </c>
      <c r="S631" s="25">
        <f t="shared" ca="1" si="527"/>
        <v>-1959848.0251056238</v>
      </c>
    </row>
    <row r="632" spans="1:19" ht="15.75" customHeight="1" x14ac:dyDescent="0.3">
      <c r="A632" s="37">
        <v>70189</v>
      </c>
      <c r="B632" s="409">
        <f t="shared" ref="B632:C632" si="638">($A632-B$9)/365.25</f>
        <v>110.28884325804243</v>
      </c>
      <c r="C632" s="409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3525.4531757812501</v>
      </c>
      <c r="H632" s="25">
        <f>IF(B632&lt;62,0,'Combined Retirement'!$I$14)</f>
        <v>2192</v>
      </c>
      <c r="I632" s="25">
        <f>IF(C632&lt;62,0,'Combined Retirement'!$I$13)</f>
        <v>2420</v>
      </c>
      <c r="J632" s="25">
        <f t="shared" si="523"/>
        <v>7863.2184191855868</v>
      </c>
      <c r="K632" s="25">
        <f t="shared" si="524"/>
        <v>20282.026119384056</v>
      </c>
      <c r="L632" s="25"/>
      <c r="N632" s="25">
        <f>'Combined Retirement'!$C$18/12</f>
        <v>39153.069999999992</v>
      </c>
      <c r="O632" s="25">
        <f t="shared" si="525"/>
        <v>11007.82546143035</v>
      </c>
      <c r="P632" s="25">
        <f t="shared" si="526"/>
        <v>28145.244538569641</v>
      </c>
      <c r="Q632" s="25">
        <f t="array" aca="1" ref="Q632" ca="1">INDEX('Isaac 401k'!L:L,MATCH('Retirement Calculator'!A632,'Isaac 401k'!N:N,0),0)</f>
        <v>-598737.35972216632</v>
      </c>
      <c r="R632" s="25">
        <f t="array" aca="1" ref="R632" ca="1">INDEX('Lorri 401b'!L:L,MATCH('Retirement Calculator'!A632,'Lorri 401b'!N:N,0),0)</f>
        <v>-1397539.215212211</v>
      </c>
      <c r="S632" s="25">
        <f t="shared" ca="1" si="527"/>
        <v>-1996276.5749343773</v>
      </c>
    </row>
    <row r="633" spans="1:19" ht="15.75" customHeight="1" x14ac:dyDescent="0.3">
      <c r="A633" s="37">
        <v>70220</v>
      </c>
      <c r="B633" s="409">
        <f t="shared" ref="B633:C633" si="639">($A633-B$9)/365.25</f>
        <v>110.37371663244353</v>
      </c>
      <c r="C633" s="409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3525.4531757812501</v>
      </c>
      <c r="H633" s="25">
        <f>IF(B633&lt;62,0,'Combined Retirement'!$I$14)</f>
        <v>2192</v>
      </c>
      <c r="I633" s="25">
        <f>IF(C633&lt;62,0,'Combined Retirement'!$I$13)</f>
        <v>2420</v>
      </c>
      <c r="J633" s="25">
        <f t="shared" si="523"/>
        <v>7863.2184191855868</v>
      </c>
      <c r="K633" s="25">
        <f t="shared" si="524"/>
        <v>20282.026119384056</v>
      </c>
      <c r="L633" s="25"/>
      <c r="N633" s="25">
        <f>'Combined Retirement'!$C$18/12</f>
        <v>39153.069999999992</v>
      </c>
      <c r="O633" s="25">
        <f t="shared" si="525"/>
        <v>11007.82546143035</v>
      </c>
      <c r="P633" s="25">
        <f t="shared" si="526"/>
        <v>28145.244538569641</v>
      </c>
      <c r="Q633" s="25">
        <f t="array" aca="1" ref="Q633" ca="1">INDEX('Isaac 401k'!L:L,MATCH('Retirement Calculator'!A633,'Isaac 401k'!N:N,0),0)</f>
        <v>-609128.08055027423</v>
      </c>
      <c r="R633" s="25">
        <f t="array" aca="1" ref="R633" ca="1">INDEX('Lorri 401b'!L:L,MATCH('Retirement Calculator'!A633,'Lorri 401b'!N:N,0),0)</f>
        <v>-1423728.8298371434</v>
      </c>
      <c r="S633" s="25">
        <f t="shared" ca="1" si="527"/>
        <v>-2032856.9103874178</v>
      </c>
    </row>
    <row r="634" spans="1:19" ht="15.75" customHeight="1" x14ac:dyDescent="0.3">
      <c r="A634" s="37">
        <v>70250</v>
      </c>
      <c r="B634" s="409">
        <f t="shared" ref="B634:C634" si="640">($A634-B$9)/365.25</f>
        <v>110.45585215605749</v>
      </c>
      <c r="C634" s="409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3525.4531757812501</v>
      </c>
      <c r="H634" s="25">
        <f>IF(B634&lt;62,0,'Combined Retirement'!$I$14)</f>
        <v>2192</v>
      </c>
      <c r="I634" s="25">
        <f>IF(C634&lt;62,0,'Combined Retirement'!$I$13)</f>
        <v>2420</v>
      </c>
      <c r="J634" s="25">
        <f t="shared" si="523"/>
        <v>7863.2184191855868</v>
      </c>
      <c r="K634" s="25">
        <f t="shared" si="524"/>
        <v>20282.026119384056</v>
      </c>
      <c r="L634" s="25"/>
      <c r="N634" s="25">
        <f>'Combined Retirement'!$C$18/12</f>
        <v>39153.069999999992</v>
      </c>
      <c r="O634" s="25">
        <f t="shared" si="525"/>
        <v>11007.82546143035</v>
      </c>
      <c r="P634" s="25">
        <f t="shared" si="526"/>
        <v>28145.244538569641</v>
      </c>
      <c r="Q634" s="25">
        <f t="array" aca="1" ref="Q634" ca="1">INDEX('Isaac 401k'!L:L,MATCH('Retirement Calculator'!A634,'Isaac 401k'!N:N,0),0)</f>
        <v>-619562.09604849922</v>
      </c>
      <c r="R634" s="25">
        <f t="array" aca="1" ref="R634" ca="1">INDEX('Lorri 401b'!L:L,MATCH('Retirement Calculator'!A634,'Lorri 401b'!N:N,0),0)</f>
        <v>-1450027.5678563463</v>
      </c>
      <c r="S634" s="25">
        <f t="shared" ca="1" si="527"/>
        <v>-2069589.6639048455</v>
      </c>
    </row>
    <row r="635" spans="1:19" ht="15.75" customHeight="1" x14ac:dyDescent="0.3">
      <c r="A635" s="37">
        <v>70281</v>
      </c>
      <c r="B635" s="409">
        <f t="shared" ref="B635:C635" si="641">($A635-B$9)/365.25</f>
        <v>110.54072553045859</v>
      </c>
      <c r="C635" s="409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3525.4531757812501</v>
      </c>
      <c r="H635" s="25">
        <f>IF(B635&lt;62,0,'Combined Retirement'!$I$14)</f>
        <v>2192</v>
      </c>
      <c r="I635" s="25">
        <f>IF(C635&lt;62,0,'Combined Retirement'!$I$13)</f>
        <v>2420</v>
      </c>
      <c r="J635" s="25">
        <f t="shared" si="523"/>
        <v>7863.2184191855868</v>
      </c>
      <c r="K635" s="25">
        <f t="shared" si="524"/>
        <v>20282.026119384056</v>
      </c>
      <c r="L635" s="25"/>
      <c r="N635" s="25">
        <f>'Combined Retirement'!$C$18/12</f>
        <v>39153.069999999992</v>
      </c>
      <c r="O635" s="25">
        <f t="shared" si="525"/>
        <v>11007.82546143035</v>
      </c>
      <c r="P635" s="25">
        <f t="shared" si="526"/>
        <v>28145.244538569641</v>
      </c>
      <c r="Q635" s="25">
        <f t="array" aca="1" ref="Q635" ca="1">INDEX('Isaac 401k'!L:L,MATCH('Retirement Calculator'!A635,'Isaac 401k'!N:N,0),0)</f>
        <v>-630039.58661130024</v>
      </c>
      <c r="R635" s="25">
        <f t="array" aca="1" ref="R635" ca="1">INDEX('Lorri 401b'!L:L,MATCH('Retirement Calculator'!A635,'Lorri 401b'!N:N,0),0)</f>
        <v>-1476435.883950629</v>
      </c>
      <c r="S635" s="25">
        <f t="shared" ca="1" si="527"/>
        <v>-2106475.470561929</v>
      </c>
    </row>
    <row r="636" spans="1:19" ht="15.75" customHeight="1" x14ac:dyDescent="0.3">
      <c r="A636" s="37">
        <v>70311</v>
      </c>
      <c r="B636" s="409">
        <f t="shared" ref="B636:C636" si="642">($A636-B$9)/365.25</f>
        <v>110.62286105407256</v>
      </c>
      <c r="C636" s="409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3525.4531757812501</v>
      </c>
      <c r="H636" s="25">
        <f>IF(B636&lt;62,0,'Combined Retirement'!$I$14)</f>
        <v>2192</v>
      </c>
      <c r="I636" s="25">
        <f>IF(C636&lt;62,0,'Combined Retirement'!$I$13)</f>
        <v>2420</v>
      </c>
      <c r="J636" s="25">
        <f t="shared" si="523"/>
        <v>7863.2184191855868</v>
      </c>
      <c r="K636" s="25">
        <f t="shared" si="524"/>
        <v>20282.026119384056</v>
      </c>
      <c r="L636" s="25"/>
      <c r="N636" s="25">
        <f>'Combined Retirement'!$C$18/12</f>
        <v>39153.069999999992</v>
      </c>
      <c r="O636" s="25">
        <f t="shared" si="525"/>
        <v>11007.82546143035</v>
      </c>
      <c r="P636" s="25">
        <f t="shared" si="526"/>
        <v>28145.244538569641</v>
      </c>
      <c r="Q636" s="25">
        <f t="array" aca="1" ref="Q636" ca="1">INDEX('Isaac 401k'!L:L,MATCH('Retirement Calculator'!A636,'Isaac 401k'!N:N,0),0)</f>
        <v>-640560.73338477954</v>
      </c>
      <c r="R636" s="25">
        <f t="array" aca="1" ref="R636" ca="1">INDEX('Lorri 401b'!L:L,MATCH('Retirement Calculator'!A636,'Lorri 401b'!N:N,0),0)</f>
        <v>-1502954.2346953047</v>
      </c>
      <c r="S636" s="25">
        <f t="shared" ca="1" si="527"/>
        <v>-2143514.9680800843</v>
      </c>
    </row>
    <row r="637" spans="1:19" ht="15.75" customHeight="1" x14ac:dyDescent="0.3">
      <c r="A637" s="37">
        <v>70342</v>
      </c>
      <c r="B637" s="409">
        <f t="shared" ref="B637:C637" si="643">($A637-B$9)/365.25</f>
        <v>110.70773442847364</v>
      </c>
      <c r="C637" s="409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3525.4531757812501</v>
      </c>
      <c r="H637" s="25">
        <f>IF(B637&lt;62,0,'Combined Retirement'!$I$14)</f>
        <v>2192</v>
      </c>
      <c r="I637" s="25">
        <f>IF(C637&lt;62,0,'Combined Retirement'!$I$13)</f>
        <v>2420</v>
      </c>
      <c r="J637" s="25">
        <f t="shared" si="523"/>
        <v>7863.2184191855868</v>
      </c>
      <c r="K637" s="25">
        <f t="shared" si="524"/>
        <v>20282.026119384056</v>
      </c>
      <c r="L637" s="25"/>
      <c r="N637" s="25">
        <f>'Combined Retirement'!$C$18/12</f>
        <v>39153.069999999992</v>
      </c>
      <c r="O637" s="25">
        <f t="shared" si="525"/>
        <v>11007.82546143035</v>
      </c>
      <c r="P637" s="25">
        <f t="shared" si="526"/>
        <v>28145.244538569641</v>
      </c>
      <c r="Q637" s="25">
        <f t="array" aca="1" ref="Q637" ca="1">INDEX('Isaac 401k'!L:L,MATCH('Retirement Calculator'!A637,'Isaac 401k'!N:N,0),0)</f>
        <v>-651125.71826981497</v>
      </c>
      <c r="R637" s="25">
        <f t="array" aca="1" ref="R637" ca="1">INDEX('Lorri 401b'!L:L,MATCH('Retirement Calculator'!A637,'Lorri 401b'!N:N,0),0)</f>
        <v>-1529583.0785680832</v>
      </c>
      <c r="S637" s="25">
        <f t="shared" ca="1" si="527"/>
        <v>-2180708.796837898</v>
      </c>
    </row>
    <row r="638" spans="1:19" ht="15.75" customHeight="1" x14ac:dyDescent="0.3">
      <c r="A638" s="37">
        <v>70373</v>
      </c>
      <c r="B638" s="409">
        <f t="shared" ref="B638:C638" si="644">($A638-B$9)/365.25</f>
        <v>110.79260780287474</v>
      </c>
      <c r="C638" s="409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3525.4531757812501</v>
      </c>
      <c r="H638" s="25">
        <f>IF(B638&lt;62,0,'Combined Retirement'!$I$14)</f>
        <v>2192</v>
      </c>
      <c r="I638" s="25">
        <f>IF(C638&lt;62,0,'Combined Retirement'!$I$13)</f>
        <v>2420</v>
      </c>
      <c r="J638" s="25">
        <f t="shared" si="523"/>
        <v>7863.2184191855868</v>
      </c>
      <c r="K638" s="25">
        <f t="shared" si="524"/>
        <v>20282.026119384056</v>
      </c>
      <c r="L638" s="25"/>
      <c r="N638" s="25">
        <f>'Combined Retirement'!$C$18/12</f>
        <v>39153.069999999992</v>
      </c>
      <c r="O638" s="25">
        <f t="shared" si="525"/>
        <v>11007.82546143035</v>
      </c>
      <c r="P638" s="25">
        <f t="shared" si="526"/>
        <v>28145.244538569641</v>
      </c>
      <c r="Q638" s="25">
        <f t="array" aca="1" ref="Q638" ca="1">INDEX('Isaac 401k'!L:L,MATCH('Retirement Calculator'!A638,'Isaac 401k'!N:N,0),0)</f>
        <v>-661734.72392520471</v>
      </c>
      <c r="R638" s="25">
        <f t="array" aca="1" ref="R638" ca="1">INDEX('Lorri 401b'!L:L,MATCH('Retirement Calculator'!A638,'Lorri 401b'!N:N,0),0)</f>
        <v>-1556322.8759569984</v>
      </c>
      <c r="S638" s="25">
        <f t="shared" ca="1" si="527"/>
        <v>-2218057.5998822032</v>
      </c>
    </row>
    <row r="639" spans="1:19" ht="15.75" customHeight="1" x14ac:dyDescent="0.3">
      <c r="A639" s="37">
        <v>70403</v>
      </c>
      <c r="B639" s="409">
        <f t="shared" ref="B639:C639" si="645">($A639-B$9)/365.25</f>
        <v>110.87474332648871</v>
      </c>
      <c r="C639" s="409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3525.4531757812501</v>
      </c>
      <c r="H639" s="25">
        <f>IF(B639&lt;62,0,'Combined Retirement'!$I$14)</f>
        <v>2192</v>
      </c>
      <c r="I639" s="25">
        <f>IF(C639&lt;62,0,'Combined Retirement'!$I$13)</f>
        <v>2420</v>
      </c>
      <c r="J639" s="25">
        <f t="shared" si="523"/>
        <v>7863.2184191855868</v>
      </c>
      <c r="K639" s="25">
        <f t="shared" si="524"/>
        <v>20282.026119384056</v>
      </c>
      <c r="L639" s="25"/>
      <c r="N639" s="25">
        <f>'Combined Retirement'!$C$18/12</f>
        <v>39153.069999999992</v>
      </c>
      <c r="O639" s="25">
        <f t="shared" si="525"/>
        <v>11007.82546143035</v>
      </c>
      <c r="P639" s="25">
        <f t="shared" si="526"/>
        <v>28145.244538569641</v>
      </c>
      <c r="Q639" s="25">
        <f t="array" aca="1" ref="Q639" ca="1">INDEX('Isaac 401k'!L:L,MATCH('Retirement Calculator'!A639,'Isaac 401k'!N:N,0),0)</f>
        <v>-672387.93377082527</v>
      </c>
      <c r="R639" s="25">
        <f t="array" aca="1" ref="R639" ca="1">INDEX('Lorri 401b'!L:L,MATCH('Retirement Calculator'!A639,'Lorri 401b'!N:N,0),0)</f>
        <v>-1583174.0891683674</v>
      </c>
      <c r="S639" s="25">
        <f t="shared" ca="1" si="527"/>
        <v>-2255562.0229391926</v>
      </c>
    </row>
    <row r="640" spans="1:19" ht="15.75" customHeight="1" x14ac:dyDescent="0.3">
      <c r="A640" s="37">
        <v>70434</v>
      </c>
      <c r="B640" s="409">
        <f t="shared" ref="B640:C640" si="646">($A640-B$9)/365.25</f>
        <v>110.9596167008898</v>
      </c>
      <c r="C640" s="409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3525.4531757812501</v>
      </c>
      <c r="H640" s="25">
        <f>IF(B640&lt;62,0,'Combined Retirement'!$I$14)</f>
        <v>2192</v>
      </c>
      <c r="I640" s="25">
        <f>IF(C640&lt;62,0,'Combined Retirement'!$I$13)</f>
        <v>2420</v>
      </c>
      <c r="J640" s="25">
        <f t="shared" si="523"/>
        <v>7863.2184191855868</v>
      </c>
      <c r="K640" s="25">
        <f t="shared" si="524"/>
        <v>20282.026119384056</v>
      </c>
      <c r="L640" s="25"/>
      <c r="N640" s="25">
        <f>'Combined Retirement'!$C$18/12</f>
        <v>39153.069999999992</v>
      </c>
      <c r="O640" s="25">
        <f t="shared" si="525"/>
        <v>11007.82546143035</v>
      </c>
      <c r="P640" s="25">
        <f t="shared" si="526"/>
        <v>28145.244538569641</v>
      </c>
      <c r="Q640" s="25">
        <f t="array" aca="1" ref="Q640" ca="1">INDEX('Isaac 401k'!L:L,MATCH('Retirement Calculator'!A640,'Isaac 401k'!N:N,0),0)</f>
        <v>-683085.53199080261</v>
      </c>
      <c r="R640" s="25">
        <f t="array" aca="1" ref="R640" ca="1">INDEX('Lorri 401b'!L:L,MATCH('Retirement Calculator'!A640,'Lorri 401b'!N:N,0),0)</f>
        <v>-1610137.1824347838</v>
      </c>
      <c r="S640" s="25">
        <f t="shared" ca="1" si="527"/>
        <v>-2293222.7144255862</v>
      </c>
    </row>
    <row r="641" spans="1:19" ht="15.75" customHeight="1" x14ac:dyDescent="0.3">
      <c r="A641" s="37">
        <v>70464</v>
      </c>
      <c r="B641" s="409">
        <f t="shared" ref="B641:C641" si="647">($A641-B$9)/365.25</f>
        <v>111.04175222450377</v>
      </c>
      <c r="C641" s="409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3525.4531757812501</v>
      </c>
      <c r="H641" s="25">
        <f>IF(B641&lt;62,0,'Combined Retirement'!$I$14)</f>
        <v>2192</v>
      </c>
      <c r="I641" s="25">
        <f>IF(C641&lt;62,0,'Combined Retirement'!$I$13)</f>
        <v>2420</v>
      </c>
      <c r="J641" s="25">
        <f t="shared" si="523"/>
        <v>7863.2184191855868</v>
      </c>
      <c r="K641" s="25">
        <f t="shared" si="524"/>
        <v>20282.026119384056</v>
      </c>
      <c r="L641" s="25"/>
      <c r="N641" s="25">
        <f>'Combined Retirement'!$C$18/12</f>
        <v>39153.069999999992</v>
      </c>
      <c r="O641" s="25">
        <f t="shared" si="525"/>
        <v>11007.82546143035</v>
      </c>
      <c r="P641" s="25">
        <f t="shared" si="526"/>
        <v>28145.244538569641</v>
      </c>
      <c r="Q641" s="25">
        <f t="array" aca="1" ref="Q641" ca="1">INDEX('Isaac 401k'!L:L,MATCH('Retirement Calculator'!A641,'Isaac 401k'!N:N,0),0)</f>
        <v>-693827.7035366965</v>
      </c>
      <c r="R641" s="25">
        <f t="array" aca="1" ref="R641" ca="1">INDEX('Lorri 401b'!L:L,MATCH('Retirement Calculator'!A641,'Lorri 401b'!N:N,0),0)</f>
        <v>-1637212.6219231435</v>
      </c>
      <c r="S641" s="25">
        <f t="shared" ca="1" si="527"/>
        <v>-2331040.3254598398</v>
      </c>
    </row>
    <row r="642" spans="1:19" ht="15.75" customHeight="1" x14ac:dyDescent="0.3">
      <c r="A642" s="37">
        <v>70495</v>
      </c>
      <c r="B642" s="409">
        <f t="shared" ref="B642:C642" si="648">($A642-B$9)/365.25</f>
        <v>111.12662559890487</v>
      </c>
      <c r="C642" s="409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3525.4531757812501</v>
      </c>
      <c r="H642" s="25">
        <f>IF(B642&lt;62,0,'Combined Retirement'!$I$14)</f>
        <v>2192</v>
      </c>
      <c r="I642" s="25">
        <f>IF(C642&lt;62,0,'Combined Retirement'!$I$13)</f>
        <v>2420</v>
      </c>
      <c r="J642" s="25">
        <f t="shared" si="523"/>
        <v>7863.2184191855868</v>
      </c>
      <c r="K642" s="25">
        <f t="shared" si="524"/>
        <v>20282.026119384056</v>
      </c>
      <c r="L642" s="25"/>
      <c r="N642" s="25">
        <f>'Combined Retirement'!$C$18/12</f>
        <v>39153.069999999992</v>
      </c>
      <c r="O642" s="25">
        <f t="shared" si="525"/>
        <v>11007.82546143035</v>
      </c>
      <c r="P642" s="25">
        <f t="shared" si="526"/>
        <v>28145.244538569641</v>
      </c>
      <c r="Q642" s="25">
        <f t="array" aca="1" ref="Q642" ca="1">INDEX('Isaac 401k'!L:L,MATCH('Retirement Calculator'!A642,'Isaac 401k'!N:N,0),0)</f>
        <v>-704614.63413069828</v>
      </c>
      <c r="R642" s="25">
        <f t="array" aca="1" ref="R642" ca="1">INDEX('Lorri 401b'!L:L,MATCH('Retirement Calculator'!A642,'Lorri 401b'!N:N,0),0)</f>
        <v>-1664400.8757427046</v>
      </c>
      <c r="S642" s="25">
        <f t="shared" ca="1" si="527"/>
        <v>-2369015.5098734028</v>
      </c>
    </row>
    <row r="643" spans="1:19" ht="15.75" customHeight="1" x14ac:dyDescent="0.3">
      <c r="A643" s="37">
        <v>70526</v>
      </c>
      <c r="B643" s="409">
        <f t="shared" ref="B643:C643" si="649">($A643-B$9)/365.25</f>
        <v>111.21149897330595</v>
      </c>
      <c r="C643" s="409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3525.4531757812501</v>
      </c>
      <c r="H643" s="25">
        <f>IF(B643&lt;62,0,'Combined Retirement'!$I$14)</f>
        <v>2192</v>
      </c>
      <c r="I643" s="25">
        <f>IF(C643&lt;62,0,'Combined Retirement'!$I$13)</f>
        <v>2420</v>
      </c>
      <c r="J643" s="25">
        <f t="shared" si="523"/>
        <v>7863.2184191855868</v>
      </c>
      <c r="K643" s="25">
        <f t="shared" si="524"/>
        <v>20282.026119384056</v>
      </c>
      <c r="L643" s="25"/>
      <c r="N643" s="25">
        <f>'Combined Retirement'!$C$18/12</f>
        <v>39153.069999999992</v>
      </c>
      <c r="O643" s="25">
        <f t="shared" si="525"/>
        <v>11007.82546143035</v>
      </c>
      <c r="P643" s="25">
        <f t="shared" si="526"/>
        <v>28145.244538569641</v>
      </c>
      <c r="Q643" s="25">
        <f t="array" aca="1" ref="Q643" ca="1">INDEX('Isaac 401k'!L:L,MATCH('Retirement Calculator'!A643,'Isaac 401k'!N:N,0),0)</f>
        <v>-715446.51026884175</v>
      </c>
      <c r="R643" s="25">
        <f t="array" aca="1" ref="R643" ca="1">INDEX('Lorri 401b'!L:L,MATCH('Retirement Calculator'!A643,'Lorri 401b'!N:N,0),0)</f>
        <v>-1691702.4139531807</v>
      </c>
      <c r="S643" s="25">
        <f t="shared" ca="1" si="527"/>
        <v>-2407148.9242220223</v>
      </c>
    </row>
    <row r="644" spans="1:19" ht="15.75" customHeight="1" x14ac:dyDescent="0.3">
      <c r="A644" s="37">
        <v>70554</v>
      </c>
      <c r="B644" s="409">
        <f t="shared" ref="B644:C644" si="650">($A644-B$9)/365.25</f>
        <v>111.28815879534565</v>
      </c>
      <c r="C644" s="409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3525.4531757812501</v>
      </c>
      <c r="H644" s="25">
        <f>IF(B644&lt;62,0,'Combined Retirement'!$I$14)</f>
        <v>2192</v>
      </c>
      <c r="I644" s="25">
        <f>IF(C644&lt;62,0,'Combined Retirement'!$I$13)</f>
        <v>2420</v>
      </c>
      <c r="J644" s="25">
        <f t="shared" si="523"/>
        <v>7863.2184191855868</v>
      </c>
      <c r="K644" s="25">
        <f t="shared" si="524"/>
        <v>20282.026119384056</v>
      </c>
      <c r="L644" s="25"/>
      <c r="N644" s="25">
        <f>'Combined Retirement'!$C$18/12</f>
        <v>39153.069999999992</v>
      </c>
      <c r="O644" s="25">
        <f t="shared" si="525"/>
        <v>11007.82546143035</v>
      </c>
      <c r="P644" s="25">
        <f t="shared" si="526"/>
        <v>28145.244538569641</v>
      </c>
      <c r="Q644" s="25">
        <f t="array" aca="1" ref="Q644" ca="1">INDEX('Isaac 401k'!L:L,MATCH('Retirement Calculator'!A644,'Isaac 401k'!N:N,0),0)</f>
        <v>-726323.51922422752</v>
      </c>
      <c r="R644" s="25">
        <f t="array" aca="1" ref="R644" ca="1">INDEX('Lorri 401b'!L:L,MATCH('Retirement Calculator'!A644,'Lorri 401b'!N:N,0),0)</f>
        <v>-1719117.7085728671</v>
      </c>
      <c r="S644" s="25">
        <f t="shared" ca="1" si="527"/>
        <v>-2445441.2277970947</v>
      </c>
    </row>
    <row r="645" spans="1:19" ht="15.75" customHeight="1" x14ac:dyDescent="0.3">
      <c r="A645" s="37">
        <v>70585</v>
      </c>
      <c r="B645" s="409">
        <f t="shared" ref="B645:C645" si="651">($A645-B$9)/365.25</f>
        <v>111.37303216974675</v>
      </c>
      <c r="C645" s="409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3525.4531757812501</v>
      </c>
      <c r="H645" s="25">
        <f>IF(B645&lt;62,0,'Combined Retirement'!$I$14)</f>
        <v>2192</v>
      </c>
      <c r="I645" s="25">
        <f>IF(C645&lt;62,0,'Combined Retirement'!$I$13)</f>
        <v>2420</v>
      </c>
      <c r="J645" s="25">
        <f t="shared" si="523"/>
        <v>7863.2184191855868</v>
      </c>
      <c r="K645" s="25">
        <f t="shared" si="524"/>
        <v>20282.026119384056</v>
      </c>
      <c r="L645" s="25"/>
      <c r="N645" s="25">
        <f>'Combined Retirement'!$C$18/12</f>
        <v>39153.069999999992</v>
      </c>
      <c r="O645" s="25">
        <f t="shared" si="525"/>
        <v>11007.82546143035</v>
      </c>
      <c r="P645" s="25">
        <f t="shared" si="526"/>
        <v>28145.244538569641</v>
      </c>
      <c r="Q645" s="25">
        <f t="array" aca="1" ref="Q645" ca="1">INDEX('Isaac 401k'!L:L,MATCH('Retirement Calculator'!A645,'Isaac 401k'!N:N,0),0)</f>
        <v>-737245.84905026073</v>
      </c>
      <c r="R645" s="25">
        <f t="array" aca="1" ref="R645" ca="1">INDEX('Lorri 401b'!L:L,MATCH('Retirement Calculator'!A645,'Lorri 401b'!N:N,0),0)</f>
        <v>-1746647.2335868021</v>
      </c>
      <c r="S645" s="25">
        <f t="shared" ca="1" si="527"/>
        <v>-2483893.0826370628</v>
      </c>
    </row>
    <row r="646" spans="1:19" ht="15.75" customHeight="1" x14ac:dyDescent="0.3">
      <c r="A646" s="37">
        <v>70615</v>
      </c>
      <c r="B646" s="409">
        <f t="shared" ref="B646:C646" si="652">($A646-B$9)/365.25</f>
        <v>111.45516769336071</v>
      </c>
      <c r="C646" s="409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3525.4531757812501</v>
      </c>
      <c r="H646" s="25">
        <f>IF(B646&lt;62,0,'Combined Retirement'!$I$14)</f>
        <v>2192</v>
      </c>
      <c r="I646" s="25">
        <f>IF(C646&lt;62,0,'Combined Retirement'!$I$13)</f>
        <v>2420</v>
      </c>
      <c r="J646" s="25">
        <f t="shared" si="523"/>
        <v>7863.2184191855868</v>
      </c>
      <c r="K646" s="25">
        <f t="shared" si="524"/>
        <v>20282.026119384056</v>
      </c>
      <c r="L646" s="25"/>
      <c r="N646" s="25">
        <f>'Combined Retirement'!$C$18/12</f>
        <v>39153.069999999992</v>
      </c>
      <c r="O646" s="25">
        <f t="shared" si="525"/>
        <v>11007.82546143035</v>
      </c>
      <c r="P646" s="25">
        <f t="shared" si="526"/>
        <v>28145.244538569641</v>
      </c>
      <c r="Q646" s="25">
        <f t="array" aca="1" ref="Q646" ca="1">INDEX('Isaac 401k'!L:L,MATCH('Retirement Calculator'!A646,'Isaac 401k'!N:N,0),0)</f>
        <v>-748213.68858390232</v>
      </c>
      <c r="R646" s="25">
        <f t="array" aca="1" ref="R646" ca="1">INDEX('Lorri 401b'!L:L,MATCH('Retirement Calculator'!A646,'Lorri 401b'!N:N,0),0)</f>
        <v>-1774291.464954962</v>
      </c>
      <c r="S646" s="25">
        <f t="shared" ca="1" si="527"/>
        <v>-2522505.1535388641</v>
      </c>
    </row>
    <row r="647" spans="1:19" ht="15.75" customHeight="1" x14ac:dyDescent="0.3">
      <c r="A647" s="37">
        <v>70646</v>
      </c>
      <c r="B647" s="409">
        <f t="shared" ref="B647:C647" si="653">($A647-B$9)/365.25</f>
        <v>111.54004106776181</v>
      </c>
      <c r="C647" s="409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3525.4531757812501</v>
      </c>
      <c r="H647" s="25">
        <f>IF(B647&lt;62,0,'Combined Retirement'!$I$14)</f>
        <v>2192</v>
      </c>
      <c r="I647" s="25">
        <f>IF(C647&lt;62,0,'Combined Retirement'!$I$13)</f>
        <v>2420</v>
      </c>
      <c r="J647" s="25">
        <f t="shared" si="523"/>
        <v>7863.2184191855868</v>
      </c>
      <c r="K647" s="25">
        <f t="shared" si="524"/>
        <v>20282.026119384056</v>
      </c>
      <c r="L647" s="25"/>
      <c r="N647" s="25">
        <f>'Combined Retirement'!$C$18/12</f>
        <v>39153.069999999992</v>
      </c>
      <c r="O647" s="25">
        <f t="shared" si="525"/>
        <v>11007.82546143035</v>
      </c>
      <c r="P647" s="25">
        <f t="shared" si="526"/>
        <v>28145.244538569641</v>
      </c>
      <c r="Q647" s="25">
        <f t="array" aca="1" ref="Q647" ca="1">INDEX('Isaac 401k'!L:L,MATCH('Retirement Calculator'!A647,'Isaac 401k'!N:N,0),0)</f>
        <v>-759227.22744893411</v>
      </c>
      <c r="R647" s="25">
        <f t="array" aca="1" ref="R647" ca="1">INDEX('Lorri 401b'!L:L,MATCH('Retirement Calculator'!A647,'Lorri 401b'!N:N,0),0)</f>
        <v>-1802050.8806204891</v>
      </c>
      <c r="S647" s="25">
        <f t="shared" ca="1" si="527"/>
        <v>-2561278.1080694231</v>
      </c>
    </row>
    <row r="648" spans="1:19" ht="15.75" customHeight="1" x14ac:dyDescent="0.3">
      <c r="A648" s="37">
        <v>70676</v>
      </c>
      <c r="B648" s="409">
        <f t="shared" ref="B648:C648" si="654">($A648-B$9)/365.25</f>
        <v>111.62217659137578</v>
      </c>
      <c r="C648" s="409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3525.4531757812501</v>
      </c>
      <c r="H648" s="25">
        <f>IF(B648&lt;62,0,'Combined Retirement'!$I$14)</f>
        <v>2192</v>
      </c>
      <c r="I648" s="25">
        <f>IF(C648&lt;62,0,'Combined Retirement'!$I$13)</f>
        <v>2420</v>
      </c>
      <c r="J648" s="25">
        <f t="shared" si="523"/>
        <v>7863.2184191855868</v>
      </c>
      <c r="K648" s="25">
        <f t="shared" si="524"/>
        <v>20282.026119384056</v>
      </c>
      <c r="L648" s="25"/>
      <c r="N648" s="25">
        <f>'Combined Retirement'!$C$18/12</f>
        <v>39153.069999999992</v>
      </c>
      <c r="O648" s="25">
        <f t="shared" si="525"/>
        <v>11007.82546143035</v>
      </c>
      <c r="P648" s="25">
        <f t="shared" si="526"/>
        <v>28145.244538569641</v>
      </c>
      <c r="Q648" s="25">
        <f t="array" aca="1" ref="Q648" ca="1">INDEX('Isaac 401k'!L:L,MATCH('Retirement Calculator'!A648,'Isaac 401k'!N:N,0),0)</f>
        <v>-770286.65605923685</v>
      </c>
      <c r="R648" s="25">
        <f t="array" aca="1" ref="R648" ca="1">INDEX('Lorri 401b'!L:L,MATCH('Retirement Calculator'!A648,'Lorri 401b'!N:N,0),0)</f>
        <v>-1829925.9605179559</v>
      </c>
      <c r="S648" s="25">
        <f t="shared" ca="1" si="527"/>
        <v>-2600212.6165771927</v>
      </c>
    </row>
    <row r="649" spans="1:19" ht="15.75" customHeight="1" x14ac:dyDescent="0.3">
      <c r="A649" s="37">
        <v>70707</v>
      </c>
      <c r="B649" s="409">
        <f t="shared" ref="B649:C649" si="655">($A649-B$9)/365.25</f>
        <v>111.70704996577686</v>
      </c>
      <c r="C649" s="409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3525.4531757812501</v>
      </c>
      <c r="H649" s="25">
        <f>IF(B649&lt;62,0,'Combined Retirement'!$I$14)</f>
        <v>2192</v>
      </c>
      <c r="I649" s="25">
        <f>IF(C649&lt;62,0,'Combined Retirement'!$I$13)</f>
        <v>2420</v>
      </c>
      <c r="J649" s="25">
        <f t="shared" si="523"/>
        <v>7863.2184191855868</v>
      </c>
      <c r="K649" s="25">
        <f t="shared" si="524"/>
        <v>20282.026119384056</v>
      </c>
      <c r="L649" s="25"/>
      <c r="N649" s="25">
        <f>'Combined Retirement'!$C$18/12</f>
        <v>39153.069999999992</v>
      </c>
      <c r="O649" s="25">
        <f t="shared" si="525"/>
        <v>11007.82546143035</v>
      </c>
      <c r="P649" s="25">
        <f t="shared" si="526"/>
        <v>28145.244538569641</v>
      </c>
      <c r="Q649" s="25">
        <f t="array" aca="1" ref="Q649" ca="1">INDEX('Isaac 401k'!L:L,MATCH('Retirement Calculator'!A649,'Isaac 401k'!N:N,0),0)</f>
        <v>-781392.16562208254</v>
      </c>
      <c r="R649" s="25">
        <f t="array" aca="1" ref="R649" ca="1">INDEX('Lorri 401b'!L:L,MATCH('Retirement Calculator'!A649,'Lorri 401b'!N:N,0),0)</f>
        <v>-1857917.1865816622</v>
      </c>
      <c r="S649" s="25">
        <f t="shared" ca="1" si="527"/>
        <v>-2639309.3522037445</v>
      </c>
    </row>
    <row r="650" spans="1:19" ht="15.75" customHeight="1" x14ac:dyDescent="0.3">
      <c r="A650" s="37">
        <v>70738</v>
      </c>
      <c r="B650" s="409">
        <f t="shared" ref="B650:C650" si="656">($A650-B$9)/365.25</f>
        <v>111.79192334017796</v>
      </c>
      <c r="C650" s="409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3525.4531757812501</v>
      </c>
      <c r="H650" s="25">
        <f>IF(B650&lt;62,0,'Combined Retirement'!$I$14)</f>
        <v>2192</v>
      </c>
      <c r="I650" s="25">
        <f>IF(C650&lt;62,0,'Combined Retirement'!$I$13)</f>
        <v>2420</v>
      </c>
      <c r="J650" s="25">
        <f t="shared" si="523"/>
        <v>7863.2184191855868</v>
      </c>
      <c r="K650" s="25">
        <f t="shared" si="524"/>
        <v>20282.026119384056</v>
      </c>
      <c r="L650" s="25"/>
      <c r="N650" s="25">
        <f>'Combined Retirement'!$C$18/12</f>
        <v>39153.069999999992</v>
      </c>
      <c r="O650" s="25">
        <f t="shared" si="525"/>
        <v>11007.82546143035</v>
      </c>
      <c r="P650" s="25">
        <f t="shared" si="526"/>
        <v>28145.244538569641</v>
      </c>
      <c r="Q650" s="25">
        <f t="array" aca="1" ref="Q650" ca="1">INDEX('Isaac 401k'!L:L,MATCH('Retirement Calculator'!A650,'Isaac 401k'!N:N,0),0)</f>
        <v>-792543.94814144005</v>
      </c>
      <c r="R650" s="25">
        <f t="array" aca="1" ref="R650" ca="1">INDEX('Lorri 401b'!L:L,MATCH('Retirement Calculator'!A650,'Lorri 401b'!N:N,0),0)</f>
        <v>-1886025.0427539672</v>
      </c>
      <c r="S650" s="25">
        <f t="shared" ca="1" si="527"/>
        <v>-2678568.9908954073</v>
      </c>
    </row>
    <row r="651" spans="1:19" ht="15.75" customHeight="1" x14ac:dyDescent="0.3">
      <c r="A651" s="37">
        <v>70768</v>
      </c>
      <c r="B651" s="409">
        <f t="shared" ref="B651:C651" si="657">($A651-B$9)/365.25</f>
        <v>111.87405886379193</v>
      </c>
      <c r="C651" s="409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3525.4531757812501</v>
      </c>
      <c r="H651" s="25">
        <f>IF(B651&lt;62,0,'Combined Retirement'!$I$14)</f>
        <v>2192</v>
      </c>
      <c r="I651" s="25">
        <f>IF(C651&lt;62,0,'Combined Retirement'!$I$13)</f>
        <v>2420</v>
      </c>
      <c r="J651" s="25">
        <f t="shared" si="523"/>
        <v>7863.2184191855868</v>
      </c>
      <c r="K651" s="25">
        <f t="shared" si="524"/>
        <v>20282.026119384056</v>
      </c>
      <c r="L651" s="25"/>
      <c r="N651" s="25">
        <f>'Combined Retirement'!$C$18/12</f>
        <v>39153.069999999992</v>
      </c>
      <c r="O651" s="25">
        <f t="shared" si="525"/>
        <v>11007.82546143035</v>
      </c>
      <c r="P651" s="25">
        <f t="shared" si="526"/>
        <v>28145.244538569641</v>
      </c>
      <c r="Q651" s="25">
        <f t="array" aca="1" ref="Q651" ca="1">INDEX('Isaac 401k'!L:L,MATCH('Retirement Calculator'!A651,'Isaac 401k'!N:N,0),0)</f>
        <v>-803742.19642129494</v>
      </c>
      <c r="R651" s="25">
        <f t="array" aca="1" ref="R651" ca="1">INDEX('Lorri 401b'!L:L,MATCH('Retirement Calculator'!A651,'Lorri 401b'!N:N,0),0)</f>
        <v>-1914250.0149936569</v>
      </c>
      <c r="S651" s="25">
        <f t="shared" ca="1" si="527"/>
        <v>-2717992.2114149518</v>
      </c>
    </row>
    <row r="652" spans="1:19" ht="15.75" customHeight="1" x14ac:dyDescent="0.3">
      <c r="A652" s="37">
        <v>70799</v>
      </c>
      <c r="B652" s="409">
        <f t="shared" ref="B652:C652" si="658">($A652-B$9)/365.25</f>
        <v>111.95893223819301</v>
      </c>
      <c r="C652" s="409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3525.4531757812501</v>
      </c>
      <c r="H652" s="25">
        <f>IF(B652&lt;62,0,'Combined Retirement'!$I$14)</f>
        <v>2192</v>
      </c>
      <c r="I652" s="25">
        <f>IF(C652&lt;62,0,'Combined Retirement'!$I$13)</f>
        <v>2420</v>
      </c>
      <c r="J652" s="25">
        <f t="shared" si="523"/>
        <v>7863.2184191855868</v>
      </c>
      <c r="K652" s="25">
        <f t="shared" si="524"/>
        <v>20282.026119384056</v>
      </c>
      <c r="L652" s="25"/>
      <c r="N652" s="25">
        <f>'Combined Retirement'!$C$18/12</f>
        <v>39153.069999999992</v>
      </c>
      <c r="O652" s="25">
        <f t="shared" si="525"/>
        <v>11007.82546143035</v>
      </c>
      <c r="P652" s="25">
        <f t="shared" si="526"/>
        <v>28145.244538569641</v>
      </c>
      <c r="Q652" s="25">
        <f t="array" aca="1" ref="Q652" ca="1">INDEX('Isaac 401k'!L:L,MATCH('Retirement Calculator'!A652,'Isaac 401k'!N:N,0),0)</f>
        <v>-814987.10406898253</v>
      </c>
      <c r="R652" s="25">
        <f t="array" aca="1" ref="R652" ca="1">INDEX('Lorri 401b'!L:L,MATCH('Retirement Calculator'!A652,'Lorri 401b'!N:N,0),0)</f>
        <v>-1942592.5912843451</v>
      </c>
      <c r="S652" s="25">
        <f t="shared" ca="1" si="527"/>
        <v>-2757579.6953533278</v>
      </c>
    </row>
    <row r="653" spans="1:19" ht="15.75" customHeight="1" x14ac:dyDescent="0.3">
      <c r="A653" s="37">
        <v>70829</v>
      </c>
      <c r="B653" s="409">
        <f t="shared" ref="B653:C653" si="659">($A653-B$9)/365.25</f>
        <v>112.04106776180699</v>
      </c>
      <c r="C653" s="409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3525.4531757812501</v>
      </c>
      <c r="H653" s="25">
        <f>IF(B653&lt;62,0,'Combined Retirement'!$I$14)</f>
        <v>2192</v>
      </c>
      <c r="I653" s="25">
        <f>IF(C653&lt;62,0,'Combined Retirement'!$I$13)</f>
        <v>2420</v>
      </c>
      <c r="J653" s="25">
        <f t="shared" si="523"/>
        <v>7863.2184191855868</v>
      </c>
      <c r="K653" s="25">
        <f t="shared" si="524"/>
        <v>20282.026119384056</v>
      </c>
      <c r="L653" s="25"/>
      <c r="N653" s="25">
        <f>'Combined Retirement'!$C$18/12</f>
        <v>39153.069999999992</v>
      </c>
      <c r="O653" s="25">
        <f t="shared" si="525"/>
        <v>11007.82546143035</v>
      </c>
      <c r="P653" s="25">
        <f t="shared" si="526"/>
        <v>28145.244538569641</v>
      </c>
      <c r="Q653" s="25">
        <f t="array" aca="1" ref="Q653" ca="1">INDEX('Isaac 401k'!L:L,MATCH('Retirement Calculator'!A653,'Isaac 401k'!N:N,0),0)</f>
        <v>-826278.86549853545</v>
      </c>
      <c r="R653" s="25">
        <f t="array" aca="1" ref="R653" ca="1">INDEX('Lorri 401b'!L:L,MATCH('Retirement Calculator'!A653,'Lorri 401b'!N:N,0),0)</f>
        <v>-1971053.2616429112</v>
      </c>
      <c r="S653" s="25">
        <f t="shared" ca="1" si="527"/>
        <v>-2797332.1271414468</v>
      </c>
    </row>
    <row r="654" spans="1:19" ht="15.75" customHeight="1" x14ac:dyDescent="0.3">
      <c r="A654" s="37">
        <v>70860</v>
      </c>
      <c r="B654" s="409">
        <f t="shared" ref="B654:C654" si="660">($A654-B$9)/365.25</f>
        <v>112.12594113620807</v>
      </c>
      <c r="C654" s="409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3525.4531757812501</v>
      </c>
      <c r="H654" s="25">
        <f>IF(B654&lt;62,0,'Combined Retirement'!$I$14)</f>
        <v>2192</v>
      </c>
      <c r="I654" s="25">
        <f>IF(C654&lt;62,0,'Combined Retirement'!$I$13)</f>
        <v>2420</v>
      </c>
      <c r="J654" s="25">
        <f t="shared" si="523"/>
        <v>7863.2184191855868</v>
      </c>
      <c r="K654" s="25">
        <f t="shared" si="524"/>
        <v>20282.026119384056</v>
      </c>
      <c r="L654" s="25"/>
      <c r="N654" s="25">
        <f>'Combined Retirement'!$C$18/12</f>
        <v>39153.069999999992</v>
      </c>
      <c r="O654" s="25">
        <f t="shared" si="525"/>
        <v>11007.82546143035</v>
      </c>
      <c r="P654" s="25">
        <f t="shared" si="526"/>
        <v>28145.244538569641</v>
      </c>
      <c r="Q654" s="25">
        <f t="array" aca="1" ref="Q654" ca="1">INDEX('Isaac 401k'!L:L,MATCH('Retirement Calculator'!A654,'Isaac 401k'!N:N,0),0)</f>
        <v>-837617.67593404488</v>
      </c>
      <c r="R654" s="25">
        <f t="array" aca="1" ref="R654" ca="1">INDEX('Lorri 401b'!L:L,MATCH('Retirement Calculator'!A654,'Lorri 401b'!N:N,0),0)</f>
        <v>-1999632.5181279716</v>
      </c>
      <c r="S654" s="25">
        <f t="shared" ca="1" si="527"/>
        <v>-2837250.1940620164</v>
      </c>
    </row>
    <row r="655" spans="1:19" ht="15.75" customHeight="1" x14ac:dyDescent="0.3">
      <c r="A655" s="37">
        <v>70891</v>
      </c>
      <c r="B655" s="409">
        <f t="shared" ref="B655:C655" si="661">($A655-B$9)/365.25</f>
        <v>112.21081451060917</v>
      </c>
      <c r="C655" s="409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3525.4531757812501</v>
      </c>
      <c r="H655" s="25">
        <f>IF(B655&lt;62,0,'Combined Retirement'!$I$14)</f>
        <v>2192</v>
      </c>
      <c r="I655" s="25">
        <f>IF(C655&lt;62,0,'Combined Retirement'!$I$13)</f>
        <v>2420</v>
      </c>
      <c r="J655" s="25">
        <f t="shared" si="523"/>
        <v>7863.2184191855868</v>
      </c>
      <c r="K655" s="25">
        <f t="shared" si="524"/>
        <v>20282.026119384056</v>
      </c>
      <c r="L655" s="25"/>
      <c r="N655" s="25">
        <f>'Combined Retirement'!$C$18/12</f>
        <v>39153.069999999992</v>
      </c>
      <c r="O655" s="25">
        <f t="shared" si="525"/>
        <v>11007.82546143035</v>
      </c>
      <c r="P655" s="25">
        <f t="shared" si="526"/>
        <v>28145.244538569641</v>
      </c>
      <c r="Q655" s="25">
        <f t="array" aca="1" ref="Q655" ca="1">INDEX('Isaac 401k'!L:L,MATCH('Retirement Calculator'!A655,'Isaac 401k'!N:N,0),0)</f>
        <v>-849003.73141303565</v>
      </c>
      <c r="R655" s="25">
        <f t="array" aca="1" ref="R655" ca="1">INDEX('Lorri 401b'!L:L,MATCH('Retirement Calculator'!A655,'Lorri 401b'!N:N,0),0)</f>
        <v>-2028330.8548483863</v>
      </c>
      <c r="S655" s="25">
        <f t="shared" ca="1" si="527"/>
        <v>-2877334.5862614219</v>
      </c>
    </row>
    <row r="656" spans="1:19" ht="15.75" customHeight="1" x14ac:dyDescent="0.3">
      <c r="A656" s="37">
        <v>70919</v>
      </c>
      <c r="B656" s="409">
        <f t="shared" ref="B656:C656" si="662">($A656-B$9)/365.25</f>
        <v>112.28747433264887</v>
      </c>
      <c r="C656" s="409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3525.4531757812501</v>
      </c>
      <c r="H656" s="25">
        <f>IF(B656&lt;62,0,'Combined Retirement'!$I$14)</f>
        <v>2192</v>
      </c>
      <c r="I656" s="25">
        <f>IF(C656&lt;62,0,'Combined Retirement'!$I$13)</f>
        <v>2420</v>
      </c>
      <c r="J656" s="25">
        <f t="shared" si="523"/>
        <v>7863.2184191855868</v>
      </c>
      <c r="K656" s="25">
        <f t="shared" si="524"/>
        <v>20282.026119384056</v>
      </c>
      <c r="L656" s="25"/>
      <c r="N656" s="25">
        <f>'Combined Retirement'!$C$18/12</f>
        <v>39153.069999999992</v>
      </c>
      <c r="O656" s="25">
        <f t="shared" si="525"/>
        <v>11007.82546143035</v>
      </c>
      <c r="P656" s="25">
        <f t="shared" si="526"/>
        <v>28145.244538569641</v>
      </c>
      <c r="Q656" s="25">
        <f t="array" aca="1" ref="Q656" ca="1">INDEX('Isaac 401k'!L:L,MATCH('Retirement Calculator'!A656,'Isaac 401k'!N:N,0),0)</f>
        <v>-860437.22878985549</v>
      </c>
      <c r="R656" s="25">
        <f t="array" aca="1" ref="R656" ca="1">INDEX('Lorri 401b'!L:L,MATCH('Retirement Calculator'!A656,'Lorri 401b'!N:N,0),0)</f>
        <v>-2057148.7679718025</v>
      </c>
      <c r="S656" s="25">
        <f t="shared" ca="1" si="527"/>
        <v>-2917585.9967616582</v>
      </c>
    </row>
    <row r="657" spans="1:19" ht="15.75" customHeight="1" x14ac:dyDescent="0.3">
      <c r="A657" s="37">
        <v>70950</v>
      </c>
      <c r="B657" s="409">
        <f t="shared" ref="B657:C657" si="663">($A657-B$9)/365.25</f>
        <v>112.37234770704997</v>
      </c>
      <c r="C657" s="409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3525.4531757812501</v>
      </c>
      <c r="H657" s="25">
        <f>IF(B657&lt;62,0,'Combined Retirement'!$I$14)</f>
        <v>2192</v>
      </c>
      <c r="I657" s="25">
        <f>IF(C657&lt;62,0,'Combined Retirement'!$I$13)</f>
        <v>2420</v>
      </c>
      <c r="J657" s="25">
        <f t="shared" si="523"/>
        <v>7863.2184191855868</v>
      </c>
      <c r="K657" s="25">
        <f t="shared" si="524"/>
        <v>20282.026119384056</v>
      </c>
      <c r="L657" s="25"/>
      <c r="N657" s="25">
        <f>'Combined Retirement'!$C$18/12</f>
        <v>39153.069999999992</v>
      </c>
      <c r="O657" s="25">
        <f t="shared" si="525"/>
        <v>11007.82546143035</v>
      </c>
      <c r="P657" s="25">
        <f t="shared" si="526"/>
        <v>28145.244538569641</v>
      </c>
      <c r="Q657" s="25">
        <f t="array" aca="1" ref="Q657" ca="1">INDEX('Isaac 401k'!L:L,MATCH('Retirement Calculator'!A657,'Isaac 401k'!N:N,0),0)</f>
        <v>-871918.36573907873</v>
      </c>
      <c r="R657" s="25">
        <f t="array" aca="1" ref="R657" ca="1">INDEX('Lorri 401b'!L:L,MATCH('Retirement Calculator'!A657,'Lorri 401b'!N:N,0),0)</f>
        <v>-2086086.7557332332</v>
      </c>
      <c r="S657" s="25">
        <f t="shared" ca="1" si="527"/>
        <v>-2958005.1214723121</v>
      </c>
    </row>
    <row r="658" spans="1:19" ht="15.75" customHeight="1" x14ac:dyDescent="0.3">
      <c r="A658" s="37">
        <v>70980</v>
      </c>
      <c r="B658" s="409">
        <f t="shared" ref="B658:C658" si="664">($A658-B$9)/365.25</f>
        <v>112.45448323066393</v>
      </c>
      <c r="C658" s="409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3525.4531757812501</v>
      </c>
      <c r="H658" s="25">
        <f>IF(B658&lt;62,0,'Combined Retirement'!$I$14)</f>
        <v>2192</v>
      </c>
      <c r="I658" s="25">
        <f>IF(C658&lt;62,0,'Combined Retirement'!$I$13)</f>
        <v>2420</v>
      </c>
      <c r="J658" s="25">
        <f t="shared" si="523"/>
        <v>7863.2184191855868</v>
      </c>
      <c r="K658" s="25">
        <f t="shared" si="524"/>
        <v>20282.026119384056</v>
      </c>
      <c r="L658" s="25"/>
      <c r="N658" s="25">
        <f>'Combined Retirement'!$C$18/12</f>
        <v>39153.069999999992</v>
      </c>
      <c r="O658" s="25">
        <f t="shared" si="525"/>
        <v>11007.82546143035</v>
      </c>
      <c r="P658" s="25">
        <f t="shared" si="526"/>
        <v>28145.244538569641</v>
      </c>
      <c r="Q658" s="25">
        <f t="array" aca="1" ref="Q658" ca="1">INDEX('Isaac 401k'!L:L,MATCH('Retirement Calculator'!A658,'Isaac 401k'!N:N,0),0)</f>
        <v>-883447.34075892379</v>
      </c>
      <c r="R658" s="25">
        <f t="array" aca="1" ref="R658" ca="1">INDEX('Lorri 401b'!L:L,MATCH('Retirement Calculator'!A658,'Lorri 401b'!N:N,0),0)</f>
        <v>-2115145.3184436699</v>
      </c>
      <c r="S658" s="25">
        <f t="shared" ca="1" si="527"/>
        <v>-2998592.6592025938</v>
      </c>
    </row>
    <row r="659" spans="1:19" ht="15.75" customHeight="1" x14ac:dyDescent="0.3">
      <c r="A659" s="37">
        <v>71011</v>
      </c>
      <c r="B659" s="409">
        <f t="shared" ref="B659:C659" si="665">($A659-B$9)/365.25</f>
        <v>112.53935660506502</v>
      </c>
      <c r="C659" s="409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3525.4531757812501</v>
      </c>
      <c r="H659" s="25">
        <f>IF(B659&lt;62,0,'Combined Retirement'!$I$14)</f>
        <v>2192</v>
      </c>
      <c r="I659" s="25">
        <f>IF(C659&lt;62,0,'Combined Retirement'!$I$13)</f>
        <v>2420</v>
      </c>
      <c r="J659" s="25">
        <f t="shared" si="523"/>
        <v>7863.2184191855868</v>
      </c>
      <c r="K659" s="25">
        <f t="shared" si="524"/>
        <v>20282.026119384056</v>
      </c>
      <c r="L659" s="25"/>
      <c r="N659" s="25">
        <f>'Combined Retirement'!$C$18/12</f>
        <v>39153.069999999992</v>
      </c>
      <c r="O659" s="25">
        <f t="shared" si="525"/>
        <v>11007.82546143035</v>
      </c>
      <c r="P659" s="25">
        <f t="shared" si="526"/>
        <v>28145.244538569641</v>
      </c>
      <c r="Q659" s="25">
        <f t="array" aca="1" ref="Q659" ca="1">INDEX('Isaac 401k'!L:L,MATCH('Retirement Calculator'!A659,'Isaac 401k'!N:N,0),0)</f>
        <v>-895024.3531746848</v>
      </c>
      <c r="R659" s="25">
        <f t="array" aca="1" ref="R659" ca="1">INDEX('Lorri 401b'!L:L,MATCH('Retirement Calculator'!A659,'Lorri 401b'!N:N,0),0)</f>
        <v>-2144324.9584987331</v>
      </c>
      <c r="S659" s="25">
        <f t="shared" ca="1" si="527"/>
        <v>-3039349.3116734177</v>
      </c>
    </row>
    <row r="660" spans="1:19" ht="15.75" customHeight="1" x14ac:dyDescent="0.3">
      <c r="A660" s="37">
        <v>71041</v>
      </c>
      <c r="B660" s="409">
        <f t="shared" ref="B660:C660" si="666">($A660-B$9)/365.25</f>
        <v>112.62149212867898</v>
      </c>
      <c r="C660" s="409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3525.4531757812501</v>
      </c>
      <c r="H660" s="25">
        <f>IF(B660&lt;62,0,'Combined Retirement'!$I$14)</f>
        <v>2192</v>
      </c>
      <c r="I660" s="25">
        <f>IF(C660&lt;62,0,'Combined Retirement'!$I$13)</f>
        <v>2420</v>
      </c>
      <c r="J660" s="25">
        <f t="shared" si="523"/>
        <v>7863.2184191855868</v>
      </c>
      <c r="K660" s="25">
        <f t="shared" si="524"/>
        <v>20282.026119384056</v>
      </c>
      <c r="L660" s="25"/>
      <c r="N660" s="25">
        <f>'Combined Retirement'!$C$18/12</f>
        <v>39153.069999999992</v>
      </c>
      <c r="O660" s="25">
        <f t="shared" si="525"/>
        <v>11007.82546143035</v>
      </c>
      <c r="P660" s="25">
        <f t="shared" si="526"/>
        <v>28145.244538569641</v>
      </c>
      <c r="Q660" s="25">
        <f t="array" aca="1" ref="Q660" ca="1">INDEX('Isaac 401k'!L:L,MATCH('Retirement Calculator'!A660,'Isaac 401k'!N:N,0),0)</f>
        <v>-906649.60314217815</v>
      </c>
      <c r="R660" s="25">
        <f t="array" aca="1" ref="R660" ca="1">INDEX('Lorri 401b'!L:L,MATCH('Retirement Calculator'!A660,'Lorri 401b'!N:N,0),0)</f>
        <v>-2173626.1803873591</v>
      </c>
      <c r="S660" s="25">
        <f t="shared" ca="1" si="527"/>
        <v>-3080275.7835295373</v>
      </c>
    </row>
    <row r="661" spans="1:19" ht="15.75" customHeight="1" x14ac:dyDescent="0.3">
      <c r="A661" s="37">
        <v>71072</v>
      </c>
      <c r="B661" s="409">
        <f t="shared" ref="B661:C661" si="667">($A661-B$9)/365.25</f>
        <v>112.70636550308008</v>
      </c>
      <c r="C661" s="409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3525.4531757812501</v>
      </c>
      <c r="H661" s="25">
        <f>IF(B661&lt;62,0,'Combined Retirement'!$I$14)</f>
        <v>2192</v>
      </c>
      <c r="I661" s="25">
        <f>IF(C661&lt;62,0,'Combined Retirement'!$I$13)</f>
        <v>2420</v>
      </c>
      <c r="J661" s="25">
        <f t="shared" si="523"/>
        <v>7863.2184191855868</v>
      </c>
      <c r="K661" s="25">
        <f t="shared" si="524"/>
        <v>20282.026119384056</v>
      </c>
      <c r="L661" s="25"/>
      <c r="N661" s="25">
        <f>'Combined Retirement'!$C$18/12</f>
        <v>39153.069999999992</v>
      </c>
      <c r="O661" s="25">
        <f t="shared" si="525"/>
        <v>11007.82546143035</v>
      </c>
      <c r="P661" s="25">
        <f t="shared" si="526"/>
        <v>28145.244538569641</v>
      </c>
      <c r="Q661" s="25">
        <f t="array" aca="1" ref="Q661" ca="1">INDEX('Isaac 401k'!L:L,MATCH('Retirement Calculator'!A661,'Isaac 401k'!N:N,0),0)</f>
        <v>-918323.29165120283</v>
      </c>
      <c r="R661" s="25">
        <f t="array" aca="1" ref="R661" ca="1">INDEX('Lorri 401b'!L:L,MATCH('Retirement Calculator'!A661,'Lorri 401b'!N:N,0),0)</f>
        <v>-2203049.490700521</v>
      </c>
      <c r="S661" s="25">
        <f t="shared" ca="1" si="527"/>
        <v>-3121372.7823517239</v>
      </c>
    </row>
    <row r="662" spans="1:19" ht="15.75" customHeight="1" x14ac:dyDescent="0.3">
      <c r="A662" s="37">
        <v>71103</v>
      </c>
      <c r="B662" s="409">
        <f t="shared" ref="B662:C662" si="668">($A662-B$9)/365.25</f>
        <v>112.79123887748118</v>
      </c>
      <c r="C662" s="409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3525.4531757812501</v>
      </c>
      <c r="H662" s="25">
        <f>IF(B662&lt;62,0,'Combined Retirement'!$I$14)</f>
        <v>2192</v>
      </c>
      <c r="I662" s="25">
        <f>IF(C662&lt;62,0,'Combined Retirement'!$I$13)</f>
        <v>2420</v>
      </c>
      <c r="J662" s="25">
        <f t="shared" si="523"/>
        <v>7863.2184191855868</v>
      </c>
      <c r="K662" s="25">
        <f t="shared" si="524"/>
        <v>20282.026119384056</v>
      </c>
      <c r="L662" s="25"/>
      <c r="N662" s="25">
        <f>'Combined Retirement'!$C$18/12</f>
        <v>39153.069999999992</v>
      </c>
      <c r="O662" s="25">
        <f t="shared" si="525"/>
        <v>11007.82546143035</v>
      </c>
      <c r="P662" s="25">
        <f t="shared" si="526"/>
        <v>28145.244538569641</v>
      </c>
      <c r="Q662" s="25">
        <f t="array" aca="1" ref="Q662" ca="1">INDEX('Isaac 401k'!L:L,MATCH('Retirement Calculator'!A662,'Isaac 401k'!N:N,0),0)</f>
        <v>-930045.62052901508</v>
      </c>
      <c r="R662" s="25">
        <f t="array" aca="1" ref="R662" ca="1">INDEX('Lorri 401b'!L:L,MATCH('Retirement Calculator'!A662,'Lorri 401b'!N:N,0),0)</f>
        <v>-2232595.3981399881</v>
      </c>
      <c r="S662" s="25">
        <f t="shared" ca="1" si="527"/>
        <v>-3162641.0186690032</v>
      </c>
    </row>
    <row r="663" spans="1:19" ht="15.75" customHeight="1" x14ac:dyDescent="0.3">
      <c r="A663" s="37">
        <v>71133</v>
      </c>
      <c r="B663" s="409">
        <f t="shared" ref="B663:C663" si="669">($A663-B$9)/365.25</f>
        <v>112.87337440109513</v>
      </c>
      <c r="C663" s="409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3525.4531757812501</v>
      </c>
      <c r="H663" s="25">
        <f>IF(B663&lt;62,0,'Combined Retirement'!$I$14)</f>
        <v>2192</v>
      </c>
      <c r="I663" s="25">
        <f>IF(C663&lt;62,0,'Combined Retirement'!$I$13)</f>
        <v>2420</v>
      </c>
      <c r="J663" s="25">
        <f t="shared" si="523"/>
        <v>7863.2184191855868</v>
      </c>
      <c r="K663" s="25">
        <f t="shared" si="524"/>
        <v>20282.026119384056</v>
      </c>
      <c r="L663" s="25"/>
      <c r="N663" s="25">
        <f>'Combined Retirement'!$C$18/12</f>
        <v>39153.069999999992</v>
      </c>
      <c r="O663" s="25">
        <f t="shared" si="525"/>
        <v>11007.82546143035</v>
      </c>
      <c r="P663" s="25">
        <f t="shared" si="526"/>
        <v>28145.244538569641</v>
      </c>
      <c r="Q663" s="25">
        <f t="array" aca="1" ref="Q663" ca="1">INDEX('Isaac 401k'!L:L,MATCH('Retirement Calculator'!A663,'Isaac 401k'!N:N,0),0)</f>
        <v>-941816.79244381818</v>
      </c>
      <c r="R663" s="25">
        <f t="array" aca="1" ref="R663" ca="1">INDEX('Lorri 401b'!L:L,MATCH('Retirement Calculator'!A663,'Lorri 401b'!N:N,0),0)</f>
        <v>-2262264.4135271194</v>
      </c>
      <c r="S663" s="25">
        <f t="shared" ca="1" si="527"/>
        <v>-3204081.2059709374</v>
      </c>
    </row>
    <row r="664" spans="1:19" ht="15.75" customHeight="1" x14ac:dyDescent="0.3">
      <c r="A664" s="37">
        <v>71164</v>
      </c>
      <c r="B664" s="409">
        <f t="shared" ref="B664:C664" si="670">($A664-B$9)/365.25</f>
        <v>112.95824777549623</v>
      </c>
      <c r="C664" s="409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3525.4531757812501</v>
      </c>
      <c r="H664" s="25">
        <f>IF(B664&lt;62,0,'Combined Retirement'!$I$14)</f>
        <v>2192</v>
      </c>
      <c r="I664" s="25">
        <f>IF(C664&lt;62,0,'Combined Retirement'!$I$13)</f>
        <v>2420</v>
      </c>
      <c r="J664" s="25">
        <f t="shared" si="523"/>
        <v>7863.2184191855868</v>
      </c>
      <c r="K664" s="25">
        <f t="shared" si="524"/>
        <v>20282.026119384056</v>
      </c>
      <c r="L664" s="25"/>
      <c r="N664" s="25">
        <f>'Combined Retirement'!$C$18/12</f>
        <v>39153.069999999992</v>
      </c>
      <c r="O664" s="25">
        <f t="shared" si="525"/>
        <v>11007.82546143035</v>
      </c>
      <c r="P664" s="25">
        <f t="shared" si="526"/>
        <v>28145.244538569641</v>
      </c>
      <c r="Q664" s="25">
        <f t="array" aca="1" ref="Q664" ca="1">INDEX('Isaac 401k'!L:L,MATCH('Retirement Calculator'!A664,'Isaac 401k'!N:N,0),0)</f>
        <v>-953637.0109082663</v>
      </c>
      <c r="R664" s="25">
        <f t="array" aca="1" ref="R664" ca="1">INDEX('Lorri 401b'!L:L,MATCH('Retirement Calculator'!A664,'Lorri 401b'!N:N,0),0)</f>
        <v>-2292057.0498116971</v>
      </c>
      <c r="S664" s="25">
        <f t="shared" ca="1" si="527"/>
        <v>-3245694.0607199632</v>
      </c>
    </row>
    <row r="665" spans="1:19" ht="15.75" customHeight="1" x14ac:dyDescent="0.3">
      <c r="A665" s="37">
        <v>71194</v>
      </c>
      <c r="B665" s="409">
        <f t="shared" ref="B665:C665" si="671">($A665-B$9)/365.25</f>
        <v>113.0403832991102</v>
      </c>
      <c r="C665" s="409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3525.4531757812501</v>
      </c>
      <c r="H665" s="25">
        <f>IF(B665&lt;62,0,'Combined Retirement'!$I$14)</f>
        <v>2192</v>
      </c>
      <c r="I665" s="25">
        <f>IF(C665&lt;62,0,'Combined Retirement'!$I$13)</f>
        <v>2420</v>
      </c>
      <c r="J665" s="25">
        <f t="shared" si="523"/>
        <v>7863.2184191855868</v>
      </c>
      <c r="K665" s="25">
        <f t="shared" si="524"/>
        <v>20282.026119384056</v>
      </c>
      <c r="L665" s="25"/>
      <c r="N665" s="25">
        <f>'Combined Retirement'!$C$18/12</f>
        <v>39153.069999999992</v>
      </c>
      <c r="O665" s="25">
        <f t="shared" si="525"/>
        <v>11007.82546143035</v>
      </c>
      <c r="P665" s="25">
        <f t="shared" si="526"/>
        <v>28145.244538569641</v>
      </c>
      <c r="Q665" s="25">
        <f t="array" aca="1" ref="Q665" ca="1">INDEX('Isaac 401k'!L:L,MATCH('Retirement Calculator'!A665,'Isaac 401k'!N:N,0),0)</f>
        <v>-965506.48028298293</v>
      </c>
      <c r="R665" s="25">
        <f t="array" aca="1" ref="R665" ca="1">INDEX('Lorri 401b'!L:L,MATCH('Retirement Calculator'!A665,'Lorri 401b'!N:N,0),0)</f>
        <v>-2321973.8220807938</v>
      </c>
      <c r="S665" s="25">
        <f t="shared" ca="1" si="527"/>
        <v>-3287480.3023637766</v>
      </c>
    </row>
    <row r="666" spans="1:19" ht="15.75" customHeight="1" x14ac:dyDescent="0.3">
      <c r="A666" s="37">
        <v>71225</v>
      </c>
      <c r="B666" s="409">
        <f t="shared" ref="B666:C666" si="672">($A666-B$9)/365.25</f>
        <v>113.12525667351129</v>
      </c>
      <c r="C666" s="409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3525.4531757812501</v>
      </c>
      <c r="H666" s="25">
        <f>IF(B666&lt;62,0,'Combined Retirement'!$I$14)</f>
        <v>2192</v>
      </c>
      <c r="I666" s="25">
        <f>IF(C666&lt;62,0,'Combined Retirement'!$I$13)</f>
        <v>2420</v>
      </c>
      <c r="J666" s="25">
        <f t="shared" si="523"/>
        <v>7863.2184191855868</v>
      </c>
      <c r="K666" s="25">
        <f t="shared" si="524"/>
        <v>20282.026119384056</v>
      </c>
      <c r="L666" s="25"/>
      <c r="N666" s="25">
        <f>'Combined Retirement'!$C$18/12</f>
        <v>39153.069999999992</v>
      </c>
      <c r="O666" s="25">
        <f t="shared" si="525"/>
        <v>11007.82546143035</v>
      </c>
      <c r="P666" s="25">
        <f t="shared" si="526"/>
        <v>28145.244538569641</v>
      </c>
      <c r="Q666" s="25">
        <f t="array" aca="1" ref="Q666" ca="1">INDEX('Isaac 401k'!L:L,MATCH('Retirement Calculator'!A666,'Isaac 401k'!N:N,0),0)</f>
        <v>-977425.40578009421</v>
      </c>
      <c r="R666" s="25">
        <f t="array" aca="1" ref="R666" ca="1">INDEX('Lorri 401b'!L:L,MATCH('Retirement Calculator'!A666,'Lorri 401b'!N:N,0),0)</f>
        <v>-2352015.2475676783</v>
      </c>
      <c r="S666" s="25">
        <f t="shared" ca="1" si="527"/>
        <v>-3329440.6533477725</v>
      </c>
    </row>
    <row r="667" spans="1:19" ht="15.75" customHeight="1" x14ac:dyDescent="0.3">
      <c r="A667" s="37">
        <v>71256</v>
      </c>
      <c r="B667" s="409">
        <f t="shared" ref="B667:C667" si="673">($A667-B$9)/365.25</f>
        <v>113.21013004791239</v>
      </c>
      <c r="C667" s="409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3525.4531757812501</v>
      </c>
      <c r="H667" s="25">
        <f>IF(B667&lt;62,0,'Combined Retirement'!$I$14)</f>
        <v>2192</v>
      </c>
      <c r="I667" s="25">
        <f>IF(C667&lt;62,0,'Combined Retirement'!$I$13)</f>
        <v>2420</v>
      </c>
      <c r="J667" s="25">
        <f t="shared" si="523"/>
        <v>7863.2184191855868</v>
      </c>
      <c r="K667" s="25">
        <f t="shared" si="524"/>
        <v>20282.026119384056</v>
      </c>
      <c r="L667" s="25"/>
      <c r="N667" s="25">
        <f>'Combined Retirement'!$C$18/12</f>
        <v>39153.069999999992</v>
      </c>
      <c r="O667" s="25">
        <f t="shared" si="525"/>
        <v>11007.82546143035</v>
      </c>
      <c r="P667" s="25">
        <f t="shared" si="526"/>
        <v>28145.244538569641</v>
      </c>
      <c r="Q667" s="25">
        <f t="array" aca="1" ref="Q667" ca="1">INDEX('Isaac 401k'!L:L,MATCH('Retirement Calculator'!A667,'Isaac 401k'!N:N,0),0)</f>
        <v>-989393.9934667768</v>
      </c>
      <c r="R667" s="25">
        <f t="array" aca="1" ref="R667" ca="1">INDEX('Lorri 401b'!L:L,MATCH('Retirement Calculator'!A667,'Lorri 401b'!N:N,0),0)</f>
        <v>-2382181.8456607582</v>
      </c>
      <c r="S667" s="25">
        <f t="shared" ca="1" si="527"/>
        <v>-3371575.839127535</v>
      </c>
    </row>
    <row r="668" spans="1:19" ht="15.75" customHeight="1" x14ac:dyDescent="0.3">
      <c r="A668" s="37">
        <v>71284</v>
      </c>
      <c r="B668" s="409">
        <f t="shared" ref="B668:C668" si="674">($A668-B$9)/365.25</f>
        <v>113.28678986995209</v>
      </c>
      <c r="C668" s="409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3525.4531757812501</v>
      </c>
      <c r="H668" s="25">
        <f>IF(B668&lt;62,0,'Combined Retirement'!$I$14)</f>
        <v>2192</v>
      </c>
      <c r="I668" s="25">
        <f>IF(C668&lt;62,0,'Combined Retirement'!$I$13)</f>
        <v>2420</v>
      </c>
      <c r="J668" s="25">
        <f t="shared" si="523"/>
        <v>7863.2184191855868</v>
      </c>
      <c r="K668" s="25">
        <f t="shared" si="524"/>
        <v>20282.026119384056</v>
      </c>
      <c r="L668" s="25"/>
      <c r="N668" s="25">
        <f>'Combined Retirement'!$C$18/12</f>
        <v>39153.069999999992</v>
      </c>
      <c r="O668" s="25">
        <f t="shared" si="525"/>
        <v>11007.82546143035</v>
      </c>
      <c r="P668" s="25">
        <f t="shared" si="526"/>
        <v>28145.244538569641</v>
      </c>
      <c r="Q668" s="25">
        <f t="array" aca="1" ref="Q668" ca="1">INDEX('Isaac 401k'!L:L,MATCH('Retirement Calculator'!A668,'Isaac 401k'!N:N,0),0)</f>
        <v>-1001412.4502688206</v>
      </c>
      <c r="R668" s="25">
        <f t="array" aca="1" ref="R668" ca="1">INDEX('Lorri 401b'!L:L,MATCH('Retirement Calculator'!A668,'Lorri 401b'!N:N,0),0)</f>
        <v>-2412474.1379125593</v>
      </c>
      <c r="S668" s="25">
        <f t="shared" ca="1" si="527"/>
        <v>-3413886.5881813802</v>
      </c>
    </row>
    <row r="669" spans="1:19" ht="15.75" customHeight="1" x14ac:dyDescent="0.3">
      <c r="A669" s="37">
        <v>71315</v>
      </c>
      <c r="B669" s="409">
        <f t="shared" ref="B669:C669" si="675">($A669-B$9)/365.25</f>
        <v>113.37166324435319</v>
      </c>
      <c r="C669" s="409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3525.4531757812501</v>
      </c>
      <c r="H669" s="25">
        <f>IF(B669&lt;62,0,'Combined Retirement'!$I$14)</f>
        <v>2192</v>
      </c>
      <c r="I669" s="25">
        <f>IF(C669&lt;62,0,'Combined Retirement'!$I$13)</f>
        <v>2420</v>
      </c>
      <c r="J669" s="25">
        <f t="shared" si="523"/>
        <v>7863.2184191855868</v>
      </c>
      <c r="K669" s="25">
        <f t="shared" si="524"/>
        <v>20282.026119384056</v>
      </c>
      <c r="L669" s="25"/>
      <c r="N669" s="25">
        <f>'Combined Retirement'!$C$18/12</f>
        <v>39153.069999999992</v>
      </c>
      <c r="O669" s="25">
        <f t="shared" si="525"/>
        <v>11007.82546143035</v>
      </c>
      <c r="P669" s="25">
        <f t="shared" si="526"/>
        <v>28145.244538569641</v>
      </c>
      <c r="Q669" s="25">
        <f t="array" aca="1" ref="Q669" ca="1">INDEX('Isaac 401k'!L:L,MATCH('Retirement Calculator'!A669,'Isaac 401k'!N:N,0),0)</f>
        <v>-1013480.9839742063</v>
      </c>
      <c r="R669" s="25">
        <f t="array" aca="1" ref="R669" ca="1">INDEX('Lorri 401b'!L:L,MATCH('Retirement Calculator'!A669,'Lorri 401b'!N:N,0),0)</f>
        <v>-2442892.6480487431</v>
      </c>
      <c r="S669" s="25">
        <f t="shared" ca="1" si="527"/>
        <v>-3456373.6320229494</v>
      </c>
    </row>
    <row r="670" spans="1:19" ht="15.75" customHeight="1" x14ac:dyDescent="0.3">
      <c r="A670" s="37">
        <v>71345</v>
      </c>
      <c r="B670" s="409">
        <f t="shared" ref="B670:C670" si="676">($A670-B$9)/365.25</f>
        <v>113.45379876796714</v>
      </c>
      <c r="C670" s="409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3525.4531757812501</v>
      </c>
      <c r="H670" s="25">
        <f>IF(B670&lt;62,0,'Combined Retirement'!$I$14)</f>
        <v>2192</v>
      </c>
      <c r="I670" s="25">
        <f>IF(C670&lt;62,0,'Combined Retirement'!$I$13)</f>
        <v>2420</v>
      </c>
      <c r="J670" s="25">
        <f t="shared" si="523"/>
        <v>7863.2184191855868</v>
      </c>
      <c r="K670" s="25">
        <f t="shared" si="524"/>
        <v>20282.026119384056</v>
      </c>
      <c r="L670" s="25"/>
      <c r="N670" s="25">
        <f>'Combined Retirement'!$C$18/12</f>
        <v>39153.069999999992</v>
      </c>
      <c r="O670" s="25">
        <f t="shared" si="525"/>
        <v>11007.82546143035</v>
      </c>
      <c r="P670" s="25">
        <f t="shared" si="526"/>
        <v>28145.244538569641</v>
      </c>
      <c r="Q670" s="25">
        <f t="array" aca="1" ref="Q670" ca="1">INDEX('Isaac 401k'!L:L,MATCH('Retirement Calculator'!A670,'Isaac 401k'!N:N,0),0)</f>
        <v>-1025599.8032366977</v>
      </c>
      <c r="R670" s="25">
        <f t="array" aca="1" ref="R670" ca="1">INDEX('Lorri 401b'!L:L,MATCH('Retirement Calculator'!A670,'Lorri 401b'!N:N,0),0)</f>
        <v>-2473437.9019771609</v>
      </c>
      <c r="S670" s="25">
        <f t="shared" ca="1" si="527"/>
        <v>-3499037.7052138587</v>
      </c>
    </row>
    <row r="671" spans="1:19" ht="15.75" customHeight="1" x14ac:dyDescent="0.3">
      <c r="A671" s="37">
        <v>71376</v>
      </c>
      <c r="B671" s="409">
        <f t="shared" ref="B671:C671" si="677">($A671-B$9)/365.25</f>
        <v>113.53867214236824</v>
      </c>
      <c r="C671" s="409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3525.4531757812501</v>
      </c>
      <c r="H671" s="25">
        <f>IF(B671&lt;62,0,'Combined Retirement'!$I$14)</f>
        <v>2192</v>
      </c>
      <c r="I671" s="25">
        <f>IF(C671&lt;62,0,'Combined Retirement'!$I$13)</f>
        <v>2420</v>
      </c>
      <c r="J671" s="25">
        <f t="shared" si="523"/>
        <v>7863.2184191855868</v>
      </c>
      <c r="K671" s="25">
        <f t="shared" si="524"/>
        <v>20282.026119384056</v>
      </c>
      <c r="L671" s="25"/>
      <c r="N671" s="25">
        <f>'Combined Retirement'!$C$18/12</f>
        <v>39153.069999999992</v>
      </c>
      <c r="O671" s="25">
        <f t="shared" si="525"/>
        <v>11007.82546143035</v>
      </c>
      <c r="P671" s="25">
        <f t="shared" si="526"/>
        <v>28145.244538569641</v>
      </c>
      <c r="Q671" s="25">
        <f t="array" aca="1" ref="Q671" ca="1">INDEX('Isaac 401k'!L:L,MATCH('Retirement Calculator'!A671,'Isaac 401k'!N:N,0),0)</f>
        <v>-1037769.1175794494</v>
      </c>
      <c r="R671" s="25">
        <f t="array" aca="1" ref="R671" ca="1">INDEX('Lorri 401b'!L:L,MATCH('Retirement Calculator'!A671,'Lorri 401b'!N:N,0),0)</f>
        <v>-2504110.4277969473</v>
      </c>
      <c r="S671" s="25">
        <f t="shared" ca="1" si="527"/>
        <v>-3541879.5453763967</v>
      </c>
    </row>
    <row r="672" spans="1:19" ht="15.75" customHeight="1" x14ac:dyDescent="0.3">
      <c r="A672" s="37">
        <v>71406</v>
      </c>
      <c r="B672" s="409">
        <f t="shared" ref="B672:C672" si="678">($A672-B$9)/365.25</f>
        <v>113.6208076659822</v>
      </c>
      <c r="C672" s="409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3525.4531757812501</v>
      </c>
      <c r="H672" s="25">
        <f>IF(B672&lt;62,0,'Combined Retirement'!$I$14)</f>
        <v>2192</v>
      </c>
      <c r="I672" s="25">
        <f>IF(C672&lt;62,0,'Combined Retirement'!$I$13)</f>
        <v>2420</v>
      </c>
      <c r="J672" s="25">
        <f t="shared" si="523"/>
        <v>7863.2184191855868</v>
      </c>
      <c r="K672" s="25">
        <f t="shared" si="524"/>
        <v>20282.026119384056</v>
      </c>
      <c r="L672" s="25"/>
      <c r="N672" s="25">
        <f>'Combined Retirement'!$C$18/12</f>
        <v>39153.069999999992</v>
      </c>
      <c r="O672" s="25">
        <f t="shared" si="525"/>
        <v>11007.82546143035</v>
      </c>
      <c r="P672" s="25">
        <f t="shared" si="526"/>
        <v>28145.244538569641</v>
      </c>
      <c r="Q672" s="25">
        <f t="array" aca="1" ref="Q672" ca="1">INDEX('Isaac 401k'!L:L,MATCH('Retirement Calculator'!A672,'Isaac 401k'!N:N,0),0)</f>
        <v>-1049989.1373986294</v>
      </c>
      <c r="R672" s="25">
        <f t="array" aca="1" ref="R672" ca="1">INDEX('Lorri 401b'!L:L,MATCH('Retirement Calculator'!A672,'Lorri 401b'!N:N,0),0)</f>
        <v>-2534910.7558076493</v>
      </c>
      <c r="S672" s="25">
        <f t="shared" ca="1" si="527"/>
        <v>-3584899.8932062788</v>
      </c>
    </row>
    <row r="673" spans="1:19" ht="15.75" customHeight="1" x14ac:dyDescent="0.3">
      <c r="A673" s="37">
        <v>71437</v>
      </c>
      <c r="B673" s="409">
        <f t="shared" ref="B673:C673" si="679">($A673-B$9)/365.25</f>
        <v>113.7056810403833</v>
      </c>
      <c r="C673" s="409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3525.4531757812501</v>
      </c>
      <c r="H673" s="25">
        <f>IF(B673&lt;62,0,'Combined Retirement'!$I$14)</f>
        <v>2192</v>
      </c>
      <c r="I673" s="25">
        <f>IF(C673&lt;62,0,'Combined Retirement'!$I$13)</f>
        <v>2420</v>
      </c>
      <c r="J673" s="25">
        <f t="shared" si="523"/>
        <v>7863.2184191855868</v>
      </c>
      <c r="K673" s="25">
        <f t="shared" si="524"/>
        <v>20282.026119384056</v>
      </c>
      <c r="L673" s="25"/>
      <c r="N673" s="25">
        <f>'Combined Retirement'!$C$18/12</f>
        <v>39153.069999999992</v>
      </c>
      <c r="O673" s="25">
        <f t="shared" si="525"/>
        <v>11007.82546143035</v>
      </c>
      <c r="P673" s="25">
        <f t="shared" si="526"/>
        <v>28145.244538569641</v>
      </c>
      <c r="Q673" s="25">
        <f t="array" aca="1" ref="Q673" ca="1">INDEX('Isaac 401k'!L:L,MATCH('Retirement Calculator'!A673,'Isaac 401k'!N:N,0),0)</f>
        <v>-1062260.0739670559</v>
      </c>
      <c r="R673" s="25">
        <f t="array" aca="1" ref="R673" ca="1">INDEX('Lorri 401b'!L:L,MATCH('Retirement Calculator'!A673,'Lorri 401b'!N:N,0),0)</f>
        <v>-2565839.4185183961</v>
      </c>
      <c r="S673" s="25">
        <f t="shared" ca="1" si="527"/>
        <v>-3628099.492485452</v>
      </c>
    </row>
    <row r="674" spans="1:19" ht="15.75" customHeight="1" x14ac:dyDescent="0.3">
      <c r="A674" s="37">
        <v>71468</v>
      </c>
      <c r="B674" s="409">
        <f t="shared" ref="B674:C674" si="680">($A674-B$9)/365.25</f>
        <v>113.7905544147844</v>
      </c>
      <c r="C674" s="409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3525.4531757812501</v>
      </c>
      <c r="H674" s="25">
        <f>IF(B674&lt;62,0,'Combined Retirement'!$I$14)</f>
        <v>2192</v>
      </c>
      <c r="I674" s="25">
        <f>IF(C674&lt;62,0,'Combined Retirement'!$I$13)</f>
        <v>2420</v>
      </c>
      <c r="J674" s="25">
        <f t="shared" si="523"/>
        <v>7863.2184191855868</v>
      </c>
      <c r="K674" s="25">
        <f t="shared" si="524"/>
        <v>20282.026119384056</v>
      </c>
      <c r="L674" s="25"/>
      <c r="N674" s="25">
        <f>'Combined Retirement'!$C$18/12</f>
        <v>39153.069999999992</v>
      </c>
      <c r="O674" s="25">
        <f t="shared" si="525"/>
        <v>11007.82546143035</v>
      </c>
      <c r="P674" s="25">
        <f t="shared" si="526"/>
        <v>28145.244538569641</v>
      </c>
      <c r="Q674" s="25">
        <f t="array" aca="1" ref="Q674" ca="1">INDEX('Isaac 401k'!L:L,MATCH('Retirement Calculator'!A674,'Isaac 401k'!N:N,0),0)</f>
        <v>-1074582.1394378508</v>
      </c>
      <c r="R674" s="25">
        <f t="array" aca="1" ref="R674" ca="1">INDEX('Lorri 401b'!L:L,MATCH('Retirement Calculator'!A674,'Lorri 401b'!N:N,0),0)</f>
        <v>-2596896.9506571041</v>
      </c>
      <c r="S674" s="25">
        <f t="shared" ca="1" si="527"/>
        <v>-3671479.0900949547</v>
      </c>
    </row>
    <row r="675" spans="1:19" ht="15.75" customHeight="1" x14ac:dyDescent="0.3">
      <c r="A675" s="37">
        <v>71498</v>
      </c>
      <c r="B675" s="409">
        <f t="shared" ref="B675:C675" si="681">($A675-B$9)/365.25</f>
        <v>113.87268993839835</v>
      </c>
      <c r="C675" s="409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3525.4531757812501</v>
      </c>
      <c r="H675" s="25">
        <f>IF(B675&lt;62,0,'Combined Retirement'!$I$14)</f>
        <v>2192</v>
      </c>
      <c r="I675" s="25">
        <f>IF(C675&lt;62,0,'Combined Retirement'!$I$13)</f>
        <v>2420</v>
      </c>
      <c r="J675" s="25">
        <f t="shared" si="523"/>
        <v>7863.2184191855868</v>
      </c>
      <c r="K675" s="25">
        <f t="shared" si="524"/>
        <v>20282.026119384056</v>
      </c>
      <c r="L675" s="25"/>
      <c r="N675" s="25">
        <f>'Combined Retirement'!$C$18/12</f>
        <v>39153.069999999992</v>
      </c>
      <c r="O675" s="25">
        <f t="shared" si="525"/>
        <v>11007.82546143035</v>
      </c>
      <c r="P675" s="25">
        <f t="shared" si="526"/>
        <v>28145.244538569641</v>
      </c>
      <c r="Q675" s="25">
        <f t="array" aca="1" ref="Q675" ca="1">INDEX('Isaac 401k'!L:L,MATCH('Retirement Calculator'!A675,'Isaac 401k'!N:N,0),0)</f>
        <v>-1086955.5468481074</v>
      </c>
      <c r="R675" s="25">
        <f t="array" aca="1" ref="R675" ca="1">INDEX('Lorri 401b'!L:L,MATCH('Retirement Calculator'!A675,'Lorri 401b'!N:N,0),0)</f>
        <v>-2628083.8891797233</v>
      </c>
      <c r="S675" s="25">
        <f t="shared" ca="1" si="527"/>
        <v>-3715039.4360278305</v>
      </c>
    </row>
    <row r="676" spans="1:19" ht="15.75" customHeight="1" x14ac:dyDescent="0.3">
      <c r="A676" s="37">
        <v>71529</v>
      </c>
      <c r="B676" s="409">
        <f t="shared" ref="B676:C676" si="682">($A676-B$9)/365.25</f>
        <v>113.95756331279945</v>
      </c>
      <c r="C676" s="409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3525.4531757812501</v>
      </c>
      <c r="H676" s="25">
        <f>IF(B676&lt;62,0,'Combined Retirement'!$I$14)</f>
        <v>2192</v>
      </c>
      <c r="I676" s="25">
        <f>IF(C676&lt;62,0,'Combined Retirement'!$I$13)</f>
        <v>2420</v>
      </c>
      <c r="J676" s="25">
        <f t="shared" si="523"/>
        <v>7863.2184191855868</v>
      </c>
      <c r="K676" s="25">
        <f t="shared" si="524"/>
        <v>20282.026119384056</v>
      </c>
      <c r="L676" s="25"/>
      <c r="N676" s="25">
        <f>'Combined Retirement'!$C$18/12</f>
        <v>39153.069999999992</v>
      </c>
      <c r="O676" s="25">
        <f t="shared" si="525"/>
        <v>11007.82546143035</v>
      </c>
      <c r="P676" s="25">
        <f t="shared" si="526"/>
        <v>28145.244538569641</v>
      </c>
      <c r="Q676" s="25">
        <f t="array" aca="1" ref="Q676" ca="1">INDEX('Isaac 401k'!L:L,MATCH('Retirement Calculator'!A676,'Isaac 401k'!N:N,0),0)</f>
        <v>-1099380.5101225735</v>
      </c>
      <c r="R676" s="25">
        <f t="array" aca="1" ref="R676" ca="1">INDEX('Lorri 401b'!L:L,MATCH('Retirement Calculator'!A676,'Lorri 401b'!N:N,0),0)</f>
        <v>-2659400.7732795202</v>
      </c>
      <c r="S676" s="25">
        <f t="shared" ca="1" si="527"/>
        <v>-3758781.2834020937</v>
      </c>
    </row>
    <row r="677" spans="1:19" ht="15.75" customHeight="1" x14ac:dyDescent="0.3">
      <c r="A677" s="37">
        <v>71559</v>
      </c>
      <c r="B677" s="409">
        <f t="shared" ref="B677:C677" si="683">($A677-B$9)/365.25</f>
        <v>114.03969883641342</v>
      </c>
      <c r="C677" s="409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3525.4531757812501</v>
      </c>
      <c r="H677" s="25">
        <f>IF(B677&lt;62,0,'Combined Retirement'!$I$14)</f>
        <v>2192</v>
      </c>
      <c r="I677" s="25">
        <f>IF(C677&lt;62,0,'Combined Retirement'!$I$13)</f>
        <v>2420</v>
      </c>
      <c r="J677" s="25">
        <f t="shared" si="523"/>
        <v>7863.2184191855868</v>
      </c>
      <c r="K677" s="25">
        <f t="shared" si="524"/>
        <v>20282.026119384056</v>
      </c>
      <c r="L677" s="25"/>
      <c r="N677" s="25">
        <f>'Combined Retirement'!$C$18/12</f>
        <v>39153.069999999992</v>
      </c>
      <c r="O677" s="25">
        <f t="shared" si="525"/>
        <v>11007.82546143035</v>
      </c>
      <c r="P677" s="25">
        <f t="shared" si="526"/>
        <v>28145.244538569641</v>
      </c>
      <c r="Q677" s="25">
        <f t="array" aca="1" ref="Q677" ca="1">INDEX('Isaac 401k'!L:L,MATCH('Retirement Calculator'!A677,'Isaac 401k'!N:N,0),0)</f>
        <v>-1111857.2440773498</v>
      </c>
      <c r="R677" s="25">
        <f t="array" aca="1" ref="R677" ca="1">INDEX('Lorri 401b'!L:L,MATCH('Retirement Calculator'!A677,'Lorri 401b'!N:N,0),0)</f>
        <v>-2690848.1443963996</v>
      </c>
      <c r="S677" s="25">
        <f t="shared" ca="1" si="527"/>
        <v>-3802705.3884737492</v>
      </c>
    </row>
    <row r="678" spans="1:19" ht="15.75" customHeight="1" x14ac:dyDescent="0.3">
      <c r="A678" s="37">
        <v>71590</v>
      </c>
      <c r="B678" s="409">
        <f t="shared" ref="B678:C678" si="684">($A678-B$9)/365.25</f>
        <v>114.12457221081451</v>
      </c>
      <c r="C678" s="409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3525.4531757812501</v>
      </c>
      <c r="H678" s="25">
        <f>IF(B678&lt;62,0,'Combined Retirement'!$I$14)</f>
        <v>2192</v>
      </c>
      <c r="I678" s="25">
        <f>IF(C678&lt;62,0,'Combined Retirement'!$I$13)</f>
        <v>2420</v>
      </c>
      <c r="J678" s="25">
        <f t="shared" si="523"/>
        <v>7863.2184191855868</v>
      </c>
      <c r="K678" s="25">
        <f t="shared" si="524"/>
        <v>20282.026119384056</v>
      </c>
      <c r="L678" s="25"/>
      <c r="N678" s="25">
        <f>'Combined Retirement'!$C$18/12</f>
        <v>39153.069999999992</v>
      </c>
      <c r="O678" s="25">
        <f t="shared" si="525"/>
        <v>11007.82546143035</v>
      </c>
      <c r="P678" s="25">
        <f t="shared" si="526"/>
        <v>28145.244538569641</v>
      </c>
      <c r="Q678" s="25">
        <f t="array" aca="1" ref="Q678" ca="1">INDEX('Isaac 401k'!L:L,MATCH('Retirement Calculator'!A678,'Isaac 401k'!N:N,0),0)</f>
        <v>-1124385.9644236043</v>
      </c>
      <c r="R678" s="25">
        <f t="array" aca="1" ref="R678" ca="1">INDEX('Lorri 401b'!L:L,MATCH('Retirement Calculator'!A678,'Lorri 401b'!N:N,0),0)</f>
        <v>-2722426.5462262658</v>
      </c>
      <c r="S678" s="25">
        <f t="shared" ca="1" si="527"/>
        <v>-3846812.5106498701</v>
      </c>
    </row>
    <row r="679" spans="1:19" ht="15.75" customHeight="1" x14ac:dyDescent="0.3">
      <c r="A679" s="37">
        <v>71621</v>
      </c>
      <c r="B679" s="409">
        <f t="shared" ref="B679:C679" si="685">($A679-B$9)/365.25</f>
        <v>114.2094455852156</v>
      </c>
      <c r="C679" s="409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3525.4531757812501</v>
      </c>
      <c r="H679" s="25">
        <f>IF(B679&lt;62,0,'Combined Retirement'!$I$14)</f>
        <v>2192</v>
      </c>
      <c r="I679" s="25">
        <f>IF(C679&lt;62,0,'Combined Retirement'!$I$13)</f>
        <v>2420</v>
      </c>
      <c r="J679" s="25">
        <f t="shared" si="523"/>
        <v>7863.2184191855868</v>
      </c>
      <c r="K679" s="25">
        <f t="shared" si="524"/>
        <v>20282.026119384056</v>
      </c>
      <c r="L679" s="25"/>
      <c r="N679" s="25">
        <f>'Combined Retirement'!$C$18/12</f>
        <v>39153.069999999992</v>
      </c>
      <c r="O679" s="25">
        <f t="shared" si="525"/>
        <v>11007.82546143035</v>
      </c>
      <c r="P679" s="25">
        <f t="shared" si="526"/>
        <v>28145.244538569641</v>
      </c>
      <c r="Q679" s="25">
        <f t="array" aca="1" ref="Q679" ca="1">INDEX('Isaac 401k'!L:L,MATCH('Retirement Calculator'!A679,'Isaac 401k'!N:N,0),0)</f>
        <v>-1136966.8877713014</v>
      </c>
      <c r="R679" s="25">
        <f t="array" aca="1" ref="R679" ca="1">INDEX('Lorri 401b'!L:L,MATCH('Retirement Calculator'!A679,'Lorri 401b'!N:N,0),0)</f>
        <v>-2754136.5247304235</v>
      </c>
      <c r="S679" s="25">
        <f t="shared" ca="1" si="527"/>
        <v>-3891103.4125017249</v>
      </c>
    </row>
    <row r="680" spans="1:19" ht="15.75" customHeight="1" x14ac:dyDescent="0.3">
      <c r="A680" s="37">
        <v>71650</v>
      </c>
      <c r="B680" s="409">
        <f t="shared" ref="B680:C680" si="686">($A680-B$9)/365.25</f>
        <v>114.28884325804243</v>
      </c>
      <c r="C680" s="409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3525.4531757812501</v>
      </c>
      <c r="H680" s="25">
        <f>IF(B680&lt;62,0,'Combined Retirement'!$I$14)</f>
        <v>2192</v>
      </c>
      <c r="I680" s="25">
        <f>IF(C680&lt;62,0,'Combined Retirement'!$I$13)</f>
        <v>2420</v>
      </c>
      <c r="J680" s="25">
        <f t="shared" si="523"/>
        <v>7863.2184191855868</v>
      </c>
      <c r="K680" s="25">
        <f t="shared" si="524"/>
        <v>20282.026119384056</v>
      </c>
      <c r="L680" s="25"/>
      <c r="N680" s="25">
        <f>'Combined Retirement'!$C$18/12</f>
        <v>39153.069999999992</v>
      </c>
      <c r="O680" s="25">
        <f t="shared" si="525"/>
        <v>11007.82546143035</v>
      </c>
      <c r="P680" s="25">
        <f t="shared" si="526"/>
        <v>28145.244538569641</v>
      </c>
      <c r="Q680" s="25">
        <f t="array" aca="1" ref="Q680" ca="1">INDEX('Isaac 401k'!L:L,MATCH('Retirement Calculator'!A680,'Isaac 401k'!N:N,0),0)</f>
        <v>-1149600.2316329475</v>
      </c>
      <c r="R680" s="25">
        <f t="array" aca="1" ref="R680" ca="1">INDEX('Lorri 401b'!L:L,MATCH('Retirement Calculator'!A680,'Lorri 401b'!N:N,0),0)</f>
        <v>-2785978.6281450149</v>
      </c>
      <c r="S680" s="25">
        <f t="shared" ca="1" si="527"/>
        <v>-3935578.8597779623</v>
      </c>
    </row>
    <row r="681" spans="1:19" ht="15.75" customHeight="1" x14ac:dyDescent="0.3">
      <c r="A681" s="37">
        <v>71681</v>
      </c>
      <c r="B681" s="409">
        <f t="shared" ref="B681:C681" si="687">($A681-B$9)/365.25</f>
        <v>114.37371663244353</v>
      </c>
      <c r="C681" s="409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3525.4531757812501</v>
      </c>
      <c r="H681" s="25">
        <f>IF(B681&lt;62,0,'Combined Retirement'!$I$14)</f>
        <v>2192</v>
      </c>
      <c r="I681" s="25">
        <f>IF(C681&lt;62,0,'Combined Retirement'!$I$13)</f>
        <v>2420</v>
      </c>
      <c r="J681" s="25">
        <f t="shared" si="523"/>
        <v>7863.2184191855868</v>
      </c>
      <c r="K681" s="25">
        <f t="shared" si="524"/>
        <v>20282.026119384056</v>
      </c>
      <c r="L681" s="25"/>
      <c r="N681" s="25">
        <f>'Combined Retirement'!$C$18/12</f>
        <v>39153.069999999992</v>
      </c>
      <c r="O681" s="25">
        <f t="shared" si="525"/>
        <v>11007.82546143035</v>
      </c>
      <c r="P681" s="25">
        <f t="shared" si="526"/>
        <v>28145.244538569641</v>
      </c>
      <c r="Q681" s="25">
        <f t="array" aca="1" ref="Q681" ca="1">INDEX('Isaac 401k'!L:L,MATCH('Retirement Calculator'!A681,'Isaac 401k'!N:N,0),0)</f>
        <v>-1162286.2144273503</v>
      </c>
      <c r="R681" s="25">
        <f t="array" aca="1" ref="R681" ca="1">INDEX('Lorri 401b'!L:L,MATCH('Retirement Calculator'!A681,'Lorri 401b'!N:N,0),0)</f>
        <v>-2817953.4069905006</v>
      </c>
      <c r="S681" s="25">
        <f t="shared" ca="1" si="527"/>
        <v>-3980239.6214178512</v>
      </c>
    </row>
    <row r="682" spans="1:19" ht="15.75" customHeight="1" x14ac:dyDescent="0.3">
      <c r="A682" s="37">
        <v>71711</v>
      </c>
      <c r="B682" s="409">
        <f t="shared" ref="B682:C682" si="688">($A682-B$9)/365.25</f>
        <v>114.45585215605749</v>
      </c>
      <c r="C682" s="409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3525.4531757812501</v>
      </c>
      <c r="H682" s="25">
        <f>IF(B682&lt;62,0,'Combined Retirement'!$I$14)</f>
        <v>2192</v>
      </c>
      <c r="I682" s="25">
        <f>IF(C682&lt;62,0,'Combined Retirement'!$I$13)</f>
        <v>2420</v>
      </c>
      <c r="J682" s="25">
        <f t="shared" si="523"/>
        <v>7863.2184191855868</v>
      </c>
      <c r="K682" s="25">
        <f t="shared" si="524"/>
        <v>20282.026119384056</v>
      </c>
      <c r="L682" s="25"/>
      <c r="N682" s="25">
        <f>'Combined Retirement'!$C$18/12</f>
        <v>39153.069999999992</v>
      </c>
      <c r="O682" s="25">
        <f t="shared" si="525"/>
        <v>11007.82546143035</v>
      </c>
      <c r="P682" s="25">
        <f t="shared" si="526"/>
        <v>28145.244538569641</v>
      </c>
      <c r="Q682" s="25">
        <f t="array" aca="1" ref="Q682" ca="1">INDEX('Isaac 401k'!L:L,MATCH('Retirement Calculator'!A682,'Isaac 401k'!N:N,0),0)</f>
        <v>-1175025.0554833964</v>
      </c>
      <c r="R682" s="25">
        <f t="array" aca="1" ref="R682" ca="1">INDEX('Lorri 401b'!L:L,MATCH('Retirement Calculator'!A682,'Lorri 401b'!N:N,0),0)</f>
        <v>-2850061.4140811758</v>
      </c>
      <c r="S682" s="25">
        <f t="shared" ca="1" si="527"/>
        <v>-4025086.469564572</v>
      </c>
    </row>
    <row r="683" spans="1:19" ht="15.75" customHeight="1" x14ac:dyDescent="0.3">
      <c r="A683" s="37">
        <v>71742</v>
      </c>
      <c r="B683" s="409">
        <f t="shared" ref="B683:C683" si="689">($A683-B$9)/365.25</f>
        <v>114.54072553045859</v>
      </c>
      <c r="C683" s="409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3525.4531757812501</v>
      </c>
      <c r="H683" s="25">
        <f>IF(B683&lt;62,0,'Combined Retirement'!$I$14)</f>
        <v>2192</v>
      </c>
      <c r="I683" s="25">
        <f>IF(C683&lt;62,0,'Combined Retirement'!$I$13)</f>
        <v>2420</v>
      </c>
      <c r="J683" s="25">
        <f t="shared" si="523"/>
        <v>7863.2184191855868</v>
      </c>
      <c r="K683" s="25">
        <f t="shared" si="524"/>
        <v>20282.026119384056</v>
      </c>
      <c r="L683" s="25"/>
      <c r="N683" s="25">
        <f>'Combined Retirement'!$C$18/12</f>
        <v>39153.069999999992</v>
      </c>
      <c r="O683" s="25">
        <f t="shared" si="525"/>
        <v>11007.82546143035</v>
      </c>
      <c r="P683" s="25">
        <f t="shared" si="526"/>
        <v>28145.244538569641</v>
      </c>
      <c r="Q683" s="25">
        <f t="array" aca="1" ref="Q683" ca="1">INDEX('Isaac 401k'!L:L,MATCH('Retirement Calculator'!A683,'Isaac 401k'!N:N,0),0)</f>
        <v>-1187816.9750438428</v>
      </c>
      <c r="R683" s="25">
        <f t="array" aca="1" ref="R683" ca="1">INDEX('Lorri 401b'!L:L,MATCH('Retirement Calculator'!A683,'Lorri 401b'!N:N,0),0)</f>
        <v>-2882303.204534729</v>
      </c>
      <c r="S683" s="25">
        <f t="shared" ca="1" si="527"/>
        <v>-4070120.1795785716</v>
      </c>
    </row>
    <row r="684" spans="1:19" ht="15.75" customHeight="1" x14ac:dyDescent="0.3">
      <c r="A684" s="37">
        <v>71772</v>
      </c>
      <c r="B684" s="409">
        <f t="shared" ref="B684:C684" si="690">($A684-B$9)/365.25</f>
        <v>114.62286105407256</v>
      </c>
      <c r="C684" s="409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3525.4531757812501</v>
      </c>
      <c r="H684" s="25">
        <f>IF(B684&lt;62,0,'Combined Retirement'!$I$14)</f>
        <v>2192</v>
      </c>
      <c r="I684" s="25">
        <f>IF(C684&lt;62,0,'Combined Retirement'!$I$13)</f>
        <v>2420</v>
      </c>
      <c r="J684" s="25">
        <f t="shared" si="523"/>
        <v>7863.2184191855868</v>
      </c>
      <c r="K684" s="25">
        <f t="shared" si="524"/>
        <v>20282.026119384056</v>
      </c>
      <c r="L684" s="25"/>
      <c r="N684" s="25">
        <f>'Combined Retirement'!$C$18/12</f>
        <v>39153.069999999992</v>
      </c>
      <c r="O684" s="25">
        <f t="shared" si="525"/>
        <v>11007.82546143035</v>
      </c>
      <c r="P684" s="25">
        <f t="shared" si="526"/>
        <v>28145.244538569641</v>
      </c>
      <c r="Q684" s="25">
        <f t="array" aca="1" ref="Q684" ca="1">INDEX('Isaac 401k'!L:L,MATCH('Retirement Calculator'!A684,'Isaac 401k'!N:N,0),0)</f>
        <v>-1200662.1942691244</v>
      </c>
      <c r="R684" s="25">
        <f t="array" aca="1" ref="R684" ca="1">INDEX('Lorri 401b'!L:L,MATCH('Retirement Calculator'!A684,'Lorri 401b'!N:N,0),0)</f>
        <v>-2914679.3357818383</v>
      </c>
      <c r="S684" s="25">
        <f t="shared" ca="1" si="527"/>
        <v>-4115341.5300509627</v>
      </c>
    </row>
    <row r="685" spans="1:19" ht="15.75" customHeight="1" x14ac:dyDescent="0.3">
      <c r="A685" s="37">
        <v>71803</v>
      </c>
      <c r="B685" s="409">
        <f t="shared" ref="B685:C685" si="691">($A685-B$9)/365.25</f>
        <v>114.70773442847364</v>
      </c>
      <c r="C685" s="409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3525.4531757812501</v>
      </c>
      <c r="H685" s="25">
        <f>IF(B685&lt;62,0,'Combined Retirement'!$I$14)</f>
        <v>2192</v>
      </c>
      <c r="I685" s="25">
        <f>IF(C685&lt;62,0,'Combined Retirement'!$I$13)</f>
        <v>2420</v>
      </c>
      <c r="J685" s="25">
        <f t="shared" si="523"/>
        <v>7863.2184191855868</v>
      </c>
      <c r="K685" s="25">
        <f t="shared" si="524"/>
        <v>20282.026119384056</v>
      </c>
      <c r="L685" s="25"/>
      <c r="N685" s="25">
        <f>'Combined Retirement'!$C$18/12</f>
        <v>39153.069999999992</v>
      </c>
      <c r="O685" s="25">
        <f t="shared" si="525"/>
        <v>11007.82546143035</v>
      </c>
      <c r="P685" s="25">
        <f t="shared" si="526"/>
        <v>28145.244538569641</v>
      </c>
      <c r="Q685" s="25">
        <f t="array" aca="1" ref="Q685" ca="1">INDEX('Isaac 401k'!L:L,MATCH('Retirement Calculator'!A685,'Isaac 401k'!N:N,0),0)</f>
        <v>-1213560.9352411779</v>
      </c>
      <c r="R685" s="25">
        <f t="array" aca="1" ref="R685" ca="1">INDEX('Lorri 401b'!L:L,MATCH('Retirement Calculator'!A685,'Lorri 401b'!N:N,0),0)</f>
        <v>-2947190.3675758108</v>
      </c>
      <c r="S685" s="25">
        <f t="shared" ca="1" si="527"/>
        <v>-4160751.3028169889</v>
      </c>
    </row>
    <row r="686" spans="1:19" ht="15.75" customHeight="1" x14ac:dyDescent="0.3">
      <c r="A686" s="37">
        <v>71834</v>
      </c>
      <c r="B686" s="409">
        <f t="shared" ref="B686:C686" si="692">($A686-B$9)/365.25</f>
        <v>114.79260780287474</v>
      </c>
      <c r="C686" s="409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3525.4531757812501</v>
      </c>
      <c r="H686" s="25">
        <f>IF(B686&lt;62,0,'Combined Retirement'!$I$14)</f>
        <v>2192</v>
      </c>
      <c r="I686" s="25">
        <f>IF(C686&lt;62,0,'Combined Retirement'!$I$13)</f>
        <v>2420</v>
      </c>
      <c r="J686" s="25">
        <f t="shared" si="523"/>
        <v>7863.2184191855868</v>
      </c>
      <c r="K686" s="25">
        <f t="shared" si="524"/>
        <v>20282.026119384056</v>
      </c>
      <c r="L686" s="25"/>
      <c r="N686" s="25">
        <f>'Combined Retirement'!$C$18/12</f>
        <v>39153.069999999992</v>
      </c>
      <c r="O686" s="25">
        <f t="shared" si="525"/>
        <v>11007.82546143035</v>
      </c>
      <c r="P686" s="25">
        <f t="shared" si="526"/>
        <v>28145.244538569641</v>
      </c>
      <c r="Q686" s="25">
        <f t="array" aca="1" ref="Q686" ca="1">INDEX('Isaac 401k'!L:L,MATCH('Retirement Calculator'!A686,'Isaac 401k'!N:N,0),0)</f>
        <v>-1226513.4209672818</v>
      </c>
      <c r="R686" s="25">
        <f t="array" aca="1" ref="R686" ca="1">INDEX('Lorri 401b'!L:L,MATCH('Retirement Calculator'!A686,'Lorri 401b'!N:N,0),0)</f>
        <v>-2979836.8620022582</v>
      </c>
      <c r="S686" s="25">
        <f t="shared" ca="1" si="527"/>
        <v>-4206350.28296954</v>
      </c>
    </row>
    <row r="687" spans="1:19" ht="15.75" customHeight="1" x14ac:dyDescent="0.3">
      <c r="A687" s="37">
        <v>71864</v>
      </c>
      <c r="B687" s="409">
        <f t="shared" ref="B687:C687" si="693">($A687-B$9)/365.25</f>
        <v>114.87474332648871</v>
      </c>
      <c r="C687" s="409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3525.4531757812501</v>
      </c>
      <c r="H687" s="25">
        <f>IF(B687&lt;62,0,'Combined Retirement'!$I$14)</f>
        <v>2192</v>
      </c>
      <c r="I687" s="25">
        <f>IF(C687&lt;62,0,'Combined Retirement'!$I$13)</f>
        <v>2420</v>
      </c>
      <c r="J687" s="25">
        <f t="shared" si="523"/>
        <v>7863.2184191855868</v>
      </c>
      <c r="K687" s="25">
        <f t="shared" si="524"/>
        <v>20282.026119384056</v>
      </c>
      <c r="L687" s="25"/>
      <c r="N687" s="25">
        <f>'Combined Retirement'!$C$18/12</f>
        <v>39153.069999999992</v>
      </c>
      <c r="O687" s="25">
        <f t="shared" si="525"/>
        <v>11007.82546143035</v>
      </c>
      <c r="P687" s="25">
        <f t="shared" si="526"/>
        <v>28145.244538569641</v>
      </c>
      <c r="Q687" s="25">
        <f t="array" aca="1" ref="Q687" ca="1">INDEX('Isaac 401k'!L:L,MATCH('Retirement Calculator'!A687,'Isaac 401k'!N:N,0),0)</f>
        <v>-1239519.875383911</v>
      </c>
      <c r="R687" s="25">
        <f t="array" aca="1" ref="R687" ca="1">INDEX('Lorri 401b'!L:L,MATCH('Retirement Calculator'!A687,'Lorri 401b'!N:N,0),0)</f>
        <v>-3012619.3834888157</v>
      </c>
      <c r="S687" s="25">
        <f t="shared" ca="1" si="527"/>
        <v>-4252139.2588727269</v>
      </c>
    </row>
    <row r="688" spans="1:19" ht="15.75" customHeight="1" x14ac:dyDescent="0.3">
      <c r="A688" s="37">
        <v>71895</v>
      </c>
      <c r="B688" s="409">
        <f t="shared" ref="B688:C688" si="694">($A688-B$9)/365.25</f>
        <v>114.9596167008898</v>
      </c>
      <c r="C688" s="409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3525.4531757812501</v>
      </c>
      <c r="H688" s="25">
        <f>IF(B688&lt;62,0,'Combined Retirement'!$I$14)</f>
        <v>2192</v>
      </c>
      <c r="I688" s="25">
        <f>IF(C688&lt;62,0,'Combined Retirement'!$I$13)</f>
        <v>2420</v>
      </c>
      <c r="J688" s="25">
        <f t="shared" si="523"/>
        <v>7863.2184191855868</v>
      </c>
      <c r="K688" s="25">
        <f t="shared" si="524"/>
        <v>20282.026119384056</v>
      </c>
      <c r="L688" s="25"/>
      <c r="N688" s="25">
        <f>'Combined Retirement'!$C$18/12</f>
        <v>39153.069999999992</v>
      </c>
      <c r="O688" s="25">
        <f t="shared" si="525"/>
        <v>11007.82546143035</v>
      </c>
      <c r="P688" s="25">
        <f t="shared" si="526"/>
        <v>28145.244538569641</v>
      </c>
      <c r="Q688" s="25">
        <f t="array" aca="1" ref="Q688" ca="1">INDEX('Isaac 401k'!L:L,MATCH('Retirement Calculator'!A688,'Isaac 401k'!N:N,0),0)</f>
        <v>-1252580.5233606095</v>
      </c>
      <c r="R688" s="25">
        <f t="array" aca="1" ref="R688" ca="1">INDEX('Lorri 401b'!L:L,MATCH('Retirement Calculator'!A688,'Lorri 401b'!N:N,0),0)</f>
        <v>-3045538.4988149004</v>
      </c>
      <c r="S688" s="25">
        <f t="shared" ca="1" si="527"/>
        <v>-4298119.0221755095</v>
      </c>
    </row>
    <row r="689" spans="1:19" ht="15.75" customHeight="1" x14ac:dyDescent="0.3">
      <c r="A689" s="37">
        <v>71925</v>
      </c>
      <c r="B689" s="409">
        <f t="shared" ref="B689:C689" si="695">($A689-B$9)/365.25</f>
        <v>115.04175222450377</v>
      </c>
      <c r="C689" s="409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3525.4531757812501</v>
      </c>
      <c r="H689" s="25">
        <f>IF(B689&lt;62,0,'Combined Retirement'!$I$14)</f>
        <v>2192</v>
      </c>
      <c r="I689" s="25">
        <f>IF(C689&lt;62,0,'Combined Retirement'!$I$13)</f>
        <v>2420</v>
      </c>
      <c r="J689" s="25">
        <f t="shared" si="523"/>
        <v>7863.2184191855868</v>
      </c>
      <c r="K689" s="25">
        <f t="shared" si="524"/>
        <v>20282.026119384056</v>
      </c>
      <c r="L689" s="25"/>
      <c r="N689" s="25">
        <f>'Combined Retirement'!$C$18/12</f>
        <v>39153.069999999992</v>
      </c>
      <c r="O689" s="25">
        <f t="shared" si="525"/>
        <v>11007.82546143035</v>
      </c>
      <c r="P689" s="25">
        <f t="shared" si="526"/>
        <v>28145.244538569641</v>
      </c>
      <c r="Q689" s="25">
        <f t="array" aca="1" ref="Q689" ca="1">INDEX('Isaac 401k'!L:L,MATCH('Retirement Calculator'!A689,'Isaac 401k'!N:N,0),0)</f>
        <v>-1265695.5907038776</v>
      </c>
      <c r="R689" s="25">
        <f t="array" aca="1" ref="R689" ca="1">INDEX('Lorri 401b'!L:L,MATCH('Retirement Calculator'!A689,'Lorri 401b'!N:N,0),0)</f>
        <v>-3078594.7771215104</v>
      </c>
      <c r="S689" s="25">
        <f t="shared" ca="1" si="527"/>
        <v>-4344290.367825388</v>
      </c>
    </row>
    <row r="690" spans="1:19" ht="15.75" customHeight="1" x14ac:dyDescent="0.3">
      <c r="A690" s="37">
        <v>71956</v>
      </c>
      <c r="B690" s="409">
        <f t="shared" ref="B690:C690" si="696">($A690-B$9)/365.25</f>
        <v>115.12662559890487</v>
      </c>
      <c r="C690" s="409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3525.4531757812501</v>
      </c>
      <c r="H690" s="25">
        <f>IF(B690&lt;62,0,'Combined Retirement'!$I$14)</f>
        <v>2192</v>
      </c>
      <c r="I690" s="25">
        <f>IF(C690&lt;62,0,'Combined Retirement'!$I$13)</f>
        <v>2420</v>
      </c>
      <c r="J690" s="25">
        <f t="shared" si="523"/>
        <v>7863.2184191855868</v>
      </c>
      <c r="K690" s="25">
        <f t="shared" si="524"/>
        <v>20282.026119384056</v>
      </c>
      <c r="L690" s="25"/>
      <c r="N690" s="25">
        <f>'Combined Retirement'!$C$18/12</f>
        <v>39153.069999999992</v>
      </c>
      <c r="O690" s="25">
        <f t="shared" si="525"/>
        <v>11007.82546143035</v>
      </c>
      <c r="P690" s="25">
        <f t="shared" si="526"/>
        <v>28145.244538569641</v>
      </c>
      <c r="Q690" s="25">
        <f t="array" aca="1" ref="Q690" ca="1">INDEX('Isaac 401k'!L:L,MATCH('Retirement Calculator'!A690,'Isaac 401k'!N:N,0),0)</f>
        <v>-1278865.304161076</v>
      </c>
      <c r="R690" s="25">
        <f t="array" aca="1" ref="R690" ca="1">INDEX('Lorri 401b'!L:L,MATCH('Retirement Calculator'!A690,'Lorri 401b'!N:N,0),0)</f>
        <v>-3111788.7899210649</v>
      </c>
      <c r="S690" s="25">
        <f t="shared" ca="1" si="527"/>
        <v>-4390654.0940821413</v>
      </c>
    </row>
    <row r="691" spans="1:19" ht="15.75" customHeight="1" x14ac:dyDescent="0.3">
      <c r="A691" s="37">
        <v>71987</v>
      </c>
      <c r="B691" s="409">
        <f t="shared" ref="B691:C691" si="697">($A691-B$9)/365.25</f>
        <v>115.21149897330595</v>
      </c>
      <c r="C691" s="409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3525.4531757812501</v>
      </c>
      <c r="H691" s="25">
        <f>IF(B691&lt;62,0,'Combined Retirement'!$I$14)</f>
        <v>2192</v>
      </c>
      <c r="I691" s="25">
        <f>IF(C691&lt;62,0,'Combined Retirement'!$I$13)</f>
        <v>2420</v>
      </c>
      <c r="J691" s="25">
        <f t="shared" si="523"/>
        <v>7863.2184191855868</v>
      </c>
      <c r="K691" s="25">
        <f t="shared" si="524"/>
        <v>20282.026119384056</v>
      </c>
      <c r="L691" s="25"/>
      <c r="N691" s="25">
        <f>'Combined Retirement'!$C$18/12</f>
        <v>39153.069999999992</v>
      </c>
      <c r="O691" s="25">
        <f t="shared" si="525"/>
        <v>11007.82546143035</v>
      </c>
      <c r="P691" s="25">
        <f t="shared" si="526"/>
        <v>28145.244538569641</v>
      </c>
      <c r="Q691" s="25">
        <f t="array" aca="1" ref="Q691" ca="1">INDEX('Isaac 401k'!L:L,MATCH('Retirement Calculator'!A691,'Isaac 401k'!N:N,0),0)</f>
        <v>-1292089.891424346</v>
      </c>
      <c r="R691" s="25">
        <f t="array" aca="1" ref="R691" ca="1">INDEX('Lorri 401b'!L:L,MATCH('Retirement Calculator'!A691,'Lorri 401b'!N:N,0),0)</f>
        <v>-3145121.1111072842</v>
      </c>
      <c r="S691" s="25">
        <f t="shared" ca="1" si="527"/>
        <v>-4437211.00253163</v>
      </c>
    </row>
    <row r="692" spans="1:19" ht="15.75" customHeight="1" x14ac:dyDescent="0.3">
      <c r="A692" s="37">
        <v>72015</v>
      </c>
      <c r="B692" s="409">
        <f t="shared" ref="B692:C692" si="698">($A692-B$9)/365.25</f>
        <v>115.28815879534565</v>
      </c>
      <c r="C692" s="409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3525.4531757812501</v>
      </c>
      <c r="H692" s="25">
        <f>IF(B692&lt;62,0,'Combined Retirement'!$I$14)</f>
        <v>2192</v>
      </c>
      <c r="I692" s="25">
        <f>IF(C692&lt;62,0,'Combined Retirement'!$I$13)</f>
        <v>2420</v>
      </c>
      <c r="J692" s="25">
        <f t="shared" si="523"/>
        <v>7863.2184191855868</v>
      </c>
      <c r="K692" s="25">
        <f t="shared" si="524"/>
        <v>20282.026119384056</v>
      </c>
      <c r="L692" s="25"/>
      <c r="N692" s="25">
        <f>'Combined Retirement'!$C$18/12</f>
        <v>39153.069999999992</v>
      </c>
      <c r="O692" s="25">
        <f t="shared" si="525"/>
        <v>11007.82546143035</v>
      </c>
      <c r="P692" s="25">
        <f t="shared" si="526"/>
        <v>28145.244538569641</v>
      </c>
      <c r="Q692" s="25">
        <f t="array" aca="1" ref="Q692" ca="1">INDEX('Isaac 401k'!L:L,MATCH('Retirement Calculator'!A692,'Isaac 401k'!N:N,0),0)</f>
        <v>-1305369.5811345463</v>
      </c>
      <c r="R692" s="25">
        <f t="array" aca="1" ref="R692" ca="1">INDEX('Lorri 401b'!L:L,MATCH('Retirement Calculator'!A692,'Lorri 401b'!N:N,0),0)</f>
        <v>-3178592.3169651125</v>
      </c>
      <c r="S692" s="25">
        <f t="shared" ca="1" si="527"/>
        <v>-4483961.898099659</v>
      </c>
    </row>
    <row r="693" spans="1:19" ht="15.75" customHeight="1" x14ac:dyDescent="0.3">
      <c r="A693" s="37">
        <v>72046</v>
      </c>
      <c r="B693" s="409">
        <f t="shared" ref="B693:C693" si="699">($A693-B$9)/365.25</f>
        <v>115.37303216974675</v>
      </c>
      <c r="C693" s="409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3525.4531757812501</v>
      </c>
      <c r="H693" s="25">
        <f>IF(B693&lt;62,0,'Combined Retirement'!$I$14)</f>
        <v>2192</v>
      </c>
      <c r="I693" s="25">
        <f>IF(C693&lt;62,0,'Combined Retirement'!$I$13)</f>
        <v>2420</v>
      </c>
      <c r="J693" s="25">
        <f t="shared" si="523"/>
        <v>7863.2184191855868</v>
      </c>
      <c r="K693" s="25">
        <f t="shared" si="524"/>
        <v>20282.026119384056</v>
      </c>
      <c r="L693" s="25"/>
      <c r="N693" s="25">
        <f>'Combined Retirement'!$C$18/12</f>
        <v>39153.069999999992</v>
      </c>
      <c r="O693" s="25">
        <f t="shared" si="525"/>
        <v>11007.82546143035</v>
      </c>
      <c r="P693" s="25">
        <f t="shared" si="526"/>
        <v>28145.244538569641</v>
      </c>
      <c r="Q693" s="25">
        <f t="array" aca="1" ref="Q693" ca="1">INDEX('Isaac 401k'!L:L,MATCH('Retirement Calculator'!A693,'Isaac 401k'!N:N,0),0)</f>
        <v>-1318704.6028852058</v>
      </c>
      <c r="R693" s="25">
        <f t="array" aca="1" ref="R693" ca="1">INDEX('Lorri 401b'!L:L,MATCH('Retirement Calculator'!A693,'Lorri 401b'!N:N,0),0)</f>
        <v>-3212202.9861806817</v>
      </c>
      <c r="S693" s="25">
        <f t="shared" ca="1" si="527"/>
        <v>-4530907.589065887</v>
      </c>
    </row>
    <row r="694" spans="1:19" ht="15.75" customHeight="1" x14ac:dyDescent="0.3">
      <c r="A694" s="37">
        <v>72076</v>
      </c>
      <c r="B694" s="409">
        <f t="shared" ref="B694:C694" si="700">($A694-B$9)/365.25</f>
        <v>115.45516769336071</v>
      </c>
      <c r="C694" s="409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3525.4531757812501</v>
      </c>
      <c r="H694" s="25">
        <f>IF(B694&lt;62,0,'Combined Retirement'!$I$14)</f>
        <v>2192</v>
      </c>
      <c r="I694" s="25">
        <f>IF(C694&lt;62,0,'Combined Retirement'!$I$13)</f>
        <v>2420</v>
      </c>
      <c r="J694" s="25">
        <f t="shared" si="523"/>
        <v>7863.2184191855868</v>
      </c>
      <c r="K694" s="25">
        <f t="shared" si="524"/>
        <v>20282.026119384056</v>
      </c>
      <c r="L694" s="25"/>
      <c r="N694" s="25">
        <f>'Combined Retirement'!$C$18/12</f>
        <v>39153.069999999992</v>
      </c>
      <c r="O694" s="25">
        <f t="shared" si="525"/>
        <v>11007.82546143035</v>
      </c>
      <c r="P694" s="25">
        <f t="shared" si="526"/>
        <v>28145.244538569641</v>
      </c>
      <c r="Q694" s="25">
        <f t="array" aca="1" ref="Q694" ca="1">INDEX('Isaac 401k'!L:L,MATCH('Retirement Calculator'!A694,'Isaac 401k'!N:N,0),0)</f>
        <v>-1332095.1872264929</v>
      </c>
      <c r="R694" s="25">
        <f t="array" aca="1" ref="R694" ca="1">INDEX('Lorri 401b'!L:L,MATCH('Retirement Calculator'!A694,'Lorri 401b'!N:N,0),0)</f>
        <v>-3245953.6998513159</v>
      </c>
      <c r="S694" s="25">
        <f t="shared" ca="1" si="527"/>
        <v>-4578048.8870778084</v>
      </c>
    </row>
    <row r="695" spans="1:19" ht="15.75" customHeight="1" x14ac:dyDescent="0.3">
      <c r="A695" s="37">
        <v>72107</v>
      </c>
      <c r="B695" s="409">
        <f t="shared" ref="B695:C695" si="701">($A695-B$9)/365.25</f>
        <v>115.54004106776181</v>
      </c>
      <c r="C695" s="409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3525.4531757812501</v>
      </c>
      <c r="H695" s="25">
        <f>IF(B695&lt;62,0,'Combined Retirement'!$I$14)</f>
        <v>2192</v>
      </c>
      <c r="I695" s="25">
        <f>IF(C695&lt;62,0,'Combined Retirement'!$I$13)</f>
        <v>2420</v>
      </c>
      <c r="J695" s="25">
        <f t="shared" si="523"/>
        <v>7863.2184191855868</v>
      </c>
      <c r="K695" s="25">
        <f t="shared" si="524"/>
        <v>20282.026119384056</v>
      </c>
      <c r="L695" s="25"/>
      <c r="N695" s="25">
        <f>'Combined Retirement'!$C$18/12</f>
        <v>39153.069999999992</v>
      </c>
      <c r="O695" s="25">
        <f t="shared" si="525"/>
        <v>11007.82546143035</v>
      </c>
      <c r="P695" s="25">
        <f t="shared" si="526"/>
        <v>28145.244538569641</v>
      </c>
      <c r="Q695" s="25">
        <f t="array" aca="1" ref="Q695" ca="1">INDEX('Isaac 401k'!L:L,MATCH('Retirement Calculator'!A695,'Isaac 401k'!N:N,0),0)</f>
        <v>-1345541.5656692022</v>
      </c>
      <c r="R695" s="25">
        <f t="array" aca="1" ref="R695" ca="1">INDEX('Lorri 401b'!L:L,MATCH('Retirement Calculator'!A695,'Lorri 401b'!N:N,0),0)</f>
        <v>-3279845.0414955779</v>
      </c>
      <c r="S695" s="25">
        <f t="shared" ca="1" si="527"/>
        <v>-4625386.6071647797</v>
      </c>
    </row>
    <row r="696" spans="1:19" ht="15.75" customHeight="1" x14ac:dyDescent="0.3">
      <c r="A696" s="37">
        <v>72137</v>
      </c>
      <c r="B696" s="409">
        <f t="shared" ref="B696:C696" si="702">($A696-B$9)/365.25</f>
        <v>115.62217659137578</v>
      </c>
      <c r="C696" s="409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3525.4531757812501</v>
      </c>
      <c r="H696" s="25">
        <f>IF(B696&lt;62,0,'Combined Retirement'!$I$14)</f>
        <v>2192</v>
      </c>
      <c r="I696" s="25">
        <f>IF(C696&lt;62,0,'Combined Retirement'!$I$13)</f>
        <v>2420</v>
      </c>
      <c r="J696" s="25">
        <f t="shared" si="523"/>
        <v>7863.2184191855868</v>
      </c>
      <c r="K696" s="25">
        <f t="shared" si="524"/>
        <v>20282.026119384056</v>
      </c>
      <c r="L696" s="25"/>
      <c r="N696" s="25">
        <f>'Combined Retirement'!$C$18/12</f>
        <v>39153.069999999992</v>
      </c>
      <c r="O696" s="25">
        <f t="shared" si="525"/>
        <v>11007.82546143035</v>
      </c>
      <c r="P696" s="25">
        <f t="shared" si="526"/>
        <v>28145.244538569641</v>
      </c>
      <c r="Q696" s="25">
        <f t="array" aca="1" ref="Q696" ca="1">INDEX('Isaac 401k'!L:L,MATCH('Retirement Calculator'!A696,'Isaac 401k'!N:N,0),0)</f>
        <v>-1359043.9706887561</v>
      </c>
      <c r="R696" s="25">
        <f t="array" aca="1" ref="R696" ca="1">INDEX('Lorri 401b'!L:L,MATCH('Retirement Calculator'!A696,'Lorri 401b'!N:N,0),0)</f>
        <v>-3313877.5970633575</v>
      </c>
      <c r="S696" s="25">
        <f t="shared" ca="1" si="527"/>
        <v>-4672921.5677521136</v>
      </c>
    </row>
    <row r="697" spans="1:19" ht="15.75" customHeight="1" x14ac:dyDescent="0.3">
      <c r="A697" s="37">
        <v>72168</v>
      </c>
      <c r="B697" s="409">
        <f t="shared" ref="B697:C697" si="703">($A697-B$9)/365.25</f>
        <v>115.70704996577686</v>
      </c>
      <c r="C697" s="409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3525.4531757812501</v>
      </c>
      <c r="H697" s="25">
        <f>IF(B697&lt;62,0,'Combined Retirement'!$I$14)</f>
        <v>2192</v>
      </c>
      <c r="I697" s="25">
        <f>IF(C697&lt;62,0,'Combined Retirement'!$I$13)</f>
        <v>2420</v>
      </c>
      <c r="J697" s="25">
        <f t="shared" si="523"/>
        <v>7863.2184191855868</v>
      </c>
      <c r="K697" s="25">
        <f t="shared" si="524"/>
        <v>20282.026119384056</v>
      </c>
      <c r="L697" s="25"/>
      <c r="N697" s="25">
        <f>'Combined Retirement'!$C$18/12</f>
        <v>39153.069999999992</v>
      </c>
      <c r="O697" s="25">
        <f t="shared" si="525"/>
        <v>11007.82546143035</v>
      </c>
      <c r="P697" s="25">
        <f t="shared" si="526"/>
        <v>28145.244538569641</v>
      </c>
      <c r="Q697" s="25">
        <f t="array" aca="1" ref="Q697" ca="1">INDEX('Isaac 401k'!L:L,MATCH('Retirement Calculator'!A697,'Isaac 401k'!N:N,0),0)</f>
        <v>-1372602.6357292249</v>
      </c>
      <c r="R697" s="25">
        <f t="array" aca="1" ref="R697" ca="1">INDEX('Lorri 401b'!L:L,MATCH('Retirement Calculator'!A697,'Lorri 401b'!N:N,0),0)</f>
        <v>-3348051.9549460029</v>
      </c>
      <c r="S697" s="25">
        <f t="shared" ca="1" si="527"/>
        <v>-4720654.5906752273</v>
      </c>
    </row>
    <row r="698" spans="1:19" ht="15.75" customHeight="1" x14ac:dyDescent="0.3">
      <c r="A698" s="37">
        <v>72199</v>
      </c>
      <c r="B698" s="409">
        <f t="shared" ref="B698:C698" si="704">($A698-B$9)/365.25</f>
        <v>115.79192334017796</v>
      </c>
      <c r="C698" s="409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3525.4531757812501</v>
      </c>
      <c r="H698" s="25">
        <f>IF(B698&lt;62,0,'Combined Retirement'!$I$14)</f>
        <v>2192</v>
      </c>
      <c r="I698" s="25">
        <f>IF(C698&lt;62,0,'Combined Retirement'!$I$13)</f>
        <v>2420</v>
      </c>
      <c r="J698" s="25">
        <f t="shared" si="523"/>
        <v>7863.2184191855868</v>
      </c>
      <c r="K698" s="25">
        <f t="shared" si="524"/>
        <v>20282.026119384056</v>
      </c>
      <c r="L698" s="25"/>
      <c r="N698" s="25">
        <f>'Combined Retirement'!$C$18/12</f>
        <v>39153.069999999992</v>
      </c>
      <c r="O698" s="25">
        <f t="shared" si="525"/>
        <v>11007.82546143035</v>
      </c>
      <c r="P698" s="25">
        <f t="shared" si="526"/>
        <v>28145.244538569641</v>
      </c>
      <c r="Q698" s="25">
        <f t="array" aca="1" ref="Q698" ca="1">INDEX('Isaac 401k'!L:L,MATCH('Retirement Calculator'!A698,'Isaac 401k'!N:N,0),0)</f>
        <v>-1386217.7952073622</v>
      </c>
      <c r="R698" s="25">
        <f t="array" aca="1" ref="R698" ca="1">INDEX('Lorri 401b'!L:L,MATCH('Retirement Calculator'!A698,'Lorri 401b'!N:N,0),0)</f>
        <v>-3382368.7059864928</v>
      </c>
      <c r="S698" s="25">
        <f t="shared" ca="1" si="527"/>
        <v>-4768586.501193855</v>
      </c>
    </row>
    <row r="699" spans="1:19" ht="15.75" customHeight="1" x14ac:dyDescent="0.3">
      <c r="A699" s="37">
        <v>72229</v>
      </c>
      <c r="B699" s="409">
        <f t="shared" ref="B699:C699" si="705">($A699-B$9)/365.25</f>
        <v>115.87405886379193</v>
      </c>
      <c r="C699" s="409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3525.4531757812501</v>
      </c>
      <c r="H699" s="25">
        <f>IF(B699&lt;62,0,'Combined Retirement'!$I$14)</f>
        <v>2192</v>
      </c>
      <c r="I699" s="25">
        <f>IF(C699&lt;62,0,'Combined Retirement'!$I$13)</f>
        <v>2420</v>
      </c>
      <c r="J699" s="25">
        <f t="shared" si="523"/>
        <v>7863.2184191855868</v>
      </c>
      <c r="K699" s="25">
        <f t="shared" si="524"/>
        <v>20282.026119384056</v>
      </c>
      <c r="L699" s="25"/>
      <c r="N699" s="25">
        <f>'Combined Retirement'!$C$18/12</f>
        <v>39153.069999999992</v>
      </c>
      <c r="O699" s="25">
        <f t="shared" si="525"/>
        <v>11007.82546143035</v>
      </c>
      <c r="P699" s="25">
        <f t="shared" si="526"/>
        <v>28145.244538569641</v>
      </c>
      <c r="Q699" s="25">
        <f t="array" aca="1" ref="Q699" ca="1">INDEX('Isaac 401k'!L:L,MATCH('Retirement Calculator'!A699,'Isaac 401k'!N:N,0),0)</f>
        <v>-1399889.6845166583</v>
      </c>
      <c r="R699" s="25">
        <f t="array" aca="1" ref="R699" ca="1">INDEX('Lorri 401b'!L:L,MATCH('Retirement Calculator'!A699,'Lorri 401b'!N:N,0),0)</f>
        <v>-3416828.4434896512</v>
      </c>
      <c r="S699" s="25">
        <f t="shared" ca="1" si="527"/>
        <v>-4816718.1280063093</v>
      </c>
    </row>
    <row r="700" spans="1:19" ht="15.75" customHeight="1" x14ac:dyDescent="0.3">
      <c r="A700" s="37">
        <v>72260</v>
      </c>
      <c r="B700" s="409">
        <f t="shared" ref="B700:C700" si="706">($A700-B$9)/365.25</f>
        <v>115.95893223819301</v>
      </c>
      <c r="C700" s="409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3525.4531757812501</v>
      </c>
      <c r="H700" s="25">
        <f>IF(B700&lt;62,0,'Combined Retirement'!$I$14)</f>
        <v>2192</v>
      </c>
      <c r="I700" s="25">
        <f>IF(C700&lt;62,0,'Combined Retirement'!$I$13)</f>
        <v>2420</v>
      </c>
      <c r="J700" s="25">
        <f t="shared" si="523"/>
        <v>7863.2184191855868</v>
      </c>
      <c r="K700" s="25">
        <f t="shared" si="524"/>
        <v>20282.026119384056</v>
      </c>
      <c r="L700" s="25"/>
      <c r="N700" s="25">
        <f>'Combined Retirement'!$C$18/12</f>
        <v>39153.069999999992</v>
      </c>
      <c r="O700" s="25">
        <f t="shared" si="525"/>
        <v>11007.82546143035</v>
      </c>
      <c r="P700" s="25">
        <f t="shared" si="526"/>
        <v>28145.244538569641</v>
      </c>
      <c r="Q700" s="25">
        <f t="array" aca="1" ref="Q700" ca="1">INDEX('Isaac 401k'!L:L,MATCH('Retirement Calculator'!A700,'Isaac 401k'!N:N,0),0)</f>
        <v>-1413618.5400314098</v>
      </c>
      <c r="R700" s="25">
        <f t="array" aca="1" ref="R700" ca="1">INDEX('Lorri 401b'!L:L,MATCH('Retirement Calculator'!A700,'Lorri 401b'!N:N,0),0)</f>
        <v>-3451431.7632324062</v>
      </c>
      <c r="S700" s="25">
        <f t="shared" ca="1" si="527"/>
        <v>-4865050.3032638161</v>
      </c>
    </row>
    <row r="701" spans="1:19" ht="15.75" customHeight="1" x14ac:dyDescent="0.3">
      <c r="A701" s="37">
        <v>72290</v>
      </c>
      <c r="B701" s="409">
        <f t="shared" ref="B701:C701" si="707">($A701-B$9)/365.25</f>
        <v>116.04106776180699</v>
      </c>
      <c r="C701" s="409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3525.4531757812501</v>
      </c>
      <c r="H701" s="25">
        <f>IF(B701&lt;62,0,'Combined Retirement'!$I$14)</f>
        <v>2192</v>
      </c>
      <c r="I701" s="25">
        <f>IF(C701&lt;62,0,'Combined Retirement'!$I$13)</f>
        <v>2420</v>
      </c>
      <c r="J701" s="25">
        <f t="shared" si="523"/>
        <v>7863.2184191855868</v>
      </c>
      <c r="K701" s="25">
        <f t="shared" si="524"/>
        <v>20282.026119384056</v>
      </c>
      <c r="L701" s="25"/>
      <c r="N701" s="25">
        <f>'Combined Retirement'!$C$18/12</f>
        <v>39153.069999999992</v>
      </c>
      <c r="O701" s="25">
        <f t="shared" si="525"/>
        <v>11007.82546143035</v>
      </c>
      <c r="P701" s="25">
        <f t="shared" si="526"/>
        <v>28145.244538569641</v>
      </c>
      <c r="Q701" s="25">
        <f t="array" aca="1" ref="Q701" ca="1">INDEX('Isaac 401k'!L:L,MATCH('Retirement Calculator'!A701,'Isaac 401k'!N:N,0),0)</f>
        <v>-1427404.5991108061</v>
      </c>
      <c r="R701" s="25">
        <f t="array" aca="1" ref="R701" ca="1">INDEX('Lorri 401b'!L:L,MATCH('Retirement Calculator'!A701,'Lorri 401b'!N:N,0),0)</f>
        <v>-3486179.2634740896</v>
      </c>
      <c r="S701" s="25">
        <f t="shared" ca="1" si="527"/>
        <v>-4913583.8625848955</v>
      </c>
    </row>
    <row r="702" spans="1:19" ht="15.75" customHeight="1" x14ac:dyDescent="0.3">
      <c r="A702" s="37">
        <v>72321</v>
      </c>
      <c r="B702" s="409">
        <f t="shared" ref="B702:C702" si="708">($A702-B$9)/365.25</f>
        <v>116.12594113620807</v>
      </c>
      <c r="C702" s="409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3525.4531757812501</v>
      </c>
      <c r="H702" s="25">
        <f>IF(B702&lt;62,0,'Combined Retirement'!$I$14)</f>
        <v>2192</v>
      </c>
      <c r="I702" s="25">
        <f>IF(C702&lt;62,0,'Combined Retirement'!$I$13)</f>
        <v>2420</v>
      </c>
      <c r="J702" s="25">
        <f t="shared" si="523"/>
        <v>7863.2184191855868</v>
      </c>
      <c r="K702" s="25">
        <f t="shared" si="524"/>
        <v>20282.026119384056</v>
      </c>
      <c r="L702" s="25"/>
      <c r="N702" s="25">
        <f>'Combined Retirement'!$C$18/12</f>
        <v>39153.069999999992</v>
      </c>
      <c r="O702" s="25">
        <f t="shared" si="525"/>
        <v>11007.82546143035</v>
      </c>
      <c r="P702" s="25">
        <f t="shared" si="526"/>
        <v>28145.244538569641</v>
      </c>
      <c r="Q702" s="25">
        <f t="array" aca="1" ref="Q702" ca="1">INDEX('Isaac 401k'!L:L,MATCH('Retirement Calculator'!A702,'Isaac 401k'!N:N,0),0)</f>
        <v>-1441248.1001030335</v>
      </c>
      <c r="R702" s="25">
        <f t="array" aca="1" ref="R702" ca="1">INDEX('Lorri 401b'!L:L,MATCH('Retirement Calculator'!A702,'Lorri 401b'!N:N,0),0)</f>
        <v>-3521071.5449667796</v>
      </c>
      <c r="S702" s="25">
        <f t="shared" ca="1" si="527"/>
        <v>-4962319.6450698134</v>
      </c>
    </row>
    <row r="703" spans="1:19" ht="15.75" customHeight="1" x14ac:dyDescent="0.3">
      <c r="A703" s="37">
        <v>72352</v>
      </c>
      <c r="B703" s="409">
        <f t="shared" ref="B703:C703" si="709">($A703-B$9)/365.25</f>
        <v>116.21081451060917</v>
      </c>
      <c r="C703" s="409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3525.4531757812501</v>
      </c>
      <c r="H703" s="25">
        <f>IF(B703&lt;62,0,'Combined Retirement'!$I$14)</f>
        <v>2192</v>
      </c>
      <c r="I703" s="25">
        <f>IF(C703&lt;62,0,'Combined Retirement'!$I$13)</f>
        <v>2420</v>
      </c>
      <c r="J703" s="25">
        <f t="shared" si="523"/>
        <v>7863.2184191855868</v>
      </c>
      <c r="K703" s="25">
        <f t="shared" si="524"/>
        <v>20282.026119384056</v>
      </c>
      <c r="L703" s="25"/>
      <c r="N703" s="25">
        <f>'Combined Retirement'!$C$18/12</f>
        <v>39153.069999999992</v>
      </c>
      <c r="O703" s="25">
        <f t="shared" si="525"/>
        <v>11007.82546143035</v>
      </c>
      <c r="P703" s="25">
        <f t="shared" si="526"/>
        <v>28145.244538569641</v>
      </c>
      <c r="Q703" s="25">
        <f t="array" aca="1" ref="Q703" ca="1">INDEX('Isaac 401k'!L:L,MATCH('Retirement Calculator'!A703,'Isaac 401k'!N:N,0),0)</f>
        <v>-1455149.2823493951</v>
      </c>
      <c r="R703" s="25">
        <f t="array" aca="1" ref="R703" ca="1">INDEX('Lorri 401b'!L:L,MATCH('Retirement Calculator'!A703,'Lorri 401b'!N:N,0),0)</f>
        <v>-3556109.2109656893</v>
      </c>
      <c r="S703" s="25">
        <f t="shared" ca="1" si="527"/>
        <v>-5011258.4933150839</v>
      </c>
    </row>
    <row r="704" spans="1:19" ht="15.75" customHeight="1" x14ac:dyDescent="0.3">
      <c r="A704" s="37">
        <v>72380</v>
      </c>
      <c r="B704" s="409">
        <f t="shared" ref="B704:C704" si="710">($A704-B$9)/365.25</f>
        <v>116.28747433264887</v>
      </c>
      <c r="C704" s="409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3525.4531757812501</v>
      </c>
      <c r="H704" s="25">
        <f>IF(B704&lt;62,0,'Combined Retirement'!$I$14)</f>
        <v>2192</v>
      </c>
      <c r="I704" s="25">
        <f>IF(C704&lt;62,0,'Combined Retirement'!$I$13)</f>
        <v>2420</v>
      </c>
      <c r="J704" s="25">
        <f t="shared" si="523"/>
        <v>7863.2184191855868</v>
      </c>
      <c r="K704" s="25">
        <f t="shared" si="524"/>
        <v>20282.026119384056</v>
      </c>
      <c r="L704" s="25"/>
      <c r="N704" s="25">
        <f>'Combined Retirement'!$C$18/12</f>
        <v>39153.069999999992</v>
      </c>
      <c r="O704" s="25">
        <f t="shared" si="525"/>
        <v>11007.82546143035</v>
      </c>
      <c r="P704" s="25">
        <f t="shared" si="526"/>
        <v>28145.244538569641</v>
      </c>
      <c r="Q704" s="25">
        <f t="array" aca="1" ref="Q704" ca="1">INDEX('Isaac 401k'!L:L,MATCH('Retirement Calculator'!A704,'Isaac 401k'!N:N,0),0)</f>
        <v>-1469108.3861884498</v>
      </c>
      <c r="R704" s="25">
        <f t="array" aca="1" ref="R704" ca="1">INDEX('Lorri 401b'!L:L,MATCH('Retirement Calculator'!A704,'Lorri 401b'!N:N,0),0)</f>
        <v>-3591292.8672395945</v>
      </c>
      <c r="S704" s="25">
        <f t="shared" ca="1" si="527"/>
        <v>-5060401.2534280438</v>
      </c>
    </row>
    <row r="705" spans="1:19" ht="15.75" customHeight="1" x14ac:dyDescent="0.3">
      <c r="A705" s="37">
        <v>72411</v>
      </c>
      <c r="B705" s="409">
        <f t="shared" ref="B705:C705" si="711">($A705-B$9)/365.25</f>
        <v>116.37234770704997</v>
      </c>
      <c r="C705" s="409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3525.4531757812501</v>
      </c>
      <c r="H705" s="25">
        <f>IF(B705&lt;62,0,'Combined Retirement'!$I$14)</f>
        <v>2192</v>
      </c>
      <c r="I705" s="25">
        <f>IF(C705&lt;62,0,'Combined Retirement'!$I$13)</f>
        <v>2420</v>
      </c>
      <c r="J705" s="25">
        <f t="shared" si="523"/>
        <v>7863.2184191855868</v>
      </c>
      <c r="K705" s="25">
        <f t="shared" si="524"/>
        <v>20282.026119384056</v>
      </c>
      <c r="L705" s="25"/>
      <c r="N705" s="25">
        <f>'Combined Retirement'!$C$18/12</f>
        <v>39153.069999999992</v>
      </c>
      <c r="O705" s="25">
        <f t="shared" si="525"/>
        <v>11007.82546143035</v>
      </c>
      <c r="P705" s="25">
        <f t="shared" si="526"/>
        <v>28145.244538569641</v>
      </c>
      <c r="Q705" s="25">
        <f t="array" aca="1" ref="Q705" ca="1">INDEX('Isaac 401k'!L:L,MATCH('Retirement Calculator'!A705,'Isaac 401k'!N:N,0),0)</f>
        <v>-1483125.6529601673</v>
      </c>
      <c r="R705" s="25">
        <f t="array" aca="1" ref="R705" ca="1">INDEX('Lorri 401b'!L:L,MATCH('Retirement Calculator'!A705,'Lorri 401b'!N:N,0),0)</f>
        <v>-3626623.1220813077</v>
      </c>
      <c r="S705" s="25">
        <f t="shared" ca="1" si="527"/>
        <v>-5109748.775041475</v>
      </c>
    </row>
    <row r="706" spans="1:19" ht="15.75" customHeight="1" x14ac:dyDescent="0.3">
      <c r="A706" s="37">
        <v>72441</v>
      </c>
      <c r="B706" s="409">
        <f t="shared" ref="B706:C706" si="712">($A706-B$9)/365.25</f>
        <v>116.45448323066393</v>
      </c>
      <c r="C706" s="409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3525.4531757812501</v>
      </c>
      <c r="H706" s="25">
        <f>IF(B706&lt;62,0,'Combined Retirement'!$I$14)</f>
        <v>2192</v>
      </c>
      <c r="I706" s="25">
        <f>IF(C706&lt;62,0,'Combined Retirement'!$I$13)</f>
        <v>2420</v>
      </c>
      <c r="J706" s="25">
        <f t="shared" si="523"/>
        <v>7863.2184191855868</v>
      </c>
      <c r="K706" s="25">
        <f t="shared" si="524"/>
        <v>20282.026119384056</v>
      </c>
      <c r="L706" s="25"/>
      <c r="N706" s="25">
        <f>'Combined Retirement'!$C$18/12</f>
        <v>39153.069999999992</v>
      </c>
      <c r="O706" s="25">
        <f t="shared" si="525"/>
        <v>11007.82546143035</v>
      </c>
      <c r="P706" s="25">
        <f t="shared" si="526"/>
        <v>28145.244538569641</v>
      </c>
      <c r="Q706" s="25">
        <f t="array" aca="1" ref="Q706" ca="1">INDEX('Isaac 401k'!L:L,MATCH('Retirement Calculator'!A706,'Isaac 401k'!N:N,0),0)</f>
        <v>-1497201.3250101001</v>
      </c>
      <c r="R706" s="25">
        <f t="array" aca="1" ref="R706" ca="1">INDEX('Lorri 401b'!L:L,MATCH('Retirement Calculator'!A706,'Lorri 401b'!N:N,0),0)</f>
        <v>-3662100.5863181944</v>
      </c>
      <c r="S706" s="25">
        <f t="shared" ca="1" si="527"/>
        <v>-5159301.9113282943</v>
      </c>
    </row>
    <row r="707" spans="1:19" ht="15.75" customHeight="1" x14ac:dyDescent="0.3">
      <c r="A707" s="37">
        <v>72472</v>
      </c>
      <c r="B707" s="409">
        <f t="shared" ref="B707:C707" si="713">($A707-B$9)/365.25</f>
        <v>116.53935660506502</v>
      </c>
      <c r="C707" s="409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3525.4531757812501</v>
      </c>
      <c r="H707" s="25">
        <f>IF(B707&lt;62,0,'Combined Retirement'!$I$14)</f>
        <v>2192</v>
      </c>
      <c r="I707" s="25">
        <f>IF(C707&lt;62,0,'Combined Retirement'!$I$13)</f>
        <v>2420</v>
      </c>
      <c r="J707" s="25">
        <f t="shared" si="523"/>
        <v>7863.2184191855868</v>
      </c>
      <c r="K707" s="25">
        <f t="shared" si="524"/>
        <v>20282.026119384056</v>
      </c>
      <c r="L707" s="25"/>
      <c r="N707" s="25">
        <f>'Combined Retirement'!$C$18/12</f>
        <v>39153.069999999992</v>
      </c>
      <c r="O707" s="25">
        <f t="shared" si="525"/>
        <v>11007.82546143035</v>
      </c>
      <c r="P707" s="25">
        <f t="shared" si="526"/>
        <v>28145.244538569641</v>
      </c>
      <c r="Q707" s="25">
        <f t="array" aca="1" ref="Q707" ca="1">INDEX('Isaac 401k'!L:L,MATCH('Retirement Calculator'!A707,'Isaac 401k'!N:N,0),0)</f>
        <v>-1511335.6456935743</v>
      </c>
      <c r="R707" s="25">
        <f t="array" aca="1" ref="R707" ca="1">INDEX('Lorri 401b'!L:L,MATCH('Retirement Calculator'!A707,'Lorri 401b'!N:N,0),0)</f>
        <v>-3697725.8733227351</v>
      </c>
      <c r="S707" s="25">
        <f t="shared" ca="1" si="527"/>
        <v>-5209061.5190163096</v>
      </c>
    </row>
    <row r="708" spans="1:19" ht="15.75" customHeight="1" x14ac:dyDescent="0.3">
      <c r="A708" s="37">
        <v>72502</v>
      </c>
      <c r="B708" s="409">
        <f t="shared" ref="B708:C708" si="714">($A708-B$9)/365.25</f>
        <v>116.62149212867898</v>
      </c>
      <c r="C708" s="409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3525.4531757812501</v>
      </c>
      <c r="H708" s="25">
        <f>IF(B708&lt;62,0,'Combined Retirement'!$I$14)</f>
        <v>2192</v>
      </c>
      <c r="I708" s="25">
        <f>IF(C708&lt;62,0,'Combined Retirement'!$I$13)</f>
        <v>2420</v>
      </c>
      <c r="J708" s="25">
        <f t="shared" si="523"/>
        <v>7863.2184191855868</v>
      </c>
      <c r="K708" s="25">
        <f t="shared" si="524"/>
        <v>20282.026119384056</v>
      </c>
      <c r="L708" s="25"/>
      <c r="N708" s="25">
        <f>'Combined Retirement'!$C$18/12</f>
        <v>39153.069999999992</v>
      </c>
      <c r="O708" s="25">
        <f t="shared" si="525"/>
        <v>11007.82546143035</v>
      </c>
      <c r="P708" s="25">
        <f t="shared" si="526"/>
        <v>28145.244538569641</v>
      </c>
      <c r="Q708" s="25">
        <f t="array" aca="1" ref="Q708" ca="1">INDEX('Isaac 401k'!L:L,MATCH('Retirement Calculator'!A708,'Isaac 401k'!N:N,0),0)</f>
        <v>-1525528.8593798964</v>
      </c>
      <c r="R708" s="25">
        <f t="array" aca="1" ref="R708" ca="1">INDEX('Lorri 401b'!L:L,MATCH('Retirement Calculator'!A708,'Lorri 401b'!N:N,0),0)</f>
        <v>-3733499.5990231279</v>
      </c>
      <c r="S708" s="25">
        <f t="shared" ca="1" si="527"/>
        <v>-5259028.4584030248</v>
      </c>
    </row>
    <row r="709" spans="1:19" ht="15.75" customHeight="1" x14ac:dyDescent="0.3">
      <c r="A709" s="37">
        <v>72533</v>
      </c>
      <c r="B709" s="409">
        <f t="shared" ref="B709:C709" si="715">($A709-B$9)/365.25</f>
        <v>116.70636550308008</v>
      </c>
      <c r="C709" s="409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3525.4531757812501</v>
      </c>
      <c r="H709" s="25">
        <f>IF(B709&lt;62,0,'Combined Retirement'!$I$14)</f>
        <v>2192</v>
      </c>
      <c r="I709" s="25">
        <f>IF(C709&lt;62,0,'Combined Retirement'!$I$13)</f>
        <v>2420</v>
      </c>
      <c r="J709" s="25">
        <f t="shared" si="523"/>
        <v>7863.2184191855868</v>
      </c>
      <c r="K709" s="25">
        <f t="shared" si="524"/>
        <v>20282.026119384056</v>
      </c>
      <c r="L709" s="25"/>
      <c r="N709" s="25">
        <f>'Combined Retirement'!$C$18/12</f>
        <v>39153.069999999992</v>
      </c>
      <c r="O709" s="25">
        <f t="shared" si="525"/>
        <v>11007.82546143035</v>
      </c>
      <c r="P709" s="25">
        <f t="shared" si="526"/>
        <v>28145.244538569641</v>
      </c>
      <c r="Q709" s="25">
        <f t="array" aca="1" ref="Q709" ca="1">INDEX('Isaac 401k'!L:L,MATCH('Retirement Calculator'!A709,'Isaac 401k'!N:N,0),0)</f>
        <v>-1539781.2114565782</v>
      </c>
      <c r="R709" s="25">
        <f t="array" aca="1" ref="R709" ca="1">INDEX('Lorri 401b'!L:L,MATCH('Retirement Calculator'!A709,'Lorri 401b'!N:N,0),0)</f>
        <v>-3769422.381913939</v>
      </c>
      <c r="S709" s="25">
        <f t="shared" ca="1" si="527"/>
        <v>-5309203.5933705177</v>
      </c>
    </row>
    <row r="710" spans="1:19" ht="15.75" customHeight="1" x14ac:dyDescent="0.3">
      <c r="A710" s="37">
        <v>72564</v>
      </c>
      <c r="B710" s="409">
        <f t="shared" ref="B710:C710" si="716">($A710-B$9)/365.25</f>
        <v>116.79123887748118</v>
      </c>
      <c r="C710" s="409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3525.4531757812501</v>
      </c>
      <c r="H710" s="25">
        <f>IF(B710&lt;62,0,'Combined Retirement'!$I$14)</f>
        <v>2192</v>
      </c>
      <c r="I710" s="25">
        <f>IF(C710&lt;62,0,'Combined Retirement'!$I$13)</f>
        <v>2420</v>
      </c>
      <c r="J710" s="25">
        <f t="shared" si="523"/>
        <v>7863.2184191855868</v>
      </c>
      <c r="K710" s="25">
        <f t="shared" si="524"/>
        <v>20282.026119384056</v>
      </c>
      <c r="L710" s="25"/>
      <c r="N710" s="25">
        <f>'Combined Retirement'!$C$18/12</f>
        <v>39153.069999999992</v>
      </c>
      <c r="O710" s="25">
        <f t="shared" si="525"/>
        <v>11007.82546143035</v>
      </c>
      <c r="P710" s="25">
        <f t="shared" si="526"/>
        <v>28145.244538569641</v>
      </c>
      <c r="Q710" s="25">
        <f t="array" aca="1" ref="Q710" ca="1">INDEX('Isaac 401k'!L:L,MATCH('Retirement Calculator'!A710,'Isaac 401k'!N:N,0),0)</f>
        <v>-1554092.9483335796</v>
      </c>
      <c r="R710" s="25">
        <f t="array" aca="1" ref="R710" ca="1">INDEX('Lorri 401b'!L:L,MATCH('Retirement Calculator'!A710,'Lorri 401b'!N:N,0),0)</f>
        <v>-3805494.8430667953</v>
      </c>
      <c r="S710" s="25">
        <f t="shared" ca="1" si="527"/>
        <v>-5359587.7914003748</v>
      </c>
    </row>
    <row r="711" spans="1:19" ht="15.75" customHeight="1" x14ac:dyDescent="0.3">
      <c r="A711" s="37">
        <v>72594</v>
      </c>
      <c r="B711" s="409">
        <f t="shared" ref="B711:C711" si="717">($A711-B$9)/365.25</f>
        <v>116.87337440109513</v>
      </c>
      <c r="C711" s="409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3525.4531757812501</v>
      </c>
      <c r="H711" s="25">
        <f>IF(B711&lt;62,0,'Combined Retirement'!$I$14)</f>
        <v>2192</v>
      </c>
      <c r="I711" s="25">
        <f>IF(C711&lt;62,0,'Combined Retirement'!$I$13)</f>
        <v>2420</v>
      </c>
      <c r="J711" s="25">
        <f t="shared" si="523"/>
        <v>7863.2184191855868</v>
      </c>
      <c r="K711" s="25">
        <f t="shared" si="524"/>
        <v>20282.026119384056</v>
      </c>
      <c r="L711" s="25"/>
      <c r="N711" s="25">
        <f>'Combined Retirement'!$C$18/12</f>
        <v>39153.069999999992</v>
      </c>
      <c r="O711" s="25">
        <f t="shared" si="525"/>
        <v>11007.82546143035</v>
      </c>
      <c r="P711" s="25">
        <f t="shared" si="526"/>
        <v>28145.244538569641</v>
      </c>
      <c r="Q711" s="25">
        <f t="array" aca="1" ref="Q711" ca="1">INDEX('Isaac 401k'!L:L,MATCH('Retirement Calculator'!A711,'Isaac 401k'!N:N,0),0)</f>
        <v>-1568464.3174475683</v>
      </c>
      <c r="R711" s="25">
        <f t="array" aca="1" ref="R711" ca="1">INDEX('Lorri 401b'!L:L,MATCH('Retirement Calculator'!A711,'Lorri 401b'!N:N,0),0)</f>
        <v>-3841717.6061411216</v>
      </c>
      <c r="S711" s="25">
        <f t="shared" ca="1" si="527"/>
        <v>-5410181.9235886894</v>
      </c>
    </row>
    <row r="712" spans="1:19" ht="15.75" customHeight="1" x14ac:dyDescent="0.3">
      <c r="A712" s="37">
        <v>72625</v>
      </c>
      <c r="B712" s="409">
        <f t="shared" ref="B712:C712" si="718">($A712-B$9)/365.25</f>
        <v>116.95824777549623</v>
      </c>
      <c r="C712" s="409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3525.4531757812501</v>
      </c>
      <c r="H712" s="25">
        <f>IF(B712&lt;62,0,'Combined Retirement'!$I$14)</f>
        <v>2192</v>
      </c>
      <c r="I712" s="25">
        <f>IF(C712&lt;62,0,'Combined Retirement'!$I$13)</f>
        <v>2420</v>
      </c>
      <c r="J712" s="25">
        <f t="shared" si="523"/>
        <v>7863.2184191855868</v>
      </c>
      <c r="K712" s="25">
        <f t="shared" si="524"/>
        <v>20282.026119384056</v>
      </c>
      <c r="L712" s="25"/>
      <c r="N712" s="25">
        <f>'Combined Retirement'!$C$18/12</f>
        <v>39153.069999999992</v>
      </c>
      <c r="O712" s="25">
        <f t="shared" si="525"/>
        <v>11007.82546143035</v>
      </c>
      <c r="P712" s="25">
        <f t="shared" si="526"/>
        <v>28145.244538569641</v>
      </c>
      <c r="Q712" s="25">
        <f t="array" aca="1" ref="Q712" ca="1">INDEX('Isaac 401k'!L:L,MATCH('Retirement Calculator'!A712,'Isaac 401k'!N:N,0),0)</f>
        <v>-1582895.5672661988</v>
      </c>
      <c r="R712" s="25">
        <f t="array" aca="1" ref="R712" ca="1">INDEX('Lorri 401b'!L:L,MATCH('Retirement Calculator'!A712,'Lorri 401b'!N:N,0),0)</f>
        <v>-3878091.2973949243</v>
      </c>
      <c r="S712" s="25">
        <f t="shared" ca="1" si="527"/>
        <v>-5460986.8646611236</v>
      </c>
    </row>
    <row r="713" spans="1:19" ht="15.75" customHeight="1" x14ac:dyDescent="0.3">
      <c r="A713" s="37">
        <v>72655</v>
      </c>
      <c r="B713" s="409">
        <f t="shared" ref="B713:C713" si="719">($A713-B$9)/365.25</f>
        <v>117.0403832991102</v>
      </c>
      <c r="C713" s="409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3525.4531757812501</v>
      </c>
      <c r="H713" s="25">
        <f>IF(B713&lt;62,0,'Combined Retirement'!$I$14)</f>
        <v>2192</v>
      </c>
      <c r="I713" s="25">
        <f>IF(C713&lt;62,0,'Combined Retirement'!$I$13)</f>
        <v>2420</v>
      </c>
      <c r="J713" s="25">
        <f t="shared" si="523"/>
        <v>7863.2184191855868</v>
      </c>
      <c r="K713" s="25">
        <f t="shared" si="524"/>
        <v>20282.026119384056</v>
      </c>
      <c r="L713" s="25"/>
      <c r="N713" s="25">
        <f>'Combined Retirement'!$C$18/12</f>
        <v>39153.069999999992</v>
      </c>
      <c r="O713" s="25">
        <f t="shared" si="525"/>
        <v>11007.82546143035</v>
      </c>
      <c r="P713" s="25">
        <f t="shared" si="526"/>
        <v>28145.244538569641</v>
      </c>
      <c r="Q713" s="25">
        <f t="array" aca="1" ref="Q713" ca="1">INDEX('Isaac 401k'!L:L,MATCH('Retirement Calculator'!A713,'Isaac 401k'!N:N,0),0)</f>
        <v>-1597386.9472924068</v>
      </c>
      <c r="R713" s="25">
        <f t="array" aca="1" ref="R713" ca="1">INDEX('Lorri 401b'!L:L,MATCH('Retirement Calculator'!A713,'Lorri 401b'!N:N,0),0)</f>
        <v>-3914616.5456956178</v>
      </c>
      <c r="S713" s="25">
        <f t="shared" ca="1" si="527"/>
        <v>-5512003.4929880248</v>
      </c>
    </row>
    <row r="714" spans="1:19" ht="15.75" customHeight="1" x14ac:dyDescent="0.3">
      <c r="A714" s="37">
        <v>72686</v>
      </c>
      <c r="B714" s="409">
        <f t="shared" ref="B714:C714" si="720">($A714-B$9)/365.25</f>
        <v>117.12525667351129</v>
      </c>
      <c r="C714" s="409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3525.4531757812501</v>
      </c>
      <c r="H714" s="25">
        <f>IF(B714&lt;62,0,'Combined Retirement'!$I$14)</f>
        <v>2192</v>
      </c>
      <c r="I714" s="25">
        <f>IF(C714&lt;62,0,'Combined Retirement'!$I$13)</f>
        <v>2420</v>
      </c>
      <c r="J714" s="25">
        <f t="shared" si="523"/>
        <v>7863.2184191855868</v>
      </c>
      <c r="K714" s="25">
        <f t="shared" si="524"/>
        <v>20282.026119384056</v>
      </c>
      <c r="L714" s="25"/>
      <c r="N714" s="25">
        <f>'Combined Retirement'!$C$18/12</f>
        <v>39153.069999999992</v>
      </c>
      <c r="O714" s="25">
        <f t="shared" si="525"/>
        <v>11007.82546143035</v>
      </c>
      <c r="P714" s="25">
        <f t="shared" si="526"/>
        <v>28145.244538569641</v>
      </c>
      <c r="Q714" s="25">
        <f t="array" aca="1" ref="Q714" ca="1">INDEX('Isaac 401k'!L:L,MATCH('Retirement Calculator'!A714,'Isaac 401k'!N:N,0),0)</f>
        <v>-1611938.708068724</v>
      </c>
      <c r="R714" s="25">
        <f t="array" aca="1" ref="R714" ca="1">INDEX('Lorri 401b'!L:L,MATCH('Retirement Calculator'!A714,'Lorri 401b'!N:N,0),0)</f>
        <v>-3951293.9825308975</v>
      </c>
      <c r="S714" s="25">
        <f t="shared" ca="1" si="527"/>
        <v>-5563232.6905996213</v>
      </c>
    </row>
    <row r="715" spans="1:19" ht="15.75" customHeight="1" x14ac:dyDescent="0.3">
      <c r="A715" s="37">
        <v>72717</v>
      </c>
      <c r="B715" s="409">
        <f t="shared" ref="B715:C715" si="721">($A715-B$9)/365.25</f>
        <v>117.21013004791239</v>
      </c>
      <c r="C715" s="409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3525.4531757812501</v>
      </c>
      <c r="H715" s="25">
        <f>IF(B715&lt;62,0,'Combined Retirement'!$I$14)</f>
        <v>2192</v>
      </c>
      <c r="I715" s="25">
        <f>IF(C715&lt;62,0,'Combined Retirement'!$I$13)</f>
        <v>2420</v>
      </c>
      <c r="J715" s="25">
        <f t="shared" si="523"/>
        <v>7863.2184191855868</v>
      </c>
      <c r="K715" s="25">
        <f t="shared" si="524"/>
        <v>20282.026119384056</v>
      </c>
      <c r="L715" s="25"/>
      <c r="N715" s="25">
        <f>'Combined Retirement'!$C$18/12</f>
        <v>39153.069999999992</v>
      </c>
      <c r="O715" s="25">
        <f t="shared" si="525"/>
        <v>11007.82546143035</v>
      </c>
      <c r="P715" s="25">
        <f t="shared" si="526"/>
        <v>28145.244538569641</v>
      </c>
      <c r="Q715" s="25">
        <f t="array" aca="1" ref="Q715" ca="1">INDEX('Isaac 401k'!L:L,MATCH('Retirement Calculator'!A715,'Isaac 401k'!N:N,0),0)</f>
        <v>-1626551.1011816093</v>
      </c>
      <c r="R715" s="25">
        <f t="array" aca="1" ref="R715" ca="1">INDEX('Lorri 401b'!L:L,MATCH('Retirement Calculator'!A715,'Lorri 401b'!N:N,0),0)</f>
        <v>-3988124.2420196575</v>
      </c>
      <c r="S715" s="25">
        <f t="shared" ca="1" si="527"/>
        <v>-5614675.3432012666</v>
      </c>
    </row>
    <row r="716" spans="1:19" ht="15.75" customHeight="1" x14ac:dyDescent="0.3">
      <c r="A716" s="37">
        <v>72745</v>
      </c>
      <c r="B716" s="409">
        <f t="shared" ref="B716:C716" si="722">($A716-B$9)/365.25</f>
        <v>117.28678986995209</v>
      </c>
      <c r="C716" s="409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3525.4531757812501</v>
      </c>
      <c r="H716" s="25">
        <f>IF(B716&lt;62,0,'Combined Retirement'!$I$14)</f>
        <v>2192</v>
      </c>
      <c r="I716" s="25">
        <f>IF(C716&lt;62,0,'Combined Retirement'!$I$13)</f>
        <v>2420</v>
      </c>
      <c r="J716" s="25">
        <f t="shared" si="523"/>
        <v>7863.2184191855868</v>
      </c>
      <c r="K716" s="25">
        <f t="shared" si="524"/>
        <v>20282.026119384056</v>
      </c>
      <c r="L716" s="25"/>
      <c r="N716" s="25">
        <f>'Combined Retirement'!$C$18/12</f>
        <v>39153.069999999992</v>
      </c>
      <c r="O716" s="25">
        <f t="shared" si="525"/>
        <v>11007.82546143035</v>
      </c>
      <c r="P716" s="25">
        <f t="shared" si="526"/>
        <v>28145.244538569641</v>
      </c>
      <c r="Q716" s="25">
        <f t="array" aca="1" ref="Q716" ca="1">INDEX('Isaac 401k'!L:L,MATCH('Retirement Calculator'!A716,'Isaac 401k'!N:N,0),0)</f>
        <v>-1641224.3792657983</v>
      </c>
      <c r="R716" s="25">
        <f t="array" aca="1" ref="R716" ca="1">INDEX('Lorri 401b'!L:L,MATCH('Retirement Calculator'!A716,'Lorri 401b'!N:N,0),0)</f>
        <v>-4025107.9609229541</v>
      </c>
      <c r="S716" s="25">
        <f t="shared" ca="1" si="527"/>
        <v>-5666332.3401887529</v>
      </c>
    </row>
    <row r="717" spans="1:19" ht="15.75" customHeight="1" x14ac:dyDescent="0.3">
      <c r="A717" s="37">
        <v>72776</v>
      </c>
      <c r="B717" s="409">
        <f t="shared" ref="B717:C717" si="723">($A717-B$9)/365.25</f>
        <v>117.37166324435319</v>
      </c>
      <c r="C717" s="409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3525.4531757812501</v>
      </c>
      <c r="H717" s="25">
        <f>IF(B717&lt;62,0,'Combined Retirement'!$I$14)</f>
        <v>2192</v>
      </c>
      <c r="I717" s="25">
        <f>IF(C717&lt;62,0,'Combined Retirement'!$I$13)</f>
        <v>2420</v>
      </c>
      <c r="J717" s="25">
        <f t="shared" si="523"/>
        <v>7863.2184191855868</v>
      </c>
      <c r="K717" s="25">
        <f t="shared" si="524"/>
        <v>20282.026119384056</v>
      </c>
      <c r="L717" s="25"/>
      <c r="N717" s="25">
        <f>'Combined Retirement'!$C$18/12</f>
        <v>39153.069999999992</v>
      </c>
      <c r="O717" s="25">
        <f t="shared" si="525"/>
        <v>11007.82546143035</v>
      </c>
      <c r="P717" s="25">
        <f t="shared" si="526"/>
        <v>28145.244538569641</v>
      </c>
      <c r="Q717" s="25">
        <f t="array" aca="1" ref="Q717" ca="1">INDEX('Isaac 401k'!L:L,MATCH('Retirement Calculator'!A717,'Isaac 401k'!N:N,0),0)</f>
        <v>-1655958.7960086714</v>
      </c>
      <c r="R717" s="25">
        <f t="array" aca="1" ref="R717" ca="1">INDEX('Lorri 401b'!L:L,MATCH('Retirement Calculator'!A717,'Lorri 401b'!N:N,0),0)</f>
        <v>-4062245.7786550145</v>
      </c>
      <c r="S717" s="25">
        <f t="shared" ca="1" si="527"/>
        <v>-5718204.5746636856</v>
      </c>
    </row>
    <row r="718" spans="1:19" ht="15.75" customHeight="1" x14ac:dyDescent="0.3">
      <c r="A718" s="37">
        <v>72806</v>
      </c>
      <c r="B718" s="409">
        <f t="shared" ref="B718:C718" si="724">($A718-B$9)/365.25</f>
        <v>117.45379876796714</v>
      </c>
      <c r="C718" s="409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3525.4531757812501</v>
      </c>
      <c r="H718" s="25">
        <f>IF(B718&lt;62,0,'Combined Retirement'!$I$14)</f>
        <v>2192</v>
      </c>
      <c r="I718" s="25">
        <f>IF(C718&lt;62,0,'Combined Retirement'!$I$13)</f>
        <v>2420</v>
      </c>
      <c r="J718" s="25">
        <f t="shared" si="523"/>
        <v>7863.2184191855868</v>
      </c>
      <c r="K718" s="25">
        <f t="shared" si="524"/>
        <v>20282.026119384056</v>
      </c>
      <c r="L718" s="25"/>
      <c r="N718" s="25">
        <f>'Combined Retirement'!$C$18/12</f>
        <v>39153.069999999992</v>
      </c>
      <c r="O718" s="25">
        <f t="shared" si="525"/>
        <v>11007.82546143035</v>
      </c>
      <c r="P718" s="25">
        <f t="shared" si="526"/>
        <v>28145.244538569641</v>
      </c>
      <c r="Q718" s="25">
        <f t="array" aca="1" ref="Q718" ca="1">INDEX('Isaac 401k'!L:L,MATCH('Retirement Calculator'!A718,'Isaac 401k'!N:N,0),0)</f>
        <v>-1670754.6061546397</v>
      </c>
      <c r="R718" s="25">
        <f t="array" aca="1" ref="R718" ca="1">INDEX('Lorri 401b'!L:L,MATCH('Retirement Calculator'!A718,'Lorri 401b'!N:N,0),0)</f>
        <v>-4099538.3372942917</v>
      </c>
      <c r="S718" s="25">
        <f t="shared" ca="1" si="527"/>
        <v>-5770292.943448931</v>
      </c>
    </row>
    <row r="719" spans="1:19" ht="15.75" customHeight="1" x14ac:dyDescent="0.3">
      <c r="A719" s="37">
        <v>72837</v>
      </c>
      <c r="B719" s="409">
        <f t="shared" ref="B719:C719" si="725">($A719-B$9)/365.25</f>
        <v>117.53867214236824</v>
      </c>
      <c r="C719" s="409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3525.4531757812501</v>
      </c>
      <c r="H719" s="25">
        <f>IF(B719&lt;62,0,'Combined Retirement'!$I$14)</f>
        <v>2192</v>
      </c>
      <c r="I719" s="25">
        <f>IF(C719&lt;62,0,'Combined Retirement'!$I$13)</f>
        <v>2420</v>
      </c>
      <c r="J719" s="25">
        <f t="shared" si="523"/>
        <v>7863.2184191855868</v>
      </c>
      <c r="K719" s="25">
        <f t="shared" si="524"/>
        <v>20282.026119384056</v>
      </c>
      <c r="L719" s="25"/>
      <c r="N719" s="25">
        <f>'Combined Retirement'!$C$18/12</f>
        <v>39153.069999999992</v>
      </c>
      <c r="O719" s="25">
        <f t="shared" si="525"/>
        <v>11007.82546143035</v>
      </c>
      <c r="P719" s="25">
        <f t="shared" si="526"/>
        <v>28145.244538569641</v>
      </c>
      <c r="Q719" s="25">
        <f t="array" aca="1" ref="Q719" ca="1">INDEX('Isaac 401k'!L:L,MATCH('Retirement Calculator'!A719,'Isaac 401k'!N:N,0),0)</f>
        <v>-1685612.0655095496</v>
      </c>
      <c r="R719" s="25">
        <f t="array" aca="1" ref="R719" ca="1">INDEX('Lorri 401b'!L:L,MATCH('Retirement Calculator'!A719,'Lorri 401b'!N:N,0),0)</f>
        <v>-4136986.2815945661</v>
      </c>
      <c r="S719" s="25">
        <f t="shared" ca="1" si="527"/>
        <v>-5822598.3471041154</v>
      </c>
    </row>
    <row r="720" spans="1:19" ht="15.75" customHeight="1" x14ac:dyDescent="0.3">
      <c r="A720" s="37">
        <v>72867</v>
      </c>
      <c r="B720" s="409">
        <f t="shared" ref="B720:C720" si="726">($A720-B$9)/365.25</f>
        <v>117.6208076659822</v>
      </c>
      <c r="C720" s="409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3525.4531757812501</v>
      </c>
      <c r="H720" s="25">
        <f>IF(B720&lt;62,0,'Combined Retirement'!$I$14)</f>
        <v>2192</v>
      </c>
      <c r="I720" s="25">
        <f>IF(C720&lt;62,0,'Combined Retirement'!$I$13)</f>
        <v>2420</v>
      </c>
      <c r="J720" s="25">
        <f t="shared" si="523"/>
        <v>7863.2184191855868</v>
      </c>
      <c r="K720" s="25">
        <f t="shared" si="524"/>
        <v>20282.026119384056</v>
      </c>
      <c r="L720" s="25"/>
      <c r="N720" s="25">
        <f>'Combined Retirement'!$C$18/12</f>
        <v>39153.069999999992</v>
      </c>
      <c r="O720" s="25">
        <f t="shared" si="525"/>
        <v>11007.82546143035</v>
      </c>
      <c r="P720" s="25">
        <f t="shared" si="526"/>
        <v>28145.244538569641</v>
      </c>
      <c r="Q720" s="25">
        <f t="array" aca="1" ref="Q720" ca="1">INDEX('Isaac 401k'!L:L,MATCH('Retirement Calculator'!A720,'Isaac 401k'!N:N,0),0)</f>
        <v>-1700531.4309451049</v>
      </c>
      <c r="R720" s="25">
        <f t="array" aca="1" ref="R720" ca="1">INDEX('Lorri 401b'!L:L,MATCH('Retirement Calculator'!A720,'Lorri 401b'!N:N,0),0)</f>
        <v>-4174590.2589960913</v>
      </c>
      <c r="S720" s="25">
        <f t="shared" ca="1" si="527"/>
        <v>-5875121.6899411958</v>
      </c>
    </row>
    <row r="721" spans="1:19" ht="15.75" customHeight="1" x14ac:dyDescent="0.3">
      <c r="A721" s="37">
        <v>72898</v>
      </c>
      <c r="B721" s="409">
        <f t="shared" ref="B721:C721" si="727">($A721-B$9)/365.25</f>
        <v>117.7056810403833</v>
      </c>
      <c r="C721" s="409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3525.4531757812501</v>
      </c>
      <c r="H721" s="25">
        <f>IF(B721&lt;62,0,'Combined Retirement'!$I$14)</f>
        <v>2192</v>
      </c>
      <c r="I721" s="25">
        <f>IF(C721&lt;62,0,'Combined Retirement'!$I$13)</f>
        <v>2420</v>
      </c>
      <c r="J721" s="25">
        <f t="shared" si="523"/>
        <v>7863.2184191855868</v>
      </c>
      <c r="K721" s="25">
        <f t="shared" si="524"/>
        <v>20282.026119384056</v>
      </c>
      <c r="L721" s="25"/>
      <c r="N721" s="25">
        <f>'Combined Retirement'!$C$18/12</f>
        <v>39153.069999999992</v>
      </c>
      <c r="O721" s="25">
        <f t="shared" si="525"/>
        <v>11007.82546143035</v>
      </c>
      <c r="P721" s="25">
        <f t="shared" si="526"/>
        <v>28145.244538569641</v>
      </c>
      <c r="Q721" s="25">
        <f t="array" aca="1" ref="Q721" ca="1">INDEX('Isaac 401k'!L:L,MATCH('Retirement Calculator'!A721,'Isaac 401k'!N:N,0),0)</f>
        <v>-1715512.9604033085</v>
      </c>
      <c r="R721" s="25">
        <f t="array" aca="1" ref="R721" ca="1">INDEX('Lorri 401b'!L:L,MATCH('Retirement Calculator'!A721,'Lorri 401b'!N:N,0),0)</f>
        <v>-4212350.9196367906</v>
      </c>
      <c r="S721" s="25">
        <f t="shared" ca="1" si="527"/>
        <v>-5927863.8800400989</v>
      </c>
    </row>
    <row r="722" spans="1:19" ht="15.75" customHeight="1" x14ac:dyDescent="0.3">
      <c r="A722" s="37">
        <v>72929</v>
      </c>
      <c r="B722" s="409">
        <f t="shared" ref="B722:C722" si="728">($A722-B$9)/365.25</f>
        <v>117.7905544147844</v>
      </c>
      <c r="C722" s="409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3525.4531757812501</v>
      </c>
      <c r="H722" s="25">
        <f>IF(B722&lt;62,0,'Combined Retirement'!$I$14)</f>
        <v>2192</v>
      </c>
      <c r="I722" s="25">
        <f>IF(C722&lt;62,0,'Combined Retirement'!$I$13)</f>
        <v>2420</v>
      </c>
      <c r="J722" s="25">
        <f t="shared" si="523"/>
        <v>7863.2184191855868</v>
      </c>
      <c r="K722" s="25">
        <f t="shared" si="524"/>
        <v>20282.026119384056</v>
      </c>
      <c r="L722" s="25"/>
      <c r="N722" s="25">
        <f>'Combined Retirement'!$C$18/12</f>
        <v>39153.069999999992</v>
      </c>
      <c r="O722" s="25">
        <f t="shared" si="525"/>
        <v>11007.82546143035</v>
      </c>
      <c r="P722" s="25">
        <f t="shared" si="526"/>
        <v>28145.244538569641</v>
      </c>
      <c r="Q722" s="25">
        <f t="array" aca="1" ref="Q722" ca="1">INDEX('Isaac 401k'!L:L,MATCH('Retirement Calculator'!A722,'Isaac 401k'!N:N,0),0)</f>
        <v>-1730556.9129009212</v>
      </c>
      <c r="R722" s="25">
        <f t="array" aca="1" ref="R722" ca="1">INDEX('Lorri 401b'!L:L,MATCH('Retirement Calculator'!A722,'Lorri 401b'!N:N,0),0)</f>
        <v>-4250268.9163634917</v>
      </c>
      <c r="S722" s="25">
        <f t="shared" ca="1" si="527"/>
        <v>-5980825.8292644126</v>
      </c>
    </row>
    <row r="723" spans="1:19" ht="15.75" customHeight="1" x14ac:dyDescent="0.3">
      <c r="A723" s="37">
        <v>72959</v>
      </c>
      <c r="B723" s="409">
        <f t="shared" ref="B723:C723" si="729">($A723-B$9)/365.25</f>
        <v>117.87268993839835</v>
      </c>
      <c r="C723" s="409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3525.4531757812501</v>
      </c>
      <c r="H723" s="25">
        <f>IF(B723&lt;62,0,'Combined Retirement'!$I$14)</f>
        <v>2192</v>
      </c>
      <c r="I723" s="25">
        <f>IF(C723&lt;62,0,'Combined Retirement'!$I$13)</f>
        <v>2420</v>
      </c>
      <c r="J723" s="25">
        <f t="shared" si="523"/>
        <v>7863.2184191855868</v>
      </c>
      <c r="K723" s="25">
        <f t="shared" si="524"/>
        <v>20282.026119384056</v>
      </c>
      <c r="L723" s="25"/>
      <c r="N723" s="25">
        <f>'Combined Retirement'!$C$18/12</f>
        <v>39153.069999999992</v>
      </c>
      <c r="O723" s="25">
        <f t="shared" si="525"/>
        <v>11007.82546143035</v>
      </c>
      <c r="P723" s="25">
        <f t="shared" si="526"/>
        <v>28145.244538569641</v>
      </c>
      <c r="Q723" s="25">
        <f t="array" aca="1" ref="Q723" ca="1">INDEX('Isaac 401k'!L:L,MATCH('Retirement Calculator'!A723,'Isaac 401k'!N:N,0),0)</f>
        <v>-1745663.5485339407</v>
      </c>
      <c r="R723" s="25">
        <f t="array" aca="1" ref="R723" ca="1">INDEX('Lorri 401b'!L:L,MATCH('Retirement Calculator'!A723,'Lorri 401b'!N:N,0),0)</f>
        <v>-4288344.9047432207</v>
      </c>
      <c r="S723" s="25">
        <f t="shared" ca="1" si="527"/>
        <v>-6034008.4532771613</v>
      </c>
    </row>
    <row r="724" spans="1:19" ht="15.75" customHeight="1" x14ac:dyDescent="0.3">
      <c r="A724" s="37">
        <v>72990</v>
      </c>
      <c r="B724" s="409">
        <f t="shared" ref="B724:C724" si="730">($A724-B$9)/365.25</f>
        <v>117.95756331279945</v>
      </c>
      <c r="C724" s="409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3525.4531757812501</v>
      </c>
      <c r="H724" s="25">
        <f>IF(B724&lt;62,0,'Combined Retirement'!$I$14)</f>
        <v>2192</v>
      </c>
      <c r="I724" s="25">
        <f>IF(C724&lt;62,0,'Combined Retirement'!$I$13)</f>
        <v>2420</v>
      </c>
      <c r="J724" s="25">
        <f t="shared" si="523"/>
        <v>7863.2184191855868</v>
      </c>
      <c r="K724" s="25">
        <f t="shared" si="524"/>
        <v>20282.026119384056</v>
      </c>
      <c r="L724" s="25"/>
      <c r="N724" s="25">
        <f>'Combined Retirement'!$C$18/12</f>
        <v>39153.069999999992</v>
      </c>
      <c r="O724" s="25">
        <f t="shared" si="525"/>
        <v>11007.82546143035</v>
      </c>
      <c r="P724" s="25">
        <f t="shared" si="526"/>
        <v>28145.244538569641</v>
      </c>
      <c r="Q724" s="25">
        <f t="array" aca="1" ref="Q724" ca="1">INDEX('Isaac 401k'!L:L,MATCH('Retirement Calculator'!A724,'Isaac 401k'!N:N,0),0)</f>
        <v>-1760833.1284820978</v>
      </c>
      <c r="R724" s="25">
        <f t="array" aca="1" ref="R724" ca="1">INDEX('Lorri 401b'!L:L,MATCH('Retirement Calculator'!A724,'Lorri 401b'!N:N,0),0)</f>
        <v>-4326579.5430745324</v>
      </c>
      <c r="S724" s="25">
        <f t="shared" ca="1" si="527"/>
        <v>-6087412.6715566302</v>
      </c>
    </row>
    <row r="725" spans="1:19" ht="15.75" customHeight="1" x14ac:dyDescent="0.3">
      <c r="A725" s="37">
        <v>73020</v>
      </c>
      <c r="B725" s="409">
        <f t="shared" ref="B725:C725" si="731">($A725-B$9)/365.25</f>
        <v>118.03969883641342</v>
      </c>
      <c r="C725" s="409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3525.4531757812501</v>
      </c>
      <c r="H725" s="25">
        <f>IF(B725&lt;62,0,'Combined Retirement'!$I$14)</f>
        <v>2192</v>
      </c>
      <c r="I725" s="25">
        <f>IF(C725&lt;62,0,'Combined Retirement'!$I$13)</f>
        <v>2420</v>
      </c>
      <c r="J725" s="25">
        <f t="shared" si="523"/>
        <v>7863.2184191855868</v>
      </c>
      <c r="K725" s="25">
        <f t="shared" si="524"/>
        <v>20282.026119384056</v>
      </c>
      <c r="L725" s="25"/>
      <c r="N725" s="25">
        <f>'Combined Retirement'!$C$18/12</f>
        <v>39153.069999999992</v>
      </c>
      <c r="O725" s="25">
        <f t="shared" si="525"/>
        <v>11007.82546143035</v>
      </c>
      <c r="P725" s="25">
        <f t="shared" si="526"/>
        <v>28145.244538569641</v>
      </c>
      <c r="Q725" s="25">
        <f t="array" aca="1" ref="Q725" ca="1">INDEX('Isaac 401k'!L:L,MATCH('Retirement Calculator'!A725,'Isaac 401k'!N:N,0),0)</f>
        <v>-1776065.915013372</v>
      </c>
      <c r="R725" s="25">
        <f t="array" aca="1" ref="R725" ca="1">INDEX('Lorri 401b'!L:L,MATCH('Retirement Calculator'!A725,'Lorri 401b'!N:N,0),0)</f>
        <v>-4364973.4923988907</v>
      </c>
      <c r="S725" s="25">
        <f t="shared" ca="1" si="527"/>
        <v>-6141039.4074122626</v>
      </c>
    </row>
    <row r="726" spans="1:19" ht="15.75" customHeight="1" x14ac:dyDescent="0.3">
      <c r="A726" s="37">
        <v>73051</v>
      </c>
      <c r="B726" s="409">
        <f t="shared" ref="B726:C726" si="732">($A726-B$9)/365.25</f>
        <v>118.12457221081451</v>
      </c>
      <c r="C726" s="409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3525.4531757812501</v>
      </c>
      <c r="H726" s="25">
        <f>IF(B726&lt;62,0,'Combined Retirement'!$I$14)</f>
        <v>2192</v>
      </c>
      <c r="I726" s="25">
        <f>IF(C726&lt;62,0,'Combined Retirement'!$I$13)</f>
        <v>2420</v>
      </c>
      <c r="J726" s="25">
        <f t="shared" si="523"/>
        <v>7863.2184191855868</v>
      </c>
      <c r="K726" s="25">
        <f t="shared" si="524"/>
        <v>20282.026119384056</v>
      </c>
      <c r="L726" s="25"/>
      <c r="N726" s="25">
        <f>'Combined Retirement'!$C$18/12</f>
        <v>39153.069999999992</v>
      </c>
      <c r="O726" s="25">
        <f t="shared" si="525"/>
        <v>11007.82546143035</v>
      </c>
      <c r="P726" s="25">
        <f t="shared" si="526"/>
        <v>28145.244538569641</v>
      </c>
      <c r="Q726" s="25">
        <f t="array" aca="1" ref="Q726" ca="1">INDEX('Isaac 401k'!L:L,MATCH('Retirement Calculator'!A726,'Isaac 401k'!N:N,0),0)</f>
        <v>-1791362.1714885265</v>
      </c>
      <c r="R726" s="25">
        <f t="array" aca="1" ref="R726" ca="1">INDEX('Lorri 401b'!L:L,MATCH('Retirement Calculator'!A726,'Lorri 401b'!N:N,0),0)</f>
        <v>-4403527.416512101</v>
      </c>
      <c r="S726" s="25">
        <f t="shared" ca="1" si="527"/>
        <v>-6194889.5880006272</v>
      </c>
    </row>
    <row r="727" spans="1:19" ht="15.75" customHeight="1" x14ac:dyDescent="0.3">
      <c r="A727" s="37">
        <v>73082</v>
      </c>
      <c r="B727" s="409">
        <f t="shared" ref="B727:C727" si="733">($A727-B$9)/365.25</f>
        <v>118.2094455852156</v>
      </c>
      <c r="C727" s="409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3525.4531757812501</v>
      </c>
      <c r="H727" s="25">
        <f>IF(B727&lt;62,0,'Combined Retirement'!$I$14)</f>
        <v>2192</v>
      </c>
      <c r="I727" s="25">
        <f>IF(C727&lt;62,0,'Combined Retirement'!$I$13)</f>
        <v>2420</v>
      </c>
      <c r="J727" s="25">
        <f t="shared" si="523"/>
        <v>7863.2184191855868</v>
      </c>
      <c r="K727" s="25">
        <f t="shared" si="524"/>
        <v>20282.026119384056</v>
      </c>
      <c r="L727" s="25"/>
      <c r="N727" s="25">
        <f>'Combined Retirement'!$C$18/12</f>
        <v>39153.069999999992</v>
      </c>
      <c r="O727" s="25">
        <f t="shared" si="525"/>
        <v>11007.82546143035</v>
      </c>
      <c r="P727" s="25">
        <f t="shared" si="526"/>
        <v>28145.244538569641</v>
      </c>
      <c r="Q727" s="25">
        <f t="array" aca="1" ref="Q727" ca="1">INDEX('Isaac 401k'!L:L,MATCH('Retirement Calculator'!A727,'Isaac 401k'!N:N,0),0)</f>
        <v>-1806722.162365661</v>
      </c>
      <c r="R727" s="25">
        <f t="array" aca="1" ref="R727" ca="1">INDEX('Lorri 401b'!L:L,MATCH('Retirement Calculator'!A727,'Lorri 401b'!N:N,0),0)</f>
        <v>-4442241.9819757827</v>
      </c>
      <c r="S727" s="25">
        <f t="shared" ca="1" si="527"/>
        <v>-6248964.1443414437</v>
      </c>
    </row>
    <row r="728" spans="1:19" ht="15.75" customHeight="1" x14ac:dyDescent="0.3">
      <c r="A728" s="37">
        <v>73110</v>
      </c>
      <c r="B728" s="409">
        <f t="shared" ref="B728:C728" si="734">($A728-B$9)/365.25</f>
        <v>118.28610540725531</v>
      </c>
      <c r="C728" s="409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3525.4531757812501</v>
      </c>
      <c r="H728" s="25">
        <f>IF(B728&lt;62,0,'Combined Retirement'!$I$14)</f>
        <v>2192</v>
      </c>
      <c r="I728" s="25">
        <f>IF(C728&lt;62,0,'Combined Retirement'!$I$13)</f>
        <v>2420</v>
      </c>
      <c r="J728" s="25">
        <f t="shared" si="523"/>
        <v>7863.2184191855868</v>
      </c>
      <c r="K728" s="25">
        <f t="shared" si="524"/>
        <v>20282.026119384056</v>
      </c>
      <c r="L728" s="25"/>
      <c r="N728" s="25">
        <f>'Combined Retirement'!$C$18/12</f>
        <v>39153.069999999992</v>
      </c>
      <c r="O728" s="25">
        <f t="shared" si="525"/>
        <v>11007.82546143035</v>
      </c>
      <c r="P728" s="25">
        <f t="shared" si="526"/>
        <v>28145.244538569641</v>
      </c>
      <c r="Q728" s="25">
        <f t="array" aca="1" ref="Q728" ca="1">INDEX('Isaac 401k'!L:L,MATCH('Retirement Calculator'!A728,'Isaac 401k'!N:N,0),0)</f>
        <v>-1822146.1532047836</v>
      </c>
      <c r="R728" s="25">
        <f t="array" aca="1" ref="R728" ca="1">INDEX('Lorri 401b'!L:L,MATCH('Retirement Calculator'!A728,'Lorri 401b'!N:N,0),0)</f>
        <v>-4481117.8581288969</v>
      </c>
      <c r="S728" s="25">
        <f t="shared" ca="1" si="527"/>
        <v>-6303264.0113336807</v>
      </c>
    </row>
    <row r="729" spans="1:19" ht="15.75" customHeight="1" x14ac:dyDescent="0.3">
      <c r="A729" s="37">
        <v>73141</v>
      </c>
      <c r="B729" s="409">
        <f t="shared" ref="B729:C729" si="735">($A729-B$9)/365.25</f>
        <v>118.3709787816564</v>
      </c>
      <c r="C729" s="409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3525.4531757812501</v>
      </c>
      <c r="H729" s="25">
        <f>IF(B729&lt;62,0,'Combined Retirement'!$I$14)</f>
        <v>2192</v>
      </c>
      <c r="I729" s="25">
        <f>IF(C729&lt;62,0,'Combined Retirement'!$I$13)</f>
        <v>2420</v>
      </c>
      <c r="J729" s="25">
        <f t="shared" si="523"/>
        <v>7863.2184191855868</v>
      </c>
      <c r="K729" s="25">
        <f t="shared" si="524"/>
        <v>20282.026119384056</v>
      </c>
      <c r="L729" s="25"/>
      <c r="N729" s="25">
        <f>'Combined Retirement'!$C$18/12</f>
        <v>39153.069999999992</v>
      </c>
      <c r="O729" s="25">
        <f t="shared" si="525"/>
        <v>11007.82546143035</v>
      </c>
      <c r="P729" s="25">
        <f t="shared" si="526"/>
        <v>28145.244538569641</v>
      </c>
      <c r="Q729" s="25">
        <f t="array" aca="1" ref="Q729" ca="1">INDEX('Isaac 401k'!L:L,MATCH('Retirement Calculator'!A729,'Isaac 401k'!N:N,0),0)</f>
        <v>-1837634.4106724025</v>
      </c>
      <c r="R729" s="25">
        <f t="array" aca="1" ref="R729" ca="1">INDEX('Lorri 401b'!L:L,MATCH('Retirement Calculator'!A729,'Lorri 401b'!N:N,0),0)</f>
        <v>-4520155.7170993155</v>
      </c>
      <c r="S729" s="25">
        <f t="shared" ca="1" si="527"/>
        <v>-6357790.1277717184</v>
      </c>
    </row>
    <row r="730" spans="1:19" ht="15.75" customHeight="1" x14ac:dyDescent="0.3">
      <c r="A730" s="37">
        <v>73171</v>
      </c>
      <c r="B730" s="409">
        <f t="shared" ref="B730:C730" si="736">($A730-B$9)/365.25</f>
        <v>118.45311430527036</v>
      </c>
      <c r="C730" s="409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3525.4531757812501</v>
      </c>
      <c r="H730" s="25">
        <f>IF(B730&lt;62,0,'Combined Retirement'!$I$14)</f>
        <v>2192</v>
      </c>
      <c r="I730" s="25">
        <f>IF(C730&lt;62,0,'Combined Retirement'!$I$13)</f>
        <v>2420</v>
      </c>
      <c r="J730" s="25">
        <f t="shared" si="523"/>
        <v>7863.2184191855868</v>
      </c>
      <c r="K730" s="25">
        <f t="shared" si="524"/>
        <v>20282.026119384056</v>
      </c>
      <c r="L730" s="25"/>
      <c r="N730" s="25">
        <f>'Combined Retirement'!$C$18/12</f>
        <v>39153.069999999992</v>
      </c>
      <c r="O730" s="25">
        <f t="shared" si="525"/>
        <v>11007.82546143035</v>
      </c>
      <c r="P730" s="25">
        <f t="shared" si="526"/>
        <v>28145.244538569641</v>
      </c>
      <c r="Q730" s="25">
        <f t="array" aca="1" ref="Q730" ca="1">INDEX('Isaac 401k'!L:L,MATCH('Retirement Calculator'!A730,'Isaac 401k'!N:N,0),0)</f>
        <v>-1853187.2025461365</v>
      </c>
      <c r="R730" s="25">
        <f t="array" aca="1" ref="R730" ca="1">INDEX('Lorri 401b'!L:L,MATCH('Retirement Calculator'!A730,'Lorri 401b'!N:N,0),0)</f>
        <v>-4559356.2338154437</v>
      </c>
      <c r="S730" s="25">
        <f t="shared" ca="1" si="527"/>
        <v>-6412543.4363615802</v>
      </c>
    </row>
    <row r="731" spans="1:19" ht="15.75" customHeight="1" x14ac:dyDescent="0.3">
      <c r="A731" s="37">
        <v>73202</v>
      </c>
      <c r="B731" s="409">
        <f t="shared" ref="B731:C731" si="737">($A731-B$9)/365.25</f>
        <v>118.53798767967146</v>
      </c>
      <c r="C731" s="409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3525.4531757812501</v>
      </c>
      <c r="H731" s="25">
        <f>IF(B731&lt;62,0,'Combined Retirement'!$I$14)</f>
        <v>2192</v>
      </c>
      <c r="I731" s="25">
        <f>IF(C731&lt;62,0,'Combined Retirement'!$I$13)</f>
        <v>2420</v>
      </c>
      <c r="J731" s="25">
        <f t="shared" si="523"/>
        <v>7863.2184191855868</v>
      </c>
      <c r="K731" s="25">
        <f t="shared" si="524"/>
        <v>20282.026119384056</v>
      </c>
      <c r="L731" s="25"/>
      <c r="N731" s="25">
        <f>'Combined Retirement'!$C$18/12</f>
        <v>39153.069999999992</v>
      </c>
      <c r="O731" s="25">
        <f t="shared" si="525"/>
        <v>11007.82546143035</v>
      </c>
      <c r="P731" s="25">
        <f t="shared" si="526"/>
        <v>28145.244538569641</v>
      </c>
      <c r="Q731" s="25">
        <f t="array" aca="1" ref="Q731" ca="1">INDEX('Isaac 401k'!L:L,MATCH('Retirement Calculator'!A731,'Isaac 401k'!N:N,0),0)</f>
        <v>-1868804.7977193443</v>
      </c>
      <c r="R731" s="25">
        <f t="array" aca="1" ref="R731" ca="1">INDEX('Lorri 401b'!L:L,MATCH('Retirement Calculator'!A731,'Lorri 401b'!N:N,0),0)</f>
        <v>-4598720.0860178899</v>
      </c>
      <c r="S731" s="25">
        <f t="shared" ca="1" si="527"/>
        <v>-6467524.8837372344</v>
      </c>
    </row>
    <row r="732" spans="1:19" ht="15.75" customHeight="1" x14ac:dyDescent="0.3">
      <c r="A732" s="37">
        <v>73232</v>
      </c>
      <c r="B732" s="409">
        <f t="shared" ref="B732:C732" si="738">($A732-B$9)/365.25</f>
        <v>118.62012320328542</v>
      </c>
      <c r="C732" s="409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3525.4531757812501</v>
      </c>
      <c r="H732" s="25">
        <f>IF(B732&lt;62,0,'Combined Retirement'!$I$14)</f>
        <v>2192</v>
      </c>
      <c r="I732" s="25">
        <f>IF(C732&lt;62,0,'Combined Retirement'!$I$13)</f>
        <v>2420</v>
      </c>
      <c r="J732" s="25">
        <f t="shared" si="523"/>
        <v>7863.2184191855868</v>
      </c>
      <c r="K732" s="25">
        <f t="shared" si="524"/>
        <v>20282.026119384056</v>
      </c>
      <c r="L732" s="25"/>
      <c r="N732" s="25">
        <f>'Combined Retirement'!$C$18/12</f>
        <v>39153.069999999992</v>
      </c>
      <c r="O732" s="25">
        <f t="shared" si="525"/>
        <v>11007.82546143035</v>
      </c>
      <c r="P732" s="25">
        <f t="shared" si="526"/>
        <v>28145.244538569641</v>
      </c>
      <c r="Q732" s="25">
        <f t="array" aca="1" ref="Q732" ca="1">INDEX('Isaac 401k'!L:L,MATCH('Retirement Calculator'!A732,'Isaac 401k'!N:N,0),0)</f>
        <v>-1884487.4662057736</v>
      </c>
      <c r="R732" s="25">
        <f t="array" aca="1" ref="R732" ca="1">INDEX('Lorri 401b'!L:L,MATCH('Retirement Calculator'!A732,'Lorri 401b'!N:N,0),0)</f>
        <v>-4638247.9542711796</v>
      </c>
      <c r="S732" s="25">
        <f t="shared" ca="1" si="527"/>
        <v>-6522735.4204769535</v>
      </c>
    </row>
    <row r="733" spans="1:19" ht="15.75" customHeight="1" x14ac:dyDescent="0.3">
      <c r="A733" s="37">
        <v>73263</v>
      </c>
      <c r="B733" s="409">
        <f t="shared" ref="B733:C733" si="739">($A733-B$9)/365.25</f>
        <v>118.70499657768652</v>
      </c>
      <c r="C733" s="409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3525.4531757812501</v>
      </c>
      <c r="H733" s="25">
        <f>IF(B733&lt;62,0,'Combined Retirement'!$I$14)</f>
        <v>2192</v>
      </c>
      <c r="I733" s="25">
        <f>IF(C733&lt;62,0,'Combined Retirement'!$I$13)</f>
        <v>2420</v>
      </c>
      <c r="J733" s="25">
        <f t="shared" si="523"/>
        <v>7863.2184191855868</v>
      </c>
      <c r="K733" s="25">
        <f t="shared" si="524"/>
        <v>20282.026119384056</v>
      </c>
      <c r="L733" s="25"/>
      <c r="N733" s="25">
        <f>'Combined Retirement'!$C$18/12</f>
        <v>39153.069999999992</v>
      </c>
      <c r="O733" s="25">
        <f t="shared" si="525"/>
        <v>11007.82546143035</v>
      </c>
      <c r="P733" s="25">
        <f t="shared" si="526"/>
        <v>28145.244538569641</v>
      </c>
      <c r="Q733" s="25">
        <f t="array" aca="1" ref="Q733" ca="1">INDEX('Isaac 401k'!L:L,MATCH('Retirement Calculator'!A733,'Isaac 401k'!N:N,0),0)</f>
        <v>-1900235.47914423</v>
      </c>
      <c r="R733" s="25">
        <f t="array" aca="1" ref="R733" ca="1">INDEX('Lorri 401b'!L:L,MATCH('Retirement Calculator'!A733,'Lorri 401b'!N:N,0),0)</f>
        <v>-4677940.5219755247</v>
      </c>
      <c r="S733" s="25">
        <f t="shared" ca="1" si="527"/>
        <v>-6578176.0011197552</v>
      </c>
    </row>
    <row r="734" spans="1:19" ht="15.75" customHeight="1" x14ac:dyDescent="0.3">
      <c r="A734" s="37">
        <v>73294</v>
      </c>
      <c r="B734" s="409">
        <f t="shared" ref="B734:C734" si="740">($A734-B$9)/365.25</f>
        <v>118.78986995208761</v>
      </c>
      <c r="C734" s="409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3525.4531757812501</v>
      </c>
      <c r="H734" s="25">
        <f>IF(B734&lt;62,0,'Combined Retirement'!$I$14)</f>
        <v>2192</v>
      </c>
      <c r="I734" s="25">
        <f>IF(C734&lt;62,0,'Combined Retirement'!$I$13)</f>
        <v>2420</v>
      </c>
      <c r="J734" s="25">
        <f t="shared" si="523"/>
        <v>7863.2184191855868</v>
      </c>
      <c r="K734" s="25">
        <f t="shared" si="524"/>
        <v>20282.026119384056</v>
      </c>
      <c r="L734" s="25"/>
      <c r="N734" s="25">
        <f>'Combined Retirement'!$C$18/12</f>
        <v>39153.069999999992</v>
      </c>
      <c r="O734" s="25">
        <f t="shared" si="525"/>
        <v>11007.82546143035</v>
      </c>
      <c r="P734" s="25">
        <f t="shared" si="526"/>
        <v>28145.244538569641</v>
      </c>
      <c r="Q734" s="25">
        <f t="array" aca="1" ref="Q734" ca="1">INDEX('Isaac 401k'!L:L,MATCH('Retirement Calculator'!A734,'Isaac 401k'!N:N,0),0)</f>
        <v>-1916049.1088032632</v>
      </c>
      <c r="R734" s="25">
        <f t="array" aca="1" ref="R734" ca="1">INDEX('Lorri 401b'!L:L,MATCH('Retirement Calculator'!A734,'Lorri 401b'!N:N,0),0)</f>
        <v>-4717798.4753786372</v>
      </c>
      <c r="S734" s="25">
        <f t="shared" ca="1" si="527"/>
        <v>-6633847.5841819001</v>
      </c>
    </row>
    <row r="735" spans="1:19" ht="15.75" customHeight="1" x14ac:dyDescent="0.3">
      <c r="A735" s="37">
        <v>73324</v>
      </c>
      <c r="B735" s="409">
        <f t="shared" ref="B735:C735" si="741">($A735-B$9)/365.25</f>
        <v>118.87200547570157</v>
      </c>
      <c r="C735" s="409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3525.4531757812501</v>
      </c>
      <c r="H735" s="25">
        <f>IF(B735&lt;62,0,'Combined Retirement'!$I$14)</f>
        <v>2192</v>
      </c>
      <c r="I735" s="25">
        <f>IF(C735&lt;62,0,'Combined Retirement'!$I$13)</f>
        <v>2420</v>
      </c>
      <c r="J735" s="25">
        <f t="shared" si="523"/>
        <v>7863.2184191855868</v>
      </c>
      <c r="K735" s="25">
        <f t="shared" si="524"/>
        <v>20282.026119384056</v>
      </c>
      <c r="L735" s="25"/>
      <c r="N735" s="25">
        <f>'Combined Retirement'!$C$18/12</f>
        <v>39153.069999999992</v>
      </c>
      <c r="O735" s="25">
        <f t="shared" si="525"/>
        <v>11007.82546143035</v>
      </c>
      <c r="P735" s="25">
        <f t="shared" si="526"/>
        <v>28145.244538569641</v>
      </c>
      <c r="Q735" s="25">
        <f t="array" aca="1" ref="Q735" ca="1">INDEX('Isaac 401k'!L:L,MATCH('Retirement Calculator'!A735,'Isaac 401k'!N:N,0),0)</f>
        <v>-1931928.6285858757</v>
      </c>
      <c r="R735" s="25">
        <f t="array" aca="1" ref="R735" ca="1">INDEX('Lorri 401b'!L:L,MATCH('Retirement Calculator'!A735,'Lorri 401b'!N:N,0),0)</f>
        <v>-4757822.5035875961</v>
      </c>
      <c r="S735" s="25">
        <f t="shared" ca="1" si="527"/>
        <v>-6689751.1321734721</v>
      </c>
    </row>
    <row r="736" spans="1:19" ht="15.75" customHeight="1" x14ac:dyDescent="0.3">
      <c r="A736" s="37">
        <v>73355</v>
      </c>
      <c r="B736" s="409">
        <f t="shared" ref="B736:C736" si="742">($A736-B$9)/365.25</f>
        <v>118.95687885010267</v>
      </c>
      <c r="C736" s="409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3525.4531757812501</v>
      </c>
      <c r="H736" s="25">
        <f>IF(B736&lt;62,0,'Combined Retirement'!$I$14)</f>
        <v>2192</v>
      </c>
      <c r="I736" s="25">
        <f>IF(C736&lt;62,0,'Combined Retirement'!$I$13)</f>
        <v>2420</v>
      </c>
      <c r="J736" s="25">
        <f t="shared" si="523"/>
        <v>7863.2184191855868</v>
      </c>
      <c r="K736" s="25">
        <f t="shared" si="524"/>
        <v>20282.026119384056</v>
      </c>
      <c r="L736" s="25"/>
      <c r="N736" s="25">
        <f>'Combined Retirement'!$C$18/12</f>
        <v>39153.069999999992</v>
      </c>
      <c r="O736" s="25">
        <f t="shared" si="525"/>
        <v>11007.82546143035</v>
      </c>
      <c r="P736" s="25">
        <f t="shared" si="526"/>
        <v>28145.244538569641</v>
      </c>
      <c r="Q736" s="25">
        <f t="array" aca="1" ref="Q736" ca="1">INDEX('Isaac 401k'!L:L,MATCH('Retirement Calculator'!A736,'Isaac 401k'!N:N,0),0)</f>
        <v>-1947874.313034249</v>
      </c>
      <c r="R736" s="25">
        <f t="array" aca="1" ref="R736" ca="1">INDEX('Lorri 401b'!L:L,MATCH('Retirement Calculator'!A736,'Lorri 401b'!N:N,0),0)</f>
        <v>-4798013.2985807592</v>
      </c>
      <c r="S736" s="25">
        <f t="shared" ca="1" si="527"/>
        <v>-6745887.6116150077</v>
      </c>
    </row>
    <row r="737" spans="1:19" ht="15.75" customHeight="1" x14ac:dyDescent="0.3">
      <c r="A737" s="37">
        <v>73385</v>
      </c>
      <c r="B737" s="409">
        <f t="shared" ref="B737:C737" si="743">($A737-B$9)/365.25</f>
        <v>119.03901437371663</v>
      </c>
      <c r="C737" s="409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3525.4531757812501</v>
      </c>
      <c r="H737" s="25">
        <f>IF(B737&lt;62,0,'Combined Retirement'!$I$14)</f>
        <v>2192</v>
      </c>
      <c r="I737" s="25">
        <f>IF(C737&lt;62,0,'Combined Retirement'!$I$13)</f>
        <v>2420</v>
      </c>
      <c r="J737" s="25">
        <f t="shared" si="523"/>
        <v>7863.2184191855868</v>
      </c>
      <c r="K737" s="25">
        <f t="shared" si="524"/>
        <v>20282.026119384056</v>
      </c>
      <c r="L737" s="25"/>
      <c r="N737" s="25">
        <f>'Combined Retirement'!$C$18/12</f>
        <v>39153.069999999992</v>
      </c>
      <c r="O737" s="25">
        <f t="shared" si="525"/>
        <v>11007.82546143035</v>
      </c>
      <c r="P737" s="25">
        <f t="shared" si="526"/>
        <v>28145.244538569641</v>
      </c>
      <c r="Q737" s="25">
        <f t="array" aca="1" ref="Q737" ca="1">INDEX('Isaac 401k'!L:L,MATCH('Retirement Calculator'!A737,'Isaac 401k'!N:N,0),0)</f>
        <v>-1963886.4378344906</v>
      </c>
      <c r="R737" s="25">
        <f t="array" aca="1" ref="R737" ca="1">INDEX('Lorri 401b'!L:L,MATCH('Retirement Calculator'!A737,'Lorri 401b'!N:N,0),0)</f>
        <v>-4838371.5552197276</v>
      </c>
      <c r="S737" s="25">
        <f t="shared" ca="1" si="527"/>
        <v>-6802257.9930542186</v>
      </c>
    </row>
    <row r="738" spans="1:19" ht="15.75" customHeight="1" x14ac:dyDescent="0.3">
      <c r="A738" s="37">
        <v>73416</v>
      </c>
      <c r="B738" s="409">
        <f t="shared" ref="B738:C738" si="744">($A738-B$9)/365.25</f>
        <v>119.12388774811772</v>
      </c>
      <c r="C738" s="409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3525.4531757812501</v>
      </c>
      <c r="H738" s="25">
        <f>IF(B738&lt;62,0,'Combined Retirement'!$I$14)</f>
        <v>2192</v>
      </c>
      <c r="I738" s="25">
        <f>IF(C738&lt;62,0,'Combined Retirement'!$I$13)</f>
        <v>2420</v>
      </c>
      <c r="J738" s="25">
        <f t="shared" si="523"/>
        <v>7863.2184191855868</v>
      </c>
      <c r="K738" s="25">
        <f t="shared" si="524"/>
        <v>20282.026119384056</v>
      </c>
      <c r="L738" s="25"/>
      <c r="N738" s="25">
        <f>'Combined Retirement'!$C$18/12</f>
        <v>39153.069999999992</v>
      </c>
      <c r="O738" s="25">
        <f t="shared" si="525"/>
        <v>11007.82546143035</v>
      </c>
      <c r="P738" s="25">
        <f t="shared" si="526"/>
        <v>28145.244538569641</v>
      </c>
      <c r="Q738" s="25">
        <f t="array" aca="1" ref="Q738" ca="1">INDEX('Isaac 401k'!L:L,MATCH('Retirement Calculator'!A738,'Isaac 401k'!N:N,0),0)</f>
        <v>-1979965.2798213998</v>
      </c>
      <c r="R738" s="25">
        <f t="array" aca="1" ref="R738" ca="1">INDEX('Lorri 401b'!L:L,MATCH('Retirement Calculator'!A738,'Lorri 401b'!N:N,0),0)</f>
        <v>-4878897.9712613579</v>
      </c>
      <c r="S738" s="25">
        <f t="shared" ca="1" si="527"/>
        <v>-6858863.2510827575</v>
      </c>
    </row>
    <row r="739" spans="1:19" ht="15.75" customHeight="1" x14ac:dyDescent="0.3">
      <c r="A739" s="37">
        <v>73447</v>
      </c>
      <c r="B739" s="409">
        <f t="shared" ref="B739:C739" si="745">($A739-B$9)/365.25</f>
        <v>119.20876112251882</v>
      </c>
      <c r="C739" s="409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3525.4531757812501</v>
      </c>
      <c r="H739" s="25">
        <f>IF(B739&lt;62,0,'Combined Retirement'!$I$14)</f>
        <v>2192</v>
      </c>
      <c r="I739" s="25">
        <f>IF(C739&lt;62,0,'Combined Retirement'!$I$13)</f>
        <v>2420</v>
      </c>
      <c r="J739" s="25">
        <f t="shared" si="523"/>
        <v>7863.2184191855868</v>
      </c>
      <c r="K739" s="25">
        <f t="shared" si="524"/>
        <v>20282.026119384056</v>
      </c>
      <c r="L739" s="25"/>
      <c r="N739" s="25">
        <f>'Combined Retirement'!$C$18/12</f>
        <v>39153.069999999992</v>
      </c>
      <c r="O739" s="25">
        <f t="shared" si="525"/>
        <v>11007.82546143035</v>
      </c>
      <c r="P739" s="25">
        <f t="shared" si="526"/>
        <v>28145.244538569641</v>
      </c>
      <c r="Q739" s="25">
        <f t="array" aca="1" ref="Q739" ca="1">INDEX('Isaac 401k'!L:L,MATCH('Retirement Calculator'!A739,'Isaac 401k'!N:N,0),0)</f>
        <v>-1996111.1169832544</v>
      </c>
      <c r="R739" s="25">
        <f t="array" aca="1" ref="R739" ca="1">INDEX('Lorri 401b'!L:L,MATCH('Retirement Calculator'!A739,'Lorri 401b'!N:N,0),0)</f>
        <v>-4919593.2473698286</v>
      </c>
      <c r="S739" s="25">
        <f t="shared" ca="1" si="527"/>
        <v>-6915704.3643530831</v>
      </c>
    </row>
    <row r="740" spans="1:19" ht="15.75" customHeight="1" x14ac:dyDescent="0.3">
      <c r="A740" s="37">
        <v>73475</v>
      </c>
      <c r="B740" s="409">
        <f t="shared" ref="B740:C740" si="746">($A740-B$9)/365.25</f>
        <v>119.28542094455852</v>
      </c>
      <c r="C740" s="409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3525.4531757812501</v>
      </c>
      <c r="H740" s="25">
        <f>IF(B740&lt;62,0,'Combined Retirement'!$I$14)</f>
        <v>2192</v>
      </c>
      <c r="I740" s="25">
        <f>IF(C740&lt;62,0,'Combined Retirement'!$I$13)</f>
        <v>2420</v>
      </c>
      <c r="J740" s="25">
        <f t="shared" si="523"/>
        <v>7863.2184191855868</v>
      </c>
      <c r="K740" s="25">
        <f t="shared" si="524"/>
        <v>20282.026119384056</v>
      </c>
      <c r="L740" s="25"/>
      <c r="N740" s="25">
        <f>'Combined Retirement'!$C$18/12</f>
        <v>39153.069999999992</v>
      </c>
      <c r="O740" s="25">
        <f t="shared" si="525"/>
        <v>11007.82546143035</v>
      </c>
      <c r="P740" s="25">
        <f t="shared" si="526"/>
        <v>28145.244538569641</v>
      </c>
      <c r="Q740" s="25">
        <f t="array" aca="1" ref="Q740" ca="1">INDEX('Isaac 401k'!L:L,MATCH('Retirement Calculator'!A740,'Isaac 401k'!N:N,0),0)</f>
        <v>-2012324.2284666169</v>
      </c>
      <c r="R740" s="25">
        <f t="array" aca="1" ref="R740" ca="1">INDEX('Lorri 401b'!L:L,MATCH('Retirement Calculator'!A740,'Lorri 401b'!N:N,0),0)</f>
        <v>-4960458.087128751</v>
      </c>
      <c r="S740" s="25">
        <f t="shared" ca="1" si="527"/>
        <v>-6972782.3155953679</v>
      </c>
    </row>
    <row r="741" spans="1:19" ht="15.75" customHeight="1" x14ac:dyDescent="0.3">
      <c r="A741" s="37">
        <v>73506</v>
      </c>
      <c r="B741" s="409">
        <f t="shared" ref="B741:C741" si="747">($A741-B$9)/365.25</f>
        <v>119.37029431895962</v>
      </c>
      <c r="C741" s="409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3525.4531757812501</v>
      </c>
      <c r="H741" s="25">
        <f>IF(B741&lt;62,0,'Combined Retirement'!$I$14)</f>
        <v>2192</v>
      </c>
      <c r="I741" s="25">
        <f>IF(C741&lt;62,0,'Combined Retirement'!$I$13)</f>
        <v>2420</v>
      </c>
      <c r="J741" s="25">
        <f t="shared" si="523"/>
        <v>7863.2184191855868</v>
      </c>
      <c r="K741" s="25">
        <f t="shared" si="524"/>
        <v>20282.026119384056</v>
      </c>
      <c r="L741" s="25"/>
      <c r="N741" s="25">
        <f>'Combined Retirement'!$C$18/12</f>
        <v>39153.069999999992</v>
      </c>
      <c r="O741" s="25">
        <f t="shared" si="525"/>
        <v>11007.82546143035</v>
      </c>
      <c r="P741" s="25">
        <f t="shared" si="526"/>
        <v>28145.244538569641</v>
      </c>
      <c r="Q741" s="25">
        <f t="array" aca="1" ref="Q741" ca="1">INDEX('Isaac 401k'!L:L,MATCH('Retirement Calculator'!A741,'Isaac 401k'!N:N,0),0)</f>
        <v>-2028604.89458116</v>
      </c>
      <c r="R741" s="25">
        <f t="array" aca="1" ref="R741" ca="1">INDEX('Lorri 401b'!L:L,MATCH('Retirement Calculator'!A741,'Lorri 401b'!N:N,0),0)</f>
        <v>-5001493.1970533356</v>
      </c>
      <c r="S741" s="25">
        <f t="shared" ca="1" si="527"/>
        <v>-7030098.0916344952</v>
      </c>
    </row>
    <row r="742" spans="1:19" ht="15.75" customHeight="1" x14ac:dyDescent="0.3">
      <c r="A742" s="37">
        <v>73536</v>
      </c>
      <c r="B742" s="409">
        <f t="shared" ref="B742:C742" si="748">($A742-B$9)/365.25</f>
        <v>119.45242984257358</v>
      </c>
      <c r="C742" s="409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3525.4531757812501</v>
      </c>
      <c r="H742" s="25">
        <f>IF(B742&lt;62,0,'Combined Retirement'!$I$14)</f>
        <v>2192</v>
      </c>
      <c r="I742" s="25">
        <f>IF(C742&lt;62,0,'Combined Retirement'!$I$13)</f>
        <v>2420</v>
      </c>
      <c r="J742" s="25">
        <f t="shared" si="523"/>
        <v>7863.2184191855868</v>
      </c>
      <c r="K742" s="25">
        <f t="shared" si="524"/>
        <v>20282.026119384056</v>
      </c>
      <c r="L742" s="25"/>
      <c r="N742" s="25">
        <f>'Combined Retirement'!$C$18/12</f>
        <v>39153.069999999992</v>
      </c>
      <c r="O742" s="25">
        <f t="shared" si="525"/>
        <v>11007.82546143035</v>
      </c>
      <c r="P742" s="25">
        <f t="shared" si="526"/>
        <v>28145.244538569641</v>
      </c>
      <c r="Q742" s="25">
        <f t="array" aca="1" ref="Q742" ca="1">INDEX('Isaac 401k'!L:L,MATCH('Retirement Calculator'!A742,'Isaac 401k'!N:N,0),0)</f>
        <v>-2044953.3968045136</v>
      </c>
      <c r="R742" s="25">
        <f t="array" aca="1" ref="R742" ca="1">INDEX('Lorri 401b'!L:L,MATCH('Retirement Calculator'!A742,'Lorri 401b'!N:N,0),0)</f>
        <v>-5042699.2866026061</v>
      </c>
      <c r="S742" s="25">
        <f t="shared" ca="1" si="527"/>
        <v>-7087652.6834071195</v>
      </c>
    </row>
    <row r="743" spans="1:19" ht="15.75" customHeight="1" x14ac:dyDescent="0.3">
      <c r="A743" s="37">
        <v>73567</v>
      </c>
      <c r="B743" s="409">
        <f t="shared" ref="B743:C743" si="749">($A743-B$9)/365.25</f>
        <v>119.53730321697468</v>
      </c>
      <c r="C743" s="409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3525.4531757812501</v>
      </c>
      <c r="H743" s="25">
        <f>IF(B743&lt;62,0,'Combined Retirement'!$I$14)</f>
        <v>2192</v>
      </c>
      <c r="I743" s="25">
        <f>IF(C743&lt;62,0,'Combined Retirement'!$I$13)</f>
        <v>2420</v>
      </c>
      <c r="J743" s="25">
        <f t="shared" si="523"/>
        <v>7863.2184191855868</v>
      </c>
      <c r="K743" s="25">
        <f t="shared" si="524"/>
        <v>20282.026119384056</v>
      </c>
      <c r="L743" s="25"/>
      <c r="N743" s="25">
        <f>'Combined Retirement'!$C$18/12</f>
        <v>39153.069999999992</v>
      </c>
      <c r="O743" s="25">
        <f t="shared" si="525"/>
        <v>11007.82546143035</v>
      </c>
      <c r="P743" s="25">
        <f t="shared" si="526"/>
        <v>28145.244538569641</v>
      </c>
      <c r="Q743" s="25">
        <f t="array" aca="1" ref="Q743" ca="1">INDEX('Isaac 401k'!L:L,MATCH('Retirement Calculator'!A743,'Isaac 401k'!N:N,0),0)</f>
        <v>-2061370.0177871312</v>
      </c>
      <c r="R743" s="25">
        <f t="array" aca="1" ref="R743" ca="1">INDEX('Lorri 401b'!L:L,MATCH('Retirement Calculator'!A743,'Lorri 401b'!N:N,0),0)</f>
        <v>-5084077.0681916652</v>
      </c>
      <c r="S743" s="25">
        <f t="shared" ca="1" si="527"/>
        <v>-7145447.0859787967</v>
      </c>
    </row>
    <row r="744" spans="1:19" ht="15.75" customHeight="1" x14ac:dyDescent="0.3">
      <c r="A744" s="37">
        <v>73597</v>
      </c>
      <c r="B744" s="409">
        <f t="shared" ref="B744:C744" si="750">($A744-B$9)/365.25</f>
        <v>119.61943874058863</v>
      </c>
      <c r="C744" s="409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3525.4531757812501</v>
      </c>
      <c r="H744" s="25">
        <f>IF(B744&lt;62,0,'Combined Retirement'!$I$14)</f>
        <v>2192</v>
      </c>
      <c r="I744" s="25">
        <f>IF(C744&lt;62,0,'Combined Retirement'!$I$13)</f>
        <v>2420</v>
      </c>
      <c r="J744" s="25">
        <f t="shared" si="523"/>
        <v>7863.2184191855868</v>
      </c>
      <c r="K744" s="25">
        <f t="shared" si="524"/>
        <v>20282.026119384056</v>
      </c>
      <c r="L744" s="25"/>
      <c r="N744" s="25">
        <f>'Combined Retirement'!$C$18/12</f>
        <v>39153.069999999992</v>
      </c>
      <c r="O744" s="25">
        <f t="shared" si="525"/>
        <v>11007.82546143035</v>
      </c>
      <c r="P744" s="25">
        <f t="shared" si="526"/>
        <v>28145.244538569641</v>
      </c>
      <c r="Q744" s="25">
        <f t="array" aca="1" ref="Q744" ca="1">INDEX('Isaac 401k'!L:L,MATCH('Retirement Calculator'!A744,'Isaac 401k'!N:N,0),0)</f>
        <v>-2077855.0413571766</v>
      </c>
      <c r="R744" s="25">
        <f t="array" aca="1" ref="R744" ca="1">INDEX('Lorri 401b'!L:L,MATCH('Retirement Calculator'!A744,'Lorri 401b'!N:N,0),0)</f>
        <v>-5125627.257204012</v>
      </c>
      <c r="S744" s="25">
        <f t="shared" ca="1" si="527"/>
        <v>-7203482.2985611884</v>
      </c>
    </row>
    <row r="745" spans="1:19" ht="15.75" customHeight="1" x14ac:dyDescent="0.3">
      <c r="A745" s="37">
        <v>73628</v>
      </c>
      <c r="B745" s="409">
        <f t="shared" ref="B745:C745" si="751">($A745-B$9)/365.25</f>
        <v>119.70431211498973</v>
      </c>
      <c r="C745" s="409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3525.4531757812501</v>
      </c>
      <c r="H745" s="25">
        <f>IF(B745&lt;62,0,'Combined Retirement'!$I$14)</f>
        <v>2192</v>
      </c>
      <c r="I745" s="25">
        <f>IF(C745&lt;62,0,'Combined Retirement'!$I$13)</f>
        <v>2420</v>
      </c>
      <c r="J745" s="25">
        <f t="shared" si="523"/>
        <v>7863.2184191855868</v>
      </c>
      <c r="K745" s="25">
        <f t="shared" si="524"/>
        <v>20282.026119384056</v>
      </c>
      <c r="L745" s="25"/>
      <c r="N745" s="25">
        <f>'Combined Retirement'!$C$18/12</f>
        <v>39153.069999999992</v>
      </c>
      <c r="O745" s="25">
        <f t="shared" si="525"/>
        <v>11007.82546143035</v>
      </c>
      <c r="P745" s="25">
        <f t="shared" si="526"/>
        <v>28145.244538569641</v>
      </c>
      <c r="Q745" s="25">
        <f t="array" aca="1" ref="Q745" ca="1">INDEX('Isaac 401k'!L:L,MATCH('Retirement Calculator'!A745,'Isaac 401k'!N:N,0),0)</f>
        <v>-2094408.7525254304</v>
      </c>
      <c r="R745" s="25">
        <f t="array" aca="1" ref="R745" ca="1">INDEX('Lorri 401b'!L:L,MATCH('Retirement Calculator'!A745,'Lorri 401b'!N:N,0),0)</f>
        <v>-5167350.5720039103</v>
      </c>
      <c r="S745" s="25">
        <f t="shared" ca="1" si="527"/>
        <v>-7261759.3245293405</v>
      </c>
    </row>
    <row r="746" spans="1:19" ht="15.75" customHeight="1" x14ac:dyDescent="0.3">
      <c r="A746" s="37">
        <v>73659</v>
      </c>
      <c r="B746" s="409">
        <f t="shared" ref="B746:C746" si="752">($A746-B$9)/365.25</f>
        <v>119.78918548939083</v>
      </c>
      <c r="C746" s="409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3525.4531757812501</v>
      </c>
      <c r="H746" s="25">
        <f>IF(B746&lt;62,0,'Combined Retirement'!$I$14)</f>
        <v>2192</v>
      </c>
      <c r="I746" s="25">
        <f>IF(C746&lt;62,0,'Combined Retirement'!$I$13)</f>
        <v>2420</v>
      </c>
      <c r="J746" s="25">
        <f t="shared" si="523"/>
        <v>7863.2184191855868</v>
      </c>
      <c r="K746" s="25">
        <f t="shared" si="524"/>
        <v>20282.026119384056</v>
      </c>
      <c r="L746" s="25"/>
      <c r="N746" s="25">
        <f>'Combined Retirement'!$C$18/12</f>
        <v>39153.069999999992</v>
      </c>
      <c r="O746" s="25">
        <f t="shared" si="525"/>
        <v>11007.82546143035</v>
      </c>
      <c r="P746" s="25">
        <f t="shared" si="526"/>
        <v>28145.244538569641</v>
      </c>
      <c r="Q746" s="25">
        <f t="array" aca="1" ref="Q746" ca="1">INDEX('Isaac 401k'!L:L,MATCH('Retirement Calculator'!A746,'Isaac 401k'!N:N,0),0)</f>
        <v>-2111031.4374902188</v>
      </c>
      <c r="R746" s="25">
        <f t="array" aca="1" ref="R746" ca="1">INDEX('Lorri 401b'!L:L,MATCH('Retirement Calculator'!A746,'Lorri 401b'!N:N,0),0)</f>
        <v>-5209247.7339488082</v>
      </c>
      <c r="S746" s="25">
        <f t="shared" ca="1" si="527"/>
        <v>-7320279.1714390274</v>
      </c>
    </row>
    <row r="747" spans="1:19" ht="15.75" customHeight="1" x14ac:dyDescent="0.3">
      <c r="A747" s="37">
        <v>73689</v>
      </c>
      <c r="B747" s="409">
        <f t="shared" ref="B747:C747" si="753">($A747-B$9)/365.25</f>
        <v>119.87132101300479</v>
      </c>
      <c r="C747" s="409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3525.4531757812501</v>
      </c>
      <c r="H747" s="25">
        <f>IF(B747&lt;62,0,'Combined Retirement'!$I$14)</f>
        <v>2192</v>
      </c>
      <c r="I747" s="25">
        <f>IF(C747&lt;62,0,'Combined Retirement'!$I$13)</f>
        <v>2420</v>
      </c>
      <c r="J747" s="25">
        <f t="shared" si="523"/>
        <v>7863.2184191855868</v>
      </c>
      <c r="K747" s="25">
        <f t="shared" si="524"/>
        <v>20282.026119384056</v>
      </c>
      <c r="L747" s="25"/>
      <c r="N747" s="25">
        <f>'Combined Retirement'!$C$18/12</f>
        <v>39153.069999999992</v>
      </c>
      <c r="O747" s="25">
        <f t="shared" si="525"/>
        <v>11007.82546143035</v>
      </c>
      <c r="P747" s="25">
        <f t="shared" si="526"/>
        <v>28145.244538569641</v>
      </c>
      <c r="Q747" s="25">
        <f t="array" aca="1" ref="Q747" ca="1">INDEX('Isaac 401k'!L:L,MATCH('Retirement Calculator'!A747,'Isaac 401k'!N:N,0),0)</f>
        <v>-2127723.3836423601</v>
      </c>
      <c r="R747" s="25">
        <f t="array" aca="1" ref="R747" ca="1">INDEX('Lorri 401b'!L:L,MATCH('Retirement Calculator'!A747,'Lorri 401b'!N:N,0),0)</f>
        <v>-5251319.46740181</v>
      </c>
      <c r="S747" s="25">
        <f t="shared" ca="1" si="527"/>
        <v>-7379042.8510441706</v>
      </c>
    </row>
    <row r="748" spans="1:19" ht="15.75" customHeight="1" x14ac:dyDescent="0.3">
      <c r="A748" s="37">
        <v>73720</v>
      </c>
      <c r="B748" s="409">
        <f t="shared" ref="B748:C748" si="754">($A748-B$9)/365.25</f>
        <v>119.95619438740589</v>
      </c>
      <c r="C748" s="409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3525.4531757812501</v>
      </c>
      <c r="H748" s="25">
        <f>IF(B748&lt;62,0,'Combined Retirement'!$I$14)</f>
        <v>2192</v>
      </c>
      <c r="I748" s="25">
        <f>IF(C748&lt;62,0,'Combined Retirement'!$I$13)</f>
        <v>2420</v>
      </c>
      <c r="J748" s="25">
        <f t="shared" si="523"/>
        <v>7863.2184191855868</v>
      </c>
      <c r="K748" s="25">
        <f t="shared" si="524"/>
        <v>20282.026119384056</v>
      </c>
      <c r="L748" s="25"/>
      <c r="N748" s="25">
        <f>'Combined Retirement'!$C$18/12</f>
        <v>39153.069999999992</v>
      </c>
      <c r="O748" s="25">
        <f t="shared" si="525"/>
        <v>11007.82546143035</v>
      </c>
      <c r="P748" s="25">
        <f t="shared" si="526"/>
        <v>28145.244538569641</v>
      </c>
      <c r="Q748" s="25">
        <f t="array" aca="1" ref="Q748" ca="1">INDEX('Isaac 401k'!L:L,MATCH('Retirement Calculator'!A748,'Isaac 401k'!N:N,0),0)</f>
        <v>-2144484.8795701354</v>
      </c>
      <c r="R748" s="25">
        <f t="array" aca="1" ref="R748" ca="1">INDEX('Lorri 401b'!L:L,MATCH('Retirement Calculator'!A748,'Lorri 401b'!N:N,0),0)</f>
        <v>-5293566.4997441992</v>
      </c>
      <c r="S748" s="25">
        <f t="shared" ca="1" si="527"/>
        <v>-7438051.3793143351</v>
      </c>
    </row>
    <row r="749" spans="1:19" ht="15.75" customHeight="1" x14ac:dyDescent="0.3">
      <c r="A749" s="37">
        <v>73750</v>
      </c>
      <c r="B749" s="409">
        <f t="shared" ref="B749:C749" si="755">($A749-B$9)/365.25</f>
        <v>120.03832991101984</v>
      </c>
      <c r="C749" s="409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3525.4531757812501</v>
      </c>
      <c r="H749" s="25">
        <f>IF(B749&lt;62,0,'Combined Retirement'!$I$14)</f>
        <v>2192</v>
      </c>
      <c r="I749" s="25">
        <f>IF(C749&lt;62,0,'Combined Retirement'!$I$13)</f>
        <v>2420</v>
      </c>
      <c r="J749" s="25">
        <f t="shared" si="523"/>
        <v>7863.2184191855868</v>
      </c>
      <c r="K749" s="25">
        <f t="shared" si="524"/>
        <v>20282.026119384056</v>
      </c>
      <c r="L749" s="25"/>
      <c r="N749" s="25">
        <f>'Combined Retirement'!$C$18/12</f>
        <v>39153.069999999992</v>
      </c>
      <c r="O749" s="25">
        <f t="shared" si="525"/>
        <v>11007.82546143035</v>
      </c>
      <c r="P749" s="25">
        <f t="shared" si="526"/>
        <v>28145.244538569641</v>
      </c>
      <c r="Q749" s="25">
        <f t="array" aca="1" ref="Q749" ca="1">INDEX('Isaac 401k'!L:L,MATCH('Retirement Calculator'!A749,'Isaac 401k'!N:N,0),0)</f>
        <v>-2161316.2150642765</v>
      </c>
      <c r="R749" s="25">
        <f t="array" aca="1" ref="R749" ca="1">INDEX('Lorri 401b'!L:L,MATCH('Retirement Calculator'!A749,'Lorri 401b'!N:N,0),0)</f>
        <v>-5335989.5613880148</v>
      </c>
      <c r="S749" s="25">
        <f t="shared" ca="1" si="527"/>
        <v>-7497305.7764522918</v>
      </c>
    </row>
    <row r="750" spans="1:19" ht="15.75" customHeight="1" x14ac:dyDescent="0.3">
      <c r="A750" s="37">
        <v>73781</v>
      </c>
      <c r="B750" s="409">
        <f t="shared" ref="B750:C750" si="756">($A750-B$9)/365.25</f>
        <v>120.12320328542094</v>
      </c>
      <c r="C750" s="409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3525.4531757812501</v>
      </c>
      <c r="H750" s="25">
        <f>IF(B750&lt;62,0,'Combined Retirement'!$I$14)</f>
        <v>2192</v>
      </c>
      <c r="I750" s="25">
        <f>IF(C750&lt;62,0,'Combined Retirement'!$I$13)</f>
        <v>2420</v>
      </c>
      <c r="J750" s="25">
        <f t="shared" si="523"/>
        <v>7863.2184191855868</v>
      </c>
      <c r="K750" s="25">
        <f t="shared" si="524"/>
        <v>20282.026119384056</v>
      </c>
      <c r="L750" s="25"/>
      <c r="N750" s="25">
        <f>'Combined Retirement'!$C$18/12</f>
        <v>39153.069999999992</v>
      </c>
      <c r="O750" s="25">
        <f t="shared" si="525"/>
        <v>11007.82546143035</v>
      </c>
      <c r="P750" s="25">
        <f t="shared" si="526"/>
        <v>28145.244538569641</v>
      </c>
      <c r="Q750" s="25">
        <f t="array" aca="1" ref="Q750" ca="1">INDEX('Isaac 401k'!L:L,MATCH('Retirement Calculator'!A750,'Isaac 401k'!N:N,0),0)</f>
        <v>-2178217.6811229764</v>
      </c>
      <c r="R750" s="25">
        <f t="array" aca="1" ref="R750" ca="1">INDEX('Lorri 401b'!L:L,MATCH('Retirement Calculator'!A750,'Lorri 401b'!N:N,0),0)</f>
        <v>-5378589.3857886801</v>
      </c>
      <c r="S750" s="25">
        <f t="shared" ca="1" si="527"/>
        <v>-7556807.0669116564</v>
      </c>
    </row>
    <row r="751" spans="1:19" ht="15.75" customHeight="1" x14ac:dyDescent="0.3">
      <c r="A751" s="37">
        <v>73812</v>
      </c>
      <c r="B751" s="409">
        <f t="shared" ref="B751:C751" si="757">($A751-B$9)/365.25</f>
        <v>120.20807665982204</v>
      </c>
      <c r="C751" s="409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3525.4531757812501</v>
      </c>
      <c r="H751" s="25">
        <f>IF(B751&lt;62,0,'Combined Retirement'!$I$14)</f>
        <v>2192</v>
      </c>
      <c r="I751" s="25">
        <f>IF(C751&lt;62,0,'Combined Retirement'!$I$13)</f>
        <v>2420</v>
      </c>
      <c r="J751" s="25">
        <f t="shared" si="523"/>
        <v>7863.2184191855868</v>
      </c>
      <c r="K751" s="25">
        <f t="shared" si="524"/>
        <v>20282.026119384056</v>
      </c>
      <c r="L751" s="25"/>
      <c r="N751" s="25">
        <f>'Combined Retirement'!$C$18/12</f>
        <v>39153.069999999992</v>
      </c>
      <c r="O751" s="25">
        <f t="shared" si="525"/>
        <v>11007.82546143035</v>
      </c>
      <c r="P751" s="25">
        <f t="shared" si="526"/>
        <v>28145.244538569641</v>
      </c>
      <c r="Q751" s="25">
        <f t="array" aca="1" ref="Q751" ca="1">INDEX('Isaac 401k'!L:L,MATCH('Retirement Calculator'!A751,'Isaac 401k'!N:N,0),0)</f>
        <v>-2195189.5699569206</v>
      </c>
      <c r="R751" s="25">
        <f t="array" aca="1" ref="R751" ca="1">INDEX('Lorri 401b'!L:L,MATCH('Retirement Calculator'!A751,'Lorri 401b'!N:N,0),0)</f>
        <v>-5421366.7094576806</v>
      </c>
      <c r="S751" s="25">
        <f t="shared" ca="1" si="527"/>
        <v>-7616556.2794146016</v>
      </c>
    </row>
    <row r="752" spans="1:19" ht="15.75" customHeight="1" x14ac:dyDescent="0.3">
      <c r="A752" s="37">
        <v>73840</v>
      </c>
      <c r="B752" s="409">
        <f t="shared" ref="B752:C752" si="758">($A752-B$9)/365.25</f>
        <v>120.28473648186174</v>
      </c>
      <c r="C752" s="409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3525.4531757812501</v>
      </c>
      <c r="H752" s="25">
        <f>IF(B752&lt;62,0,'Combined Retirement'!$I$14)</f>
        <v>2192</v>
      </c>
      <c r="I752" s="25">
        <f>IF(C752&lt;62,0,'Combined Retirement'!$I$13)</f>
        <v>2420</v>
      </c>
      <c r="J752" s="25">
        <f t="shared" si="523"/>
        <v>7863.2184191855868</v>
      </c>
      <c r="K752" s="25">
        <f t="shared" si="524"/>
        <v>20282.026119384056</v>
      </c>
      <c r="L752" s="25"/>
      <c r="N752" s="25">
        <f>'Combined Retirement'!$C$18/12</f>
        <v>39153.069999999992</v>
      </c>
      <c r="O752" s="25">
        <f t="shared" si="525"/>
        <v>11007.82546143035</v>
      </c>
      <c r="P752" s="25">
        <f t="shared" si="526"/>
        <v>28145.244538569641</v>
      </c>
      <c r="Q752" s="25">
        <f t="array" aca="1" ref="Q752" ca="1">INDEX('Isaac 401k'!L:L,MATCH('Retirement Calculator'!A752,'Isaac 401k'!N:N,0),0)</f>
        <v>-2212232.1749943397</v>
      </c>
      <c r="R752" s="25">
        <f t="array" aca="1" ref="R752" ca="1">INDEX('Lorri 401b'!L:L,MATCH('Retirement Calculator'!A752,'Lorri 401b'!N:N,0),0)</f>
        <v>-5464322.2719753021</v>
      </c>
      <c r="S752" s="25">
        <f t="shared" ca="1" si="527"/>
        <v>-7676554.4469696414</v>
      </c>
    </row>
    <row r="753" spans="1:19" ht="15.75" customHeight="1" x14ac:dyDescent="0.3">
      <c r="A753" s="37">
        <v>73871</v>
      </c>
      <c r="B753" s="409">
        <f t="shared" ref="B753:C753" si="759">($A753-B$9)/365.25</f>
        <v>120.36960985626284</v>
      </c>
      <c r="C753" s="409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3525.4531757812501</v>
      </c>
      <c r="H753" s="25">
        <f>IF(B753&lt;62,0,'Combined Retirement'!$I$14)</f>
        <v>2192</v>
      </c>
      <c r="I753" s="25">
        <f>IF(C753&lt;62,0,'Combined Retirement'!$I$13)</f>
        <v>2420</v>
      </c>
      <c r="J753" s="25">
        <f t="shared" si="523"/>
        <v>7863.2184191855868</v>
      </c>
      <c r="K753" s="25">
        <f t="shared" si="524"/>
        <v>20282.026119384056</v>
      </c>
      <c r="L753" s="25"/>
      <c r="N753" s="25">
        <f>'Combined Retirement'!$C$18/12</f>
        <v>39153.069999999992</v>
      </c>
      <c r="O753" s="25">
        <f t="shared" si="525"/>
        <v>11007.82546143035</v>
      </c>
      <c r="P753" s="25">
        <f t="shared" si="526"/>
        <v>28145.244538569641</v>
      </c>
      <c r="Q753" s="25">
        <f t="array" aca="1" ref="Q753" ca="1">INDEX('Isaac 401k'!L:L,MATCH('Retirement Calculator'!A753,'Isaac 401k'!N:N,0),0)</f>
        <v>-2229345.7908860813</v>
      </c>
      <c r="R753" s="25">
        <f t="array" aca="1" ref="R753" ca="1">INDEX('Lorri 401b'!L:L,MATCH('Retirement Calculator'!A753,'Lorri 401b'!N:N,0),0)</f>
        <v>-5507456.8160034139</v>
      </c>
      <c r="S753" s="25">
        <f t="shared" ca="1" si="527"/>
        <v>-7736802.6068894956</v>
      </c>
    </row>
    <row r="754" spans="1:19" ht="15.75" customHeight="1" x14ac:dyDescent="0.3">
      <c r="A754" s="37">
        <v>73901</v>
      </c>
      <c r="B754" s="409">
        <f t="shared" ref="B754:C754" si="760">($A754-B$9)/365.25</f>
        <v>120.4517453798768</v>
      </c>
      <c r="C754" s="409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3525.4531757812501</v>
      </c>
      <c r="H754" s="25">
        <f>IF(B754&lt;62,0,'Combined Retirement'!$I$14)</f>
        <v>2192</v>
      </c>
      <c r="I754" s="25">
        <f>IF(C754&lt;62,0,'Combined Retirement'!$I$13)</f>
        <v>2420</v>
      </c>
      <c r="J754" s="25">
        <f t="shared" si="523"/>
        <v>7863.2184191855868</v>
      </c>
      <c r="K754" s="25">
        <f t="shared" si="524"/>
        <v>20282.026119384056</v>
      </c>
      <c r="L754" s="25"/>
      <c r="N754" s="25">
        <f>'Combined Retirement'!$C$18/12</f>
        <v>39153.069999999992</v>
      </c>
      <c r="O754" s="25">
        <f t="shared" si="525"/>
        <v>11007.82546143035</v>
      </c>
      <c r="P754" s="25">
        <f t="shared" si="526"/>
        <v>28145.244538569641</v>
      </c>
      <c r="Q754" s="25">
        <f t="array" aca="1" ref="Q754" ca="1">INDEX('Isaac 401k'!L:L,MATCH('Retirement Calculator'!A754,'Isaac 401k'!N:N,0),0)</f>
        <v>-2246530.7135107052</v>
      </c>
      <c r="R754" s="25">
        <f t="array" aca="1" ref="R754" ca="1">INDEX('Lorri 401b'!L:L,MATCH('Retirement Calculator'!A754,'Lorri 401b'!N:N,0),0)</f>
        <v>-5550771.0872983094</v>
      </c>
      <c r="S754" s="25">
        <f t="shared" ca="1" si="527"/>
        <v>-7797301.8008090146</v>
      </c>
    </row>
    <row r="755" spans="1:19" ht="15.75" customHeight="1" x14ac:dyDescent="0.3">
      <c r="A755" s="37">
        <v>73932</v>
      </c>
      <c r="B755" s="409">
        <f t="shared" ref="B755:C755" si="761">($A755-B$9)/365.25</f>
        <v>120.5366187542779</v>
      </c>
      <c r="C755" s="409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3525.4531757812501</v>
      </c>
      <c r="H755" s="25">
        <f>IF(B755&lt;62,0,'Combined Retirement'!$I$14)</f>
        <v>2192</v>
      </c>
      <c r="I755" s="25">
        <f>IF(C755&lt;62,0,'Combined Retirement'!$I$13)</f>
        <v>2420</v>
      </c>
      <c r="J755" s="25">
        <f t="shared" si="523"/>
        <v>7863.2184191855868</v>
      </c>
      <c r="K755" s="25">
        <f t="shared" si="524"/>
        <v>20282.026119384056</v>
      </c>
      <c r="L755" s="25"/>
      <c r="N755" s="25">
        <f>'Combined Retirement'!$C$18/12</f>
        <v>39153.069999999992</v>
      </c>
      <c r="O755" s="25">
        <f t="shared" si="525"/>
        <v>11007.82546143035</v>
      </c>
      <c r="P755" s="25">
        <f t="shared" si="526"/>
        <v>28145.244538569641</v>
      </c>
      <c r="Q755" s="25">
        <f t="array" aca="1" ref="Q755" ca="1">INDEX('Isaac 401k'!L:L,MATCH('Retirement Calculator'!A755,'Isaac 401k'!N:N,0),0)</f>
        <v>-2263787.2399795982</v>
      </c>
      <c r="R755" s="25">
        <f t="array" aca="1" ref="R755" ca="1">INDEX('Lorri 401b'!L:L,MATCH('Retirement Calculator'!A755,'Lorri 401b'!N:N,0),0)</f>
        <v>-5594265.8347236002</v>
      </c>
      <c r="S755" s="25">
        <f t="shared" ca="1" si="527"/>
        <v>-7858053.0747031979</v>
      </c>
    </row>
    <row r="756" spans="1:19" ht="15.75" customHeight="1" x14ac:dyDescent="0.3">
      <c r="A756" s="37">
        <v>73962</v>
      </c>
      <c r="B756" s="409">
        <f t="shared" ref="B756:C756" si="762">($A756-B$9)/365.25</f>
        <v>120.61875427789185</v>
      </c>
      <c r="C756" s="409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3525.4531757812501</v>
      </c>
      <c r="H756" s="25">
        <f>IF(B756&lt;62,0,'Combined Retirement'!$I$14)</f>
        <v>2192</v>
      </c>
      <c r="I756" s="25">
        <f>IF(C756&lt;62,0,'Combined Retirement'!$I$13)</f>
        <v>2420</v>
      </c>
      <c r="J756" s="25">
        <f t="shared" si="523"/>
        <v>7863.2184191855868</v>
      </c>
      <c r="K756" s="25">
        <f t="shared" si="524"/>
        <v>20282.026119384056</v>
      </c>
      <c r="L756" s="25"/>
      <c r="N756" s="25">
        <f>'Combined Retirement'!$C$18/12</f>
        <v>39153.069999999992</v>
      </c>
      <c r="O756" s="25">
        <f t="shared" si="525"/>
        <v>11007.82546143035</v>
      </c>
      <c r="P756" s="25">
        <f t="shared" si="526"/>
        <v>28145.244538569641</v>
      </c>
      <c r="Q756" s="25">
        <f t="array" aca="1" ref="Q756" ca="1">INDEX('Isaac 401k'!L:L,MATCH('Retirement Calculator'!A756,'Isaac 401k'!N:N,0),0)</f>
        <v>-2281115.6686421121</v>
      </c>
      <c r="R756" s="25">
        <f t="array" aca="1" ref="R756" ca="1">INDEX('Lorri 401b'!L:L,MATCH('Retirement Calculator'!A756,'Lorri 401b'!N:N,0),0)</f>
        <v>-5637941.8102631634</v>
      </c>
      <c r="S756" s="25">
        <f t="shared" ca="1" si="527"/>
        <v>-7919057.4789052755</v>
      </c>
    </row>
    <row r="757" spans="1:19" ht="15.75" customHeight="1" x14ac:dyDescent="0.3">
      <c r="A757" s="37">
        <v>73993</v>
      </c>
      <c r="B757" s="409">
        <f t="shared" ref="B757:C757" si="763">($A757-B$9)/365.25</f>
        <v>120.70362765229295</v>
      </c>
      <c r="C757" s="409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3525.4531757812501</v>
      </c>
      <c r="H757" s="25">
        <f>IF(B757&lt;62,0,'Combined Retirement'!$I$14)</f>
        <v>2192</v>
      </c>
      <c r="I757" s="25">
        <f>IF(C757&lt;62,0,'Combined Retirement'!$I$13)</f>
        <v>2420</v>
      </c>
      <c r="J757" s="25">
        <f t="shared" si="523"/>
        <v>7863.2184191855868</v>
      </c>
      <c r="K757" s="25">
        <f t="shared" si="524"/>
        <v>20282.026119384056</v>
      </c>
      <c r="L757" s="25"/>
      <c r="N757" s="25">
        <f>'Combined Retirement'!$C$18/12</f>
        <v>39153.069999999992</v>
      </c>
      <c r="O757" s="25">
        <f t="shared" si="525"/>
        <v>11007.82546143035</v>
      </c>
      <c r="P757" s="25">
        <f t="shared" si="526"/>
        <v>28145.244538569641</v>
      </c>
      <c r="Q757" s="25">
        <f t="array" aca="1" ref="Q757" ca="1">INDEX('Isaac 401k'!L:L,MATCH('Retirement Calculator'!A757,'Isaac 401k'!N:N,0),0)</f>
        <v>-2298516.2990907193</v>
      </c>
      <c r="R757" s="25">
        <f t="array" aca="1" ref="R757" ca="1">INDEX('Lorri 401b'!L:L,MATCH('Retirement Calculator'!A757,'Lorri 401b'!N:N,0),0)</f>
        <v>-5681799.7690341417</v>
      </c>
      <c r="S757" s="25">
        <f t="shared" ca="1" si="527"/>
        <v>-7980316.0681248605</v>
      </c>
    </row>
    <row r="758" spans="1:19" ht="15.75" customHeight="1" x14ac:dyDescent="0.3">
      <c r="A758" s="37">
        <v>74024</v>
      </c>
      <c r="B758" s="409">
        <f t="shared" ref="B758:C758" si="764">($A758-B$9)/365.25</f>
        <v>120.78850102669405</v>
      </c>
      <c r="C758" s="409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3525.4531757812501</v>
      </c>
      <c r="H758" s="25">
        <f>IF(B758&lt;62,0,'Combined Retirement'!$I$14)</f>
        <v>2192</v>
      </c>
      <c r="I758" s="25">
        <f>IF(C758&lt;62,0,'Combined Retirement'!$I$13)</f>
        <v>2420</v>
      </c>
      <c r="J758" s="25">
        <f t="shared" si="523"/>
        <v>7863.2184191855868</v>
      </c>
      <c r="K758" s="25">
        <f t="shared" si="524"/>
        <v>20282.026119384056</v>
      </c>
      <c r="L758" s="25"/>
      <c r="N758" s="25">
        <f>'Combined Retirement'!$C$18/12</f>
        <v>39153.069999999992</v>
      </c>
      <c r="O758" s="25">
        <f t="shared" si="525"/>
        <v>11007.82546143035</v>
      </c>
      <c r="P758" s="25">
        <f t="shared" si="526"/>
        <v>28145.244538569641</v>
      </c>
      <c r="Q758" s="25">
        <f t="array" aca="1" ref="Q758" ca="1">INDEX('Isaac 401k'!L:L,MATCH('Retirement Calculator'!A758,'Isaac 401k'!N:N,0),0)</f>
        <v>-2315989.4321661959</v>
      </c>
      <c r="R758" s="25">
        <f t="array" aca="1" ref="R758" ca="1">INDEX('Lorri 401b'!L:L,MATCH('Retirement Calculator'!A758,'Lorri 401b'!N:N,0),0)</f>
        <v>-5725840.4692999991</v>
      </c>
      <c r="S758" s="25">
        <f t="shared" ca="1" si="527"/>
        <v>-8041829.9014661945</v>
      </c>
    </row>
    <row r="759" spans="1:19" ht="15.75" customHeight="1" x14ac:dyDescent="0.3">
      <c r="A759" s="37">
        <v>74054</v>
      </c>
      <c r="B759" s="409">
        <f t="shared" ref="B759:C759" si="765">($A759-B$9)/365.25</f>
        <v>120.87063655030801</v>
      </c>
      <c r="C759" s="409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3525.4531757812501</v>
      </c>
      <c r="H759" s="25">
        <f>IF(B759&lt;62,0,'Combined Retirement'!$I$14)</f>
        <v>2192</v>
      </c>
      <c r="I759" s="25">
        <f>IF(C759&lt;62,0,'Combined Retirement'!$I$13)</f>
        <v>2420</v>
      </c>
      <c r="J759" s="25">
        <f t="shared" si="523"/>
        <v>7863.2184191855868</v>
      </c>
      <c r="K759" s="25">
        <f t="shared" si="524"/>
        <v>20282.026119384056</v>
      </c>
      <c r="L759" s="25"/>
      <c r="N759" s="25">
        <f>'Combined Retirement'!$C$18/12</f>
        <v>39153.069999999992</v>
      </c>
      <c r="O759" s="25">
        <f t="shared" si="525"/>
        <v>11007.82546143035</v>
      </c>
      <c r="P759" s="25">
        <f t="shared" si="526"/>
        <v>28145.244538569641</v>
      </c>
      <c r="Q759" s="25">
        <f t="array" aca="1" ref="Q759" ca="1">INDEX('Isaac 401k'!L:L,MATCH('Retirement Calculator'!A759,'Isaac 401k'!N:N,0),0)</f>
        <v>-2333535.3699628203</v>
      </c>
      <c r="R759" s="25">
        <f t="array" aca="1" ref="R759" ca="1">INDEX('Lorri 401b'!L:L,MATCH('Retirement Calculator'!A759,'Lorri 401b'!N:N,0),0)</f>
        <v>-5770064.6724836305</v>
      </c>
      <c r="S759" s="25">
        <f t="shared" ca="1" si="527"/>
        <v>-8103600.0424464513</v>
      </c>
    </row>
    <row r="760" spans="1:19" ht="15.75" customHeight="1" x14ac:dyDescent="0.3">
      <c r="A760" s="37">
        <v>74085</v>
      </c>
      <c r="B760" s="409">
        <f t="shared" ref="B760:C760" si="766">($A760-B$9)/365.25</f>
        <v>120.95550992470911</v>
      </c>
      <c r="C760" s="409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3525.4531757812501</v>
      </c>
      <c r="H760" s="25">
        <f>IF(B760&lt;62,0,'Combined Retirement'!$I$14)</f>
        <v>2192</v>
      </c>
      <c r="I760" s="25">
        <f>IF(C760&lt;62,0,'Combined Retirement'!$I$13)</f>
        <v>2420</v>
      </c>
      <c r="J760" s="25">
        <f t="shared" si="523"/>
        <v>7863.2184191855868</v>
      </c>
      <c r="K760" s="25">
        <f t="shared" si="524"/>
        <v>20282.026119384056</v>
      </c>
      <c r="L760" s="25"/>
      <c r="N760" s="25">
        <f>'Combined Retirement'!$C$18/12</f>
        <v>39153.069999999992</v>
      </c>
      <c r="O760" s="25">
        <f t="shared" si="525"/>
        <v>11007.82546143035</v>
      </c>
      <c r="P760" s="25">
        <f t="shared" si="526"/>
        <v>28145.244538569641</v>
      </c>
      <c r="Q760" s="25">
        <f t="array" aca="1" ref="Q760" ca="1">INDEX('Isaac 401k'!L:L,MATCH('Retirement Calculator'!A760,'Isaac 401k'!N:N,0),0)</f>
        <v>-2351154.4158335975</v>
      </c>
      <c r="R760" s="25">
        <f t="array" aca="1" ref="R760" ca="1">INDEX('Lorri 401b'!L:L,MATCH('Retirement Calculator'!A760,'Lorri 401b'!N:N,0),0)</f>
        <v>-5814473.1431805268</v>
      </c>
      <c r="S760" s="25">
        <f t="shared" ca="1" si="527"/>
        <v>-8165627.5590141248</v>
      </c>
    </row>
    <row r="761" spans="1:19" ht="15.75" customHeight="1" x14ac:dyDescent="0.3">
      <c r="A761" s="37">
        <v>74115</v>
      </c>
      <c r="B761" s="409">
        <f t="shared" ref="B761:C761" si="767">($A761-B$9)/365.25</f>
        <v>121.03764544832306</v>
      </c>
      <c r="C761" s="409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3525.4531757812501</v>
      </c>
      <c r="H761" s="25">
        <f>IF(B761&lt;62,0,'Combined Retirement'!$I$14)</f>
        <v>2192</v>
      </c>
      <c r="I761" s="25">
        <f>IF(C761&lt;62,0,'Combined Retirement'!$I$13)</f>
        <v>2420</v>
      </c>
      <c r="J761" s="25">
        <f t="shared" si="523"/>
        <v>7863.2184191855868</v>
      </c>
      <c r="K761" s="25">
        <f t="shared" si="524"/>
        <v>20282.026119384056</v>
      </c>
      <c r="L761" s="25"/>
      <c r="N761" s="25">
        <f>'Combined Retirement'!$C$18/12</f>
        <v>39153.069999999992</v>
      </c>
      <c r="O761" s="25">
        <f t="shared" si="525"/>
        <v>11007.82546143035</v>
      </c>
      <c r="P761" s="25">
        <f t="shared" si="526"/>
        <v>28145.244538569641</v>
      </c>
      <c r="Q761" s="25">
        <f t="array" aca="1" ref="Q761" ca="1">INDEX('Isaac 401k'!L:L,MATCH('Retirement Calculator'!A761,'Isaac 401k'!N:N,0),0)</f>
        <v>-2368846.8743955027</v>
      </c>
      <c r="R761" s="25">
        <f t="array" aca="1" ref="R761" ca="1">INDEX('Lorri 401b'!L:L,MATCH('Retirement Calculator'!A761,'Lorri 401b'!N:N,0),0)</f>
        <v>-5859066.6491719941</v>
      </c>
      <c r="S761" s="25">
        <f t="shared" ca="1" si="527"/>
        <v>-8227913.5235674968</v>
      </c>
    </row>
    <row r="762" spans="1:19" ht="15.75" customHeight="1" x14ac:dyDescent="0.3">
      <c r="A762" s="37">
        <v>74146</v>
      </c>
      <c r="B762" s="409">
        <f t="shared" ref="B762:C762" si="768">($A762-B$9)/365.25</f>
        <v>121.12251882272416</v>
      </c>
      <c r="C762" s="409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3525.4531757812501</v>
      </c>
      <c r="H762" s="25">
        <f>IF(B762&lt;62,0,'Combined Retirement'!$I$14)</f>
        <v>2192</v>
      </c>
      <c r="I762" s="25">
        <f>IF(C762&lt;62,0,'Combined Retirement'!$I$13)</f>
        <v>2420</v>
      </c>
      <c r="J762" s="25">
        <f t="shared" si="523"/>
        <v>7863.2184191855868</v>
      </c>
      <c r="K762" s="25">
        <f t="shared" si="524"/>
        <v>20282.026119384056</v>
      </c>
      <c r="L762" s="25"/>
      <c r="N762" s="25">
        <f>'Combined Retirement'!$C$18/12</f>
        <v>39153.069999999992</v>
      </c>
      <c r="O762" s="25">
        <f t="shared" si="525"/>
        <v>11007.82546143035</v>
      </c>
      <c r="P762" s="25">
        <f t="shared" si="526"/>
        <v>28145.244538569641</v>
      </c>
      <c r="Q762" s="25">
        <f t="array" aca="1" ref="Q762" ca="1">INDEX('Isaac 401k'!L:L,MATCH('Retirement Calculator'!A762,'Isaac 401k'!N:N,0),0)</f>
        <v>-2386613.0515347491</v>
      </c>
      <c r="R762" s="25">
        <f t="array" aca="1" ref="R762" ca="1">INDEX('Lorri 401b'!L:L,MATCH('Retirement Calculator'!A762,'Lorri 401b'!N:N,0),0)</f>
        <v>-5903845.9614384258</v>
      </c>
      <c r="S762" s="25">
        <f t="shared" ca="1" si="527"/>
        <v>-8290459.0129731745</v>
      </c>
    </row>
    <row r="763" spans="1:19" ht="15.75" customHeight="1" x14ac:dyDescent="0.3">
      <c r="A763" s="37">
        <v>74177</v>
      </c>
      <c r="B763" s="409">
        <f t="shared" ref="B763:C763" si="769">($A763-B$9)/365.25</f>
        <v>121.20739219712526</v>
      </c>
      <c r="C763" s="409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3525.4531757812501</v>
      </c>
      <c r="H763" s="25">
        <f>IF(B763&lt;62,0,'Combined Retirement'!$I$14)</f>
        <v>2192</v>
      </c>
      <c r="I763" s="25">
        <f>IF(C763&lt;62,0,'Combined Retirement'!$I$13)</f>
        <v>2420</v>
      </c>
      <c r="J763" s="25">
        <f t="shared" si="523"/>
        <v>7863.2184191855868</v>
      </c>
      <c r="K763" s="25">
        <f t="shared" si="524"/>
        <v>20282.026119384056</v>
      </c>
      <c r="L763" s="25"/>
      <c r="N763" s="25">
        <f>'Combined Retirement'!$C$18/12</f>
        <v>39153.069999999992</v>
      </c>
      <c r="O763" s="25">
        <f t="shared" si="525"/>
        <v>11007.82546143035</v>
      </c>
      <c r="P763" s="25">
        <f t="shared" si="526"/>
        <v>28145.244538569641</v>
      </c>
      <c r="Q763" s="25">
        <f t="array" aca="1" ref="Q763" ca="1">INDEX('Isaac 401k'!L:L,MATCH('Retirement Calculator'!A763,'Isaac 401k'!N:N,0),0)</f>
        <v>-2404453.254412076</v>
      </c>
      <c r="R763" s="25">
        <f t="array" aca="1" ref="R763" ca="1">INDEX('Lorri 401b'!L:L,MATCH('Retirement Calculator'!A763,'Lorri 401b'!N:N,0),0)</f>
        <v>-5948811.854172634</v>
      </c>
      <c r="S763" s="25">
        <f t="shared" ca="1" si="527"/>
        <v>-8353265.1085847095</v>
      </c>
    </row>
    <row r="764" spans="1:19" ht="15.75" customHeight="1" x14ac:dyDescent="0.3">
      <c r="A764" s="37">
        <v>74205</v>
      </c>
      <c r="B764" s="409">
        <f t="shared" ref="B764:C764" si="770">($A764-B$9)/365.25</f>
        <v>121.28405201916496</v>
      </c>
      <c r="C764" s="409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3525.4531757812501</v>
      </c>
      <c r="H764" s="25">
        <f>IF(B764&lt;62,0,'Combined Retirement'!$I$14)</f>
        <v>2192</v>
      </c>
      <c r="I764" s="25">
        <f>IF(C764&lt;62,0,'Combined Retirement'!$I$13)</f>
        <v>2420</v>
      </c>
      <c r="J764" s="25">
        <f t="shared" si="523"/>
        <v>7863.2184191855868</v>
      </c>
      <c r="K764" s="25">
        <f t="shared" si="524"/>
        <v>20282.026119384056</v>
      </c>
      <c r="L764" s="25"/>
      <c r="N764" s="25">
        <f>'Combined Retirement'!$C$18/12</f>
        <v>39153.069999999992</v>
      </c>
      <c r="O764" s="25">
        <f t="shared" si="525"/>
        <v>11007.82546143035</v>
      </c>
      <c r="P764" s="25">
        <f t="shared" si="526"/>
        <v>28145.244538569641</v>
      </c>
      <c r="Q764" s="25">
        <f t="array" aca="1" ref="Q764" ca="1">INDEX('Isaac 401k'!L:L,MATCH('Retirement Calculator'!A764,'Isaac 401k'!N:N,0),0)</f>
        <v>-2422367.7914680582</v>
      </c>
      <c r="R764" s="25">
        <f t="array" aca="1" ref="R764" ca="1">INDEX('Lorri 401b'!L:L,MATCH('Retirement Calculator'!A764,'Lorri 401b'!N:N,0),0)</f>
        <v>-5993965.1047932347</v>
      </c>
      <c r="S764" s="25">
        <f t="shared" ca="1" si="527"/>
        <v>-8416332.8962612934</v>
      </c>
    </row>
    <row r="765" spans="1:19" ht="15.75" customHeight="1" x14ac:dyDescent="0.3">
      <c r="A765" s="37">
        <v>74236</v>
      </c>
      <c r="B765" s="409">
        <f t="shared" ref="B765:C765" si="771">($A765-B$9)/365.25</f>
        <v>121.36892539356604</v>
      </c>
      <c r="C765" s="409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3525.4531757812501</v>
      </c>
      <c r="H765" s="25">
        <f>IF(B765&lt;62,0,'Combined Retirement'!$I$14)</f>
        <v>2192</v>
      </c>
      <c r="I765" s="25">
        <f>IF(C765&lt;62,0,'Combined Retirement'!$I$13)</f>
        <v>2420</v>
      </c>
      <c r="J765" s="25">
        <f t="shared" si="523"/>
        <v>7863.2184191855868</v>
      </c>
      <c r="K765" s="25">
        <f t="shared" si="524"/>
        <v>20282.026119384056</v>
      </c>
      <c r="L765" s="25"/>
      <c r="N765" s="25">
        <f>'Combined Retirement'!$C$18/12</f>
        <v>39153.069999999992</v>
      </c>
      <c r="O765" s="25">
        <f t="shared" si="525"/>
        <v>11007.82546143035</v>
      </c>
      <c r="P765" s="25">
        <f t="shared" si="526"/>
        <v>28145.244538569641</v>
      </c>
      <c r="Q765" s="25">
        <f t="array" aca="1" ref="Q765" ca="1">INDEX('Isaac 401k'!L:L,MATCH('Retirement Calculator'!A765,'Isaac 401k'!N:N,0),0)</f>
        <v>-2440356.9724284406</v>
      </c>
      <c r="R765" s="25">
        <f t="array" aca="1" ref="R765" ca="1">INDEX('Lorri 401b'!L:L,MATCH('Retirement Calculator'!A765,'Lorri 401b'!N:N,0),0)</f>
        <v>-6039306.4939580876</v>
      </c>
      <c r="S765" s="25">
        <f t="shared" ca="1" si="527"/>
        <v>-8479663.4663865287</v>
      </c>
    </row>
    <row r="766" spans="1:19" ht="15.75" customHeight="1" x14ac:dyDescent="0.3">
      <c r="A766" s="37">
        <v>74266</v>
      </c>
      <c r="B766" s="409">
        <f t="shared" ref="B766:C766" si="772">($A766-B$9)/365.25</f>
        <v>121.45106091718002</v>
      </c>
      <c r="C766" s="409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3525.4531757812501</v>
      </c>
      <c r="H766" s="25">
        <f>IF(B766&lt;62,0,'Combined Retirement'!$I$14)</f>
        <v>2192</v>
      </c>
      <c r="I766" s="25">
        <f>IF(C766&lt;62,0,'Combined Retirement'!$I$13)</f>
        <v>2420</v>
      </c>
      <c r="J766" s="25">
        <f t="shared" si="523"/>
        <v>7863.2184191855868</v>
      </c>
      <c r="K766" s="25">
        <f t="shared" si="524"/>
        <v>20282.026119384056</v>
      </c>
      <c r="L766" s="25"/>
      <c r="N766" s="25">
        <f>'Combined Retirement'!$C$18/12</f>
        <v>39153.069999999992</v>
      </c>
      <c r="O766" s="25">
        <f t="shared" si="525"/>
        <v>11007.82546143035</v>
      </c>
      <c r="P766" s="25">
        <f t="shared" si="526"/>
        <v>28145.244538569641</v>
      </c>
      <c r="Q766" s="25">
        <f t="array" aca="1" ref="Q766" ca="1">INDEX('Isaac 401k'!L:L,MATCH('Retirement Calculator'!A766,'Isaac 401k'!N:N,0),0)</f>
        <v>-2458421.1083094911</v>
      </c>
      <c r="R766" s="25">
        <f t="array" aca="1" ref="R766" ca="1">INDEX('Lorri 401b'!L:L,MATCH('Retirement Calculator'!A766,'Lorri 401b'!N:N,0),0)</f>
        <v>-6084836.8055777941</v>
      </c>
      <c r="S766" s="25">
        <f t="shared" ca="1" si="527"/>
        <v>-8543257.9138872847</v>
      </c>
    </row>
    <row r="767" spans="1:19" ht="15.75" customHeight="1" x14ac:dyDescent="0.3">
      <c r="A767" s="37">
        <v>74297</v>
      </c>
      <c r="B767" s="409">
        <f t="shared" ref="B767:C767" si="773">($A767-B$9)/365.25</f>
        <v>121.53593429158111</v>
      </c>
      <c r="C767" s="409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3525.4531757812501</v>
      </c>
      <c r="H767" s="25">
        <f>IF(B767&lt;62,0,'Combined Retirement'!$I$14)</f>
        <v>2192</v>
      </c>
      <c r="I767" s="25">
        <f>IF(C767&lt;62,0,'Combined Retirement'!$I$13)</f>
        <v>2420</v>
      </c>
      <c r="J767" s="25">
        <f t="shared" si="523"/>
        <v>7863.2184191855868</v>
      </c>
      <c r="K767" s="25">
        <f t="shared" si="524"/>
        <v>20282.026119384056</v>
      </c>
      <c r="L767" s="25"/>
      <c r="N767" s="25">
        <f>'Combined Retirement'!$C$18/12</f>
        <v>39153.069999999992</v>
      </c>
      <c r="O767" s="25">
        <f t="shared" si="525"/>
        <v>11007.82546143035</v>
      </c>
      <c r="P767" s="25">
        <f t="shared" si="526"/>
        <v>28145.244538569641</v>
      </c>
      <c r="Q767" s="25">
        <f t="array" aca="1" ref="Q767" ca="1">INDEX('Isaac 401k'!L:L,MATCH('Retirement Calculator'!A767,'Isaac 401k'!N:N,0),0)</f>
        <v>-2476560.5114233792</v>
      </c>
      <c r="R767" s="25">
        <f t="array" aca="1" ref="R767" ca="1">INDEX('Lorri 401b'!L:L,MATCH('Retirement Calculator'!A767,'Lorri 401b'!N:N,0),0)</f>
        <v>-6130556.82682925</v>
      </c>
      <c r="S767" s="25">
        <f t="shared" ca="1" si="527"/>
        <v>-8607117.3382526301</v>
      </c>
    </row>
    <row r="768" spans="1:19" ht="15.75" customHeight="1" x14ac:dyDescent="0.3">
      <c r="A768" s="37">
        <v>74327</v>
      </c>
      <c r="B768" s="409">
        <f t="shared" ref="B768:C768" si="774">($A768-B$9)/365.25</f>
        <v>121.61806981519507</v>
      </c>
      <c r="C768" s="409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3525.4531757812501</v>
      </c>
      <c r="H768" s="25">
        <f>IF(B768&lt;62,0,'Combined Retirement'!$I$14)</f>
        <v>2192</v>
      </c>
      <c r="I768" s="25">
        <f>IF(C768&lt;62,0,'Combined Retirement'!$I$13)</f>
        <v>2420</v>
      </c>
      <c r="J768" s="25">
        <f t="shared" si="523"/>
        <v>7863.2184191855868</v>
      </c>
      <c r="K768" s="25">
        <f t="shared" si="524"/>
        <v>20282.026119384056</v>
      </c>
      <c r="L768" s="25"/>
      <c r="N768" s="25">
        <f>'Combined Retirement'!$C$18/12</f>
        <v>39153.069999999992</v>
      </c>
      <c r="O768" s="25">
        <f t="shared" si="525"/>
        <v>11007.82546143035</v>
      </c>
      <c r="P768" s="25">
        <f t="shared" si="526"/>
        <v>28145.244538569641</v>
      </c>
      <c r="Q768" s="25">
        <f t="array" aca="1" ref="Q768" ca="1">INDEX('Isaac 401k'!L:L,MATCH('Retirement Calculator'!A768,'Isaac 401k'!N:N,0),0)</f>
        <v>-2494775.4953835751</v>
      </c>
      <c r="R768" s="25">
        <f t="array" aca="1" ref="R768" ca="1">INDEX('Lorri 401b'!L:L,MATCH('Retirement Calculator'!A768,'Lorri 401b'!N:N,0),0)</f>
        <v>-6176467.3481692532</v>
      </c>
      <c r="S768" s="25">
        <f t="shared" ca="1" si="527"/>
        <v>-8671242.8435528278</v>
      </c>
    </row>
    <row r="769" spans="1:19" ht="15.75" customHeight="1" x14ac:dyDescent="0.3">
      <c r="A769" s="37">
        <v>74358</v>
      </c>
      <c r="B769" s="409">
        <f t="shared" ref="B769:C769" si="775">($A769-B$9)/365.25</f>
        <v>121.70294318959617</v>
      </c>
      <c r="C769" s="409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3525.4531757812501</v>
      </c>
      <c r="H769" s="25">
        <f>IF(B769&lt;62,0,'Combined Retirement'!$I$14)</f>
        <v>2192</v>
      </c>
      <c r="I769" s="25">
        <f>IF(C769&lt;62,0,'Combined Retirement'!$I$13)</f>
        <v>2420</v>
      </c>
      <c r="J769" s="25">
        <f t="shared" si="523"/>
        <v>7863.2184191855868</v>
      </c>
      <c r="K769" s="25">
        <f t="shared" si="524"/>
        <v>20282.026119384056</v>
      </c>
      <c r="L769" s="25"/>
      <c r="N769" s="25">
        <f>'Combined Retirement'!$C$18/12</f>
        <v>39153.069999999992</v>
      </c>
      <c r="O769" s="25">
        <f t="shared" si="525"/>
        <v>11007.82546143035</v>
      </c>
      <c r="P769" s="25">
        <f t="shared" si="526"/>
        <v>28145.244538569641</v>
      </c>
      <c r="Q769" s="25">
        <f t="array" aca="1" ref="Q769" ca="1">INDEX('Isaac 401k'!L:L,MATCH('Retirement Calculator'!A769,'Isaac 401k'!N:N,0),0)</f>
        <v>-2513066.3751102719</v>
      </c>
      <c r="R769" s="25">
        <f t="array" aca="1" ref="R769" ca="1">INDEX('Lorri 401b'!L:L,MATCH('Retirement Calculator'!A769,'Lorri 401b'!N:N,0),0)</f>
        <v>-6222569.1633481728</v>
      </c>
      <c r="S769" s="25">
        <f t="shared" ca="1" si="527"/>
        <v>-8735635.5384584442</v>
      </c>
    </row>
    <row r="770" spans="1:19" ht="15.75" customHeight="1" x14ac:dyDescent="0.3">
      <c r="A770" s="37">
        <v>74389</v>
      </c>
      <c r="B770" s="409">
        <f t="shared" ref="B770:C770" si="776">($A770-B$9)/365.25</f>
        <v>121.78781656399727</v>
      </c>
      <c r="C770" s="409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3525.4531757812501</v>
      </c>
      <c r="H770" s="25">
        <f>IF(B770&lt;62,0,'Combined Retirement'!$I$14)</f>
        <v>2192</v>
      </c>
      <c r="I770" s="25">
        <f>IF(C770&lt;62,0,'Combined Retirement'!$I$13)</f>
        <v>2420</v>
      </c>
      <c r="J770" s="25">
        <f t="shared" si="523"/>
        <v>7863.2184191855868</v>
      </c>
      <c r="K770" s="25">
        <f t="shared" si="524"/>
        <v>20282.026119384056</v>
      </c>
      <c r="L770" s="25"/>
      <c r="N770" s="25">
        <f>'Combined Retirement'!$C$18/12</f>
        <v>39153.069999999992</v>
      </c>
      <c r="O770" s="25">
        <f t="shared" si="525"/>
        <v>11007.82546143035</v>
      </c>
      <c r="P770" s="25">
        <f t="shared" si="526"/>
        <v>28145.244538569641</v>
      </c>
      <c r="Q770" s="25">
        <f t="array" aca="1" ref="Q770" ca="1">INDEX('Isaac 401k'!L:L,MATCH('Retirement Calculator'!A770,'Isaac 401k'!N:N,0),0)</f>
        <v>-2531433.4668358299</v>
      </c>
      <c r="R770" s="25">
        <f t="array" aca="1" ref="R770" ca="1">INDEX('Lorri 401b'!L:L,MATCH('Retirement Calculator'!A770,'Lorri 401b'!N:N,0),0)</f>
        <v>-6268863.0694236718</v>
      </c>
      <c r="S770" s="25">
        <f t="shared" ca="1" si="527"/>
        <v>-8800296.5362595022</v>
      </c>
    </row>
    <row r="771" spans="1:19" ht="15.75" customHeight="1" x14ac:dyDescent="0.3">
      <c r="A771" s="37">
        <v>74419</v>
      </c>
      <c r="B771" s="409">
        <f t="shared" ref="B771:C771" si="777">($A771-B$9)/365.25</f>
        <v>121.86995208761122</v>
      </c>
      <c r="C771" s="409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3525.4531757812501</v>
      </c>
      <c r="H771" s="25">
        <f>IF(B771&lt;62,0,'Combined Retirement'!$I$14)</f>
        <v>2192</v>
      </c>
      <c r="I771" s="25">
        <f>IF(C771&lt;62,0,'Combined Retirement'!$I$13)</f>
        <v>2420</v>
      </c>
      <c r="J771" s="25">
        <f t="shared" si="523"/>
        <v>7863.2184191855868</v>
      </c>
      <c r="K771" s="25">
        <f t="shared" si="524"/>
        <v>20282.026119384056</v>
      </c>
      <c r="L771" s="25"/>
      <c r="N771" s="25">
        <f>'Combined Retirement'!$C$18/12</f>
        <v>39153.069999999992</v>
      </c>
      <c r="O771" s="25">
        <f t="shared" si="525"/>
        <v>11007.82546143035</v>
      </c>
      <c r="P771" s="25">
        <f t="shared" si="526"/>
        <v>28145.244538569641</v>
      </c>
      <c r="Q771" s="25">
        <f t="array" aca="1" ref="Q771" ca="1">INDEX('Isaac 401k'!L:L,MATCH('Retirement Calculator'!A771,'Isaac 401k'!N:N,0),0)</f>
        <v>-2549877.0881102444</v>
      </c>
      <c r="R771" s="25">
        <f t="array" aca="1" ref="R771" ca="1">INDEX('Lorri 401b'!L:L,MATCH('Retirement Calculator'!A771,'Lorri 401b'!N:N,0),0)</f>
        <v>-6315349.8667744854</v>
      </c>
      <c r="S771" s="25">
        <f t="shared" ca="1" si="527"/>
        <v>-8865226.9548847303</v>
      </c>
    </row>
    <row r="772" spans="1:19" ht="15.75" customHeight="1" x14ac:dyDescent="0.3">
      <c r="A772" s="37">
        <v>74450</v>
      </c>
      <c r="B772" s="409">
        <f t="shared" ref="B772:C772" si="778">($A772-B$9)/365.25</f>
        <v>121.95482546201232</v>
      </c>
      <c r="C772" s="409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3525.4531757812501</v>
      </c>
      <c r="H772" s="25">
        <f>IF(B772&lt;62,0,'Combined Retirement'!$I$14)</f>
        <v>2192</v>
      </c>
      <c r="I772" s="25">
        <f>IF(C772&lt;62,0,'Combined Retirement'!$I$13)</f>
        <v>2420</v>
      </c>
      <c r="J772" s="25">
        <f t="shared" si="523"/>
        <v>7863.2184191855868</v>
      </c>
      <c r="K772" s="25">
        <f t="shared" si="524"/>
        <v>20282.026119384056</v>
      </c>
      <c r="L772" s="25"/>
      <c r="N772" s="25">
        <f>'Combined Retirement'!$C$18/12</f>
        <v>39153.069999999992</v>
      </c>
      <c r="O772" s="25">
        <f t="shared" si="525"/>
        <v>11007.82546143035</v>
      </c>
      <c r="P772" s="25">
        <f t="shared" si="526"/>
        <v>28145.244538569641</v>
      </c>
      <c r="Q772" s="25">
        <f t="array" aca="1" ref="Q772" ca="1">INDEX('Isaac 401k'!L:L,MATCH('Retirement Calculator'!A772,'Isaac 401k'!N:N,0),0)</f>
        <v>-2568397.5578066357</v>
      </c>
      <c r="R772" s="25">
        <f t="array" aca="1" ref="R772" ca="1">INDEX('Lorri 401b'!L:L,MATCH('Retirement Calculator'!A772,'Lorri 401b'!N:N,0),0)</f>
        <v>-6362030.3591142604</v>
      </c>
      <c r="S772" s="25">
        <f t="shared" ca="1" si="527"/>
        <v>-8930427.9169208966</v>
      </c>
    </row>
    <row r="773" spans="1:19" ht="15.75" customHeight="1" x14ac:dyDescent="0.3">
      <c r="A773" s="37">
        <v>74480</v>
      </c>
      <c r="B773" s="409">
        <f t="shared" ref="B773:C773" si="779">($A773-B$9)/365.25</f>
        <v>122.03696098562628</v>
      </c>
      <c r="C773" s="409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3525.4531757812501</v>
      </c>
      <c r="H773" s="25">
        <f>IF(B773&lt;62,0,'Combined Retirement'!$I$14)</f>
        <v>2192</v>
      </c>
      <c r="I773" s="25">
        <f>IF(C773&lt;62,0,'Combined Retirement'!$I$13)</f>
        <v>2420</v>
      </c>
      <c r="J773" s="25">
        <f t="shared" si="523"/>
        <v>7863.2184191855868</v>
      </c>
      <c r="K773" s="25">
        <f t="shared" si="524"/>
        <v>20282.026119384056</v>
      </c>
      <c r="L773" s="25"/>
      <c r="N773" s="25">
        <f>'Combined Retirement'!$C$18/12</f>
        <v>39153.069999999992</v>
      </c>
      <c r="O773" s="25">
        <f t="shared" si="525"/>
        <v>11007.82546143035</v>
      </c>
      <c r="P773" s="25">
        <f t="shared" si="526"/>
        <v>28145.244538569641</v>
      </c>
      <c r="Q773" s="25">
        <f t="array" aca="1" ref="Q773" ca="1">INDEX('Isaac 401k'!L:L,MATCH('Retirement Calculator'!A773,'Isaac 401k'!N:N,0),0)</f>
        <v>-2586995.1961267618</v>
      </c>
      <c r="R773" s="25">
        <f t="array" aca="1" ref="R773" ca="1">INDEX('Lorri 401b'!L:L,MATCH('Retirement Calculator'!A773,'Lorri 401b'!N:N,0),0)</f>
        <v>-6408905.3535054512</v>
      </c>
      <c r="S773" s="25">
        <f t="shared" ca="1" si="527"/>
        <v>-8995900.549632214</v>
      </c>
    </row>
    <row r="774" spans="1:19" ht="15.75" customHeight="1" x14ac:dyDescent="0.3">
      <c r="A774" s="37">
        <v>74511</v>
      </c>
      <c r="B774" s="409">
        <f t="shared" ref="B774:C774" si="780">($A774-B$9)/365.25</f>
        <v>122.12183436002738</v>
      </c>
      <c r="C774" s="409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3525.4531757812501</v>
      </c>
      <c r="H774" s="25">
        <f>IF(B774&lt;62,0,'Combined Retirement'!$I$14)</f>
        <v>2192</v>
      </c>
      <c r="I774" s="25">
        <f>IF(C774&lt;62,0,'Combined Retirement'!$I$13)</f>
        <v>2420</v>
      </c>
      <c r="J774" s="25">
        <f t="shared" si="523"/>
        <v>7863.2184191855868</v>
      </c>
      <c r="K774" s="25">
        <f t="shared" si="524"/>
        <v>20282.026119384056</v>
      </c>
      <c r="L774" s="25"/>
      <c r="N774" s="25">
        <f>'Combined Retirement'!$C$18/12</f>
        <v>39153.069999999992</v>
      </c>
      <c r="O774" s="25">
        <f t="shared" si="525"/>
        <v>11007.82546143035</v>
      </c>
      <c r="P774" s="25">
        <f t="shared" si="526"/>
        <v>28145.244538569641</v>
      </c>
      <c r="Q774" s="25">
        <f t="array" aca="1" ref="Q774" ca="1">INDEX('Isaac 401k'!L:L,MATCH('Retirement Calculator'!A774,'Isaac 401k'!N:N,0),0)</f>
        <v>-2605670.3246065555</v>
      </c>
      <c r="R774" s="25">
        <f t="array" aca="1" ref="R774" ca="1">INDEX('Lorri 401b'!L:L,MATCH('Retirement Calculator'!A774,'Lorri 401b'!N:N,0),0)</f>
        <v>-6455975.6603732724</v>
      </c>
      <c r="S774" s="25">
        <f t="shared" ca="1" si="527"/>
        <v>-9061645.984979827</v>
      </c>
    </row>
    <row r="775" spans="1:19" ht="15.75" customHeight="1" x14ac:dyDescent="0.3">
      <c r="A775" s="37">
        <v>74542</v>
      </c>
      <c r="B775" s="409">
        <f t="shared" ref="B775:C775" si="781">($A775-B$9)/365.25</f>
        <v>122.20670773442848</v>
      </c>
      <c r="C775" s="409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3525.4531757812501</v>
      </c>
      <c r="H775" s="25">
        <f>IF(B775&lt;62,0,'Combined Retirement'!$I$14)</f>
        <v>2192</v>
      </c>
      <c r="I775" s="25">
        <f>IF(C775&lt;62,0,'Combined Retirement'!$I$13)</f>
        <v>2420</v>
      </c>
      <c r="J775" s="25">
        <f t="shared" si="523"/>
        <v>7863.2184191855868</v>
      </c>
      <c r="K775" s="25">
        <f t="shared" si="524"/>
        <v>20282.026119384056</v>
      </c>
      <c r="L775" s="25"/>
      <c r="N775" s="25">
        <f>'Combined Retirement'!$C$18/12</f>
        <v>39153.069999999992</v>
      </c>
      <c r="O775" s="25">
        <f t="shared" si="525"/>
        <v>11007.82546143035</v>
      </c>
      <c r="P775" s="25">
        <f t="shared" si="526"/>
        <v>28145.244538569641</v>
      </c>
      <c r="Q775" s="25">
        <f t="array" aca="1" ref="Q775" ca="1">INDEX('Isaac 401k'!L:L,MATCH('Retirement Calculator'!A775,'Isaac 401k'!N:N,0),0)</f>
        <v>-2624423.2661216813</v>
      </c>
      <c r="R775" s="25">
        <f t="array" aca="1" ref="R775" ca="1">INDEX('Lorri 401b'!L:L,MATCH('Retirement Calculator'!A775,'Lorri 401b'!N:N,0),0)</f>
        <v>-6503242.0935197091</v>
      </c>
      <c r="S775" s="25">
        <f t="shared" ca="1" si="527"/>
        <v>-9127665.3596413899</v>
      </c>
    </row>
    <row r="776" spans="1:19" ht="15.75" customHeight="1" x14ac:dyDescent="0.3">
      <c r="A776" s="37">
        <v>74571</v>
      </c>
      <c r="B776" s="409">
        <f t="shared" ref="B776:C776" si="782">($A776-B$9)/365.25</f>
        <v>122.28610540725531</v>
      </c>
      <c r="C776" s="409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3525.4531757812501</v>
      </c>
      <c r="H776" s="25">
        <f>IF(B776&lt;62,0,'Combined Retirement'!$I$14)</f>
        <v>2192</v>
      </c>
      <c r="I776" s="25">
        <f>IF(C776&lt;62,0,'Combined Retirement'!$I$13)</f>
        <v>2420</v>
      </c>
      <c r="J776" s="25">
        <f t="shared" ref="J776:J1030" si="783">IF(C776&lt;59.5,P776,P776*$J$7)</f>
        <v>7863.2184191855868</v>
      </c>
      <c r="K776" s="25">
        <f t="shared" ref="K776:K1030" si="784">IF(C776&lt;59.5,0,IF(C776&lt;$B$7,0,P776*$K$7))</f>
        <v>20282.026119384056</v>
      </c>
      <c r="L776" s="25"/>
      <c r="N776" s="25">
        <f>'Combined Retirement'!$C$18/12</f>
        <v>39153.069999999992</v>
      </c>
      <c r="O776" s="25">
        <f t="shared" ref="O776:O1030" si="785">SUM(E776:I776)</f>
        <v>11007.82546143035</v>
      </c>
      <c r="P776" s="25">
        <f t="shared" ref="P776:P1030" si="786">N776-O776</f>
        <v>28145.244538569641</v>
      </c>
      <c r="Q776" s="25">
        <f t="array" aca="1" ref="Q776" ca="1">INDEX('Isaac 401k'!L:L,MATCH('Retirement Calculator'!A776,'Isaac 401k'!N:N,0),0)</f>
        <v>-2643254.3448931202</v>
      </c>
      <c r="R776" s="25">
        <f t="array" aca="1" ref="R776" ca="1">INDEX('Lorri 401b'!L:L,MATCH('Retirement Calculator'!A776,'Lorri 401b'!N:N,0),0)</f>
        <v>-6550705.4701375896</v>
      </c>
      <c r="S776" s="25">
        <f t="shared" ref="S776:S1030" ca="1" si="787">SUM(Q776:R776)</f>
        <v>-9193959.8150307089</v>
      </c>
    </row>
    <row r="777" spans="1:19" ht="15.75" customHeight="1" x14ac:dyDescent="0.3">
      <c r="A777" s="37">
        <v>74602</v>
      </c>
      <c r="B777" s="409">
        <f t="shared" ref="B777:C777" si="788">($A777-B$9)/365.25</f>
        <v>122.3709787816564</v>
      </c>
      <c r="C777" s="409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3525.4531757812501</v>
      </c>
      <c r="H777" s="25">
        <f>IF(B777&lt;62,0,'Combined Retirement'!$I$14)</f>
        <v>2192</v>
      </c>
      <c r="I777" s="25">
        <f>IF(C777&lt;62,0,'Combined Retirement'!$I$13)</f>
        <v>2420</v>
      </c>
      <c r="J777" s="25">
        <f t="shared" si="783"/>
        <v>7863.2184191855868</v>
      </c>
      <c r="K777" s="25">
        <f t="shared" si="784"/>
        <v>20282.026119384056</v>
      </c>
      <c r="L777" s="25"/>
      <c r="N777" s="25">
        <f>'Combined Retirement'!$C$18/12</f>
        <v>39153.069999999992</v>
      </c>
      <c r="O777" s="25">
        <f t="shared" si="785"/>
        <v>11007.82546143035</v>
      </c>
      <c r="P777" s="25">
        <f t="shared" si="786"/>
        <v>28145.244538569641</v>
      </c>
      <c r="Q777" s="25">
        <f t="array" aca="1" ref="Q777" ca="1">INDEX('Isaac 401k'!L:L,MATCH('Retirement Calculator'!A777,'Isaac 401k'!N:N,0),0)</f>
        <v>-2662163.8864927734</v>
      </c>
      <c r="R777" s="25">
        <f t="array" aca="1" ref="R777" ca="1">INDEX('Lorri 401b'!L:L,MATCH('Retirement Calculator'!A777,'Lorri 401b'!N:N,0),0)</f>
        <v>-6598366.6108247107</v>
      </c>
      <c r="S777" s="25">
        <f t="shared" ca="1" si="787"/>
        <v>-9260530.4973174836</v>
      </c>
    </row>
    <row r="778" spans="1:19" ht="15.75" customHeight="1" x14ac:dyDescent="0.3">
      <c r="A778" s="37">
        <v>74632</v>
      </c>
      <c r="B778" s="409">
        <f t="shared" ref="B778:C778" si="789">($A778-B$9)/365.25</f>
        <v>122.45311430527036</v>
      </c>
      <c r="C778" s="409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3525.4531757812501</v>
      </c>
      <c r="H778" s="25">
        <f>IF(B778&lt;62,0,'Combined Retirement'!$I$14)</f>
        <v>2192</v>
      </c>
      <c r="I778" s="25">
        <f>IF(C778&lt;62,0,'Combined Retirement'!$I$13)</f>
        <v>2420</v>
      </c>
      <c r="J778" s="25">
        <f t="shared" si="783"/>
        <v>7863.2184191855868</v>
      </c>
      <c r="K778" s="25">
        <f t="shared" si="784"/>
        <v>20282.026119384056</v>
      </c>
      <c r="L778" s="25"/>
      <c r="N778" s="25">
        <f>'Combined Retirement'!$C$18/12</f>
        <v>39153.069999999992</v>
      </c>
      <c r="O778" s="25">
        <f t="shared" si="785"/>
        <v>11007.82546143035</v>
      </c>
      <c r="P778" s="25">
        <f t="shared" si="786"/>
        <v>28145.244538569641</v>
      </c>
      <c r="Q778" s="25">
        <f t="array" aca="1" ref="Q778" ca="1">INDEX('Isaac 401k'!L:L,MATCH('Retirement Calculator'!A778,'Isaac 401k'!N:N,0),0)</f>
        <v>-2681152.2178490921</v>
      </c>
      <c r="R778" s="25">
        <f t="array" aca="1" ref="R778" ca="1">INDEX('Lorri 401b'!L:L,MATCH('Retirement Calculator'!A778,'Lorri 401b'!N:N,0),0)</f>
        <v>-6646226.339598028</v>
      </c>
      <c r="S778" s="25">
        <f t="shared" ca="1" si="787"/>
        <v>-9327378.5574471205</v>
      </c>
    </row>
    <row r="779" spans="1:19" ht="15.75" customHeight="1" x14ac:dyDescent="0.3">
      <c r="A779" s="37">
        <v>74663</v>
      </c>
      <c r="B779" s="409">
        <f t="shared" ref="B779:C779" si="790">($A779-B$9)/365.25</f>
        <v>122.53798767967146</v>
      </c>
      <c r="C779" s="409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3525.4531757812501</v>
      </c>
      <c r="H779" s="25">
        <f>IF(B779&lt;62,0,'Combined Retirement'!$I$14)</f>
        <v>2192</v>
      </c>
      <c r="I779" s="25">
        <f>IF(C779&lt;62,0,'Combined Retirement'!$I$13)</f>
        <v>2420</v>
      </c>
      <c r="J779" s="25">
        <f t="shared" si="783"/>
        <v>7863.2184191855868</v>
      </c>
      <c r="K779" s="25">
        <f t="shared" si="784"/>
        <v>20282.026119384056</v>
      </c>
      <c r="L779" s="25"/>
      <c r="N779" s="25">
        <f>'Combined Retirement'!$C$18/12</f>
        <v>39153.069999999992</v>
      </c>
      <c r="O779" s="25">
        <f t="shared" si="785"/>
        <v>11007.82546143035</v>
      </c>
      <c r="P779" s="25">
        <f t="shared" si="786"/>
        <v>28145.244538569641</v>
      </c>
      <c r="Q779" s="25">
        <f t="array" aca="1" ref="Q779" ca="1">INDEX('Isaac 401k'!L:L,MATCH('Retirement Calculator'!A779,'Isaac 401k'!N:N,0),0)</f>
        <v>-2700219.6672527287</v>
      </c>
      <c r="R779" s="25">
        <f t="array" aca="1" ref="R779" ca="1">INDEX('Lorri 401b'!L:L,MATCH('Retirement Calculator'!A779,'Lorri 401b'!N:N,0),0)</f>
        <v>-6694285.4839079008</v>
      </c>
      <c r="S779" s="25">
        <f t="shared" ca="1" si="787"/>
        <v>-9394505.1511606295</v>
      </c>
    </row>
    <row r="780" spans="1:19" ht="15.75" customHeight="1" x14ac:dyDescent="0.3">
      <c r="A780" s="37">
        <v>74693</v>
      </c>
      <c r="B780" s="409">
        <f t="shared" ref="B780:C780" si="791">($A780-B$9)/365.25</f>
        <v>122.62012320328542</v>
      </c>
      <c r="C780" s="409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3525.4531757812501</v>
      </c>
      <c r="H780" s="25">
        <f>IF(B780&lt;62,0,'Combined Retirement'!$I$14)</f>
        <v>2192</v>
      </c>
      <c r="I780" s="25">
        <f>IF(C780&lt;62,0,'Combined Retirement'!$I$13)</f>
        <v>2420</v>
      </c>
      <c r="J780" s="25">
        <f t="shared" si="783"/>
        <v>7863.2184191855868</v>
      </c>
      <c r="K780" s="25">
        <f t="shared" si="784"/>
        <v>20282.026119384056</v>
      </c>
      <c r="L780" s="25"/>
      <c r="N780" s="25">
        <f>'Combined Retirement'!$C$18/12</f>
        <v>39153.069999999992</v>
      </c>
      <c r="O780" s="25">
        <f t="shared" si="785"/>
        <v>11007.82546143035</v>
      </c>
      <c r="P780" s="25">
        <f t="shared" si="786"/>
        <v>28145.244538569641</v>
      </c>
      <c r="Q780" s="25">
        <f t="array" aca="1" ref="Q780" ca="1">INDEX('Isaac 401k'!L:L,MATCH('Retirement Calculator'!A780,'Isaac 401k'!N:N,0),0)</f>
        <v>-2719366.5643622139</v>
      </c>
      <c r="R780" s="25">
        <f t="array" aca="1" ref="R780" ca="1">INDEX('Lorri 401b'!L:L,MATCH('Retirement Calculator'!A780,'Lorri 401b'!N:N,0),0)</f>
        <v>-6742544.8746523988</v>
      </c>
      <c r="S780" s="25">
        <f t="shared" ca="1" si="787"/>
        <v>-9461911.4390146136</v>
      </c>
    </row>
    <row r="781" spans="1:19" ht="15.75" customHeight="1" x14ac:dyDescent="0.3">
      <c r="A781" s="37">
        <v>74724</v>
      </c>
      <c r="B781" s="409">
        <f t="shared" ref="B781:C781" si="792">($A781-B$9)/365.25</f>
        <v>122.70499657768652</v>
      </c>
      <c r="C781" s="409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3525.4531757812501</v>
      </c>
      <c r="H781" s="25">
        <f>IF(B781&lt;62,0,'Combined Retirement'!$I$14)</f>
        <v>2192</v>
      </c>
      <c r="I781" s="25">
        <f>IF(C781&lt;62,0,'Combined Retirement'!$I$13)</f>
        <v>2420</v>
      </c>
      <c r="J781" s="25">
        <f t="shared" si="783"/>
        <v>7863.2184191855868</v>
      </c>
      <c r="K781" s="25">
        <f t="shared" si="784"/>
        <v>20282.026119384056</v>
      </c>
      <c r="L781" s="25"/>
      <c r="N781" s="25">
        <f>'Combined Retirement'!$C$18/12</f>
        <v>39153.069999999992</v>
      </c>
      <c r="O781" s="25">
        <f t="shared" si="785"/>
        <v>11007.82546143035</v>
      </c>
      <c r="P781" s="25">
        <f t="shared" si="786"/>
        <v>28145.244538569641</v>
      </c>
      <c r="Q781" s="25">
        <f t="array" aca="1" ref="Q781" ca="1">INDEX('Isaac 401k'!L:L,MATCH('Retirement Calculator'!A781,'Isaac 401k'!N:N,0),0)</f>
        <v>-2738593.2402096554</v>
      </c>
      <c r="R781" s="25">
        <f t="array" aca="1" ref="R781" ca="1">INDEX('Lorri 401b'!L:L,MATCH('Retirement Calculator'!A781,'Lorri 401b'!N:N,0),0)</f>
        <v>-6791005.3461916652</v>
      </c>
      <c r="S781" s="25">
        <f t="shared" ca="1" si="787"/>
        <v>-9529598.586401321</v>
      </c>
    </row>
    <row r="782" spans="1:19" ht="15.75" customHeight="1" x14ac:dyDescent="0.3">
      <c r="A782" s="37">
        <v>74755</v>
      </c>
      <c r="B782" s="409">
        <f t="shared" ref="B782:C782" si="793">($A782-B$9)/365.25</f>
        <v>122.78986995208761</v>
      </c>
      <c r="C782" s="409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3525.4531757812501</v>
      </c>
      <c r="H782" s="25">
        <f>IF(B782&lt;62,0,'Combined Retirement'!$I$14)</f>
        <v>2192</v>
      </c>
      <c r="I782" s="25">
        <f>IF(C782&lt;62,0,'Combined Retirement'!$I$13)</f>
        <v>2420</v>
      </c>
      <c r="J782" s="25">
        <f t="shared" si="783"/>
        <v>7863.2184191855868</v>
      </c>
      <c r="K782" s="25">
        <f t="shared" si="784"/>
        <v>20282.026119384056</v>
      </c>
      <c r="L782" s="25"/>
      <c r="N782" s="25">
        <f>'Combined Retirement'!$C$18/12</f>
        <v>39153.069999999992</v>
      </c>
      <c r="O782" s="25">
        <f t="shared" si="785"/>
        <v>11007.82546143035</v>
      </c>
      <c r="P782" s="25">
        <f t="shared" si="786"/>
        <v>28145.244538569641</v>
      </c>
      <c r="Q782" s="25">
        <f t="array" aca="1" ref="Q782" ca="1">INDEX('Isaac 401k'!L:L,MATCH('Retirement Calculator'!A782,'Isaac 401k'!N:N,0),0)</f>
        <v>-2757900.0272064609</v>
      </c>
      <c r="R782" s="25">
        <f t="array" aca="1" ref="R782" ca="1">INDEX('Lorri 401b'!L:L,MATCH('Retirement Calculator'!A782,'Lorri 401b'!N:N,0),0)</f>
        <v>-6839667.7363623455</v>
      </c>
      <c r="S782" s="25">
        <f t="shared" ca="1" si="787"/>
        <v>-9597567.7635688074</v>
      </c>
    </row>
    <row r="783" spans="1:19" ht="15.75" customHeight="1" x14ac:dyDescent="0.3">
      <c r="A783" s="37">
        <v>74785</v>
      </c>
      <c r="B783" s="409">
        <f t="shared" ref="B783:C783" si="794">($A783-B$9)/365.25</f>
        <v>122.87200547570157</v>
      </c>
      <c r="C783" s="409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3525.4531757812501</v>
      </c>
      <c r="H783" s="25">
        <f>IF(B783&lt;62,0,'Combined Retirement'!$I$14)</f>
        <v>2192</v>
      </c>
      <c r="I783" s="25">
        <f>IF(C783&lt;62,0,'Combined Retirement'!$I$13)</f>
        <v>2420</v>
      </c>
      <c r="J783" s="25">
        <f t="shared" si="783"/>
        <v>7863.2184191855868</v>
      </c>
      <c r="K783" s="25">
        <f t="shared" si="784"/>
        <v>20282.026119384056</v>
      </c>
      <c r="L783" s="25"/>
      <c r="N783" s="25">
        <f>'Combined Retirement'!$C$18/12</f>
        <v>39153.069999999992</v>
      </c>
      <c r="O783" s="25">
        <f t="shared" si="785"/>
        <v>11007.82546143035</v>
      </c>
      <c r="P783" s="25">
        <f t="shared" si="786"/>
        <v>28145.244538569641</v>
      </c>
      <c r="Q783" s="25">
        <f t="array" aca="1" ref="Q783" ca="1">INDEX('Isaac 401k'!L:L,MATCH('Retirement Calculator'!A783,'Isaac 401k'!N:N,0),0)</f>
        <v>-2777287.2591490867</v>
      </c>
      <c r="R783" s="25">
        <f t="array" aca="1" ref="R783" ca="1">INDEX('Lorri 401b'!L:L,MATCH('Retirement Calculator'!A783,'Lorri 401b'!N:N,0),0)</f>
        <v>-6888532.8864920698</v>
      </c>
      <c r="S783" s="25">
        <f t="shared" ca="1" si="787"/>
        <v>-9665820.1456411555</v>
      </c>
    </row>
    <row r="784" spans="1:19" ht="15.75" customHeight="1" x14ac:dyDescent="0.3">
      <c r="A784" s="37">
        <v>74816</v>
      </c>
      <c r="B784" s="409">
        <f t="shared" ref="B784:C784" si="795">($A784-B$9)/365.25</f>
        <v>122.95687885010267</v>
      </c>
      <c r="C784" s="409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3525.4531757812501</v>
      </c>
      <c r="H784" s="25">
        <f>IF(B784&lt;62,0,'Combined Retirement'!$I$14)</f>
        <v>2192</v>
      </c>
      <c r="I784" s="25">
        <f>IF(C784&lt;62,0,'Combined Retirement'!$I$13)</f>
        <v>2420</v>
      </c>
      <c r="J784" s="25">
        <f t="shared" si="783"/>
        <v>7863.2184191855868</v>
      </c>
      <c r="K784" s="25">
        <f t="shared" si="784"/>
        <v>20282.026119384056</v>
      </c>
      <c r="L784" s="25"/>
      <c r="N784" s="25">
        <f>'Combined Retirement'!$C$18/12</f>
        <v>39153.069999999992</v>
      </c>
      <c r="O784" s="25">
        <f t="shared" si="785"/>
        <v>11007.82546143035</v>
      </c>
      <c r="P784" s="25">
        <f t="shared" si="786"/>
        <v>28145.244538569641</v>
      </c>
      <c r="Q784" s="25">
        <f t="array" aca="1" ref="Q784" ca="1">INDEX('Isaac 401k'!L:L,MATCH('Retirement Calculator'!A784,'Isaac 401k'!N:N,0),0)</f>
        <v>-2796755.2712248066</v>
      </c>
      <c r="R784" s="25">
        <f t="array" aca="1" ref="R784" ca="1">INDEX('Lorri 401b'!L:L,MATCH('Retirement Calculator'!A784,'Lorri 401b'!N:N,0),0)</f>
        <v>-6937601.6414140016</v>
      </c>
      <c r="S784" s="25">
        <f t="shared" ca="1" si="787"/>
        <v>-9734356.9126388077</v>
      </c>
    </row>
    <row r="785" spans="1:19" ht="15.75" customHeight="1" x14ac:dyDescent="0.3">
      <c r="A785" s="37">
        <v>74846</v>
      </c>
      <c r="B785" s="409">
        <f t="shared" ref="B785:C785" si="796">($A785-B$9)/365.25</f>
        <v>123.03901437371663</v>
      </c>
      <c r="C785" s="409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3525.4531757812501</v>
      </c>
      <c r="H785" s="25">
        <f>IF(B785&lt;62,0,'Combined Retirement'!$I$14)</f>
        <v>2192</v>
      </c>
      <c r="I785" s="25">
        <f>IF(C785&lt;62,0,'Combined Retirement'!$I$13)</f>
        <v>2420</v>
      </c>
      <c r="J785" s="25">
        <f t="shared" si="783"/>
        <v>7863.2184191855868</v>
      </c>
      <c r="K785" s="25">
        <f t="shared" si="784"/>
        <v>20282.026119384056</v>
      </c>
      <c r="L785" s="25"/>
      <c r="N785" s="25">
        <f>'Combined Retirement'!$C$18/12</f>
        <v>39153.069999999992</v>
      </c>
      <c r="O785" s="25">
        <f t="shared" si="785"/>
        <v>11007.82546143035</v>
      </c>
      <c r="P785" s="25">
        <f t="shared" si="786"/>
        <v>28145.244538569641</v>
      </c>
      <c r="Q785" s="25">
        <f t="array" aca="1" ref="Q785" ca="1">INDEX('Isaac 401k'!L:L,MATCH('Retirement Calculator'!A785,'Isaac 401k'!N:N,0),0)</f>
        <v>-2816304.4000175088</v>
      </c>
      <c r="R785" s="25">
        <f t="array" aca="1" ref="R785" ca="1">INDEX('Lorri 401b'!L:L,MATCH('Retirement Calculator'!A785,'Lorri 401b'!N:N,0),0)</f>
        <v>-6986874.8494814411</v>
      </c>
      <c r="S785" s="25">
        <f t="shared" ca="1" si="787"/>
        <v>-9803179.2494989503</v>
      </c>
    </row>
    <row r="786" spans="1:19" ht="15.75" customHeight="1" x14ac:dyDescent="0.3">
      <c r="A786" s="37">
        <v>74877</v>
      </c>
      <c r="B786" s="409">
        <f t="shared" ref="B786:C786" si="797">($A786-B$9)/365.25</f>
        <v>123.12388774811772</v>
      </c>
      <c r="C786" s="409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3525.4531757812501</v>
      </c>
      <c r="H786" s="25">
        <f>IF(B786&lt;62,0,'Combined Retirement'!$I$14)</f>
        <v>2192</v>
      </c>
      <c r="I786" s="25">
        <f>IF(C786&lt;62,0,'Combined Retirement'!$I$13)</f>
        <v>2420</v>
      </c>
      <c r="J786" s="25">
        <f t="shared" si="783"/>
        <v>7863.2184191855868</v>
      </c>
      <c r="K786" s="25">
        <f t="shared" si="784"/>
        <v>20282.026119384056</v>
      </c>
      <c r="L786" s="25"/>
      <c r="N786" s="25">
        <f>'Combined Retirement'!$C$18/12</f>
        <v>39153.069999999992</v>
      </c>
      <c r="O786" s="25">
        <f t="shared" si="785"/>
        <v>11007.82546143035</v>
      </c>
      <c r="P786" s="25">
        <f t="shared" si="786"/>
        <v>28145.244538569641</v>
      </c>
      <c r="Q786" s="25">
        <f t="array" aca="1" ref="Q786" ca="1">INDEX('Isaac 401k'!L:L,MATCH('Retirement Calculator'!A786,'Isaac 401k'!N:N,0),0)</f>
        <v>-2835934.9835135136</v>
      </c>
      <c r="R786" s="25">
        <f t="array" aca="1" ref="R786" ca="1">INDEX('Lorri 401b'!L:L,MATCH('Retirement Calculator'!A786,'Lorri 401b'!N:N,0),0)</f>
        <v>-7036353.3625824954</v>
      </c>
      <c r="S786" s="25">
        <f t="shared" ca="1" si="787"/>
        <v>-9872288.346096009</v>
      </c>
    </row>
    <row r="787" spans="1:19" ht="15.75" customHeight="1" x14ac:dyDescent="0.3">
      <c r="A787" s="37">
        <v>74908</v>
      </c>
      <c r="B787" s="409">
        <f t="shared" ref="B787:C787" si="798">($A787-B$9)/365.25</f>
        <v>123.20876112251882</v>
      </c>
      <c r="C787" s="409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3525.4531757812501</v>
      </c>
      <c r="H787" s="25">
        <f>IF(B787&lt;62,0,'Combined Retirement'!$I$14)</f>
        <v>2192</v>
      </c>
      <c r="I787" s="25">
        <f>IF(C787&lt;62,0,'Combined Retirement'!$I$13)</f>
        <v>2420</v>
      </c>
      <c r="J787" s="25">
        <f t="shared" si="783"/>
        <v>7863.2184191855868</v>
      </c>
      <c r="K787" s="25">
        <f t="shared" si="784"/>
        <v>20282.026119384056</v>
      </c>
      <c r="L787" s="25"/>
      <c r="N787" s="25">
        <f>'Combined Retirement'!$C$18/12</f>
        <v>39153.069999999992</v>
      </c>
      <c r="O787" s="25">
        <f t="shared" si="785"/>
        <v>11007.82546143035</v>
      </c>
      <c r="P787" s="25">
        <f t="shared" si="786"/>
        <v>28145.244538569641</v>
      </c>
      <c r="Q787" s="25">
        <f t="array" aca="1" ref="Q787" ca="1">INDEX('Isaac 401k'!L:L,MATCH('Retirement Calculator'!A787,'Isaac 401k'!N:N,0),0)</f>
        <v>-2855647.3611074183</v>
      </c>
      <c r="R787" s="25">
        <f t="array" aca="1" ref="R787" ca="1">INDEX('Lorri 401b'!L:L,MATCH('Retirement Calculator'!A787,'Lorri 401b'!N:N,0),0)</f>
        <v>-7086038.0361548038</v>
      </c>
      <c r="S787" s="25">
        <f t="shared" ca="1" si="787"/>
        <v>-9941685.3972622231</v>
      </c>
    </row>
    <row r="788" spans="1:19" ht="15.75" customHeight="1" x14ac:dyDescent="0.3">
      <c r="A788" s="37">
        <v>74936</v>
      </c>
      <c r="B788" s="409">
        <f t="shared" ref="B788:C788" si="799">($A788-B$9)/365.25</f>
        <v>123.28542094455852</v>
      </c>
      <c r="C788" s="409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3525.4531757812501</v>
      </c>
      <c r="H788" s="25">
        <f>IF(B788&lt;62,0,'Combined Retirement'!$I$14)</f>
        <v>2192</v>
      </c>
      <c r="I788" s="25">
        <f>IF(C788&lt;62,0,'Combined Retirement'!$I$13)</f>
        <v>2420</v>
      </c>
      <c r="J788" s="25">
        <f t="shared" si="783"/>
        <v>7863.2184191855868</v>
      </c>
      <c r="K788" s="25">
        <f t="shared" si="784"/>
        <v>20282.026119384056</v>
      </c>
      <c r="L788" s="25"/>
      <c r="N788" s="25">
        <f>'Combined Retirement'!$C$18/12</f>
        <v>39153.069999999992</v>
      </c>
      <c r="O788" s="25">
        <f t="shared" si="785"/>
        <v>11007.82546143035</v>
      </c>
      <c r="P788" s="25">
        <f t="shared" si="786"/>
        <v>28145.244538569641</v>
      </c>
      <c r="Q788" s="25">
        <f t="array" aca="1" ref="Q788" ca="1">INDEX('Isaac 401k'!L:L,MATCH('Retirement Calculator'!A788,'Isaac 401k'!N:N,0),0)</f>
        <v>-2875441.8736079647</v>
      </c>
      <c r="R788" s="25">
        <f t="array" aca="1" ref="R788" ca="1">INDEX('Lorri 401b'!L:L,MATCH('Retirement Calculator'!A788,'Lorri 401b'!N:N,0),0)</f>
        <v>-7135929.7292003306</v>
      </c>
      <c r="S788" s="25">
        <f t="shared" ca="1" si="787"/>
        <v>-10011371.602808295</v>
      </c>
    </row>
    <row r="789" spans="1:19" ht="15.75" customHeight="1" x14ac:dyDescent="0.3">
      <c r="A789" s="37">
        <v>74967</v>
      </c>
      <c r="B789" s="409">
        <f t="shared" ref="B789:C789" si="800">($A789-B$9)/365.25</f>
        <v>123.37029431895962</v>
      </c>
      <c r="C789" s="409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3525.4531757812501</v>
      </c>
      <c r="H789" s="25">
        <f>IF(B789&lt;62,0,'Combined Retirement'!$I$14)</f>
        <v>2192</v>
      </c>
      <c r="I789" s="25">
        <f>IF(C789&lt;62,0,'Combined Retirement'!$I$13)</f>
        <v>2420</v>
      </c>
      <c r="J789" s="25">
        <f t="shared" si="783"/>
        <v>7863.2184191855868</v>
      </c>
      <c r="K789" s="25">
        <f t="shared" si="784"/>
        <v>20282.026119384056</v>
      </c>
      <c r="L789" s="25"/>
      <c r="N789" s="25">
        <f>'Combined Retirement'!$C$18/12</f>
        <v>39153.069999999992</v>
      </c>
      <c r="O789" s="25">
        <f t="shared" si="785"/>
        <v>11007.82546143035</v>
      </c>
      <c r="P789" s="25">
        <f t="shared" si="786"/>
        <v>28145.244538569641</v>
      </c>
      <c r="Q789" s="25">
        <f t="array" aca="1" ref="Q789" ca="1">INDEX('Isaac 401k'!L:L,MATCH('Retirement Calculator'!A789,'Isaac 401k'!N:N,0),0)</f>
        <v>-2895318.86324393</v>
      </c>
      <c r="R789" s="25">
        <f t="array" aca="1" ref="R789" ca="1">INDEX('Lorri 401b'!L:L,MATCH('Retirement Calculator'!A789,'Lorri 401b'!N:N,0),0)</f>
        <v>-7186029.3043002132</v>
      </c>
      <c r="S789" s="25">
        <f t="shared" ca="1" si="787"/>
        <v>-10081348.167544143</v>
      </c>
    </row>
    <row r="790" spans="1:19" ht="15.75" customHeight="1" x14ac:dyDescent="0.3">
      <c r="A790" s="37">
        <v>74997</v>
      </c>
      <c r="B790" s="409">
        <f t="shared" ref="B790:C790" si="801">($A790-B$9)/365.25</f>
        <v>123.45242984257358</v>
      </c>
      <c r="C790" s="409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3525.4531757812501</v>
      </c>
      <c r="H790" s="25">
        <f>IF(B790&lt;62,0,'Combined Retirement'!$I$14)</f>
        <v>2192</v>
      </c>
      <c r="I790" s="25">
        <f>IF(C790&lt;62,0,'Combined Retirement'!$I$13)</f>
        <v>2420</v>
      </c>
      <c r="J790" s="25">
        <f t="shared" si="783"/>
        <v>7863.2184191855868</v>
      </c>
      <c r="K790" s="25">
        <f t="shared" si="784"/>
        <v>20282.026119384056</v>
      </c>
      <c r="L790" s="25"/>
      <c r="N790" s="25">
        <f>'Combined Retirement'!$C$18/12</f>
        <v>39153.069999999992</v>
      </c>
      <c r="O790" s="25">
        <f t="shared" si="785"/>
        <v>11007.82546143035</v>
      </c>
      <c r="P790" s="25">
        <f t="shared" si="786"/>
        <v>28145.244538569641</v>
      </c>
      <c r="Q790" s="25">
        <f t="array" aca="1" ref="Q790" ca="1">INDEX('Isaac 401k'!L:L,MATCH('Retirement Calculator'!A790,'Isaac 401k'!N:N,0),0)</f>
        <v>-2915278.6736700451</v>
      </c>
      <c r="R790" s="25">
        <f t="array" aca="1" ref="R790" ca="1">INDEX('Lorri 401b'!L:L,MATCH('Retirement Calculator'!A790,'Lorri 401b'!N:N,0),0)</f>
        <v>-7236337.6276296787</v>
      </c>
      <c r="S790" s="25">
        <f t="shared" ca="1" si="787"/>
        <v>-10151616.301299725</v>
      </c>
    </row>
    <row r="791" spans="1:19" ht="15.75" customHeight="1" x14ac:dyDescent="0.3">
      <c r="A791" s="37">
        <v>75028</v>
      </c>
      <c r="B791" s="409">
        <f t="shared" ref="B791:C791" si="802">($A791-B$9)/365.25</f>
        <v>123.53730321697468</v>
      </c>
      <c r="C791" s="409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3525.4531757812501</v>
      </c>
      <c r="H791" s="25">
        <f>IF(B791&lt;62,0,'Combined Retirement'!$I$14)</f>
        <v>2192</v>
      </c>
      <c r="I791" s="25">
        <f>IF(C791&lt;62,0,'Combined Retirement'!$I$13)</f>
        <v>2420</v>
      </c>
      <c r="J791" s="25">
        <f t="shared" si="783"/>
        <v>7863.2184191855868</v>
      </c>
      <c r="K791" s="25">
        <f t="shared" si="784"/>
        <v>20282.026119384056</v>
      </c>
      <c r="L791" s="25"/>
      <c r="N791" s="25">
        <f>'Combined Retirement'!$C$18/12</f>
        <v>39153.069999999992</v>
      </c>
      <c r="O791" s="25">
        <f t="shared" si="785"/>
        <v>11007.82546143035</v>
      </c>
      <c r="P791" s="25">
        <f t="shared" si="786"/>
        <v>28145.244538569641</v>
      </c>
      <c r="Q791" s="25">
        <f t="array" aca="1" ref="Q791" ca="1">INDEX('Isaac 401k'!L:L,MATCH('Retirement Calculator'!A791,'Isaac 401k'!N:N,0),0)</f>
        <v>-2935321.6499729357</v>
      </c>
      <c r="R791" s="25">
        <f t="array" aca="1" ref="R791" ca="1">INDEX('Lorri 401b'!L:L,MATCH('Retirement Calculator'!A791,'Lorri 401b'!N:N,0),0)</f>
        <v>-7286855.5689730169</v>
      </c>
      <c r="S791" s="25">
        <f t="shared" ca="1" si="787"/>
        <v>-10222177.218945952</v>
      </c>
    </row>
    <row r="792" spans="1:19" ht="15.75" customHeight="1" x14ac:dyDescent="0.3">
      <c r="A792" s="37">
        <v>75058</v>
      </c>
      <c r="B792" s="409">
        <f t="shared" ref="B792:C792" si="803">($A792-B$9)/365.25</f>
        <v>123.61943874058863</v>
      </c>
      <c r="C792" s="409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3525.4531757812501</v>
      </c>
      <c r="H792" s="25">
        <f>IF(B792&lt;62,0,'Combined Retirement'!$I$14)</f>
        <v>2192</v>
      </c>
      <c r="I792" s="25">
        <f>IF(C792&lt;62,0,'Combined Retirement'!$I$13)</f>
        <v>2420</v>
      </c>
      <c r="J792" s="25">
        <f t="shared" si="783"/>
        <v>7863.2184191855868</v>
      </c>
      <c r="K792" s="25">
        <f t="shared" si="784"/>
        <v>20282.026119384056</v>
      </c>
      <c r="L792" s="25"/>
      <c r="N792" s="25">
        <f>'Combined Retirement'!$C$18/12</f>
        <v>39153.069999999992</v>
      </c>
      <c r="O792" s="25">
        <f t="shared" si="785"/>
        <v>11007.82546143035</v>
      </c>
      <c r="P792" s="25">
        <f t="shared" si="786"/>
        <v>28145.244538569641</v>
      </c>
      <c r="Q792" s="25">
        <f t="array" aca="1" ref="Q792" ca="1">INDEX('Isaac 401k'!L:L,MATCH('Retirement Calculator'!A792,'Isaac 401k'!N:N,0),0)</f>
        <v>-2955448.1386770881</v>
      </c>
      <c r="R792" s="25">
        <f t="array" aca="1" ref="R792" ca="1">INDEX('Lorri 401b'!L:L,MATCH('Retirement Calculator'!A792,'Lorri 401b'!N:N,0),0)</f>
        <v>-7337584.0017386191</v>
      </c>
      <c r="S792" s="25">
        <f t="shared" ca="1" si="787"/>
        <v>-10293032.140415708</v>
      </c>
    </row>
    <row r="793" spans="1:19" ht="15.75" customHeight="1" x14ac:dyDescent="0.3">
      <c r="A793" s="37">
        <v>75089</v>
      </c>
      <c r="B793" s="409">
        <f t="shared" ref="B793:C793" si="804">($A793-B$9)/365.25</f>
        <v>123.70431211498973</v>
      </c>
      <c r="C793" s="409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3525.4531757812501</v>
      </c>
      <c r="H793" s="25">
        <f>IF(B793&lt;62,0,'Combined Retirement'!$I$14)</f>
        <v>2192</v>
      </c>
      <c r="I793" s="25">
        <f>IF(C793&lt;62,0,'Combined Retirement'!$I$13)</f>
        <v>2420</v>
      </c>
      <c r="J793" s="25">
        <f t="shared" si="783"/>
        <v>7863.2184191855868</v>
      </c>
      <c r="K793" s="25">
        <f t="shared" si="784"/>
        <v>20282.026119384056</v>
      </c>
      <c r="L793" s="25"/>
      <c r="N793" s="25">
        <f>'Combined Retirement'!$C$18/12</f>
        <v>39153.069999999992</v>
      </c>
      <c r="O793" s="25">
        <f t="shared" si="785"/>
        <v>11007.82546143035</v>
      </c>
      <c r="P793" s="25">
        <f t="shared" si="786"/>
        <v>28145.244538569641</v>
      </c>
      <c r="Q793" s="25">
        <f t="array" aca="1" ref="Q793" ca="1">INDEX('Isaac 401k'!L:L,MATCH('Retirement Calculator'!A793,'Isaac 401k'!N:N,0),0)</f>
        <v>-2975658.4877508413</v>
      </c>
      <c r="R793" s="25">
        <f t="array" aca="1" ref="R793" ca="1">INDEX('Lorri 401b'!L:L,MATCH('Retirement Calculator'!A793,'Lorri 401b'!N:N,0),0)</f>
        <v>-7388523.8029740779</v>
      </c>
      <c r="S793" s="25">
        <f t="shared" ca="1" si="787"/>
        <v>-10364182.290724918</v>
      </c>
    </row>
    <row r="794" spans="1:19" ht="15.75" customHeight="1" x14ac:dyDescent="0.3">
      <c r="A794" s="37">
        <v>75120</v>
      </c>
      <c r="B794" s="409">
        <f t="shared" ref="B794:C794" si="805">($A794-B$9)/365.25</f>
        <v>123.78918548939083</v>
      </c>
      <c r="C794" s="409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3525.4531757812501</v>
      </c>
      <c r="H794" s="25">
        <f>IF(B794&lt;62,0,'Combined Retirement'!$I$14)</f>
        <v>2192</v>
      </c>
      <c r="I794" s="25">
        <f>IF(C794&lt;62,0,'Combined Retirement'!$I$13)</f>
        <v>2420</v>
      </c>
      <c r="J794" s="25">
        <f t="shared" si="783"/>
        <v>7863.2184191855868</v>
      </c>
      <c r="K794" s="25">
        <f t="shared" si="784"/>
        <v>20282.026119384056</v>
      </c>
      <c r="L794" s="25"/>
      <c r="N794" s="25">
        <f>'Combined Retirement'!$C$18/12</f>
        <v>39153.069999999992</v>
      </c>
      <c r="O794" s="25">
        <f t="shared" si="785"/>
        <v>11007.82546143035</v>
      </c>
      <c r="P794" s="25">
        <f t="shared" si="786"/>
        <v>28145.244538569641</v>
      </c>
      <c r="Q794" s="25">
        <f t="array" aca="1" ref="Q794" ca="1">INDEX('Isaac 401k'!L:L,MATCH('Retirement Calculator'!A794,'Isaac 401k'!N:N,0),0)</f>
        <v>-2995953.046612402</v>
      </c>
      <c r="R794" s="25">
        <f t="array" aca="1" ref="R794" ca="1">INDEX('Lorri 401b'!L:L,MATCH('Retirement Calculator'!A794,'Lorri 401b'!N:N,0),0)</f>
        <v>-7439675.8533813516</v>
      </c>
      <c r="S794" s="25">
        <f t="shared" ca="1" si="787"/>
        <v>-10435628.899993753</v>
      </c>
    </row>
    <row r="795" spans="1:19" ht="15.75" customHeight="1" x14ac:dyDescent="0.3">
      <c r="A795" s="37">
        <v>75150</v>
      </c>
      <c r="B795" s="409">
        <f t="shared" ref="B795:C795" si="806">($A795-B$9)/365.25</f>
        <v>123.87132101300479</v>
      </c>
      <c r="C795" s="409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3525.4531757812501</v>
      </c>
      <c r="H795" s="25">
        <f>IF(B795&lt;62,0,'Combined Retirement'!$I$14)</f>
        <v>2192</v>
      </c>
      <c r="I795" s="25">
        <f>IF(C795&lt;62,0,'Combined Retirement'!$I$13)</f>
        <v>2420</v>
      </c>
      <c r="J795" s="25">
        <f t="shared" si="783"/>
        <v>7863.2184191855868</v>
      </c>
      <c r="K795" s="25">
        <f t="shared" si="784"/>
        <v>20282.026119384056</v>
      </c>
      <c r="L795" s="25"/>
      <c r="N795" s="25">
        <f>'Combined Retirement'!$C$18/12</f>
        <v>39153.069999999992</v>
      </c>
      <c r="O795" s="25">
        <f t="shared" si="785"/>
        <v>11007.82546143035</v>
      </c>
      <c r="P795" s="25">
        <f t="shared" si="786"/>
        <v>28145.244538569641</v>
      </c>
      <c r="Q795" s="25">
        <f t="array" aca="1" ref="Q795" ca="1">INDEX('Isaac 401k'!L:L,MATCH('Retirement Calculator'!A795,'Isaac 401k'!N:N,0),0)</f>
        <v>-3016332.1661358858</v>
      </c>
      <c r="R795" s="25">
        <f t="array" aca="1" ref="R795" ca="1">INDEX('Lorri 401b'!L:L,MATCH('Retirement Calculator'!A795,'Lorri 401b'!N:N,0),0)</f>
        <v>-7491041.037331989</v>
      </c>
      <c r="S795" s="25">
        <f t="shared" ca="1" si="787"/>
        <v>-10507373.203467876</v>
      </c>
    </row>
    <row r="796" spans="1:19" ht="15.75" customHeight="1" x14ac:dyDescent="0.3">
      <c r="A796" s="37">
        <v>75181</v>
      </c>
      <c r="B796" s="409">
        <f t="shared" ref="B796:C796" si="807">($A796-B$9)/365.25</f>
        <v>123.95619438740589</v>
      </c>
      <c r="C796" s="409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3525.4531757812501</v>
      </c>
      <c r="H796" s="25">
        <f>IF(B796&lt;62,0,'Combined Retirement'!$I$14)</f>
        <v>2192</v>
      </c>
      <c r="I796" s="25">
        <f>IF(C796&lt;62,0,'Combined Retirement'!$I$13)</f>
        <v>2420</v>
      </c>
      <c r="J796" s="25">
        <f t="shared" si="783"/>
        <v>7863.2184191855868</v>
      </c>
      <c r="K796" s="25">
        <f t="shared" si="784"/>
        <v>20282.026119384056</v>
      </c>
      <c r="L796" s="25"/>
      <c r="N796" s="25">
        <f>'Combined Retirement'!$C$18/12</f>
        <v>39153.069999999992</v>
      </c>
      <c r="O796" s="25">
        <f t="shared" si="785"/>
        <v>11007.82546143035</v>
      </c>
      <c r="P796" s="25">
        <f t="shared" si="786"/>
        <v>28145.244538569641</v>
      </c>
      <c r="Q796" s="25">
        <f t="array" aca="1" ref="Q796" ca="1">INDEX('Isaac 401k'!L:L,MATCH('Retirement Calculator'!A796,'Isaac 401k'!N:N,0),0)</f>
        <v>-3036796.1986573841</v>
      </c>
      <c r="R796" s="25">
        <f t="array" aca="1" ref="R796" ca="1">INDEX('Lorri 401b'!L:L,MATCH('Retirement Calculator'!A796,'Lorri 401b'!N:N,0),0)</f>
        <v>-7542620.2428824203</v>
      </c>
      <c r="S796" s="25">
        <f t="shared" ca="1" si="787"/>
        <v>-10579416.441539805</v>
      </c>
    </row>
    <row r="797" spans="1:19" ht="15.75" customHeight="1" x14ac:dyDescent="0.3">
      <c r="A797" s="37">
        <v>75211</v>
      </c>
      <c r="B797" s="409">
        <f t="shared" ref="B797:C797" si="808">($A797-B$9)/365.25</f>
        <v>124.03832991101984</v>
      </c>
      <c r="C797" s="409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3525.4531757812501</v>
      </c>
      <c r="H797" s="25">
        <f>IF(B797&lt;62,0,'Combined Retirement'!$I$14)</f>
        <v>2192</v>
      </c>
      <c r="I797" s="25">
        <f>IF(C797&lt;62,0,'Combined Retirement'!$I$13)</f>
        <v>2420</v>
      </c>
      <c r="J797" s="25">
        <f t="shared" si="783"/>
        <v>7863.2184191855868</v>
      </c>
      <c r="K797" s="25">
        <f t="shared" si="784"/>
        <v>20282.026119384056</v>
      </c>
      <c r="L797" s="25"/>
      <c r="N797" s="25">
        <f>'Combined Retirement'!$C$18/12</f>
        <v>39153.069999999992</v>
      </c>
      <c r="O797" s="25">
        <f t="shared" si="785"/>
        <v>11007.82546143035</v>
      </c>
      <c r="P797" s="25">
        <f t="shared" si="786"/>
        <v>28145.244538569641</v>
      </c>
      <c r="Q797" s="25">
        <f t="array" aca="1" ref="Q797" ca="1">INDEX('Isaac 401k'!L:L,MATCH('Retirement Calculator'!A797,'Isaac 401k'!N:N,0),0)</f>
        <v>-3057345.4979810552</v>
      </c>
      <c r="R797" s="25">
        <f t="array" aca="1" ref="R797" ca="1">INDEX('Lorri 401b'!L:L,MATCH('Retirement Calculator'!A797,'Lorri 401b'!N:N,0),0)</f>
        <v>-7594414.3617893122</v>
      </c>
      <c r="S797" s="25">
        <f t="shared" ca="1" si="787"/>
        <v>-10651759.859770367</v>
      </c>
    </row>
    <row r="798" spans="1:19" ht="15.75" customHeight="1" x14ac:dyDescent="0.3">
      <c r="A798" s="37">
        <v>75242</v>
      </c>
      <c r="B798" s="409">
        <f t="shared" ref="B798:C798" si="809">($A798-B$9)/365.25</f>
        <v>124.12320328542094</v>
      </c>
      <c r="C798" s="409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3525.4531757812501</v>
      </c>
      <c r="H798" s="25">
        <f>IF(B798&lt;62,0,'Combined Retirement'!$I$14)</f>
        <v>2192</v>
      </c>
      <c r="I798" s="25">
        <f>IF(C798&lt;62,0,'Combined Retirement'!$I$13)</f>
        <v>2420</v>
      </c>
      <c r="J798" s="25">
        <f t="shared" si="783"/>
        <v>7863.2184191855868</v>
      </c>
      <c r="K798" s="25">
        <f t="shared" si="784"/>
        <v>20282.026119384056</v>
      </c>
      <c r="L798" s="25"/>
      <c r="N798" s="25">
        <f>'Combined Retirement'!$C$18/12</f>
        <v>39153.069999999992</v>
      </c>
      <c r="O798" s="25">
        <f t="shared" si="785"/>
        <v>11007.82546143035</v>
      </c>
      <c r="P798" s="25">
        <f t="shared" si="786"/>
        <v>28145.244538569641</v>
      </c>
      <c r="Q798" s="25">
        <f t="array" aca="1" ref="Q798" ca="1">INDEX('Isaac 401k'!L:L,MATCH('Retirement Calculator'!A798,'Isaac 401k'!N:N,0),0)</f>
        <v>-3077980.4193852413</v>
      </c>
      <c r="R798" s="25">
        <f t="array" aca="1" ref="R798" ca="1">INDEX('Lorri 401b'!L:L,MATCH('Retirement Calculator'!A798,'Lorri 401b'!N:N,0),0)</f>
        <v>-7646424.2895249827</v>
      </c>
      <c r="S798" s="25">
        <f t="shared" ca="1" si="787"/>
        <v>-10724404.708910223</v>
      </c>
    </row>
    <row r="799" spans="1:19" ht="15.75" customHeight="1" x14ac:dyDescent="0.3">
      <c r="A799" s="37">
        <v>75273</v>
      </c>
      <c r="B799" s="409">
        <f t="shared" ref="B799:C799" si="810">($A799-B$9)/365.25</f>
        <v>124.20807665982204</v>
      </c>
      <c r="C799" s="409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3525.4531757812501</v>
      </c>
      <c r="H799" s="25">
        <f>IF(B799&lt;62,0,'Combined Retirement'!$I$14)</f>
        <v>2192</v>
      </c>
      <c r="I799" s="25">
        <f>IF(C799&lt;62,0,'Combined Retirement'!$I$13)</f>
        <v>2420</v>
      </c>
      <c r="J799" s="25">
        <f t="shared" si="783"/>
        <v>7863.2184191855868</v>
      </c>
      <c r="K799" s="25">
        <f t="shared" si="784"/>
        <v>20282.026119384056</v>
      </c>
      <c r="L799" s="25"/>
      <c r="N799" s="25">
        <f>'Combined Retirement'!$C$18/12</f>
        <v>39153.069999999992</v>
      </c>
      <c r="O799" s="25">
        <f t="shared" si="785"/>
        <v>11007.82546143035</v>
      </c>
      <c r="P799" s="25">
        <f t="shared" si="786"/>
        <v>28145.244538569641</v>
      </c>
      <c r="Q799" s="25">
        <f t="array" aca="1" ref="Q799" ca="1">INDEX('Isaac 401k'!L:L,MATCH('Retirement Calculator'!A799,'Isaac 401k'!N:N,0),0)</f>
        <v>-3098701.3196286117</v>
      </c>
      <c r="R799" s="25">
        <f t="array" aca="1" ref="R799" ca="1">INDEX('Lorri 401b'!L:L,MATCH('Retirement Calculator'!A799,'Lorri 401b'!N:N,0),0)</f>
        <v>-7698650.9252928849</v>
      </c>
      <c r="S799" s="25">
        <f t="shared" ca="1" si="787"/>
        <v>-10797352.244921496</v>
      </c>
    </row>
    <row r="800" spans="1:19" ht="15.75" customHeight="1" x14ac:dyDescent="0.3">
      <c r="A800" s="37">
        <v>75301</v>
      </c>
      <c r="B800" s="409">
        <f t="shared" ref="B800:C800" si="811">($A800-B$9)/365.25</f>
        <v>124.28473648186174</v>
      </c>
      <c r="C800" s="409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3525.4531757812501</v>
      </c>
      <c r="H800" s="25">
        <f>IF(B800&lt;62,0,'Combined Retirement'!$I$14)</f>
        <v>2192</v>
      </c>
      <c r="I800" s="25">
        <f>IF(C800&lt;62,0,'Combined Retirement'!$I$13)</f>
        <v>2420</v>
      </c>
      <c r="J800" s="25">
        <f t="shared" si="783"/>
        <v>7863.2184191855868</v>
      </c>
      <c r="K800" s="25">
        <f t="shared" si="784"/>
        <v>20282.026119384056</v>
      </c>
      <c r="L800" s="25"/>
      <c r="N800" s="25">
        <f>'Combined Retirement'!$C$18/12</f>
        <v>39153.069999999992</v>
      </c>
      <c r="O800" s="25">
        <f t="shared" si="785"/>
        <v>11007.82546143035</v>
      </c>
      <c r="P800" s="25">
        <f t="shared" si="786"/>
        <v>28145.244538569641</v>
      </c>
      <c r="Q800" s="25">
        <f t="array" aca="1" ref="Q800" ca="1">INDEX('Isaac 401k'!L:L,MATCH('Retirement Calculator'!A800,'Isaac 401k'!N:N,0),0)</f>
        <v>-3119508.5569563294</v>
      </c>
      <c r="R800" s="25">
        <f t="array" aca="1" ref="R800" ca="1">INDEX('Lorri 401b'!L:L,MATCH('Retirement Calculator'!A800,'Lorri 401b'!N:N,0),0)</f>
        <v>-7751095.1720431531</v>
      </c>
      <c r="S800" s="25">
        <f t="shared" ca="1" si="787"/>
        <v>-10870603.728999482</v>
      </c>
    </row>
    <row r="801" spans="1:19" ht="15.75" customHeight="1" x14ac:dyDescent="0.3">
      <c r="A801" s="37">
        <v>75332</v>
      </c>
      <c r="B801" s="409">
        <f t="shared" ref="B801:C801" si="812">($A801-B$9)/365.25</f>
        <v>124.36960985626284</v>
      </c>
      <c r="C801" s="409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3525.4531757812501</v>
      </c>
      <c r="H801" s="25">
        <f>IF(B801&lt;62,0,'Combined Retirement'!$I$14)</f>
        <v>2192</v>
      </c>
      <c r="I801" s="25">
        <f>IF(C801&lt;62,0,'Combined Retirement'!$I$13)</f>
        <v>2420</v>
      </c>
      <c r="J801" s="25">
        <f t="shared" si="783"/>
        <v>7863.2184191855868</v>
      </c>
      <c r="K801" s="25">
        <f t="shared" si="784"/>
        <v>20282.026119384056</v>
      </c>
      <c r="L801" s="25"/>
      <c r="N801" s="25">
        <f>'Combined Retirement'!$C$18/12</f>
        <v>39153.069999999992</v>
      </c>
      <c r="O801" s="25">
        <f t="shared" si="785"/>
        <v>11007.82546143035</v>
      </c>
      <c r="P801" s="25">
        <f t="shared" si="786"/>
        <v>28145.244538569641</v>
      </c>
      <c r="Q801" s="25">
        <f t="array" aca="1" ref="Q801" ca="1">INDEX('Isaac 401k'!L:L,MATCH('Retirement Calculator'!A801,'Isaac 401k'!N:N,0),0)</f>
        <v>-3140402.4911062461</v>
      </c>
      <c r="R801" s="25">
        <f t="array" aca="1" ref="R801" ca="1">INDEX('Lorri 401b'!L:L,MATCH('Retirement Calculator'!A801,'Lorri 401b'!N:N,0),0)</f>
        <v>-7803757.9364882139</v>
      </c>
      <c r="S801" s="25">
        <f t="shared" ca="1" si="787"/>
        <v>-10944160.427594461</v>
      </c>
    </row>
    <row r="802" spans="1:19" ht="15.75" customHeight="1" x14ac:dyDescent="0.3">
      <c r="A802" s="37">
        <v>75362</v>
      </c>
      <c r="B802" s="409">
        <f t="shared" ref="B802:C802" si="813">($A802-B$9)/365.25</f>
        <v>124.4517453798768</v>
      </c>
      <c r="C802" s="409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3525.4531757812501</v>
      </c>
      <c r="H802" s="25">
        <f>IF(B802&lt;62,0,'Combined Retirement'!$I$14)</f>
        <v>2192</v>
      </c>
      <c r="I802" s="25">
        <f>IF(C802&lt;62,0,'Combined Retirement'!$I$13)</f>
        <v>2420</v>
      </c>
      <c r="J802" s="25">
        <f t="shared" si="783"/>
        <v>7863.2184191855868</v>
      </c>
      <c r="K802" s="25">
        <f t="shared" si="784"/>
        <v>20282.026119384056</v>
      </c>
      <c r="L802" s="25"/>
      <c r="N802" s="25">
        <f>'Combined Retirement'!$C$18/12</f>
        <v>39153.069999999992</v>
      </c>
      <c r="O802" s="25">
        <f t="shared" si="785"/>
        <v>11007.82546143035</v>
      </c>
      <c r="P802" s="25">
        <f t="shared" si="786"/>
        <v>28145.244538569641</v>
      </c>
      <c r="Q802" s="25">
        <f t="array" aca="1" ref="Q802" ca="1">INDEX('Isaac 401k'!L:L,MATCH('Retirement Calculator'!A802,'Isaac 401k'!N:N,0),0)</f>
        <v>-3161383.4833151209</v>
      </c>
      <c r="R802" s="25">
        <f t="array" aca="1" ref="R802" ca="1">INDEX('Lorri 401b'!L:L,MATCH('Retirement Calculator'!A802,'Lorri 401b'!N:N,0),0)</f>
        <v>-7856640.129118463</v>
      </c>
      <c r="S802" s="25">
        <f t="shared" ca="1" si="787"/>
        <v>-11018023.612433584</v>
      </c>
    </row>
    <row r="803" spans="1:19" ht="15.75" customHeight="1" x14ac:dyDescent="0.3">
      <c r="A803" s="37">
        <v>75393</v>
      </c>
      <c r="B803" s="409">
        <f t="shared" ref="B803:C803" si="814">($A803-B$9)/365.25</f>
        <v>124.5366187542779</v>
      </c>
      <c r="C803" s="409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3525.4531757812501</v>
      </c>
      <c r="H803" s="25">
        <f>IF(B803&lt;62,0,'Combined Retirement'!$I$14)</f>
        <v>2192</v>
      </c>
      <c r="I803" s="25">
        <f>IF(C803&lt;62,0,'Combined Retirement'!$I$13)</f>
        <v>2420</v>
      </c>
      <c r="J803" s="25">
        <f t="shared" si="783"/>
        <v>7863.2184191855868</v>
      </c>
      <c r="K803" s="25">
        <f t="shared" si="784"/>
        <v>20282.026119384056</v>
      </c>
      <c r="L803" s="25"/>
      <c r="N803" s="25">
        <f>'Combined Retirement'!$C$18/12</f>
        <v>39153.069999999992</v>
      </c>
      <c r="O803" s="25">
        <f t="shared" si="785"/>
        <v>11007.82546143035</v>
      </c>
      <c r="P803" s="25">
        <f t="shared" si="786"/>
        <v>28145.244538569641</v>
      </c>
      <c r="Q803" s="25">
        <f t="array" aca="1" ref="Q803" ca="1">INDEX('Isaac 401k'!L:L,MATCH('Retirement Calculator'!A803,'Isaac 401k'!N:N,0),0)</f>
        <v>-3182451.896324866</v>
      </c>
      <c r="R803" s="25">
        <f t="array" aca="1" ref="R803" ca="1">INDEX('Lorri 401b'!L:L,MATCH('Retirement Calculator'!A803,'Lorri 401b'!N:N,0),0)</f>
        <v>-7909742.6642180048</v>
      </c>
      <c r="S803" s="25">
        <f t="shared" ca="1" si="787"/>
        <v>-11092194.56054287</v>
      </c>
    </row>
    <row r="804" spans="1:19" ht="15.75" customHeight="1" x14ac:dyDescent="0.3">
      <c r="A804" s="37">
        <v>75423</v>
      </c>
      <c r="B804" s="409">
        <f t="shared" ref="B804:C804" si="815">($A804-B$9)/365.25</f>
        <v>124.61875427789185</v>
      </c>
      <c r="C804" s="409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3525.4531757812501</v>
      </c>
      <c r="H804" s="25">
        <f>IF(B804&lt;62,0,'Combined Retirement'!$I$14)</f>
        <v>2192</v>
      </c>
      <c r="I804" s="25">
        <f>IF(C804&lt;62,0,'Combined Retirement'!$I$13)</f>
        <v>2420</v>
      </c>
      <c r="J804" s="25">
        <f t="shared" si="783"/>
        <v>7863.2184191855868</v>
      </c>
      <c r="K804" s="25">
        <f t="shared" si="784"/>
        <v>20282.026119384056</v>
      </c>
      <c r="L804" s="25"/>
      <c r="N804" s="25">
        <f>'Combined Retirement'!$C$18/12</f>
        <v>39153.069999999992</v>
      </c>
      <c r="O804" s="25">
        <f t="shared" si="785"/>
        <v>11007.82546143035</v>
      </c>
      <c r="P804" s="25">
        <f t="shared" si="786"/>
        <v>28145.244538569641</v>
      </c>
      <c r="Q804" s="25">
        <f t="array" aca="1" ref="Q804" ca="1">INDEX('Isaac 401k'!L:L,MATCH('Retirement Calculator'!A804,'Isaac 401k'!N:N,0),0)</f>
        <v>-3203608.0943888184</v>
      </c>
      <c r="R804" s="25">
        <f t="array" aca="1" ref="R804" ca="1">INDEX('Lorri 401b'!L:L,MATCH('Retirement Calculator'!A804,'Lorri 401b'!N:N,0),0)</f>
        <v>-7963066.459880461</v>
      </c>
      <c r="S804" s="25">
        <f t="shared" ca="1" si="787"/>
        <v>-11166674.55426928</v>
      </c>
    </row>
    <row r="805" spans="1:19" ht="15.75" customHeight="1" x14ac:dyDescent="0.3">
      <c r="A805" s="37">
        <v>75454</v>
      </c>
      <c r="B805" s="409">
        <f t="shared" ref="B805:C805" si="816">($A805-B$9)/365.25</f>
        <v>124.70362765229295</v>
      </c>
      <c r="C805" s="409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3525.4531757812501</v>
      </c>
      <c r="H805" s="25">
        <f>IF(B805&lt;62,0,'Combined Retirement'!$I$14)</f>
        <v>2192</v>
      </c>
      <c r="I805" s="25">
        <f>IF(C805&lt;62,0,'Combined Retirement'!$I$13)</f>
        <v>2420</v>
      </c>
      <c r="J805" s="25">
        <f t="shared" si="783"/>
        <v>7863.2184191855868</v>
      </c>
      <c r="K805" s="25">
        <f t="shared" si="784"/>
        <v>20282.026119384056</v>
      </c>
      <c r="L805" s="25"/>
      <c r="N805" s="25">
        <f>'Combined Retirement'!$C$18/12</f>
        <v>39153.069999999992</v>
      </c>
      <c r="O805" s="25">
        <f t="shared" si="785"/>
        <v>11007.82546143035</v>
      </c>
      <c r="P805" s="25">
        <f t="shared" si="786"/>
        <v>28145.244538569641</v>
      </c>
      <c r="Q805" s="25">
        <f t="array" aca="1" ref="Q805" ca="1">INDEX('Isaac 401k'!L:L,MATCH('Retirement Calculator'!A805,'Isaac 401k'!N:N,0),0)</f>
        <v>-3224852.443278037</v>
      </c>
      <c r="R805" s="25">
        <f t="array" aca="1" ref="R805" ca="1">INDEX('Lorri 401b'!L:L,MATCH('Retirement Calculator'!A805,'Lorri 401b'!N:N,0),0)</f>
        <v>-8016612.438024844</v>
      </c>
      <c r="S805" s="25">
        <f t="shared" ca="1" si="787"/>
        <v>-11241464.881302882</v>
      </c>
    </row>
    <row r="806" spans="1:19" ht="15.75" customHeight="1" x14ac:dyDescent="0.3">
      <c r="A806" s="37">
        <v>75485</v>
      </c>
      <c r="B806" s="409">
        <f t="shared" ref="B806:C806" si="817">($A806-B$9)/365.25</f>
        <v>124.78850102669405</v>
      </c>
      <c r="C806" s="409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3525.4531757812501</v>
      </c>
      <c r="H806" s="25">
        <f>IF(B806&lt;62,0,'Combined Retirement'!$I$14)</f>
        <v>2192</v>
      </c>
      <c r="I806" s="25">
        <f>IF(C806&lt;62,0,'Combined Retirement'!$I$13)</f>
        <v>2420</v>
      </c>
      <c r="J806" s="25">
        <f t="shared" si="783"/>
        <v>7863.2184191855868</v>
      </c>
      <c r="K806" s="25">
        <f t="shared" si="784"/>
        <v>20282.026119384056</v>
      </c>
      <c r="L806" s="25"/>
      <c r="N806" s="25">
        <f>'Combined Retirement'!$C$18/12</f>
        <v>39153.069999999992</v>
      </c>
      <c r="O806" s="25">
        <f t="shared" si="785"/>
        <v>11007.82546143035</v>
      </c>
      <c r="P806" s="25">
        <f t="shared" si="786"/>
        <v>28145.244538569641</v>
      </c>
      <c r="Q806" s="25">
        <f t="array" aca="1" ref="Q806" ca="1">INDEX('Isaac 401k'!L:L,MATCH('Retirement Calculator'!A806,'Isaac 401k'!N:N,0),0)</f>
        <v>-3246185.3102876274</v>
      </c>
      <c r="R806" s="25">
        <f t="array" aca="1" ref="R806" ca="1">INDEX('Lorri 401b'!L:L,MATCH('Retirement Calculator'!A806,'Lorri 401b'!N:N,0),0)</f>
        <v>-8070381.5244114958</v>
      </c>
      <c r="S806" s="25">
        <f t="shared" ca="1" si="787"/>
        <v>-11316566.834699124</v>
      </c>
    </row>
    <row r="807" spans="1:19" ht="15.75" customHeight="1" x14ac:dyDescent="0.3">
      <c r="A807" s="37">
        <v>75515</v>
      </c>
      <c r="B807" s="409">
        <f t="shared" ref="B807:C807" si="818">($A807-B$9)/365.25</f>
        <v>124.87063655030801</v>
      </c>
      <c r="C807" s="409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3525.4531757812501</v>
      </c>
      <c r="H807" s="25">
        <f>IF(B807&lt;62,0,'Combined Retirement'!$I$14)</f>
        <v>2192</v>
      </c>
      <c r="I807" s="25">
        <f>IF(C807&lt;62,0,'Combined Retirement'!$I$13)</f>
        <v>2420</v>
      </c>
      <c r="J807" s="25">
        <f t="shared" si="783"/>
        <v>7863.2184191855868</v>
      </c>
      <c r="K807" s="25">
        <f t="shared" si="784"/>
        <v>20282.026119384056</v>
      </c>
      <c r="L807" s="25"/>
      <c r="N807" s="25">
        <f>'Combined Retirement'!$C$18/12</f>
        <v>39153.069999999992</v>
      </c>
      <c r="O807" s="25">
        <f t="shared" si="785"/>
        <v>11007.82546143035</v>
      </c>
      <c r="P807" s="25">
        <f t="shared" si="786"/>
        <v>28145.244538569641</v>
      </c>
      <c r="Q807" s="25">
        <f t="array" aca="1" ref="Q807" ca="1">INDEX('Isaac 401k'!L:L,MATCH('Retirement Calculator'!A807,'Isaac 401k'!N:N,0),0)</f>
        <v>-3267607.0642430913</v>
      </c>
      <c r="R807" s="25">
        <f t="array" aca="1" ref="R807" ca="1">INDEX('Lorri 401b'!L:L,MATCH('Retirement Calculator'!A807,'Lorri 401b'!N:N,0),0)</f>
        <v>-8124374.6486580921</v>
      </c>
      <c r="S807" s="25">
        <f t="shared" ca="1" si="787"/>
        <v>-11391981.712901182</v>
      </c>
    </row>
    <row r="808" spans="1:19" ht="15.75" customHeight="1" x14ac:dyDescent="0.3">
      <c r="A808" s="37">
        <v>75546</v>
      </c>
      <c r="B808" s="409">
        <f t="shared" ref="B808:C808" si="819">($A808-B$9)/365.25</f>
        <v>124.95550992470911</v>
      </c>
      <c r="C808" s="409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3525.4531757812501</v>
      </c>
      <c r="H808" s="25">
        <f>IF(B808&lt;62,0,'Combined Retirement'!$I$14)</f>
        <v>2192</v>
      </c>
      <c r="I808" s="25">
        <f>IF(C808&lt;62,0,'Combined Retirement'!$I$13)</f>
        <v>2420</v>
      </c>
      <c r="J808" s="25">
        <f t="shared" si="783"/>
        <v>7863.2184191855868</v>
      </c>
      <c r="K808" s="25">
        <f t="shared" si="784"/>
        <v>20282.026119384056</v>
      </c>
      <c r="L808" s="25"/>
      <c r="N808" s="25">
        <f>'Combined Retirement'!$C$18/12</f>
        <v>39153.069999999992</v>
      </c>
      <c r="O808" s="25">
        <f t="shared" si="785"/>
        <v>11007.82546143035</v>
      </c>
      <c r="P808" s="25">
        <f t="shared" si="786"/>
        <v>28145.244538569641</v>
      </c>
      <c r="Q808" s="25">
        <f t="array" aca="1" ref="Q808" ca="1">INDEX('Isaac 401k'!L:L,MATCH('Retirement Calculator'!A808,'Isaac 401k'!N:N,0),0)</f>
        <v>-3289118.075506703</v>
      </c>
      <c r="R808" s="25">
        <f t="array" aca="1" ref="R808" ca="1">INDEX('Lorri 401b'!L:L,MATCH('Retirement Calculator'!A808,'Lorri 401b'!N:N,0),0)</f>
        <v>-8178592.744255716</v>
      </c>
      <c r="S808" s="25">
        <f t="shared" ca="1" si="787"/>
        <v>-11467710.81976242</v>
      </c>
    </row>
    <row r="809" spans="1:19" ht="15.75" customHeight="1" x14ac:dyDescent="0.3">
      <c r="A809" s="37">
        <v>75576</v>
      </c>
      <c r="B809" s="409">
        <f t="shared" ref="B809:C809" si="820">($A809-B$9)/365.25</f>
        <v>125.03764544832306</v>
      </c>
      <c r="C809" s="409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3525.4531757812501</v>
      </c>
      <c r="H809" s="25">
        <f>IF(B809&lt;62,0,'Combined Retirement'!$I$14)</f>
        <v>2192</v>
      </c>
      <c r="I809" s="25">
        <f>IF(C809&lt;62,0,'Combined Retirement'!$I$13)</f>
        <v>2420</v>
      </c>
      <c r="J809" s="25">
        <f t="shared" si="783"/>
        <v>7863.2184191855868</v>
      </c>
      <c r="K809" s="25">
        <f t="shared" si="784"/>
        <v>20282.026119384056</v>
      </c>
      <c r="L809" s="25"/>
      <c r="N809" s="25">
        <f>'Combined Retirement'!$C$18/12</f>
        <v>39153.069999999992</v>
      </c>
      <c r="O809" s="25">
        <f t="shared" si="785"/>
        <v>11007.82546143035</v>
      </c>
      <c r="P809" s="25">
        <f t="shared" si="786"/>
        <v>28145.244538569641</v>
      </c>
      <c r="Q809" s="25">
        <f t="array" aca="1" ref="Q809" ca="1">INDEX('Isaac 401k'!L:L,MATCH('Retirement Calculator'!A809,'Isaac 401k'!N:N,0),0)</f>
        <v>-3310718.7159839128</v>
      </c>
      <c r="R809" s="25">
        <f t="array" aca="1" ref="R809" ca="1">INDEX('Lorri 401b'!L:L,MATCH('Retirement Calculator'!A809,'Lorri 401b'!N:N,0),0)</f>
        <v>-8233036.748584996</v>
      </c>
      <c r="S809" s="25">
        <f t="shared" ca="1" si="787"/>
        <v>-11543755.464568909</v>
      </c>
    </row>
    <row r="810" spans="1:19" ht="15.75" customHeight="1" x14ac:dyDescent="0.3">
      <c r="A810" s="37">
        <v>75607</v>
      </c>
      <c r="B810" s="409">
        <f t="shared" ref="B810:C810" si="821">($A810-B$9)/365.25</f>
        <v>125.12251882272416</v>
      </c>
      <c r="C810" s="409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3525.4531757812501</v>
      </c>
      <c r="H810" s="25">
        <f>IF(B810&lt;62,0,'Combined Retirement'!$I$14)</f>
        <v>2192</v>
      </c>
      <c r="I810" s="25">
        <f>IF(C810&lt;62,0,'Combined Retirement'!$I$13)</f>
        <v>2420</v>
      </c>
      <c r="J810" s="25">
        <f t="shared" si="783"/>
        <v>7863.2184191855868</v>
      </c>
      <c r="K810" s="25">
        <f t="shared" si="784"/>
        <v>20282.026119384056</v>
      </c>
      <c r="L810" s="25"/>
      <c r="N810" s="25">
        <f>'Combined Retirement'!$C$18/12</f>
        <v>39153.069999999992</v>
      </c>
      <c r="O810" s="25">
        <f t="shared" si="785"/>
        <v>11007.82546143035</v>
      </c>
      <c r="P810" s="25">
        <f t="shared" si="786"/>
        <v>28145.244538569641</v>
      </c>
      <c r="Q810" s="25">
        <f t="array" aca="1" ref="Q810" ca="1">INDEX('Isaac 401k'!L:L,MATCH('Retirement Calculator'!A810,'Isaac 401k'!N:N,0),0)</f>
        <v>-3332409.3591297776</v>
      </c>
      <c r="R810" s="25">
        <f t="array" aca="1" ref="R810" ca="1">INDEX('Lorri 401b'!L:L,MATCH('Retirement Calculator'!A810,'Lorri 401b'!N:N,0),0)</f>
        <v>-8287707.6029323153</v>
      </c>
      <c r="S810" s="25">
        <f t="shared" ca="1" si="787"/>
        <v>-11620116.962062092</v>
      </c>
    </row>
    <row r="811" spans="1:19" ht="15.75" customHeight="1" x14ac:dyDescent="0.3">
      <c r="A811" s="37">
        <v>75638</v>
      </c>
      <c r="B811" s="409">
        <f t="shared" ref="B811:C811" si="822">($A811-B$9)/365.25</f>
        <v>125.20739219712526</v>
      </c>
      <c r="C811" s="409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3525.4531757812501</v>
      </c>
      <c r="H811" s="25">
        <f>IF(B811&lt;62,0,'Combined Retirement'!$I$14)</f>
        <v>2192</v>
      </c>
      <c r="I811" s="25">
        <f>IF(C811&lt;62,0,'Combined Retirement'!$I$13)</f>
        <v>2420</v>
      </c>
      <c r="J811" s="25">
        <f t="shared" si="783"/>
        <v>7863.2184191855868</v>
      </c>
      <c r="K811" s="25">
        <f t="shared" si="784"/>
        <v>20282.026119384056</v>
      </c>
      <c r="L811" s="25"/>
      <c r="N811" s="25">
        <f>'Combined Retirement'!$C$18/12</f>
        <v>39153.069999999992</v>
      </c>
      <c r="O811" s="25">
        <f t="shared" si="785"/>
        <v>11007.82546143035</v>
      </c>
      <c r="P811" s="25">
        <f t="shared" si="786"/>
        <v>28145.244538569641</v>
      </c>
      <c r="Q811" s="25">
        <f t="array" aca="1" ref="Q811" ca="1">INDEX('Isaac 401k'!L:L,MATCH('Retirement Calculator'!A811,'Isaac 401k'!N:N,0),0)</f>
        <v>-3354190.379955417</v>
      </c>
      <c r="R811" s="25">
        <f t="array" aca="1" ref="R811" ca="1">INDEX('Lorri 401b'!L:L,MATCH('Retirement Calculator'!A811,'Lorri 401b'!N:N,0),0)</f>
        <v>-8342606.252506081</v>
      </c>
      <c r="S811" s="25">
        <f t="shared" ca="1" si="787"/>
        <v>-11696796.632461498</v>
      </c>
    </row>
    <row r="812" spans="1:19" ht="15.75" customHeight="1" x14ac:dyDescent="0.3">
      <c r="A812" s="37">
        <v>75666</v>
      </c>
      <c r="B812" s="409">
        <f t="shared" ref="B812:C812" si="823">($A812-B$9)/365.25</f>
        <v>125.28405201916496</v>
      </c>
      <c r="C812" s="409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3525.4531757812501</v>
      </c>
      <c r="H812" s="25">
        <f>IF(B812&lt;62,0,'Combined Retirement'!$I$14)</f>
        <v>2192</v>
      </c>
      <c r="I812" s="25">
        <f>IF(C812&lt;62,0,'Combined Retirement'!$I$13)</f>
        <v>2420</v>
      </c>
      <c r="J812" s="25">
        <f t="shared" si="783"/>
        <v>7863.2184191855868</v>
      </c>
      <c r="K812" s="25">
        <f t="shared" si="784"/>
        <v>20282.026119384056</v>
      </c>
      <c r="L812" s="25"/>
      <c r="N812" s="25">
        <f>'Combined Retirement'!$C$18/12</f>
        <v>39153.069999999992</v>
      </c>
      <c r="O812" s="25">
        <f t="shared" si="785"/>
        <v>11007.82546143035</v>
      </c>
      <c r="P812" s="25">
        <f t="shared" si="786"/>
        <v>28145.244538569641</v>
      </c>
      <c r="Q812" s="25">
        <f t="array" aca="1" ref="Q812" ca="1">INDEX('Isaac 401k'!L:L,MATCH('Retirement Calculator'!A812,'Isaac 401k'!N:N,0),0)</f>
        <v>-3376062.1550344964</v>
      </c>
      <c r="R812" s="25">
        <f t="array" aca="1" ref="R812" ca="1">INDEX('Lorri 401b'!L:L,MATCH('Retirement Calculator'!A812,'Lorri 401b'!N:N,0),0)</f>
        <v>-8397733.6464530714</v>
      </c>
      <c r="S812" s="25">
        <f t="shared" ca="1" si="787"/>
        <v>-11773795.801487569</v>
      </c>
    </row>
    <row r="813" spans="1:19" ht="15.75" customHeight="1" x14ac:dyDescent="0.3">
      <c r="A813" s="37">
        <v>75697</v>
      </c>
      <c r="B813" s="409">
        <f t="shared" ref="B813:C813" si="824">($A813-B$9)/365.25</f>
        <v>125.36892539356604</v>
      </c>
      <c r="C813" s="409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3525.4531757812501</v>
      </c>
      <c r="H813" s="25">
        <f>IF(B813&lt;62,0,'Combined Retirement'!$I$14)</f>
        <v>2192</v>
      </c>
      <c r="I813" s="25">
        <f>IF(C813&lt;62,0,'Combined Retirement'!$I$13)</f>
        <v>2420</v>
      </c>
      <c r="J813" s="25">
        <f t="shared" si="783"/>
        <v>7863.2184191855868</v>
      </c>
      <c r="K813" s="25">
        <f t="shared" si="784"/>
        <v>20282.026119384056</v>
      </c>
      <c r="L813" s="25"/>
      <c r="N813" s="25">
        <f>'Combined Retirement'!$C$18/12</f>
        <v>39153.069999999992</v>
      </c>
      <c r="O813" s="25">
        <f t="shared" si="785"/>
        <v>11007.82546143035</v>
      </c>
      <c r="P813" s="25">
        <f t="shared" si="786"/>
        <v>28145.244538569641</v>
      </c>
      <c r="Q813" s="25">
        <f t="array" aca="1" ref="Q813" ca="1">INDEX('Isaac 401k'!L:L,MATCH('Retirement Calculator'!A813,'Isaac 401k'!N:N,0),0)</f>
        <v>-3398025.0625097388</v>
      </c>
      <c r="R813" s="25">
        <f t="array" aca="1" ref="R813" ca="1">INDEX('Lorri 401b'!L:L,MATCH('Retirement Calculator'!A813,'Lorri 401b'!N:N,0),0)</f>
        <v>-8453090.7378748413</v>
      </c>
      <c r="S813" s="25">
        <f t="shared" ca="1" si="787"/>
        <v>-11851115.800384581</v>
      </c>
    </row>
    <row r="814" spans="1:19" ht="15.75" customHeight="1" x14ac:dyDescent="0.3">
      <c r="A814" s="37">
        <v>75727</v>
      </c>
      <c r="B814" s="409">
        <f t="shared" ref="B814:C814" si="825">($A814-B$9)/365.25</f>
        <v>125.45106091718002</v>
      </c>
      <c r="C814" s="409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3525.4531757812501</v>
      </c>
      <c r="H814" s="25">
        <f>IF(B814&lt;62,0,'Combined Retirement'!$I$14)</f>
        <v>2192</v>
      </c>
      <c r="I814" s="25">
        <f>IF(C814&lt;62,0,'Combined Retirement'!$I$13)</f>
        <v>2420</v>
      </c>
      <c r="J814" s="25">
        <f t="shared" si="783"/>
        <v>7863.2184191855868</v>
      </c>
      <c r="K814" s="25">
        <f t="shared" si="784"/>
        <v>20282.026119384056</v>
      </c>
      <c r="L814" s="25"/>
      <c r="N814" s="25">
        <f>'Combined Retirement'!$C$18/12</f>
        <v>39153.069999999992</v>
      </c>
      <c r="O814" s="25">
        <f t="shared" si="785"/>
        <v>11007.82546143035</v>
      </c>
      <c r="P814" s="25">
        <f t="shared" si="786"/>
        <v>28145.244538569641</v>
      </c>
      <c r="Q814" s="25">
        <f t="array" aca="1" ref="Q814" ca="1">INDEX('Isaac 401k'!L:L,MATCH('Retirement Calculator'!A814,'Isaac 401k'!N:N,0),0)</f>
        <v>-3420079.4820994614</v>
      </c>
      <c r="R814" s="25">
        <f t="array" aca="1" ref="R814" ca="1">INDEX('Lorri 401b'!L:L,MATCH('Retirement Calculator'!A814,'Lorri 401b'!N:N,0),0)</f>
        <v>-8508678.483844202</v>
      </c>
      <c r="S814" s="25">
        <f t="shared" ca="1" si="787"/>
        <v>-11928757.965943664</v>
      </c>
    </row>
    <row r="815" spans="1:19" ht="15.75" customHeight="1" x14ac:dyDescent="0.3">
      <c r="A815" s="37">
        <v>75758</v>
      </c>
      <c r="B815" s="409">
        <f t="shared" ref="B815:C815" si="826">($A815-B$9)/365.25</f>
        <v>125.53593429158111</v>
      </c>
      <c r="C815" s="409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3525.4531757812501</v>
      </c>
      <c r="H815" s="25">
        <f>IF(B815&lt;62,0,'Combined Retirement'!$I$14)</f>
        <v>2192</v>
      </c>
      <c r="I815" s="25">
        <f>IF(C815&lt;62,0,'Combined Retirement'!$I$13)</f>
        <v>2420</v>
      </c>
      <c r="J815" s="25">
        <f t="shared" si="783"/>
        <v>7863.2184191855868</v>
      </c>
      <c r="K815" s="25">
        <f t="shared" si="784"/>
        <v>20282.026119384056</v>
      </c>
      <c r="L815" s="25"/>
      <c r="N815" s="25">
        <f>'Combined Retirement'!$C$18/12</f>
        <v>39153.069999999992</v>
      </c>
      <c r="O815" s="25">
        <f t="shared" si="785"/>
        <v>11007.82546143035</v>
      </c>
      <c r="P815" s="25">
        <f t="shared" si="786"/>
        <v>28145.244538569641</v>
      </c>
      <c r="Q815" s="25">
        <f t="array" aca="1" ref="Q815" ca="1">INDEX('Isaac 401k'!L:L,MATCH('Retirement Calculator'!A815,'Isaac 401k'!N:N,0),0)</f>
        <v>-3442225.7951041409</v>
      </c>
      <c r="R815" s="25">
        <f t="array" aca="1" ref="R815" ca="1">INDEX('Lorri 401b'!L:L,MATCH('Retirement Calculator'!A815,'Lorri 401b'!N:N,0),0)</f>
        <v>-8564497.8454217687</v>
      </c>
      <c r="S815" s="25">
        <f t="shared" ca="1" si="787"/>
        <v>-12006723.640525909</v>
      </c>
    </row>
    <row r="816" spans="1:19" ht="15.75" customHeight="1" x14ac:dyDescent="0.3">
      <c r="A816" s="37">
        <v>75788</v>
      </c>
      <c r="B816" s="409">
        <f t="shared" ref="B816:C816" si="827">($A816-B$9)/365.25</f>
        <v>125.61806981519507</v>
      </c>
      <c r="C816" s="409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3525.4531757812501</v>
      </c>
      <c r="H816" s="25">
        <f>IF(B816&lt;62,0,'Combined Retirement'!$I$14)</f>
        <v>2192</v>
      </c>
      <c r="I816" s="25">
        <f>IF(C816&lt;62,0,'Combined Retirement'!$I$13)</f>
        <v>2420</v>
      </c>
      <c r="J816" s="25">
        <f t="shared" si="783"/>
        <v>7863.2184191855868</v>
      </c>
      <c r="K816" s="25">
        <f t="shared" si="784"/>
        <v>20282.026119384056</v>
      </c>
      <c r="L816" s="25"/>
      <c r="N816" s="25">
        <f>'Combined Retirement'!$C$18/12</f>
        <v>39153.069999999992</v>
      </c>
      <c r="O816" s="25">
        <f t="shared" si="785"/>
        <v>11007.82546143035</v>
      </c>
      <c r="P816" s="25">
        <f t="shared" si="786"/>
        <v>28145.244538569641</v>
      </c>
      <c r="Q816" s="25">
        <f t="array" aca="1" ref="Q816" ca="1">INDEX('Isaac 401k'!L:L,MATCH('Retirement Calculator'!A816,'Isaac 401k'!N:N,0),0)</f>
        <v>-3464464.3844130067</v>
      </c>
      <c r="R816" s="25">
        <f t="array" aca="1" ref="R816" ca="1">INDEX('Lorri 401b'!L:L,MATCH('Retirement Calculator'!A816,'Lorri 401b'!N:N,0),0)</f>
        <v>-8620549.7876725756</v>
      </c>
      <c r="S816" s="25">
        <f t="shared" ca="1" si="787"/>
        <v>-12085014.172085583</v>
      </c>
    </row>
    <row r="817" spans="1:19" ht="15.75" customHeight="1" x14ac:dyDescent="0.3">
      <c r="A817" s="37">
        <v>75819</v>
      </c>
      <c r="B817" s="409">
        <f t="shared" ref="B817:C817" si="828">($A817-B$9)/365.25</f>
        <v>125.70294318959617</v>
      </c>
      <c r="C817" s="409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3525.4531757812501</v>
      </c>
      <c r="H817" s="25">
        <f>IF(B817&lt;62,0,'Combined Retirement'!$I$14)</f>
        <v>2192</v>
      </c>
      <c r="I817" s="25">
        <f>IF(C817&lt;62,0,'Combined Retirement'!$I$13)</f>
        <v>2420</v>
      </c>
      <c r="J817" s="25">
        <f t="shared" si="783"/>
        <v>7863.2184191855868</v>
      </c>
      <c r="K817" s="25">
        <f t="shared" si="784"/>
        <v>20282.026119384056</v>
      </c>
      <c r="L817" s="25"/>
      <c r="N817" s="25">
        <f>'Combined Retirement'!$C$18/12</f>
        <v>39153.069999999992</v>
      </c>
      <c r="O817" s="25">
        <f t="shared" si="785"/>
        <v>11007.82546143035</v>
      </c>
      <c r="P817" s="25">
        <f t="shared" si="786"/>
        <v>28145.244538569641</v>
      </c>
      <c r="Q817" s="25">
        <f t="array" aca="1" ref="Q817" ca="1">INDEX('Isaac 401k'!L:L,MATCH('Retirement Calculator'!A817,'Isaac 401k'!N:N,0),0)</f>
        <v>-3486795.6345106596</v>
      </c>
      <c r="R817" s="25">
        <f t="array" aca="1" ref="R817" ca="1">INDEX('Lorri 401b'!L:L,MATCH('Retirement Calculator'!A817,'Lorri 401b'!N:N,0),0)</f>
        <v>-8676835.2796827611</v>
      </c>
      <c r="S817" s="25">
        <f t="shared" ca="1" si="787"/>
        <v>-12163630.914193422</v>
      </c>
    </row>
    <row r="818" spans="1:19" ht="15.75" customHeight="1" x14ac:dyDescent="0.3">
      <c r="A818" s="37">
        <v>75850</v>
      </c>
      <c r="B818" s="409">
        <f t="shared" ref="B818:C818" si="829">($A818-B$9)/365.25</f>
        <v>125.78781656399727</v>
      </c>
      <c r="C818" s="409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3525.4531757812501</v>
      </c>
      <c r="H818" s="25">
        <f>IF(B818&lt;62,0,'Combined Retirement'!$I$14)</f>
        <v>2192</v>
      </c>
      <c r="I818" s="25">
        <f>IF(C818&lt;62,0,'Combined Retirement'!$I$13)</f>
        <v>2420</v>
      </c>
      <c r="J818" s="25">
        <f t="shared" si="783"/>
        <v>7863.2184191855868</v>
      </c>
      <c r="K818" s="25">
        <f t="shared" si="784"/>
        <v>20282.026119384056</v>
      </c>
      <c r="L818" s="25"/>
      <c r="N818" s="25">
        <f>'Combined Retirement'!$C$18/12</f>
        <v>39153.069999999992</v>
      </c>
      <c r="O818" s="25">
        <f t="shared" si="785"/>
        <v>11007.82546143035</v>
      </c>
      <c r="P818" s="25">
        <f t="shared" si="786"/>
        <v>28145.244538569641</v>
      </c>
      <c r="Q818" s="25">
        <f t="array" aca="1" ref="Q818" ca="1">INDEX('Isaac 401k'!L:L,MATCH('Retirement Calculator'!A818,'Isaac 401k'!N:N,0),0)</f>
        <v>-3509219.9314837195</v>
      </c>
      <c r="R818" s="25">
        <f t="array" aca="1" ref="R818" ca="1">INDEX('Lorri 401b'!L:L,MATCH('Retirement Calculator'!A818,'Lorri 401b'!N:N,0),0)</f>
        <v>-8733355.2945763208</v>
      </c>
      <c r="S818" s="25">
        <f t="shared" ca="1" si="787"/>
        <v>-12242575.22606004</v>
      </c>
    </row>
    <row r="819" spans="1:19" ht="15.75" customHeight="1" x14ac:dyDescent="0.3">
      <c r="A819" s="37">
        <v>75880</v>
      </c>
      <c r="B819" s="409">
        <f t="shared" ref="B819:C819" si="830">($A819-B$9)/365.25</f>
        <v>125.86995208761122</v>
      </c>
      <c r="C819" s="409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3525.4531757812501</v>
      </c>
      <c r="H819" s="25">
        <f>IF(B819&lt;62,0,'Combined Retirement'!$I$14)</f>
        <v>2192</v>
      </c>
      <c r="I819" s="25">
        <f>IF(C819&lt;62,0,'Combined Retirement'!$I$13)</f>
        <v>2420</v>
      </c>
      <c r="J819" s="25">
        <f t="shared" si="783"/>
        <v>7863.2184191855868</v>
      </c>
      <c r="K819" s="25">
        <f t="shared" si="784"/>
        <v>20282.026119384056</v>
      </c>
      <c r="L819" s="25"/>
      <c r="N819" s="25">
        <f>'Combined Retirement'!$C$18/12</f>
        <v>39153.069999999992</v>
      </c>
      <c r="O819" s="25">
        <f t="shared" si="785"/>
        <v>11007.82546143035</v>
      </c>
      <c r="P819" s="25">
        <f t="shared" si="786"/>
        <v>28145.244538569641</v>
      </c>
      <c r="Q819" s="25">
        <f t="array" aca="1" ref="Q819" ca="1">INDEX('Isaac 401k'!L:L,MATCH('Retirement Calculator'!A819,'Isaac 401k'!N:N,0),0)</f>
        <v>-3531737.6630275003</v>
      </c>
      <c r="R819" s="25">
        <f t="array" aca="1" ref="R819" ca="1">INDEX('Lorri 401b'!L:L,MATCH('Retirement Calculator'!A819,'Lorri 401b'!N:N,0),0)</f>
        <v>-8790110.8095319383</v>
      </c>
      <c r="S819" s="25">
        <f t="shared" ca="1" si="787"/>
        <v>-12321848.472559439</v>
      </c>
    </row>
    <row r="820" spans="1:19" ht="15.75" customHeight="1" x14ac:dyDescent="0.3">
      <c r="A820" s="37">
        <v>75911</v>
      </c>
      <c r="B820" s="409">
        <f t="shared" ref="B820:C820" si="831">($A820-B$9)/365.25</f>
        <v>125.95482546201232</v>
      </c>
      <c r="C820" s="409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3525.4531757812501</v>
      </c>
      <c r="H820" s="25">
        <f>IF(B820&lt;62,0,'Combined Retirement'!$I$14)</f>
        <v>2192</v>
      </c>
      <c r="I820" s="25">
        <f>IF(C820&lt;62,0,'Combined Retirement'!$I$13)</f>
        <v>2420</v>
      </c>
      <c r="J820" s="25">
        <f t="shared" si="783"/>
        <v>7863.2184191855868</v>
      </c>
      <c r="K820" s="25">
        <f t="shared" si="784"/>
        <v>20282.026119384056</v>
      </c>
      <c r="L820" s="25"/>
      <c r="N820" s="25">
        <f>'Combined Retirement'!$C$18/12</f>
        <v>39153.069999999992</v>
      </c>
      <c r="O820" s="25">
        <f t="shared" si="785"/>
        <v>11007.82546143035</v>
      </c>
      <c r="P820" s="25">
        <f t="shared" si="786"/>
        <v>28145.244538569641</v>
      </c>
      <c r="Q820" s="25">
        <f t="array" aca="1" ref="Q820" ca="1">INDEX('Isaac 401k'!L:L,MATCH('Retirement Calculator'!A820,'Isaac 401k'!N:N,0),0)</f>
        <v>-3554349.2184527135</v>
      </c>
      <c r="R820" s="25">
        <f t="array" aca="1" ref="R820" ca="1">INDEX('Lorri 401b'!L:L,MATCH('Retirement Calculator'!A820,'Lorri 401b'!N:N,0),0)</f>
        <v>-8847102.8057998698</v>
      </c>
      <c r="S820" s="25">
        <f t="shared" ca="1" si="787"/>
        <v>-12401452.024252582</v>
      </c>
    </row>
    <row r="821" spans="1:19" ht="15.75" customHeight="1" x14ac:dyDescent="0.3">
      <c r="A821" s="37">
        <v>75941</v>
      </c>
      <c r="B821" s="409">
        <f t="shared" ref="B821:C821" si="832">($A821-B$9)/365.25</f>
        <v>126.03696098562628</v>
      </c>
      <c r="C821" s="409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3525.4531757812501</v>
      </c>
      <c r="H821" s="25">
        <f>IF(B821&lt;62,0,'Combined Retirement'!$I$14)</f>
        <v>2192</v>
      </c>
      <c r="I821" s="25">
        <f>IF(C821&lt;62,0,'Combined Retirement'!$I$13)</f>
        <v>2420</v>
      </c>
      <c r="J821" s="25">
        <f t="shared" si="783"/>
        <v>7863.2184191855868</v>
      </c>
      <c r="K821" s="25">
        <f t="shared" si="784"/>
        <v>20282.026119384056</v>
      </c>
      <c r="L821" s="25"/>
      <c r="N821" s="25">
        <f>'Combined Retirement'!$C$18/12</f>
        <v>39153.069999999992</v>
      </c>
      <c r="O821" s="25">
        <f t="shared" si="785"/>
        <v>11007.82546143035</v>
      </c>
      <c r="P821" s="25">
        <f t="shared" si="786"/>
        <v>28145.244538569641</v>
      </c>
      <c r="Q821" s="25">
        <f t="array" aca="1" ref="Q821" ca="1">INDEX('Isaac 401k'!L:L,MATCH('Retirement Calculator'!A821,'Isaac 401k'!N:N,0),0)</f>
        <v>-3577054.9886921984</v>
      </c>
      <c r="R821" s="25">
        <f t="array" aca="1" ref="R821" ca="1">INDEX('Lorri 401b'!L:L,MATCH('Retirement Calculator'!A821,'Lorri 401b'!N:N,0),0)</f>
        <v>-8904332.2687189188</v>
      </c>
      <c r="S821" s="25">
        <f t="shared" ca="1" si="787"/>
        <v>-12481387.257411117</v>
      </c>
    </row>
    <row r="822" spans="1:19" ht="15.75" customHeight="1" x14ac:dyDescent="0.3">
      <c r="A822" s="37">
        <v>75972</v>
      </c>
      <c r="B822" s="409">
        <f t="shared" ref="B822:C822" si="833">($A822-B$9)/365.25</f>
        <v>126.12183436002738</v>
      </c>
      <c r="C822" s="409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3525.4531757812501</v>
      </c>
      <c r="H822" s="25">
        <f>IF(B822&lt;62,0,'Combined Retirement'!$I$14)</f>
        <v>2192</v>
      </c>
      <c r="I822" s="25">
        <f>IF(C822&lt;62,0,'Combined Retirement'!$I$13)</f>
        <v>2420</v>
      </c>
      <c r="J822" s="25">
        <f t="shared" si="783"/>
        <v>7863.2184191855868</v>
      </c>
      <c r="K822" s="25">
        <f t="shared" si="784"/>
        <v>20282.026119384056</v>
      </c>
      <c r="L822" s="25"/>
      <c r="N822" s="25">
        <f>'Combined Retirement'!$C$18/12</f>
        <v>39153.069999999992</v>
      </c>
      <c r="O822" s="25">
        <f t="shared" si="785"/>
        <v>11007.82546143035</v>
      </c>
      <c r="P822" s="25">
        <f t="shared" si="786"/>
        <v>28145.244538569641</v>
      </c>
      <c r="Q822" s="25">
        <f t="array" aca="1" ref="Q822" ca="1">INDEX('Isaac 401k'!L:L,MATCH('Retirement Calculator'!A822,'Isaac 401k'!N:N,0),0)</f>
        <v>-3599855.3663076814</v>
      </c>
      <c r="R822" s="25">
        <f t="array" aca="1" ref="R822" ca="1">INDEX('Lorri 401b'!L:L,MATCH('Retirement Calculator'!A822,'Lorri 401b'!N:N,0),0)</f>
        <v>-8961800.1877334639</v>
      </c>
      <c r="S822" s="25">
        <f t="shared" ca="1" si="787"/>
        <v>-12561655.554041145</v>
      </c>
    </row>
    <row r="823" spans="1:19" ht="15.75" customHeight="1" x14ac:dyDescent="0.3">
      <c r="A823" s="37">
        <v>76003</v>
      </c>
      <c r="B823" s="409">
        <f t="shared" ref="B823:C823" si="834">($A823-B$9)/365.25</f>
        <v>126.20670773442848</v>
      </c>
      <c r="C823" s="409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3525.4531757812501</v>
      </c>
      <c r="H823" s="25">
        <f>IF(B823&lt;62,0,'Combined Retirement'!$I$14)</f>
        <v>2192</v>
      </c>
      <c r="I823" s="25">
        <f>IF(C823&lt;62,0,'Combined Retirement'!$I$13)</f>
        <v>2420</v>
      </c>
      <c r="J823" s="25">
        <f t="shared" si="783"/>
        <v>7863.2184191855868</v>
      </c>
      <c r="K823" s="25">
        <f t="shared" si="784"/>
        <v>20282.026119384056</v>
      </c>
      <c r="L823" s="25"/>
      <c r="N823" s="25">
        <f>'Combined Retirement'!$C$18/12</f>
        <v>39153.069999999992</v>
      </c>
      <c r="O823" s="25">
        <f t="shared" si="785"/>
        <v>11007.82546143035</v>
      </c>
      <c r="P823" s="25">
        <f t="shared" si="786"/>
        <v>28145.244538569641</v>
      </c>
      <c r="Q823" s="25">
        <f t="array" aca="1" ref="Q823" ca="1">INDEX('Isaac 401k'!L:L,MATCH('Retirement Calculator'!A823,'Isaac 401k'!N:N,0),0)</f>
        <v>-3622750.7454965622</v>
      </c>
      <c r="R823" s="25">
        <f t="array" aca="1" ref="R823" ca="1">INDEX('Lorri 401b'!L:L,MATCH('Retirement Calculator'!A823,'Lorri 401b'!N:N,0),0)</f>
        <v>-9019507.5564105697</v>
      </c>
      <c r="S823" s="25">
        <f t="shared" ca="1" si="787"/>
        <v>-12642258.301907131</v>
      </c>
    </row>
    <row r="824" spans="1:19" ht="15.75" customHeight="1" x14ac:dyDescent="0.3">
      <c r="A824" s="37">
        <v>76032</v>
      </c>
      <c r="B824" s="409">
        <f t="shared" ref="B824:C824" si="835">($A824-B$9)/365.25</f>
        <v>126.28610540725531</v>
      </c>
      <c r="C824" s="409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3525.4531757812501</v>
      </c>
      <c r="H824" s="25">
        <f>IF(B824&lt;62,0,'Combined Retirement'!$I$14)</f>
        <v>2192</v>
      </c>
      <c r="I824" s="25">
        <f>IF(C824&lt;62,0,'Combined Retirement'!$I$13)</f>
        <v>2420</v>
      </c>
      <c r="J824" s="25">
        <f t="shared" si="783"/>
        <v>7863.2184191855868</v>
      </c>
      <c r="K824" s="25">
        <f t="shared" si="784"/>
        <v>20282.026119384056</v>
      </c>
      <c r="L824" s="25"/>
      <c r="N824" s="25">
        <f>'Combined Retirement'!$C$18/12</f>
        <v>39153.069999999992</v>
      </c>
      <c r="O824" s="25">
        <f t="shared" si="785"/>
        <v>11007.82546143035</v>
      </c>
      <c r="P824" s="25">
        <f t="shared" si="786"/>
        <v>28145.244538569641</v>
      </c>
      <c r="Q824" s="25">
        <f t="array" aca="1" ref="Q824" ca="1">INDEX('Isaac 401k'!L:L,MATCH('Retirement Calculator'!A824,'Isaac 401k'!N:N,0),0)</f>
        <v>-3645741.5220987299</v>
      </c>
      <c r="R824" s="25">
        <f t="array" aca="1" ref="R824" ca="1">INDEX('Lorri 401b'!L:L,MATCH('Retirement Calculator'!A824,'Lorri 401b'!N:N,0),0)</f>
        <v>-9077455.3724571634</v>
      </c>
      <c r="S824" s="25">
        <f t="shared" ca="1" si="787"/>
        <v>-12723196.894555893</v>
      </c>
    </row>
    <row r="825" spans="1:19" ht="15.75" customHeight="1" x14ac:dyDescent="0.3">
      <c r="A825" s="37">
        <v>76063</v>
      </c>
      <c r="B825" s="409">
        <f t="shared" ref="B825:C825" si="836">($A825-B$9)/365.25</f>
        <v>126.3709787816564</v>
      </c>
      <c r="C825" s="409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3525.4531757812501</v>
      </c>
      <c r="H825" s="25">
        <f>IF(B825&lt;62,0,'Combined Retirement'!$I$14)</f>
        <v>2192</v>
      </c>
      <c r="I825" s="25">
        <f>IF(C825&lt;62,0,'Combined Retirement'!$I$13)</f>
        <v>2420</v>
      </c>
      <c r="J825" s="25">
        <f t="shared" si="783"/>
        <v>7863.2184191855868</v>
      </c>
      <c r="K825" s="25">
        <f t="shared" si="784"/>
        <v>20282.026119384056</v>
      </c>
      <c r="L825" s="25"/>
      <c r="N825" s="25">
        <f>'Combined Retirement'!$C$18/12</f>
        <v>39153.069999999992</v>
      </c>
      <c r="O825" s="25">
        <f t="shared" si="785"/>
        <v>11007.82546143035</v>
      </c>
      <c r="P825" s="25">
        <f t="shared" si="786"/>
        <v>28145.244538569641</v>
      </c>
      <c r="Q825" s="25">
        <f t="array" aca="1" ref="Q825" ca="1">INDEX('Isaac 401k'!L:L,MATCH('Retirement Calculator'!A825,'Isaac 401k'!N:N,0),0)</f>
        <v>-3668828.0936034066</v>
      </c>
      <c r="R825" s="25">
        <f t="array" aca="1" ref="R825" ca="1">INDEX('Lorri 401b'!L:L,MATCH('Retirement Calculator'!A825,'Lorri 401b'!N:N,0),0)</f>
        <v>-9135644.6377372835</v>
      </c>
      <c r="S825" s="25">
        <f t="shared" ca="1" si="787"/>
        <v>-12804472.73134069</v>
      </c>
    </row>
    <row r="826" spans="1:19" ht="15.75" customHeight="1" x14ac:dyDescent="0.3">
      <c r="A826" s="37">
        <v>76093</v>
      </c>
      <c r="B826" s="409">
        <f t="shared" ref="B826:C826" si="837">($A826-B$9)/365.25</f>
        <v>126.45311430527036</v>
      </c>
      <c r="C826" s="409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3525.4531757812501</v>
      </c>
      <c r="H826" s="25">
        <f>IF(B826&lt;62,0,'Combined Retirement'!$I$14)</f>
        <v>2192</v>
      </c>
      <c r="I826" s="25">
        <f>IF(C826&lt;62,0,'Combined Retirement'!$I$13)</f>
        <v>2420</v>
      </c>
      <c r="J826" s="25">
        <f t="shared" si="783"/>
        <v>7863.2184191855868</v>
      </c>
      <c r="K826" s="25">
        <f t="shared" si="784"/>
        <v>20282.026119384056</v>
      </c>
      <c r="L826" s="25"/>
      <c r="N826" s="25">
        <f>'Combined Retirement'!$C$18/12</f>
        <v>39153.069999999992</v>
      </c>
      <c r="O826" s="25">
        <f t="shared" si="785"/>
        <v>11007.82546143035</v>
      </c>
      <c r="P826" s="25">
        <f t="shared" si="786"/>
        <v>28145.244538569641</v>
      </c>
      <c r="Q826" s="25">
        <f t="array" aca="1" ref="Q826" ca="1">INDEX('Isaac 401k'!L:L,MATCH('Retirement Calculator'!A826,'Isaac 401k'!N:N,0),0)</f>
        <v>-3692010.8591560195</v>
      </c>
      <c r="R826" s="25">
        <f t="array" aca="1" ref="R826" ca="1">INDEX('Lorri 401b'!L:L,MATCH('Retirement Calculator'!A826,'Lorri 401b'!N:N,0),0)</f>
        <v>-9194076.3582894038</v>
      </c>
      <c r="S826" s="25">
        <f t="shared" ca="1" si="787"/>
        <v>-12886087.217445424</v>
      </c>
    </row>
    <row r="827" spans="1:19" ht="15.75" customHeight="1" x14ac:dyDescent="0.3">
      <c r="A827" s="37">
        <v>76124</v>
      </c>
      <c r="B827" s="409">
        <f t="shared" ref="B827:C827" si="838">($A827-B$9)/365.25</f>
        <v>126.53798767967146</v>
      </c>
      <c r="C827" s="409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3525.4531757812501</v>
      </c>
      <c r="H827" s="25">
        <f>IF(B827&lt;62,0,'Combined Retirement'!$I$14)</f>
        <v>2192</v>
      </c>
      <c r="I827" s="25">
        <f>IF(C827&lt;62,0,'Combined Retirement'!$I$13)</f>
        <v>2420</v>
      </c>
      <c r="J827" s="25">
        <f t="shared" si="783"/>
        <v>7863.2184191855868</v>
      </c>
      <c r="K827" s="25">
        <f t="shared" si="784"/>
        <v>20282.026119384056</v>
      </c>
      <c r="L827" s="25"/>
      <c r="N827" s="25">
        <f>'Combined Retirement'!$C$18/12</f>
        <v>39153.069999999992</v>
      </c>
      <c r="O827" s="25">
        <f t="shared" si="785"/>
        <v>11007.82546143035</v>
      </c>
      <c r="P827" s="25">
        <f t="shared" si="786"/>
        <v>28145.244538569641</v>
      </c>
      <c r="Q827" s="25">
        <f t="array" aca="1" ref="Q827" ca="1">INDEX('Isaac 401k'!L:L,MATCH('Retirement Calculator'!A827,'Isaac 401k'!N:N,0),0)</f>
        <v>-3715290.2195651014</v>
      </c>
      <c r="R827" s="25">
        <f t="array" aca="1" ref="R827" ca="1">INDEX('Lorri 401b'!L:L,MATCH('Retirement Calculator'!A827,'Lorri 401b'!N:N,0),0)</f>
        <v>-9252751.5443438254</v>
      </c>
      <c r="S827" s="25">
        <f t="shared" ca="1" si="787"/>
        <v>-12968041.763908926</v>
      </c>
    </row>
    <row r="828" spans="1:19" ht="15.75" customHeight="1" x14ac:dyDescent="0.3">
      <c r="A828" s="37">
        <v>76154</v>
      </c>
      <c r="B828" s="409">
        <f t="shared" ref="B828:C828" si="839">($A828-B$9)/365.25</f>
        <v>126.62012320328542</v>
      </c>
      <c r="C828" s="409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3525.4531757812501</v>
      </c>
      <c r="H828" s="25">
        <f>IF(B828&lt;62,0,'Combined Retirement'!$I$14)</f>
        <v>2192</v>
      </c>
      <c r="I828" s="25">
        <f>IF(C828&lt;62,0,'Combined Retirement'!$I$13)</f>
        <v>2420</v>
      </c>
      <c r="J828" s="25">
        <f t="shared" si="783"/>
        <v>7863.2184191855868</v>
      </c>
      <c r="K828" s="25">
        <f t="shared" si="784"/>
        <v>20282.026119384056</v>
      </c>
      <c r="L828" s="25"/>
      <c r="N828" s="25">
        <f>'Combined Retirement'!$C$18/12</f>
        <v>39153.069999999992</v>
      </c>
      <c r="O828" s="25">
        <f t="shared" si="785"/>
        <v>11007.82546143035</v>
      </c>
      <c r="P828" s="25">
        <f t="shared" si="786"/>
        <v>28145.244538569641</v>
      </c>
      <c r="Q828" s="25">
        <f t="array" aca="1" ref="Q828" ca="1">INDEX('Isaac 401k'!L:L,MATCH('Retirement Calculator'!A828,'Isaac 401k'!N:N,0),0)</f>
        <v>-3738666.5773092215</v>
      </c>
      <c r="R828" s="25">
        <f t="array" aca="1" ref="R828" ca="1">INDEX('Lorri 401b'!L:L,MATCH('Retirement Calculator'!A828,'Lorri 401b'!N:N,0),0)</f>
        <v>-9311671.2103401404</v>
      </c>
      <c r="S828" s="25">
        <f t="shared" ca="1" si="787"/>
        <v>-13050337.787649361</v>
      </c>
    </row>
    <row r="829" spans="1:19" ht="15.75" customHeight="1" x14ac:dyDescent="0.3">
      <c r="A829" s="37">
        <v>76185</v>
      </c>
      <c r="B829" s="409">
        <f t="shared" ref="B829:C829" si="840">($A829-B$9)/365.25</f>
        <v>126.70499657768652</v>
      </c>
      <c r="C829" s="409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3525.4531757812501</v>
      </c>
      <c r="H829" s="25">
        <f>IF(B829&lt;62,0,'Combined Retirement'!$I$14)</f>
        <v>2192</v>
      </c>
      <c r="I829" s="25">
        <f>IF(C829&lt;62,0,'Combined Retirement'!$I$13)</f>
        <v>2420</v>
      </c>
      <c r="J829" s="25">
        <f t="shared" si="783"/>
        <v>7863.2184191855868</v>
      </c>
      <c r="K829" s="25">
        <f t="shared" si="784"/>
        <v>20282.026119384056</v>
      </c>
      <c r="L829" s="25"/>
      <c r="N829" s="25">
        <f>'Combined Retirement'!$C$18/12</f>
        <v>39153.069999999992</v>
      </c>
      <c r="O829" s="25">
        <f t="shared" si="785"/>
        <v>11007.82546143035</v>
      </c>
      <c r="P829" s="25">
        <f t="shared" si="786"/>
        <v>28145.244538569641</v>
      </c>
      <c r="Q829" s="25">
        <f t="array" aca="1" ref="Q829" ca="1">INDEX('Isaac 401k'!L:L,MATCH('Retirement Calculator'!A829,'Isaac 401k'!N:N,0),0)</f>
        <v>-3762140.3365439419</v>
      </c>
      <c r="R829" s="25">
        <f t="array" aca="1" ref="R829" ca="1">INDEX('Lorri 401b'!L:L,MATCH('Retirement Calculator'!A829,'Lorri 401b'!N:N,0),0)</f>
        <v>-9370836.3749447726</v>
      </c>
      <c r="S829" s="25">
        <f t="shared" ca="1" si="787"/>
        <v>-13132976.711488714</v>
      </c>
    </row>
    <row r="830" spans="1:19" ht="15.75" customHeight="1" x14ac:dyDescent="0.3">
      <c r="A830" s="37">
        <v>76216</v>
      </c>
      <c r="B830" s="409">
        <f t="shared" ref="B830:C830" si="841">($A830-B$9)/365.25</f>
        <v>126.78986995208761</v>
      </c>
      <c r="C830" s="409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3525.4531757812501</v>
      </c>
      <c r="H830" s="25">
        <f>IF(B830&lt;62,0,'Combined Retirement'!$I$14)</f>
        <v>2192</v>
      </c>
      <c r="I830" s="25">
        <f>IF(C830&lt;62,0,'Combined Retirement'!$I$13)</f>
        <v>2420</v>
      </c>
      <c r="J830" s="25">
        <f t="shared" si="783"/>
        <v>7863.2184191855868</v>
      </c>
      <c r="K830" s="25">
        <f t="shared" si="784"/>
        <v>20282.026119384056</v>
      </c>
      <c r="L830" s="25"/>
      <c r="N830" s="25">
        <f>'Combined Retirement'!$C$18/12</f>
        <v>39153.069999999992</v>
      </c>
      <c r="O830" s="25">
        <f t="shared" si="785"/>
        <v>11007.82546143035</v>
      </c>
      <c r="P830" s="25">
        <f t="shared" si="786"/>
        <v>28145.244538569641</v>
      </c>
      <c r="Q830" s="25">
        <f t="array" aca="1" ref="Q830" ca="1">INDEX('Isaac 401k'!L:L,MATCH('Retirement Calculator'!A830,'Isaac 401k'!N:N,0),0)</f>
        <v>-3785711.9031088068</v>
      </c>
      <c r="R830" s="25">
        <f t="array" aca="1" ref="R830" ca="1">INDEX('Lorri 401b'!L:L,MATCH('Retirement Calculator'!A830,'Lorri 401b'!N:N,0),0)</f>
        <v>-9430248.0610685907</v>
      </c>
      <c r="S830" s="25">
        <f t="shared" ca="1" si="787"/>
        <v>-13215959.964177398</v>
      </c>
    </row>
    <row r="831" spans="1:19" ht="15.75" customHeight="1" x14ac:dyDescent="0.3">
      <c r="A831" s="37">
        <v>76246</v>
      </c>
      <c r="B831" s="409">
        <f t="shared" ref="B831:C831" si="842">($A831-B$9)/365.25</f>
        <v>126.87200547570157</v>
      </c>
      <c r="C831" s="409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3525.4531757812501</v>
      </c>
      <c r="H831" s="25">
        <f>IF(B831&lt;62,0,'Combined Retirement'!$I$14)</f>
        <v>2192</v>
      </c>
      <c r="I831" s="25">
        <f>IF(C831&lt;62,0,'Combined Retirement'!$I$13)</f>
        <v>2420</v>
      </c>
      <c r="J831" s="25">
        <f t="shared" si="783"/>
        <v>7863.2184191855868</v>
      </c>
      <c r="K831" s="25">
        <f t="shared" si="784"/>
        <v>20282.026119384056</v>
      </c>
      <c r="L831" s="25"/>
      <c r="N831" s="25">
        <f>'Combined Retirement'!$C$18/12</f>
        <v>39153.069999999992</v>
      </c>
      <c r="O831" s="25">
        <f t="shared" si="785"/>
        <v>11007.82546143035</v>
      </c>
      <c r="P831" s="25">
        <f t="shared" si="786"/>
        <v>28145.244538569641</v>
      </c>
      <c r="Q831" s="25">
        <f t="array" aca="1" ref="Q831" ca="1">INDEX('Isaac 401k'!L:L,MATCH('Retirement Calculator'!A831,'Isaac 401k'!N:N,0),0)</f>
        <v>-3809381.6845343588</v>
      </c>
      <c r="R831" s="25">
        <f t="array" aca="1" ref="R831" ca="1">INDEX('Lorri 401b'!L:L,MATCH('Retirement Calculator'!A831,'Lorri 401b'!N:N,0),0)</f>
        <v>-9489907.2958845925</v>
      </c>
      <c r="S831" s="25">
        <f t="shared" ca="1" si="787"/>
        <v>-13299288.98041895</v>
      </c>
    </row>
    <row r="832" spans="1:19" ht="15.75" customHeight="1" x14ac:dyDescent="0.3">
      <c r="A832" s="37">
        <v>76277</v>
      </c>
      <c r="B832" s="409">
        <f t="shared" ref="B832:C832" si="843">($A832-B$9)/365.25</f>
        <v>126.95687885010267</v>
      </c>
      <c r="C832" s="409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3525.4531757812501</v>
      </c>
      <c r="H832" s="25">
        <f>IF(B832&lt;62,0,'Combined Retirement'!$I$14)</f>
        <v>2192</v>
      </c>
      <c r="I832" s="25">
        <f>IF(C832&lt;62,0,'Combined Retirement'!$I$13)</f>
        <v>2420</v>
      </c>
      <c r="J832" s="25">
        <f t="shared" si="783"/>
        <v>7863.2184191855868</v>
      </c>
      <c r="K832" s="25">
        <f t="shared" si="784"/>
        <v>20282.026119384056</v>
      </c>
      <c r="L832" s="25"/>
      <c r="N832" s="25">
        <f>'Combined Retirement'!$C$18/12</f>
        <v>39153.069999999992</v>
      </c>
      <c r="O832" s="25">
        <f t="shared" si="785"/>
        <v>11007.82546143035</v>
      </c>
      <c r="P832" s="25">
        <f t="shared" si="786"/>
        <v>28145.244538569641</v>
      </c>
      <c r="Q832" s="25">
        <f t="array" aca="1" ref="Q832" ca="1">INDEX('Isaac 401k'!L:L,MATCH('Retirement Calculator'!A832,'Isaac 401k'!N:N,0),0)</f>
        <v>-3833150.0900491839</v>
      </c>
      <c r="R832" s="25">
        <f t="array" aca="1" ref="R832" ca="1">INDEX('Lorri 401b'!L:L,MATCH('Retirement Calculator'!A832,'Lorri 401b'!N:N,0),0)</f>
        <v>-9549815.1108456608</v>
      </c>
      <c r="S832" s="25">
        <f t="shared" ca="1" si="787"/>
        <v>-13382965.200894844</v>
      </c>
    </row>
    <row r="833" spans="1:19" ht="15.75" customHeight="1" x14ac:dyDescent="0.3">
      <c r="A833" s="37">
        <v>76307</v>
      </c>
      <c r="B833" s="409">
        <f t="shared" ref="B833:C833" si="844">($A833-B$9)/365.25</f>
        <v>127.03901437371663</v>
      </c>
      <c r="C833" s="409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3525.4531757812501</v>
      </c>
      <c r="H833" s="25">
        <f>IF(B833&lt;62,0,'Combined Retirement'!$I$14)</f>
        <v>2192</v>
      </c>
      <c r="I833" s="25">
        <f>IF(C833&lt;62,0,'Combined Retirement'!$I$13)</f>
        <v>2420</v>
      </c>
      <c r="J833" s="25">
        <f t="shared" si="783"/>
        <v>7863.2184191855868</v>
      </c>
      <c r="K833" s="25">
        <f t="shared" si="784"/>
        <v>20282.026119384056</v>
      </c>
      <c r="L833" s="25"/>
      <c r="N833" s="25">
        <f>'Combined Retirement'!$C$18/12</f>
        <v>39153.069999999992</v>
      </c>
      <c r="O833" s="25">
        <f t="shared" si="785"/>
        <v>11007.82546143035</v>
      </c>
      <c r="P833" s="25">
        <f t="shared" si="786"/>
        <v>28145.244538569641</v>
      </c>
      <c r="Q833" s="25">
        <f t="array" aca="1" ref="Q833" ca="1">INDEX('Isaac 401k'!L:L,MATCH('Retirement Calculator'!A833,'Isaac 401k'!N:N,0),0)</f>
        <v>-3857017.5305869877</v>
      </c>
      <c r="R833" s="25">
        <f t="array" aca="1" ref="R833" ca="1">INDEX('Lorri 401b'!L:L,MATCH('Retirement Calculator'!A833,'Lorri 401b'!N:N,0),0)</f>
        <v>-9609972.5417024009</v>
      </c>
      <c r="S833" s="25">
        <f t="shared" ca="1" si="787"/>
        <v>-13466990.072289389</v>
      </c>
    </row>
    <row r="834" spans="1:19" ht="15.75" customHeight="1" x14ac:dyDescent="0.3">
      <c r="A834" s="37">
        <v>76338</v>
      </c>
      <c r="B834" s="409">
        <f t="shared" ref="B834:C834" si="845">($A834-B$9)/365.25</f>
        <v>127.12388774811772</v>
      </c>
      <c r="C834" s="409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3525.4531757812501</v>
      </c>
      <c r="H834" s="25">
        <f>IF(B834&lt;62,0,'Combined Retirement'!$I$14)</f>
        <v>2192</v>
      </c>
      <c r="I834" s="25">
        <f>IF(C834&lt;62,0,'Combined Retirement'!$I$13)</f>
        <v>2420</v>
      </c>
      <c r="J834" s="25">
        <f t="shared" si="783"/>
        <v>7863.2184191855868</v>
      </c>
      <c r="K834" s="25">
        <f t="shared" si="784"/>
        <v>20282.026119384056</v>
      </c>
      <c r="L834" s="25"/>
      <c r="N834" s="25">
        <f>'Combined Retirement'!$C$18/12</f>
        <v>39153.069999999992</v>
      </c>
      <c r="O834" s="25">
        <f t="shared" si="785"/>
        <v>11007.82546143035</v>
      </c>
      <c r="P834" s="25">
        <f t="shared" si="786"/>
        <v>28145.244538569641</v>
      </c>
      <c r="Q834" s="25">
        <f t="array" aca="1" ref="Q834" ca="1">INDEX('Isaac 401k'!L:L,MATCH('Retirement Calculator'!A834,'Isaac 401k'!N:N,0),0)</f>
        <v>-3880984.4187936988</v>
      </c>
      <c r="R834" s="25">
        <f t="array" aca="1" ref="R834" ca="1">INDEX('Lorri 401b'!L:L,MATCH('Retirement Calculator'!A834,'Lorri 401b'!N:N,0),0)</f>
        <v>-9670380.6285210438</v>
      </c>
      <c r="S834" s="25">
        <f t="shared" ca="1" si="787"/>
        <v>-13551365.047314743</v>
      </c>
    </row>
    <row r="835" spans="1:19" ht="15.75" customHeight="1" x14ac:dyDescent="0.3">
      <c r="A835" s="37">
        <v>76369</v>
      </c>
      <c r="B835" s="409">
        <f t="shared" ref="B835:C835" si="846">($A835-B$9)/365.25</f>
        <v>127.20876112251882</v>
      </c>
      <c r="C835" s="409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3525.4531757812501</v>
      </c>
      <c r="H835" s="25">
        <f>IF(B835&lt;62,0,'Combined Retirement'!$I$14)</f>
        <v>2192</v>
      </c>
      <c r="I835" s="25">
        <f>IF(C835&lt;62,0,'Combined Retirement'!$I$13)</f>
        <v>2420</v>
      </c>
      <c r="J835" s="25">
        <f t="shared" si="783"/>
        <v>7863.2184191855868</v>
      </c>
      <c r="K835" s="25">
        <f t="shared" si="784"/>
        <v>20282.026119384056</v>
      </c>
      <c r="L835" s="25"/>
      <c r="N835" s="25">
        <f>'Combined Retirement'!$C$18/12</f>
        <v>39153.069999999992</v>
      </c>
      <c r="O835" s="25">
        <f t="shared" si="785"/>
        <v>11007.82546143035</v>
      </c>
      <c r="P835" s="25">
        <f t="shared" si="786"/>
        <v>28145.244538569641</v>
      </c>
      <c r="Q835" s="25">
        <f t="array" aca="1" ref="Q835" ca="1">INDEX('Isaac 401k'!L:L,MATCH('Retirement Calculator'!A835,'Isaac 401k'!N:N,0),0)</f>
        <v>-3905051.1690346044</v>
      </c>
      <c r="R835" s="25">
        <f t="array" aca="1" ref="R835" ca="1">INDEX('Lorri 401b'!L:L,MATCH('Retirement Calculator'!A835,'Lorri 401b'!N:N,0),0)</f>
        <v>-9731040.4157014303</v>
      </c>
      <c r="S835" s="25">
        <f t="shared" ca="1" si="787"/>
        <v>-13636091.584736034</v>
      </c>
    </row>
    <row r="836" spans="1:19" ht="15.75" customHeight="1" x14ac:dyDescent="0.3">
      <c r="A836" s="37">
        <v>76397</v>
      </c>
      <c r="B836" s="409">
        <f t="shared" ref="B836:C836" si="847">($A836-B$9)/365.25</f>
        <v>127.28542094455852</v>
      </c>
      <c r="C836" s="409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3525.4531757812501</v>
      </c>
      <c r="H836" s="25">
        <f>IF(B836&lt;62,0,'Combined Retirement'!$I$14)</f>
        <v>2192</v>
      </c>
      <c r="I836" s="25">
        <f>IF(C836&lt;62,0,'Combined Retirement'!$I$13)</f>
        <v>2420</v>
      </c>
      <c r="J836" s="25">
        <f t="shared" si="783"/>
        <v>7863.2184191855868</v>
      </c>
      <c r="K836" s="25">
        <f t="shared" si="784"/>
        <v>20282.026119384056</v>
      </c>
      <c r="L836" s="25"/>
      <c r="N836" s="25">
        <f>'Combined Retirement'!$C$18/12</f>
        <v>39153.069999999992</v>
      </c>
      <c r="O836" s="25">
        <f t="shared" si="785"/>
        <v>11007.82546143035</v>
      </c>
      <c r="P836" s="25">
        <f t="shared" si="786"/>
        <v>28145.244538569641</v>
      </c>
      <c r="Q836" s="25">
        <f t="array" aca="1" ref="Q836" ca="1">INDEX('Isaac 401k'!L:L,MATCH('Retirement Calculator'!A836,'Isaac 401k'!N:N,0),0)</f>
        <v>-3929218.1974015138</v>
      </c>
      <c r="R836" s="25">
        <f t="array" aca="1" ref="R836" ca="1">INDEX('Lorri 401b'!L:L,MATCH('Retirement Calculator'!A836,'Lorri 401b'!N:N,0),0)</f>
        <v>-9791952.9519950692</v>
      </c>
      <c r="S836" s="25">
        <f t="shared" ca="1" si="787"/>
        <v>-13721171.149396583</v>
      </c>
    </row>
    <row r="837" spans="1:19" ht="15.75" customHeight="1" x14ac:dyDescent="0.3">
      <c r="A837" s="37">
        <v>76428</v>
      </c>
      <c r="B837" s="409">
        <f t="shared" ref="B837:C837" si="848">($A837-B$9)/365.25</f>
        <v>127.37029431895962</v>
      </c>
      <c r="C837" s="409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3525.4531757812501</v>
      </c>
      <c r="H837" s="25">
        <f>IF(B837&lt;62,0,'Combined Retirement'!$I$14)</f>
        <v>2192</v>
      </c>
      <c r="I837" s="25">
        <f>IF(C837&lt;62,0,'Combined Retirement'!$I$13)</f>
        <v>2420</v>
      </c>
      <c r="J837" s="25">
        <f t="shared" si="783"/>
        <v>7863.2184191855868</v>
      </c>
      <c r="K837" s="25">
        <f t="shared" si="784"/>
        <v>20282.026119384056</v>
      </c>
      <c r="L837" s="25"/>
      <c r="N837" s="25">
        <f>'Combined Retirement'!$C$18/12</f>
        <v>39153.069999999992</v>
      </c>
      <c r="O837" s="25">
        <f t="shared" si="785"/>
        <v>11007.82546143035</v>
      </c>
      <c r="P837" s="25">
        <f t="shared" si="786"/>
        <v>28145.244538569641</v>
      </c>
      <c r="Q837" s="25">
        <f t="array" aca="1" ref="Q837" ca="1">INDEX('Isaac 401k'!L:L,MATCH('Retirement Calculator'!A837,'Isaac 401k'!N:N,0),0)</f>
        <v>-3953485.921719952</v>
      </c>
      <c r="R837" s="25">
        <f t="array" aca="1" ref="R837" ca="1">INDEX('Lorri 401b'!L:L,MATCH('Retirement Calculator'!A837,'Lorri 401b'!N:N,0),0)</f>
        <v>-9853119.2905232646</v>
      </c>
      <c r="S837" s="25">
        <f t="shared" ca="1" si="787"/>
        <v>-13806605.212243216</v>
      </c>
    </row>
    <row r="838" spans="1:19" ht="15.75" customHeight="1" x14ac:dyDescent="0.3">
      <c r="A838" s="37">
        <v>76458</v>
      </c>
      <c r="B838" s="409">
        <f t="shared" ref="B838:C838" si="849">($A838-B$9)/365.25</f>
        <v>127.45242984257358</v>
      </c>
      <c r="C838" s="409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3525.4531757812501</v>
      </c>
      <c r="H838" s="25">
        <f>IF(B838&lt;62,0,'Combined Retirement'!$I$14)</f>
        <v>2192</v>
      </c>
      <c r="I838" s="25">
        <f>IF(C838&lt;62,0,'Combined Retirement'!$I$13)</f>
        <v>2420</v>
      </c>
      <c r="J838" s="25">
        <f t="shared" si="783"/>
        <v>7863.2184191855868</v>
      </c>
      <c r="K838" s="25">
        <f t="shared" si="784"/>
        <v>20282.026119384056</v>
      </c>
      <c r="L838" s="25"/>
      <c r="N838" s="25">
        <f>'Combined Retirement'!$C$18/12</f>
        <v>39153.069999999992</v>
      </c>
      <c r="O838" s="25">
        <f t="shared" si="785"/>
        <v>11007.82546143035</v>
      </c>
      <c r="P838" s="25">
        <f t="shared" si="786"/>
        <v>28145.244538569641</v>
      </c>
      <c r="Q838" s="25">
        <f t="array" aca="1" ref="Q838" ca="1">INDEX('Isaac 401k'!L:L,MATCH('Retirement Calculator'!A838,'Isaac 401k'!N:N,0),0)</f>
        <v>-3977854.7615563837</v>
      </c>
      <c r="R838" s="25">
        <f t="array" aca="1" ref="R838" ca="1">INDEX('Lorri 401b'!L:L,MATCH('Retirement Calculator'!A838,'Lorri 401b'!N:N,0),0)</f>
        <v>-9914540.488795327</v>
      </c>
      <c r="S838" s="25">
        <f t="shared" ca="1" si="787"/>
        <v>-13892395.25035171</v>
      </c>
    </row>
    <row r="839" spans="1:19" ht="15.75" customHeight="1" x14ac:dyDescent="0.3">
      <c r="A839" s="37">
        <v>76489</v>
      </c>
      <c r="B839" s="409">
        <f t="shared" ref="B839:C839" si="850">($A839-B$9)/365.25</f>
        <v>127.53730321697468</v>
      </c>
      <c r="C839" s="409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3525.4531757812501</v>
      </c>
      <c r="H839" s="25">
        <f>IF(B839&lt;62,0,'Combined Retirement'!$I$14)</f>
        <v>2192</v>
      </c>
      <c r="I839" s="25">
        <f>IF(C839&lt;62,0,'Combined Retirement'!$I$13)</f>
        <v>2420</v>
      </c>
      <c r="J839" s="25">
        <f t="shared" si="783"/>
        <v>7863.2184191855868</v>
      </c>
      <c r="K839" s="25">
        <f t="shared" si="784"/>
        <v>20282.026119384056</v>
      </c>
      <c r="L839" s="25"/>
      <c r="N839" s="25">
        <f>'Combined Retirement'!$C$18/12</f>
        <v>39153.069999999992</v>
      </c>
      <c r="O839" s="25">
        <f t="shared" si="785"/>
        <v>11007.82546143035</v>
      </c>
      <c r="P839" s="25">
        <f t="shared" si="786"/>
        <v>28145.244538569641</v>
      </c>
      <c r="Q839" s="25">
        <f t="array" aca="1" ref="Q839" ca="1">INDEX('Isaac 401k'!L:L,MATCH('Retirement Calculator'!A839,'Isaac 401k'!N:N,0),0)</f>
        <v>-4002325.1382254674</v>
      </c>
      <c r="R839" s="25">
        <f t="array" aca="1" ref="R839" ca="1">INDEX('Lorri 401b'!L:L,MATCH('Retirement Calculator'!A839,'Lorri 401b'!N:N,0),0)</f>
        <v>-9976217.6087268572</v>
      </c>
      <c r="S839" s="25">
        <f t="shared" ca="1" si="787"/>
        <v>-13978542.746952325</v>
      </c>
    </row>
    <row r="840" spans="1:19" ht="15.75" customHeight="1" x14ac:dyDescent="0.3">
      <c r="A840" s="37">
        <v>76519</v>
      </c>
      <c r="B840" s="409">
        <f t="shared" ref="B840:C840" si="851">($A840-B$9)/365.25</f>
        <v>127.61943874058863</v>
      </c>
      <c r="C840" s="409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3525.4531757812501</v>
      </c>
      <c r="H840" s="25">
        <f>IF(B840&lt;62,0,'Combined Retirement'!$I$14)</f>
        <v>2192</v>
      </c>
      <c r="I840" s="25">
        <f>IF(C840&lt;62,0,'Combined Retirement'!$I$13)</f>
        <v>2420</v>
      </c>
      <c r="J840" s="25">
        <f t="shared" si="783"/>
        <v>7863.2184191855868</v>
      </c>
      <c r="K840" s="25">
        <f t="shared" si="784"/>
        <v>20282.026119384056</v>
      </c>
      <c r="L840" s="25"/>
      <c r="N840" s="25">
        <f>'Combined Retirement'!$C$18/12</f>
        <v>39153.069999999992</v>
      </c>
      <c r="O840" s="25">
        <f t="shared" si="785"/>
        <v>11007.82546143035</v>
      </c>
      <c r="P840" s="25">
        <f t="shared" si="786"/>
        <v>28145.244538569641</v>
      </c>
      <c r="Q840" s="25">
        <f t="array" aca="1" ref="Q840" ca="1">INDEX('Isaac 401k'!L:L,MATCH('Retirement Calculator'!A840,'Isaac 401k'!N:N,0),0)</f>
        <v>-4026897.4747973387</v>
      </c>
      <c r="R840" s="25">
        <f t="array" aca="1" ref="R840" ca="1">INDEX('Lorri 401b'!L:L,MATCH('Retirement Calculator'!A840,'Lorri 401b'!N:N,0),0)</f>
        <v>-10038151.716658102</v>
      </c>
      <c r="S840" s="25">
        <f t="shared" ca="1" si="787"/>
        <v>-14065049.191455441</v>
      </c>
    </row>
    <row r="841" spans="1:19" ht="15.75" customHeight="1" x14ac:dyDescent="0.3">
      <c r="A841" s="37">
        <v>76550</v>
      </c>
      <c r="B841" s="409">
        <f t="shared" ref="B841:C841" si="852">($A841-B$9)/365.25</f>
        <v>127.70431211498973</v>
      </c>
      <c r="C841" s="409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3525.4531757812501</v>
      </c>
      <c r="H841" s="25">
        <f>IF(B841&lt;62,0,'Combined Retirement'!$I$14)</f>
        <v>2192</v>
      </c>
      <c r="I841" s="25">
        <f>IF(C841&lt;62,0,'Combined Retirement'!$I$13)</f>
        <v>2420</v>
      </c>
      <c r="J841" s="25">
        <f t="shared" si="783"/>
        <v>7863.2184191855868</v>
      </c>
      <c r="K841" s="25">
        <f t="shared" si="784"/>
        <v>20282.026119384056</v>
      </c>
      <c r="L841" s="25"/>
      <c r="N841" s="25">
        <f>'Combined Retirement'!$C$18/12</f>
        <v>39153.069999999992</v>
      </c>
      <c r="O841" s="25">
        <f t="shared" si="785"/>
        <v>11007.82546143035</v>
      </c>
      <c r="P841" s="25">
        <f t="shared" si="786"/>
        <v>28145.244538569641</v>
      </c>
      <c r="Q841" s="25">
        <f t="array" aca="1" ref="Q841" ca="1">INDEX('Isaac 401k'!L:L,MATCH('Retirement Calculator'!A841,'Isaac 401k'!N:N,0),0)</f>
        <v>-4051572.1961049261</v>
      </c>
      <c r="R841" s="25">
        <f t="array" aca="1" ref="R841" ca="1">INDEX('Lorri 401b'!L:L,MATCH('Retirement Calculator'!A841,'Lorri 401b'!N:N,0),0)</f>
        <v>-10100343.883372394</v>
      </c>
      <c r="S841" s="25">
        <f t="shared" ca="1" si="787"/>
        <v>-14151916.079477321</v>
      </c>
    </row>
    <row r="842" spans="1:19" ht="15.75" customHeight="1" x14ac:dyDescent="0.3">
      <c r="A842" s="37">
        <v>76581</v>
      </c>
      <c r="B842" s="409">
        <f t="shared" ref="B842:C842" si="853">($A842-B$9)/365.25</f>
        <v>127.78918548939083</v>
      </c>
      <c r="C842" s="409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3525.4531757812501</v>
      </c>
      <c r="H842" s="25">
        <f>IF(B842&lt;62,0,'Combined Retirement'!$I$14)</f>
        <v>2192</v>
      </c>
      <c r="I842" s="25">
        <f>IF(C842&lt;62,0,'Combined Retirement'!$I$13)</f>
        <v>2420</v>
      </c>
      <c r="J842" s="25">
        <f t="shared" si="783"/>
        <v>7863.2184191855868</v>
      </c>
      <c r="K842" s="25">
        <f t="shared" si="784"/>
        <v>20282.026119384056</v>
      </c>
      <c r="L842" s="25"/>
      <c r="N842" s="25">
        <f>'Combined Retirement'!$C$18/12</f>
        <v>39153.069999999992</v>
      </c>
      <c r="O842" s="25">
        <f t="shared" si="785"/>
        <v>11007.82546143035</v>
      </c>
      <c r="P842" s="25">
        <f t="shared" si="786"/>
        <v>28145.244538569641</v>
      </c>
      <c r="Q842" s="25">
        <f t="array" aca="1" ref="Q842" ca="1">INDEX('Isaac 401k'!L:L,MATCH('Retirement Calculator'!A842,'Isaac 401k'!N:N,0),0)</f>
        <v>-4076349.7287512952</v>
      </c>
      <c r="R842" s="25">
        <f t="array" aca="1" ref="R842" ca="1">INDEX('Lorri 401b'!L:L,MATCH('Retirement Calculator'!A842,'Lorri 401b'!N:N,0),0)</f>
        <v>-10162795.184114661</v>
      </c>
      <c r="S842" s="25">
        <f t="shared" ca="1" si="787"/>
        <v>-14239144.912865955</v>
      </c>
    </row>
    <row r="843" spans="1:19" ht="15.75" customHeight="1" x14ac:dyDescent="0.3">
      <c r="A843" s="37">
        <v>76611</v>
      </c>
      <c r="B843" s="409">
        <f t="shared" ref="B843:C843" si="854">($A843-B$9)/365.25</f>
        <v>127.87132101300479</v>
      </c>
      <c r="C843" s="409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3525.4531757812501</v>
      </c>
      <c r="H843" s="25">
        <f>IF(B843&lt;62,0,'Combined Retirement'!$I$14)</f>
        <v>2192</v>
      </c>
      <c r="I843" s="25">
        <f>IF(C843&lt;62,0,'Combined Retirement'!$I$13)</f>
        <v>2420</v>
      </c>
      <c r="J843" s="25">
        <f t="shared" si="783"/>
        <v>7863.2184191855868</v>
      </c>
      <c r="K843" s="25">
        <f t="shared" si="784"/>
        <v>20282.026119384056</v>
      </c>
      <c r="L843" s="25"/>
      <c r="N843" s="25">
        <f>'Combined Retirement'!$C$18/12</f>
        <v>39153.069999999992</v>
      </c>
      <c r="O843" s="25">
        <f t="shared" si="785"/>
        <v>11007.82546143035</v>
      </c>
      <c r="P843" s="25">
        <f t="shared" si="786"/>
        <v>28145.244538569641</v>
      </c>
      <c r="Q843" s="25">
        <f t="array" aca="1" ref="Q843" ca="1">INDEX('Isaac 401k'!L:L,MATCH('Retirement Calculator'!A843,'Isaac 401k'!N:N,0),0)</f>
        <v>-4101230.5011170241</v>
      </c>
      <c r="R843" s="25">
        <f t="array" aca="1" ref="R843" ca="1">INDEX('Lorri 401b'!L:L,MATCH('Retirement Calculator'!A843,'Lorri 401b'!N:N,0),0)</f>
        <v>-10225506.698610021</v>
      </c>
      <c r="S843" s="25">
        <f t="shared" ca="1" si="787"/>
        <v>-14326737.199727045</v>
      </c>
    </row>
    <row r="844" spans="1:19" ht="15.75" customHeight="1" x14ac:dyDescent="0.3">
      <c r="A844" s="37">
        <v>76642</v>
      </c>
      <c r="B844" s="409">
        <f t="shared" ref="B844:C844" si="855">($A844-B$9)/365.25</f>
        <v>127.95619438740589</v>
      </c>
      <c r="C844" s="409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3525.4531757812501</v>
      </c>
      <c r="H844" s="25">
        <f>IF(B844&lt;62,0,'Combined Retirement'!$I$14)</f>
        <v>2192</v>
      </c>
      <c r="I844" s="25">
        <f>IF(C844&lt;62,0,'Combined Retirement'!$I$13)</f>
        <v>2420</v>
      </c>
      <c r="J844" s="25">
        <f t="shared" si="783"/>
        <v>7863.2184191855868</v>
      </c>
      <c r="K844" s="25">
        <f t="shared" si="784"/>
        <v>20282.026119384056</v>
      </c>
      <c r="L844" s="25"/>
      <c r="N844" s="25">
        <f>'Combined Retirement'!$C$18/12</f>
        <v>39153.069999999992</v>
      </c>
      <c r="O844" s="25">
        <f t="shared" si="785"/>
        <v>11007.82546143035</v>
      </c>
      <c r="P844" s="25">
        <f t="shared" si="786"/>
        <v>28145.244538569641</v>
      </c>
      <c r="Q844" s="25">
        <f t="array" aca="1" ref="Q844" ca="1">INDEX('Isaac 401k'!L:L,MATCH('Retirement Calculator'!A844,'Isaac 401k'!N:N,0),0)</f>
        <v>-4126214.9433676102</v>
      </c>
      <c r="R844" s="25">
        <f t="array" aca="1" ref="R844" ca="1">INDEX('Lorri 401b'!L:L,MATCH('Retirement Calculator'!A844,'Lorri 401b'!N:N,0),0)</f>
        <v>-10288479.511082444</v>
      </c>
      <c r="S844" s="25">
        <f t="shared" ca="1" si="787"/>
        <v>-14414694.454450054</v>
      </c>
    </row>
    <row r="845" spans="1:19" ht="15.75" customHeight="1" x14ac:dyDescent="0.3">
      <c r="A845" s="37">
        <v>76672</v>
      </c>
      <c r="B845" s="409">
        <f t="shared" ref="B845:C845" si="856">($A845-B$9)/365.25</f>
        <v>128.03832991101984</v>
      </c>
      <c r="C845" s="409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3525.4531757812501</v>
      </c>
      <c r="H845" s="25">
        <f>IF(B845&lt;62,0,'Combined Retirement'!$I$14)</f>
        <v>2192</v>
      </c>
      <c r="I845" s="25">
        <f>IF(C845&lt;62,0,'Combined Retirement'!$I$13)</f>
        <v>2420</v>
      </c>
      <c r="J845" s="25">
        <f t="shared" si="783"/>
        <v>7863.2184191855868</v>
      </c>
      <c r="K845" s="25">
        <f t="shared" si="784"/>
        <v>20282.026119384056</v>
      </c>
      <c r="L845" s="25"/>
      <c r="N845" s="25">
        <f>'Combined Retirement'!$C$18/12</f>
        <v>39153.069999999992</v>
      </c>
      <c r="O845" s="25">
        <f t="shared" si="785"/>
        <v>11007.82546143035</v>
      </c>
      <c r="P845" s="25">
        <f t="shared" si="786"/>
        <v>28145.244538569641</v>
      </c>
      <c r="Q845" s="25">
        <f t="array" aca="1" ref="Q845" ca="1">INDEX('Isaac 401k'!L:L,MATCH('Retirement Calculator'!A845,'Isaac 401k'!N:N,0),0)</f>
        <v>-4151303.4874609071</v>
      </c>
      <c r="R845" s="25">
        <f t="array" aca="1" ref="R845" ca="1">INDEX('Lorri 401b'!L:L,MATCH('Retirement Calculator'!A845,'Lorri 401b'!N:N,0),0)</f>
        <v>-10351714.710273504</v>
      </c>
      <c r="S845" s="25">
        <f t="shared" ca="1" si="787"/>
        <v>-14503018.197734412</v>
      </c>
    </row>
    <row r="846" spans="1:19" ht="15.75" customHeight="1" x14ac:dyDescent="0.3">
      <c r="A846" s="37">
        <v>76703</v>
      </c>
      <c r="B846" s="409">
        <f t="shared" ref="B846:C846" si="857">($A846-B$9)/365.25</f>
        <v>128.12320328542094</v>
      </c>
      <c r="C846" s="409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3525.4531757812501</v>
      </c>
      <c r="H846" s="25">
        <f>IF(B846&lt;62,0,'Combined Retirement'!$I$14)</f>
        <v>2192</v>
      </c>
      <c r="I846" s="25">
        <f>IF(C846&lt;62,0,'Combined Retirement'!$I$13)</f>
        <v>2420</v>
      </c>
      <c r="J846" s="25">
        <f t="shared" si="783"/>
        <v>7863.2184191855868</v>
      </c>
      <c r="K846" s="25">
        <f t="shared" si="784"/>
        <v>20282.026119384056</v>
      </c>
      <c r="L846" s="25"/>
      <c r="N846" s="25">
        <f>'Combined Retirement'!$C$18/12</f>
        <v>39153.069999999992</v>
      </c>
      <c r="O846" s="25">
        <f t="shared" si="785"/>
        <v>11007.82546143035</v>
      </c>
      <c r="P846" s="25">
        <f t="shared" si="786"/>
        <v>28145.244538569641</v>
      </c>
      <c r="Q846" s="25">
        <f t="array" aca="1" ref="Q846" ca="1">INDEX('Isaac 401k'!L:L,MATCH('Retirement Calculator'!A846,'Isaac 401k'!N:N,0),0)</f>
        <v>-4176496.5671545928</v>
      </c>
      <c r="R846" s="25">
        <f t="array" aca="1" ref="R846" ca="1">INDEX('Lorri 401b'!L:L,MATCH('Retirement Calculator'!A846,'Lorri 401b'!N:N,0),0)</f>
        <v>-10415213.389461193</v>
      </c>
      <c r="S846" s="25">
        <f t="shared" ca="1" si="787"/>
        <v>-14591709.956615787</v>
      </c>
    </row>
    <row r="847" spans="1:19" ht="15.75" customHeight="1" x14ac:dyDescent="0.3">
      <c r="A847" s="37">
        <v>76734</v>
      </c>
      <c r="B847" s="409">
        <f t="shared" ref="B847:C847" si="858">($A847-B$9)/365.25</f>
        <v>128.20807665982204</v>
      </c>
      <c r="C847" s="409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3525.4531757812501</v>
      </c>
      <c r="H847" s="25">
        <f>IF(B847&lt;62,0,'Combined Retirement'!$I$14)</f>
        <v>2192</v>
      </c>
      <c r="I847" s="25">
        <f>IF(C847&lt;62,0,'Combined Retirement'!$I$13)</f>
        <v>2420</v>
      </c>
      <c r="J847" s="25">
        <f t="shared" si="783"/>
        <v>7863.2184191855868</v>
      </c>
      <c r="K847" s="25">
        <f t="shared" si="784"/>
        <v>20282.026119384056</v>
      </c>
      <c r="L847" s="25"/>
      <c r="N847" s="25">
        <f>'Combined Retirement'!$C$18/12</f>
        <v>39153.069999999992</v>
      </c>
      <c r="O847" s="25">
        <f t="shared" si="785"/>
        <v>11007.82546143035</v>
      </c>
      <c r="P847" s="25">
        <f t="shared" si="786"/>
        <v>28145.244538569641</v>
      </c>
      <c r="Q847" s="25">
        <f t="array" aca="1" ref="Q847" ca="1">INDEX('Isaac 401k'!L:L,MATCH('Retirement Calculator'!A847,'Isaac 401k'!N:N,0),0)</f>
        <v>-4201794.6180136688</v>
      </c>
      <c r="R847" s="25">
        <f t="array" aca="1" ref="R847" ca="1">INDEX('Lorri 401b'!L:L,MATCH('Retirement Calculator'!A847,'Lorri 401b'!N:N,0),0)</f>
        <v>-10478976.64647883</v>
      </c>
      <c r="S847" s="25">
        <f t="shared" ca="1" si="787"/>
        <v>-14680771.264492499</v>
      </c>
    </row>
    <row r="848" spans="1:19" ht="15.75" customHeight="1" x14ac:dyDescent="0.3">
      <c r="A848" s="37">
        <v>76762</v>
      </c>
      <c r="B848" s="409">
        <f t="shared" ref="B848:C848" si="859">($A848-B$9)/365.25</f>
        <v>128.28473648186173</v>
      </c>
      <c r="C848" s="409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3525.4531757812501</v>
      </c>
      <c r="H848" s="25">
        <f>IF(B848&lt;62,0,'Combined Retirement'!$I$14)</f>
        <v>2192</v>
      </c>
      <c r="I848" s="25">
        <f>IF(C848&lt;62,0,'Combined Retirement'!$I$13)</f>
        <v>2420</v>
      </c>
      <c r="J848" s="25">
        <f t="shared" si="783"/>
        <v>7863.2184191855868</v>
      </c>
      <c r="K848" s="25">
        <f t="shared" si="784"/>
        <v>20282.026119384056</v>
      </c>
      <c r="L848" s="25"/>
      <c r="N848" s="25">
        <f>'Combined Retirement'!$C$18/12</f>
        <v>39153.069999999992</v>
      </c>
      <c r="O848" s="25">
        <f t="shared" si="785"/>
        <v>11007.82546143035</v>
      </c>
      <c r="P848" s="25">
        <f t="shared" si="786"/>
        <v>28145.244538569641</v>
      </c>
      <c r="Q848" s="25">
        <f t="array" aca="1" ref="Q848" ca="1">INDEX('Isaac 401k'!L:L,MATCH('Retirement Calculator'!A848,'Isaac 401k'!N:N,0),0)</f>
        <v>-4227198.0774179911</v>
      </c>
      <c r="R848" s="25">
        <f t="array" aca="1" ref="R848" ca="1">INDEX('Lorri 401b'!L:L,MATCH('Retirement Calculator'!A848,'Lorri 401b'!N:N,0),0)</f>
        <v>-10543005.583734041</v>
      </c>
      <c r="S848" s="25">
        <f t="shared" ca="1" si="787"/>
        <v>-14770203.661152031</v>
      </c>
    </row>
    <row r="849" spans="1:19" ht="15.75" customHeight="1" x14ac:dyDescent="0.3">
      <c r="A849" s="37">
        <v>76793</v>
      </c>
      <c r="B849" s="409">
        <f t="shared" ref="B849:C849" si="860">($A849-B$9)/365.25</f>
        <v>128.36960985626283</v>
      </c>
      <c r="C849" s="409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3525.4531757812501</v>
      </c>
      <c r="H849" s="25">
        <f>IF(B849&lt;62,0,'Combined Retirement'!$I$14)</f>
        <v>2192</v>
      </c>
      <c r="I849" s="25">
        <f>IF(C849&lt;62,0,'Combined Retirement'!$I$13)</f>
        <v>2420</v>
      </c>
      <c r="J849" s="25">
        <f t="shared" si="783"/>
        <v>7863.2184191855868</v>
      </c>
      <c r="K849" s="25">
        <f t="shared" si="784"/>
        <v>20282.026119384056</v>
      </c>
      <c r="L849" s="25"/>
      <c r="N849" s="25">
        <f>'Combined Retirement'!$C$18/12</f>
        <v>39153.069999999992</v>
      </c>
      <c r="O849" s="25">
        <f t="shared" si="785"/>
        <v>11007.82546143035</v>
      </c>
      <c r="P849" s="25">
        <f t="shared" si="786"/>
        <v>28145.244538569641</v>
      </c>
      <c r="Q849" s="25">
        <f t="array" aca="1" ref="Q849" ca="1">INDEX('Isaac 401k'!L:L,MATCH('Retirement Calculator'!A849,'Isaac 401k'!N:N,0),0)</f>
        <v>-4252707.3845698321</v>
      </c>
      <c r="R849" s="25">
        <f t="array" aca="1" ref="R849" ca="1">INDEX('Lorri 401b'!L:L,MATCH('Retirement Calculator'!A849,'Lorri 401b'!N:N,0),0)</f>
        <v>-10607301.308227815</v>
      </c>
      <c r="S849" s="25">
        <f t="shared" ca="1" si="787"/>
        <v>-14860008.692797646</v>
      </c>
    </row>
    <row r="850" spans="1:19" ht="15.75" customHeight="1" x14ac:dyDescent="0.3">
      <c r="A850" s="37">
        <v>76823</v>
      </c>
      <c r="B850" s="409">
        <f t="shared" ref="B850:C850" si="861">($A850-B$9)/365.25</f>
        <v>128.4517453798768</v>
      </c>
      <c r="C850" s="409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3525.4531757812501</v>
      </c>
      <c r="H850" s="25">
        <f>IF(B850&lt;62,0,'Combined Retirement'!$I$14)</f>
        <v>2192</v>
      </c>
      <c r="I850" s="25">
        <f>IF(C850&lt;62,0,'Combined Retirement'!$I$13)</f>
        <v>2420</v>
      </c>
      <c r="J850" s="25">
        <f t="shared" si="783"/>
        <v>7863.2184191855868</v>
      </c>
      <c r="K850" s="25">
        <f t="shared" si="784"/>
        <v>20282.026119384056</v>
      </c>
      <c r="L850" s="25"/>
      <c r="N850" s="25">
        <f>'Combined Retirement'!$C$18/12</f>
        <v>39153.069999999992</v>
      </c>
      <c r="O850" s="25">
        <f t="shared" si="785"/>
        <v>11007.82546143035</v>
      </c>
      <c r="P850" s="25">
        <f t="shared" si="786"/>
        <v>28145.244538569641</v>
      </c>
      <c r="Q850" s="25">
        <f t="array" aca="1" ref="Q850" ca="1">INDEX('Isaac 401k'!L:L,MATCH('Retirement Calculator'!A850,'Isaac 401k'!N:N,0),0)</f>
        <v>-4278322.980501472</v>
      </c>
      <c r="R850" s="25">
        <f t="array" aca="1" ref="R850" ca="1">INDEX('Lorri 401b'!L:L,MATCH('Retirement Calculator'!A850,'Lorri 401b'!N:N,0),0)</f>
        <v>-10671864.931573646</v>
      </c>
      <c r="S850" s="25">
        <f t="shared" ca="1" si="787"/>
        <v>-14950187.912075117</v>
      </c>
    </row>
    <row r="851" spans="1:19" ht="15.75" customHeight="1" x14ac:dyDescent="0.3">
      <c r="A851" s="37">
        <v>76854</v>
      </c>
      <c r="B851" s="409">
        <f t="shared" ref="B851:C851" si="862">($A851-B$9)/365.25</f>
        <v>128.5366187542779</v>
      </c>
      <c r="C851" s="409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3525.4531757812501</v>
      </c>
      <c r="H851" s="25">
        <f>IF(B851&lt;62,0,'Combined Retirement'!$I$14)</f>
        <v>2192</v>
      </c>
      <c r="I851" s="25">
        <f>IF(C851&lt;62,0,'Combined Retirement'!$I$13)</f>
        <v>2420</v>
      </c>
      <c r="J851" s="25">
        <f t="shared" si="783"/>
        <v>7863.2184191855868</v>
      </c>
      <c r="K851" s="25">
        <f t="shared" si="784"/>
        <v>20282.026119384056</v>
      </c>
      <c r="L851" s="25"/>
      <c r="N851" s="25">
        <f>'Combined Retirement'!$C$18/12</f>
        <v>39153.069999999992</v>
      </c>
      <c r="O851" s="25">
        <f t="shared" si="785"/>
        <v>11007.82546143035</v>
      </c>
      <c r="P851" s="25">
        <f t="shared" si="786"/>
        <v>28145.244538569641</v>
      </c>
      <c r="Q851" s="25">
        <f t="array" aca="1" ref="Q851" ca="1">INDEX('Isaac 401k'!L:L,MATCH('Retirement Calculator'!A851,'Isaac 401k'!N:N,0),0)</f>
        <v>-4304045.3080828274</v>
      </c>
      <c r="R851" s="25">
        <f t="array" aca="1" ref="R851" ca="1">INDEX('Lorri 401b'!L:L,MATCH('Retirement Calculator'!A851,'Lorri 401b'!N:N,0),0)</f>
        <v>-10736697.570016753</v>
      </c>
      <c r="S851" s="25">
        <f t="shared" ca="1" si="787"/>
        <v>-15040742.878099579</v>
      </c>
    </row>
    <row r="852" spans="1:19" ht="15.75" customHeight="1" x14ac:dyDescent="0.3">
      <c r="A852" s="37">
        <v>76884</v>
      </c>
      <c r="B852" s="409">
        <f t="shared" ref="B852:C852" si="863">($A852-B$9)/365.25</f>
        <v>128.61875427789187</v>
      </c>
      <c r="C852" s="409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3525.4531757812501</v>
      </c>
      <c r="H852" s="25">
        <f>IF(B852&lt;62,0,'Combined Retirement'!$I$14)</f>
        <v>2192</v>
      </c>
      <c r="I852" s="25">
        <f>IF(C852&lt;62,0,'Combined Retirement'!$I$13)</f>
        <v>2420</v>
      </c>
      <c r="J852" s="25">
        <f t="shared" si="783"/>
        <v>7863.2184191855868</v>
      </c>
      <c r="K852" s="25">
        <f t="shared" si="784"/>
        <v>20282.026119384056</v>
      </c>
      <c r="L852" s="25"/>
      <c r="N852" s="25">
        <f>'Combined Retirement'!$C$18/12</f>
        <v>39153.069999999992</v>
      </c>
      <c r="O852" s="25">
        <f t="shared" si="785"/>
        <v>11007.82546143035</v>
      </c>
      <c r="P852" s="25">
        <f t="shared" si="786"/>
        <v>28145.244538569641</v>
      </c>
      <c r="Q852" s="25">
        <f t="array" aca="1" ref="Q852" ca="1">INDEX('Isaac 401k'!L:L,MATCH('Retirement Calculator'!A852,'Isaac 401k'!N:N,0),0)</f>
        <v>-4329874.8120291047</v>
      </c>
      <c r="R852" s="25">
        <f t="array" aca="1" ref="R852" ca="1">INDEX('Lorri 401b'!L:L,MATCH('Retirement Calculator'!A852,'Lorri 401b'!N:N,0),0)</f>
        <v>-10801800.344453372</v>
      </c>
      <c r="S852" s="25">
        <f t="shared" ca="1" si="787"/>
        <v>-15131675.156482477</v>
      </c>
    </row>
    <row r="853" spans="1:19" ht="15.75" customHeight="1" x14ac:dyDescent="0.3">
      <c r="A853" s="37">
        <v>76915</v>
      </c>
      <c r="B853" s="409">
        <f t="shared" ref="B853:C853" si="864">($A853-B$9)/365.25</f>
        <v>128.70362765229294</v>
      </c>
      <c r="C853" s="409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3525.4531757812501</v>
      </c>
      <c r="H853" s="25">
        <f>IF(B853&lt;62,0,'Combined Retirement'!$I$14)</f>
        <v>2192</v>
      </c>
      <c r="I853" s="25">
        <f>IF(C853&lt;62,0,'Combined Retirement'!$I$13)</f>
        <v>2420</v>
      </c>
      <c r="J853" s="25">
        <f t="shared" si="783"/>
        <v>7863.2184191855868</v>
      </c>
      <c r="K853" s="25">
        <f t="shared" si="784"/>
        <v>20282.026119384056</v>
      </c>
      <c r="L853" s="25"/>
      <c r="N853" s="25">
        <f>'Combined Retirement'!$C$18/12</f>
        <v>39153.069999999992</v>
      </c>
      <c r="O853" s="25">
        <f t="shared" si="785"/>
        <v>11007.82546143035</v>
      </c>
      <c r="P853" s="25">
        <f t="shared" si="786"/>
        <v>28145.244538569641</v>
      </c>
      <c r="Q853" s="25">
        <f t="array" aca="1" ref="Q853" ca="1">INDEX('Isaac 401k'!L:L,MATCH('Retirement Calculator'!A853,'Isaac 401k'!N:N,0),0)</f>
        <v>-4355811.9389084913</v>
      </c>
      <c r="R853" s="25">
        <f t="array" aca="1" ref="R853" ca="1">INDEX('Lorri 401b'!L:L,MATCH('Retirement Calculator'!A853,'Lorri 401b'!N:N,0),0)</f>
        <v>-10867174.380450143</v>
      </c>
      <c r="S853" s="25">
        <f t="shared" ca="1" si="787"/>
        <v>-15222986.319358634</v>
      </c>
    </row>
    <row r="854" spans="1:19" ht="15.75" customHeight="1" x14ac:dyDescent="0.3">
      <c r="A854" s="37">
        <v>76946</v>
      </c>
      <c r="B854" s="409">
        <f t="shared" ref="B854:C854" si="865">($A854-B$9)/365.25</f>
        <v>128.78850102669404</v>
      </c>
      <c r="C854" s="409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3525.4531757812501</v>
      </c>
      <c r="H854" s="25">
        <f>IF(B854&lt;62,0,'Combined Retirement'!$I$14)</f>
        <v>2192</v>
      </c>
      <c r="I854" s="25">
        <f>IF(C854&lt;62,0,'Combined Retirement'!$I$13)</f>
        <v>2420</v>
      </c>
      <c r="J854" s="25">
        <f t="shared" si="783"/>
        <v>7863.2184191855868</v>
      </c>
      <c r="K854" s="25">
        <f t="shared" si="784"/>
        <v>20282.026119384056</v>
      </c>
      <c r="L854" s="25"/>
      <c r="N854" s="25">
        <f>'Combined Retirement'!$C$18/12</f>
        <v>39153.069999999992</v>
      </c>
      <c r="O854" s="25">
        <f t="shared" si="785"/>
        <v>11007.82546143035</v>
      </c>
      <c r="P854" s="25">
        <f t="shared" si="786"/>
        <v>28145.244538569641</v>
      </c>
      <c r="Q854" s="25">
        <f t="array" aca="1" ref="Q854" ca="1">INDEX('Isaac 401k'!L:L,MATCH('Retirement Calculator'!A854,'Isaac 401k'!N:N,0),0)</f>
        <v>-4381857.137149876</v>
      </c>
      <c r="R854" s="25">
        <f t="array" aca="1" ref="R854" ca="1">INDEX('Lorri 401b'!L:L,MATCH('Retirement Calculator'!A854,'Lorri 401b'!N:N,0),0)</f>
        <v>-10932820.808263566</v>
      </c>
      <c r="S854" s="25">
        <f t="shared" ca="1" si="787"/>
        <v>-15314677.945413442</v>
      </c>
    </row>
    <row r="855" spans="1:19" ht="15.75" customHeight="1" x14ac:dyDescent="0.3">
      <c r="A855" s="37">
        <v>76976</v>
      </c>
      <c r="B855" s="409">
        <f t="shared" ref="B855:C855" si="866">($A855-B$9)/365.25</f>
        <v>128.87063655030801</v>
      </c>
      <c r="C855" s="409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3525.4531757812501</v>
      </c>
      <c r="H855" s="25">
        <f>IF(B855&lt;62,0,'Combined Retirement'!$I$14)</f>
        <v>2192</v>
      </c>
      <c r="I855" s="25">
        <f>IF(C855&lt;62,0,'Combined Retirement'!$I$13)</f>
        <v>2420</v>
      </c>
      <c r="J855" s="25">
        <f t="shared" si="783"/>
        <v>7863.2184191855868</v>
      </c>
      <c r="K855" s="25">
        <f t="shared" si="784"/>
        <v>20282.026119384056</v>
      </c>
      <c r="L855" s="25"/>
      <c r="N855" s="25">
        <f>'Combined Retirement'!$C$18/12</f>
        <v>39153.069999999992</v>
      </c>
      <c r="O855" s="25">
        <f t="shared" si="785"/>
        <v>11007.82546143035</v>
      </c>
      <c r="P855" s="25">
        <f t="shared" si="786"/>
        <v>28145.244538569641</v>
      </c>
      <c r="Q855" s="25">
        <f t="array" aca="1" ref="Q855" ca="1">INDEX('Isaac 401k'!L:L,MATCH('Retirement Calculator'!A855,'Isaac 401k'!N:N,0),0)</f>
        <v>-4408010.8570505995</v>
      </c>
      <c r="R855" s="25">
        <f t="array" aca="1" ref="R855" ca="1">INDEX('Lorri 401b'!L:L,MATCH('Retirement Calculator'!A855,'Lorri 401b'!N:N,0),0)</f>
        <v>-10998740.762859548</v>
      </c>
      <c r="S855" s="25">
        <f t="shared" ca="1" si="787"/>
        <v>-15406751.619910147</v>
      </c>
    </row>
    <row r="856" spans="1:19" ht="15.75" customHeight="1" x14ac:dyDescent="0.3">
      <c r="A856" s="37">
        <v>77007</v>
      </c>
      <c r="B856" s="409">
        <f t="shared" ref="B856:C856" si="867">($A856-B$9)/365.25</f>
        <v>128.95550992470911</v>
      </c>
      <c r="C856" s="409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3525.4531757812501</v>
      </c>
      <c r="H856" s="25">
        <f>IF(B856&lt;62,0,'Combined Retirement'!$I$14)</f>
        <v>2192</v>
      </c>
      <c r="I856" s="25">
        <f>IF(C856&lt;62,0,'Combined Retirement'!$I$13)</f>
        <v>2420</v>
      </c>
      <c r="J856" s="25">
        <f t="shared" si="783"/>
        <v>7863.2184191855868</v>
      </c>
      <c r="K856" s="25">
        <f t="shared" si="784"/>
        <v>20282.026119384056</v>
      </c>
      <c r="L856" s="25"/>
      <c r="N856" s="25">
        <f>'Combined Retirement'!$C$18/12</f>
        <v>39153.069999999992</v>
      </c>
      <c r="O856" s="25">
        <f t="shared" si="785"/>
        <v>11007.82546143035</v>
      </c>
      <c r="P856" s="25">
        <f t="shared" si="786"/>
        <v>28145.244538569641</v>
      </c>
      <c r="Q856" s="25">
        <f t="array" aca="1" ref="Q856" ca="1">INDEX('Isaac 401k'!L:L,MATCH('Retirement Calculator'!A856,'Isaac 401k'!N:N,0),0)</f>
        <v>-4434273.5507842433</v>
      </c>
      <c r="R856" s="25">
        <f t="array" aca="1" ref="R856" ca="1">INDEX('Lorri 401b'!L:L,MATCH('Retirement Calculator'!A856,'Lorri 401b'!N:N,0),0)</f>
        <v>-11064935.383933011</v>
      </c>
      <c r="S856" s="25">
        <f t="shared" ca="1" si="787"/>
        <v>-15499208.934717255</v>
      </c>
    </row>
    <row r="857" spans="1:19" ht="15.75" customHeight="1" x14ac:dyDescent="0.3">
      <c r="A857" s="37">
        <v>77037</v>
      </c>
      <c r="B857" s="409">
        <f t="shared" ref="B857:C857" si="868">($A857-B$9)/365.25</f>
        <v>129.03764544832308</v>
      </c>
      <c r="C857" s="409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3525.4531757812501</v>
      </c>
      <c r="H857" s="25">
        <f>IF(B857&lt;62,0,'Combined Retirement'!$I$14)</f>
        <v>2192</v>
      </c>
      <c r="I857" s="25">
        <f>IF(C857&lt;62,0,'Combined Retirement'!$I$13)</f>
        <v>2420</v>
      </c>
      <c r="J857" s="25">
        <f t="shared" si="783"/>
        <v>7863.2184191855868</v>
      </c>
      <c r="K857" s="25">
        <f t="shared" si="784"/>
        <v>20282.026119384056</v>
      </c>
      <c r="L857" s="25"/>
      <c r="N857" s="25">
        <f>'Combined Retirement'!$C$18/12</f>
        <v>39153.069999999992</v>
      </c>
      <c r="O857" s="25">
        <f t="shared" si="785"/>
        <v>11007.82546143035</v>
      </c>
      <c r="P857" s="25">
        <f t="shared" si="786"/>
        <v>28145.244538569641</v>
      </c>
      <c r="Q857" s="25">
        <f t="array" aca="1" ref="Q857" ca="1">INDEX('Isaac 401k'!L:L,MATCH('Retirement Calculator'!A857,'Isaac 401k'!N:N,0),0)</f>
        <v>-4460645.6724084429</v>
      </c>
      <c r="R857" s="25">
        <f t="array" aca="1" ref="R857" ca="1">INDEX('Lorri 401b'!L:L,MATCH('Retirement Calculator'!A857,'Lorri 401b'!N:N,0),0)</f>
        <v>-11131405.815927615</v>
      </c>
      <c r="S857" s="25">
        <f t="shared" ca="1" si="787"/>
        <v>-15592051.488336058</v>
      </c>
    </row>
    <row r="858" spans="1:19" ht="15.75" customHeight="1" x14ac:dyDescent="0.3">
      <c r="A858" s="37">
        <v>77068</v>
      </c>
      <c r="B858" s="409">
        <f t="shared" ref="B858:C858" si="869">($A858-B$9)/365.25</f>
        <v>129.12251882272417</v>
      </c>
      <c r="C858" s="409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3525.4531757812501</v>
      </c>
      <c r="H858" s="25">
        <f>IF(B858&lt;62,0,'Combined Retirement'!$I$14)</f>
        <v>2192</v>
      </c>
      <c r="I858" s="25">
        <f>IF(C858&lt;62,0,'Combined Retirement'!$I$13)</f>
        <v>2420</v>
      </c>
      <c r="J858" s="25">
        <f t="shared" si="783"/>
        <v>7863.2184191855868</v>
      </c>
      <c r="K858" s="25">
        <f t="shared" si="784"/>
        <v>20282.026119384056</v>
      </c>
      <c r="L858" s="25"/>
      <c r="N858" s="25">
        <f>'Combined Retirement'!$C$18/12</f>
        <v>39153.069999999992</v>
      </c>
      <c r="O858" s="25">
        <f t="shared" si="785"/>
        <v>11007.82546143035</v>
      </c>
      <c r="P858" s="25">
        <f t="shared" si="786"/>
        <v>28145.244538569641</v>
      </c>
      <c r="Q858" s="25">
        <f t="array" aca="1" ref="Q858" ca="1">INDEX('Isaac 401k'!L:L,MATCH('Retirement Calculator'!A858,'Isaac 401k'!N:N,0),0)</f>
        <v>-4487127.6778727435</v>
      </c>
      <c r="R858" s="25">
        <f t="array" aca="1" ref="R858" ca="1">INDEX('Lorri 401b'!L:L,MATCH('Retirement Calculator'!A858,'Lorri 401b'!N:N,0),0)</f>
        <v>-11198153.20805553</v>
      </c>
      <c r="S858" s="25">
        <f t="shared" ca="1" si="787"/>
        <v>-15685280.885928273</v>
      </c>
    </row>
    <row r="859" spans="1:19" ht="15.75" customHeight="1" x14ac:dyDescent="0.3">
      <c r="A859" s="37">
        <v>77099</v>
      </c>
      <c r="B859" s="409">
        <f t="shared" ref="B859:C859" si="870">($A859-B$9)/365.25</f>
        <v>129.20739219712524</v>
      </c>
      <c r="C859" s="409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3525.4531757812501</v>
      </c>
      <c r="H859" s="25">
        <f>IF(B859&lt;62,0,'Combined Retirement'!$I$14)</f>
        <v>2192</v>
      </c>
      <c r="I859" s="25">
        <f>IF(C859&lt;62,0,'Combined Retirement'!$I$13)</f>
        <v>2420</v>
      </c>
      <c r="J859" s="25">
        <f t="shared" si="783"/>
        <v>7863.2184191855868</v>
      </c>
      <c r="K859" s="25">
        <f t="shared" si="784"/>
        <v>20282.026119384056</v>
      </c>
      <c r="L859" s="25"/>
      <c r="N859" s="25">
        <f>'Combined Retirement'!$C$18/12</f>
        <v>39153.069999999992</v>
      </c>
      <c r="O859" s="25">
        <f t="shared" si="785"/>
        <v>11007.82546143035</v>
      </c>
      <c r="P859" s="25">
        <f t="shared" si="786"/>
        <v>28145.244538569641</v>
      </c>
      <c r="Q859" s="25">
        <f t="array" aca="1" ref="Q859" ca="1">INDEX('Isaac 401k'!L:L,MATCH('Retirement Calculator'!A859,'Isaac 401k'!N:N,0),0)</f>
        <v>-4513720.0250264788</v>
      </c>
      <c r="R859" s="25">
        <f t="array" aca="1" ref="R859" ca="1">INDEX('Lorri 401b'!L:L,MATCH('Retirement Calculator'!A859,'Lorri 401b'!N:N,0),0)</f>
        <v>-11265178.714317311</v>
      </c>
      <c r="S859" s="25">
        <f t="shared" ca="1" si="787"/>
        <v>-15778898.739343788</v>
      </c>
    </row>
    <row r="860" spans="1:19" ht="15.75" customHeight="1" x14ac:dyDescent="0.3">
      <c r="A860" s="37">
        <v>77127</v>
      </c>
      <c r="B860" s="409">
        <f t="shared" ref="B860:C860" si="871">($A860-B$9)/365.25</f>
        <v>129.28405201916496</v>
      </c>
      <c r="C860" s="409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3525.4531757812501</v>
      </c>
      <c r="H860" s="25">
        <f>IF(B860&lt;62,0,'Combined Retirement'!$I$14)</f>
        <v>2192</v>
      </c>
      <c r="I860" s="25">
        <f>IF(C860&lt;62,0,'Combined Retirement'!$I$13)</f>
        <v>2420</v>
      </c>
      <c r="J860" s="25">
        <f t="shared" si="783"/>
        <v>7863.2184191855868</v>
      </c>
      <c r="K860" s="25">
        <f t="shared" si="784"/>
        <v>20282.026119384056</v>
      </c>
      <c r="L860" s="25"/>
      <c r="N860" s="25">
        <f>'Combined Retirement'!$C$18/12</f>
        <v>39153.069999999992</v>
      </c>
      <c r="O860" s="25">
        <f t="shared" si="785"/>
        <v>11007.82546143035</v>
      </c>
      <c r="P860" s="25">
        <f t="shared" si="786"/>
        <v>28145.244538569641</v>
      </c>
      <c r="Q860" s="25">
        <f t="array" aca="1" ref="Q860" ca="1">INDEX('Isaac 401k'!L:L,MATCH('Retirement Calculator'!A860,'Isaac 401k'!N:N,0),0)</f>
        <v>-4540423.1736266883</v>
      </c>
      <c r="R860" s="25">
        <f t="array" aca="1" ref="R860" ca="1">INDEX('Lorri 401b'!L:L,MATCH('Retirement Calculator'!A860,'Lorri 401b'!N:N,0),0)</f>
        <v>-11332483.493521849</v>
      </c>
      <c r="S860" s="25">
        <f t="shared" ca="1" si="787"/>
        <v>-15872906.667148538</v>
      </c>
    </row>
    <row r="861" spans="1:19" ht="15.75" customHeight="1" x14ac:dyDescent="0.3">
      <c r="A861" s="37">
        <v>77158</v>
      </c>
      <c r="B861" s="409">
        <f t="shared" ref="B861:C861" si="872">($A861-B$9)/365.25</f>
        <v>129.36892539356606</v>
      </c>
      <c r="C861" s="409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3525.4531757812501</v>
      </c>
      <c r="H861" s="25">
        <f>IF(B861&lt;62,0,'Combined Retirement'!$I$14)</f>
        <v>2192</v>
      </c>
      <c r="I861" s="25">
        <f>IF(C861&lt;62,0,'Combined Retirement'!$I$13)</f>
        <v>2420</v>
      </c>
      <c r="J861" s="25">
        <f t="shared" si="783"/>
        <v>7863.2184191855868</v>
      </c>
      <c r="K861" s="25">
        <f t="shared" si="784"/>
        <v>20282.026119384056</v>
      </c>
      <c r="L861" s="25"/>
      <c r="N861" s="25">
        <f>'Combined Retirement'!$C$18/12</f>
        <v>39153.069999999992</v>
      </c>
      <c r="O861" s="25">
        <f t="shared" si="785"/>
        <v>11007.82546143035</v>
      </c>
      <c r="P861" s="25">
        <f t="shared" si="786"/>
        <v>28145.244538569641</v>
      </c>
      <c r="Q861" s="25">
        <f t="array" aca="1" ref="Q861" ca="1">INDEX('Isaac 401k'!L:L,MATCH('Retirement Calculator'!A861,'Isaac 401k'!N:N,0),0)</f>
        <v>-4567237.5853460655</v>
      </c>
      <c r="R861" s="25">
        <f t="array" aca="1" ref="R861" ca="1">INDEX('Lorri 401b'!L:L,MATCH('Retirement Calculator'!A861,'Lorri 401b'!N:N,0),0)</f>
        <v>-11400068.709306406</v>
      </c>
      <c r="S861" s="25">
        <f t="shared" ca="1" si="787"/>
        <v>-15967306.294652471</v>
      </c>
    </row>
    <row r="862" spans="1:19" ht="15.75" customHeight="1" x14ac:dyDescent="0.3">
      <c r="A862" s="37">
        <v>77188</v>
      </c>
      <c r="B862" s="409">
        <f t="shared" ref="B862:C862" si="873">($A862-B$9)/365.25</f>
        <v>129.45106091718</v>
      </c>
      <c r="C862" s="409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3525.4531757812501</v>
      </c>
      <c r="H862" s="25">
        <f>IF(B862&lt;62,0,'Combined Retirement'!$I$14)</f>
        <v>2192</v>
      </c>
      <c r="I862" s="25">
        <f>IF(C862&lt;62,0,'Combined Retirement'!$I$13)</f>
        <v>2420</v>
      </c>
      <c r="J862" s="25">
        <f t="shared" si="783"/>
        <v>7863.2184191855868</v>
      </c>
      <c r="K862" s="25">
        <f t="shared" si="784"/>
        <v>20282.026119384056</v>
      </c>
      <c r="L862" s="25"/>
      <c r="N862" s="25">
        <f>'Combined Retirement'!$C$18/12</f>
        <v>39153.069999999992</v>
      </c>
      <c r="O862" s="25">
        <f t="shared" si="785"/>
        <v>11007.82546143035</v>
      </c>
      <c r="P862" s="25">
        <f t="shared" si="786"/>
        <v>28145.244538569641</v>
      </c>
      <c r="Q862" s="25">
        <f t="array" aca="1" ref="Q862" ca="1">INDEX('Isaac 401k'!L:L,MATCH('Retirement Calculator'!A862,'Isaac 401k'!N:N,0),0)</f>
        <v>-4594163.7237809403</v>
      </c>
      <c r="R862" s="25">
        <f t="array" aca="1" ref="R862" ca="1">INDEX('Lorri 401b'!L:L,MATCH('Retirement Calculator'!A862,'Lorri 401b'!N:N,0),0)</f>
        <v>-11467935.530156732</v>
      </c>
      <c r="S862" s="25">
        <f t="shared" ca="1" si="787"/>
        <v>-16062099.253937673</v>
      </c>
    </row>
    <row r="863" spans="1:19" ht="15.75" customHeight="1" x14ac:dyDescent="0.3">
      <c r="A863" s="37">
        <v>77219</v>
      </c>
      <c r="B863" s="409">
        <f t="shared" ref="B863:C863" si="874">($A863-B$9)/365.25</f>
        <v>129.5359342915811</v>
      </c>
      <c r="C863" s="409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3525.4531757812501</v>
      </c>
      <c r="H863" s="25">
        <f>IF(B863&lt;62,0,'Combined Retirement'!$I$14)</f>
        <v>2192</v>
      </c>
      <c r="I863" s="25">
        <f>IF(C863&lt;62,0,'Combined Retirement'!$I$13)</f>
        <v>2420</v>
      </c>
      <c r="J863" s="25">
        <f t="shared" si="783"/>
        <v>7863.2184191855868</v>
      </c>
      <c r="K863" s="25">
        <f t="shared" si="784"/>
        <v>20282.026119384056</v>
      </c>
      <c r="L863" s="25"/>
      <c r="N863" s="25">
        <f>'Combined Retirement'!$C$18/12</f>
        <v>39153.069999999992</v>
      </c>
      <c r="O863" s="25">
        <f t="shared" si="785"/>
        <v>11007.82546143035</v>
      </c>
      <c r="P863" s="25">
        <f t="shared" si="786"/>
        <v>28145.244538569641</v>
      </c>
      <c r="Q863" s="25">
        <f t="array" aca="1" ref="Q863" ca="1">INDEX('Isaac 401k'!L:L,MATCH('Retirement Calculator'!A863,'Isaac 401k'!N:N,0),0)</f>
        <v>-4621202.0544592934</v>
      </c>
      <c r="R863" s="25">
        <f t="array" aca="1" ref="R863" ca="1">INDEX('Lorri 401b'!L:L,MATCH('Retirement Calculator'!A863,'Lorri 401b'!N:N,0),0)</f>
        <v>-11536085.129427267</v>
      </c>
      <c r="S863" s="25">
        <f t="shared" ca="1" si="787"/>
        <v>-16157287.183886562</v>
      </c>
    </row>
    <row r="864" spans="1:19" ht="15.75" customHeight="1" x14ac:dyDescent="0.3">
      <c r="A864" s="37">
        <v>77249</v>
      </c>
      <c r="B864" s="409">
        <f t="shared" ref="B864:C864" si="875">($A864-B$9)/365.25</f>
        <v>129.61806981519507</v>
      </c>
      <c r="C864" s="409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3525.4531757812501</v>
      </c>
      <c r="H864" s="25">
        <f>IF(B864&lt;62,0,'Combined Retirement'!$I$14)</f>
        <v>2192</v>
      </c>
      <c r="I864" s="25">
        <f>IF(C864&lt;62,0,'Combined Retirement'!$I$13)</f>
        <v>2420</v>
      </c>
      <c r="J864" s="25">
        <f t="shared" si="783"/>
        <v>7863.2184191855868</v>
      </c>
      <c r="K864" s="25">
        <f t="shared" si="784"/>
        <v>20282.026119384056</v>
      </c>
      <c r="L864" s="25"/>
      <c r="N864" s="25">
        <f>'Combined Retirement'!$C$18/12</f>
        <v>39153.069999999992</v>
      </c>
      <c r="O864" s="25">
        <f t="shared" si="785"/>
        <v>11007.82546143035</v>
      </c>
      <c r="P864" s="25">
        <f t="shared" si="786"/>
        <v>28145.244538569641</v>
      </c>
      <c r="Q864" s="25">
        <f t="array" aca="1" ref="Q864" ca="1">INDEX('Isaac 401k'!L:L,MATCH('Retirement Calculator'!A864,'Isaac 401k'!N:N,0),0)</f>
        <v>-4648353.0448488062</v>
      </c>
      <c r="R864" s="25">
        <f t="array" aca="1" ref="R864" ca="1">INDEX('Lorri 401b'!L:L,MATCH('Retirement Calculator'!A864,'Lorri 401b'!N:N,0),0)</f>
        <v>-11604518.68536143</v>
      </c>
      <c r="S864" s="25">
        <f t="shared" ca="1" si="787"/>
        <v>-16252871.730210237</v>
      </c>
    </row>
    <row r="865" spans="1:19" ht="15.75" customHeight="1" x14ac:dyDescent="0.3">
      <c r="A865" s="37">
        <v>77280</v>
      </c>
      <c r="B865" s="409">
        <f t="shared" ref="B865:C865" si="876">($A865-B$9)/365.25</f>
        <v>129.70294318959617</v>
      </c>
      <c r="C865" s="409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3525.4531757812501</v>
      </c>
      <c r="H865" s="25">
        <f>IF(B865&lt;62,0,'Combined Retirement'!$I$14)</f>
        <v>2192</v>
      </c>
      <c r="I865" s="25">
        <f>IF(C865&lt;62,0,'Combined Retirement'!$I$13)</f>
        <v>2420</v>
      </c>
      <c r="J865" s="25">
        <f t="shared" si="783"/>
        <v>7863.2184191855868</v>
      </c>
      <c r="K865" s="25">
        <f t="shared" si="784"/>
        <v>20282.026119384056</v>
      </c>
      <c r="L865" s="25"/>
      <c r="N865" s="25">
        <f>'Combined Retirement'!$C$18/12</f>
        <v>39153.069999999992</v>
      </c>
      <c r="O865" s="25">
        <f t="shared" si="785"/>
        <v>11007.82546143035</v>
      </c>
      <c r="P865" s="25">
        <f t="shared" si="786"/>
        <v>28145.244538569641</v>
      </c>
      <c r="Q865" s="25">
        <f t="array" aca="1" ref="Q865" ca="1">INDEX('Isaac 401k'!L:L,MATCH('Retirement Calculator'!A865,'Isaac 401k'!N:N,0),0)</f>
        <v>-4675617.1643649423</v>
      </c>
      <c r="R865" s="25">
        <f t="array" aca="1" ref="R865" ca="1">INDEX('Lorri 401b'!L:L,MATCH('Retirement Calculator'!A865,'Lorri 401b'!N:N,0),0)</f>
        <v>-11673237.381111985</v>
      </c>
      <c r="S865" s="25">
        <f t="shared" ca="1" si="787"/>
        <v>-16348854.545476928</v>
      </c>
    </row>
    <row r="866" spans="1:19" ht="15.75" customHeight="1" x14ac:dyDescent="0.3">
      <c r="A866" s="37">
        <v>77311</v>
      </c>
      <c r="B866" s="409">
        <f t="shared" ref="B866:C866" si="877">($A866-B$9)/365.25</f>
        <v>129.78781656399727</v>
      </c>
      <c r="C866" s="409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3525.4531757812501</v>
      </c>
      <c r="H866" s="25">
        <f>IF(B866&lt;62,0,'Combined Retirement'!$I$14)</f>
        <v>2192</v>
      </c>
      <c r="I866" s="25">
        <f>IF(C866&lt;62,0,'Combined Retirement'!$I$13)</f>
        <v>2420</v>
      </c>
      <c r="J866" s="25">
        <f t="shared" si="783"/>
        <v>7863.2184191855868</v>
      </c>
      <c r="K866" s="25">
        <f t="shared" si="784"/>
        <v>20282.026119384056</v>
      </c>
      <c r="L866" s="25"/>
      <c r="N866" s="25">
        <f>'Combined Retirement'!$C$18/12</f>
        <v>39153.069999999992</v>
      </c>
      <c r="O866" s="25">
        <f t="shared" si="785"/>
        <v>11007.82546143035</v>
      </c>
      <c r="P866" s="25">
        <f t="shared" si="786"/>
        <v>28145.244538569641</v>
      </c>
      <c r="Q866" s="25">
        <f t="array" aca="1" ref="Q866" ca="1">INDEX('Isaac 401k'!L:L,MATCH('Retirement Calculator'!A866,'Isaac 401k'!N:N,0),0)</f>
        <v>-4702994.8843790619</v>
      </c>
      <c r="R866" s="25">
        <f t="array" aca="1" ref="R866" ca="1">INDEX('Lorri 401b'!L:L,MATCH('Retirement Calculator'!A866,'Lorri 401b'!N:N,0),0)</f>
        <v>-11742242.404761501</v>
      </c>
      <c r="S866" s="25">
        <f t="shared" ca="1" si="787"/>
        <v>-16445237.289140563</v>
      </c>
    </row>
    <row r="867" spans="1:19" ht="15.75" customHeight="1" x14ac:dyDescent="0.3">
      <c r="A867" s="37">
        <v>77341</v>
      </c>
      <c r="B867" s="409">
        <f t="shared" ref="B867:C867" si="878">($A867-B$9)/365.25</f>
        <v>129.86995208761124</v>
      </c>
      <c r="C867" s="409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3525.4531757812501</v>
      </c>
      <c r="H867" s="25">
        <f>IF(B867&lt;62,0,'Combined Retirement'!$I$14)</f>
        <v>2192</v>
      </c>
      <c r="I867" s="25">
        <f>IF(C867&lt;62,0,'Combined Retirement'!$I$13)</f>
        <v>2420</v>
      </c>
      <c r="J867" s="25">
        <f t="shared" si="783"/>
        <v>7863.2184191855868</v>
      </c>
      <c r="K867" s="25">
        <f t="shared" si="784"/>
        <v>20282.026119384056</v>
      </c>
      <c r="L867" s="25"/>
      <c r="N867" s="25">
        <f>'Combined Retirement'!$C$18/12</f>
        <v>39153.069999999992</v>
      </c>
      <c r="O867" s="25">
        <f t="shared" si="785"/>
        <v>11007.82546143035</v>
      </c>
      <c r="P867" s="25">
        <f t="shared" si="786"/>
        <v>28145.244538569641</v>
      </c>
      <c r="Q867" s="25">
        <f t="array" aca="1" ref="Q867" ca="1">INDEX('Isaac 401k'!L:L,MATCH('Retirement Calculator'!A867,'Isaac 401k'!N:N,0),0)</f>
        <v>-4730486.6782265734</v>
      </c>
      <c r="R867" s="25">
        <f t="array" aca="1" ref="R867" ca="1">INDEX('Lorri 401b'!L:L,MATCH('Retirement Calculator'!A867,'Lorri 401b'!N:N,0),0)</f>
        <v>-11811534.94934289</v>
      </c>
      <c r="S867" s="25">
        <f t="shared" ca="1" si="787"/>
        <v>-16542021.627569463</v>
      </c>
    </row>
    <row r="868" spans="1:19" ht="15.75" customHeight="1" x14ac:dyDescent="0.3">
      <c r="A868" s="37">
        <v>77372</v>
      </c>
      <c r="B868" s="409">
        <f t="shared" ref="B868:C868" si="879">($A868-B$9)/365.25</f>
        <v>129.95482546201231</v>
      </c>
      <c r="C868" s="409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3525.4531757812501</v>
      </c>
      <c r="H868" s="25">
        <f>IF(B868&lt;62,0,'Combined Retirement'!$I$14)</f>
        <v>2192</v>
      </c>
      <c r="I868" s="25">
        <f>IF(C868&lt;62,0,'Combined Retirement'!$I$13)</f>
        <v>2420</v>
      </c>
      <c r="J868" s="25">
        <f t="shared" si="783"/>
        <v>7863.2184191855868</v>
      </c>
      <c r="K868" s="25">
        <f t="shared" si="784"/>
        <v>20282.026119384056</v>
      </c>
      <c r="L868" s="25"/>
      <c r="N868" s="25">
        <f>'Combined Retirement'!$C$18/12</f>
        <v>39153.069999999992</v>
      </c>
      <c r="O868" s="25">
        <f t="shared" si="785"/>
        <v>11007.82546143035</v>
      </c>
      <c r="P868" s="25">
        <f t="shared" si="786"/>
        <v>28145.244538569641</v>
      </c>
      <c r="Q868" s="25">
        <f t="array" aca="1" ref="Q868" ca="1">INDEX('Isaac 401k'!L:L,MATCH('Retirement Calculator'!A868,'Isaac 401k'!N:N,0),0)</f>
        <v>-4758093.0212151166</v>
      </c>
      <c r="R868" s="25">
        <f t="array" aca="1" ref="R868" ca="1">INDEX('Lorri 401b'!L:L,MATCH('Retirement Calculator'!A868,'Lorri 401b'!N:N,0),0)</f>
        <v>-11881116.212860035</v>
      </c>
      <c r="S868" s="25">
        <f t="shared" ca="1" si="787"/>
        <v>-16639209.234075151</v>
      </c>
    </row>
    <row r="869" spans="1:19" ht="15.75" customHeight="1" x14ac:dyDescent="0.3">
      <c r="A869" s="37">
        <v>77402</v>
      </c>
      <c r="B869" s="409">
        <f t="shared" ref="B869:C869" si="880">($A869-B$9)/365.25</f>
        <v>130.03696098562628</v>
      </c>
      <c r="C869" s="409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3525.4531757812501</v>
      </c>
      <c r="H869" s="25">
        <f>IF(B869&lt;62,0,'Combined Retirement'!$I$14)</f>
        <v>2192</v>
      </c>
      <c r="I869" s="25">
        <f>IF(C869&lt;62,0,'Combined Retirement'!$I$13)</f>
        <v>2420</v>
      </c>
      <c r="J869" s="25">
        <f t="shared" si="783"/>
        <v>7863.2184191855868</v>
      </c>
      <c r="K869" s="25">
        <f t="shared" si="784"/>
        <v>20282.026119384056</v>
      </c>
      <c r="L869" s="25"/>
      <c r="N869" s="25">
        <f>'Combined Retirement'!$C$18/12</f>
        <v>39153.069999999992</v>
      </c>
      <c r="O869" s="25">
        <f t="shared" si="785"/>
        <v>11007.82546143035</v>
      </c>
      <c r="P869" s="25">
        <f t="shared" si="786"/>
        <v>28145.244538569641</v>
      </c>
      <c r="Q869" s="25">
        <f t="array" aca="1" ref="Q869" ca="1">INDEX('Isaac 401k'!L:L,MATCH('Retirement Calculator'!A869,'Isaac 401k'!N:N,0),0)</f>
        <v>-4785814.3906327784</v>
      </c>
      <c r="R869" s="25">
        <f t="array" aca="1" ref="R869" ca="1">INDEX('Lorri 401b'!L:L,MATCH('Retirement Calculator'!A869,'Lorri 401b'!N:N,0),0)</f>
        <v>-11950987.398308501</v>
      </c>
      <c r="S869" s="25">
        <f t="shared" ca="1" si="787"/>
        <v>-16736801.788941279</v>
      </c>
    </row>
    <row r="870" spans="1:19" ht="15.75" customHeight="1" x14ac:dyDescent="0.3">
      <c r="A870" s="37">
        <v>77433</v>
      </c>
      <c r="B870" s="409">
        <f t="shared" ref="B870:C870" si="881">($A870-B$9)/365.25</f>
        <v>130.12183436002738</v>
      </c>
      <c r="C870" s="409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3525.4531757812501</v>
      </c>
      <c r="H870" s="25">
        <f>IF(B870&lt;62,0,'Combined Retirement'!$I$14)</f>
        <v>2192</v>
      </c>
      <c r="I870" s="25">
        <f>IF(C870&lt;62,0,'Combined Retirement'!$I$13)</f>
        <v>2420</v>
      </c>
      <c r="J870" s="25">
        <f t="shared" si="783"/>
        <v>7863.2184191855868</v>
      </c>
      <c r="K870" s="25">
        <f t="shared" si="784"/>
        <v>20282.026119384056</v>
      </c>
      <c r="L870" s="25"/>
      <c r="N870" s="25">
        <f>'Combined Retirement'!$C$18/12</f>
        <v>39153.069999999992</v>
      </c>
      <c r="O870" s="25">
        <f t="shared" si="785"/>
        <v>11007.82546143035</v>
      </c>
      <c r="P870" s="25">
        <f t="shared" si="786"/>
        <v>28145.244538569641</v>
      </c>
      <c r="Q870" s="25">
        <f t="array" aca="1" ref="Q870" ca="1">INDEX('Isaac 401k'!L:L,MATCH('Retirement Calculator'!A870,'Isaac 401k'!N:N,0),0)</f>
        <v>-4813651.2657563472</v>
      </c>
      <c r="R870" s="25">
        <f t="array" aca="1" ref="R870" ca="1">INDEX('Lorri 401b'!L:L,MATCH('Retirement Calculator'!A870,'Lorri 401b'!N:N,0),0)</f>
        <v>-12021149.713696335</v>
      </c>
      <c r="S870" s="25">
        <f t="shared" ca="1" si="787"/>
        <v>-16834800.979452681</v>
      </c>
    </row>
    <row r="871" spans="1:19" ht="15.75" customHeight="1" x14ac:dyDescent="0.3">
      <c r="A871" s="37">
        <v>77464</v>
      </c>
      <c r="B871" s="409">
        <f t="shared" ref="B871:C871" si="882">($A871-B$9)/365.25</f>
        <v>130.20670773442848</v>
      </c>
      <c r="C871" s="409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3525.4531757812501</v>
      </c>
      <c r="H871" s="25">
        <f>IF(B871&lt;62,0,'Combined Retirement'!$I$14)</f>
        <v>2192</v>
      </c>
      <c r="I871" s="25">
        <f>IF(C871&lt;62,0,'Combined Retirement'!$I$13)</f>
        <v>2420</v>
      </c>
      <c r="J871" s="25">
        <f t="shared" si="783"/>
        <v>7863.2184191855868</v>
      </c>
      <c r="K871" s="25">
        <f t="shared" si="784"/>
        <v>20282.026119384056</v>
      </c>
      <c r="L871" s="25"/>
      <c r="N871" s="25">
        <f>'Combined Retirement'!$C$18/12</f>
        <v>39153.069999999992</v>
      </c>
      <c r="O871" s="25">
        <f t="shared" si="785"/>
        <v>11007.82546143035</v>
      </c>
      <c r="P871" s="25">
        <f t="shared" si="786"/>
        <v>28145.244538569641</v>
      </c>
      <c r="Q871" s="25">
        <f t="array" aca="1" ref="Q871" ca="1">INDEX('Isaac 401k'!L:L,MATCH('Retirement Calculator'!A871,'Isaac 401k'!N:N,0),0)</f>
        <v>-4841604.127859598</v>
      </c>
      <c r="R871" s="25">
        <f t="array" aca="1" ref="R871" ca="1">INDEX('Lorri 401b'!L:L,MATCH('Retirement Calculator'!A871,'Lorri 401b'!N:N,0),0)</f>
        <v>-12091604.372064952</v>
      </c>
      <c r="S871" s="25">
        <f t="shared" ca="1" si="787"/>
        <v>-16933208.499924548</v>
      </c>
    </row>
    <row r="872" spans="1:19" ht="15.75" customHeight="1" x14ac:dyDescent="0.3">
      <c r="A872" s="37">
        <v>77493</v>
      </c>
      <c r="B872" s="409">
        <f t="shared" ref="B872:C872" si="883">($A872-B$9)/365.25</f>
        <v>130.28610540725529</v>
      </c>
      <c r="C872" s="409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3525.4531757812501</v>
      </c>
      <c r="H872" s="25">
        <f>IF(B872&lt;62,0,'Combined Retirement'!$I$14)</f>
        <v>2192</v>
      </c>
      <c r="I872" s="25">
        <f>IF(C872&lt;62,0,'Combined Retirement'!$I$13)</f>
        <v>2420</v>
      </c>
      <c r="J872" s="25">
        <f t="shared" si="783"/>
        <v>7863.2184191855868</v>
      </c>
      <c r="K872" s="25">
        <f t="shared" si="784"/>
        <v>20282.026119384056</v>
      </c>
      <c r="L872" s="25"/>
      <c r="N872" s="25">
        <f>'Combined Retirement'!$C$18/12</f>
        <v>39153.069999999992</v>
      </c>
      <c r="O872" s="25">
        <f t="shared" si="785"/>
        <v>11007.82546143035</v>
      </c>
      <c r="P872" s="25">
        <f t="shared" si="786"/>
        <v>28145.244538569641</v>
      </c>
      <c r="Q872" s="25">
        <f t="array" aca="1" ref="Q872" ca="1">INDEX('Isaac 401k'!L:L,MATCH('Retirement Calculator'!A872,'Isaac 401k'!N:N,0),0)</f>
        <v>-4869673.4602216119</v>
      </c>
      <c r="R872" s="25">
        <f t="array" aca="1" ref="R872" ca="1">INDEX('Lorri 401b'!L:L,MATCH('Retirement Calculator'!A872,'Lorri 401b'!N:N,0),0)</f>
        <v>-12162352.591510104</v>
      </c>
      <c r="S872" s="25">
        <f t="shared" ca="1" si="787"/>
        <v>-17032026.051731717</v>
      </c>
    </row>
    <row r="873" spans="1:19" ht="15.75" customHeight="1" x14ac:dyDescent="0.3">
      <c r="A873" s="37">
        <v>77524</v>
      </c>
      <c r="B873" s="409">
        <f t="shared" ref="B873:C873" si="884">($A873-B$9)/365.25</f>
        <v>130.37097878165639</v>
      </c>
      <c r="C873" s="409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3525.4531757812501</v>
      </c>
      <c r="H873" s="25">
        <f>IF(B873&lt;62,0,'Combined Retirement'!$I$14)</f>
        <v>2192</v>
      </c>
      <c r="I873" s="25">
        <f>IF(C873&lt;62,0,'Combined Retirement'!$I$13)</f>
        <v>2420</v>
      </c>
      <c r="J873" s="25">
        <f t="shared" si="783"/>
        <v>7863.2184191855868</v>
      </c>
      <c r="K873" s="25">
        <f t="shared" si="784"/>
        <v>20282.026119384056</v>
      </c>
      <c r="L873" s="25"/>
      <c r="N873" s="25">
        <f>'Combined Retirement'!$C$18/12</f>
        <v>39153.069999999992</v>
      </c>
      <c r="O873" s="25">
        <f t="shared" si="785"/>
        <v>11007.82546143035</v>
      </c>
      <c r="P873" s="25">
        <f t="shared" si="786"/>
        <v>28145.244538569641</v>
      </c>
      <c r="Q873" s="25">
        <f t="array" aca="1" ref="Q873" ca="1">INDEX('Isaac 401k'!L:L,MATCH('Retirement Calculator'!A873,'Isaac 401k'!N:N,0),0)</f>
        <v>-4897859.7481351346</v>
      </c>
      <c r="R873" s="25">
        <f t="array" aca="1" ref="R873" ca="1">INDEX('Lorri 401b'!L:L,MATCH('Retirement Calculator'!A873,'Lorri 401b'!N:N,0),0)</f>
        <v>-12233395.595202945</v>
      </c>
      <c r="S873" s="25">
        <f t="shared" ca="1" si="787"/>
        <v>-17131255.34333808</v>
      </c>
    </row>
    <row r="874" spans="1:19" ht="15.75" customHeight="1" x14ac:dyDescent="0.3">
      <c r="A874" s="37">
        <v>77554</v>
      </c>
      <c r="B874" s="409">
        <f t="shared" ref="B874:C874" si="885">($A874-B$9)/365.25</f>
        <v>130.45311430527036</v>
      </c>
      <c r="C874" s="409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3525.4531757812501</v>
      </c>
      <c r="H874" s="25">
        <f>IF(B874&lt;62,0,'Combined Retirement'!$I$14)</f>
        <v>2192</v>
      </c>
      <c r="I874" s="25">
        <f>IF(C874&lt;62,0,'Combined Retirement'!$I$13)</f>
        <v>2420</v>
      </c>
      <c r="J874" s="25">
        <f t="shared" si="783"/>
        <v>7863.2184191855868</v>
      </c>
      <c r="K874" s="25">
        <f t="shared" si="784"/>
        <v>20282.026119384056</v>
      </c>
      <c r="L874" s="25"/>
      <c r="N874" s="25">
        <f>'Combined Retirement'!$C$18/12</f>
        <v>39153.069999999992</v>
      </c>
      <c r="O874" s="25">
        <f t="shared" si="785"/>
        <v>11007.82546143035</v>
      </c>
      <c r="P874" s="25">
        <f t="shared" si="786"/>
        <v>28145.244538569641</v>
      </c>
      <c r="Q874" s="25">
        <f t="array" aca="1" ref="Q874" ca="1">INDEX('Isaac 401k'!L:L,MATCH('Retirement Calculator'!A874,'Isaac 401k'!N:N,0),0)</f>
        <v>-4926163.4789149631</v>
      </c>
      <c r="R874" s="25">
        <f t="array" aca="1" ref="R874" ca="1">INDEX('Lorri 401b'!L:L,MATCH('Retirement Calculator'!A874,'Lorri 401b'!N:N,0),0)</f>
        <v>-12304734.611411173</v>
      </c>
      <c r="S874" s="25">
        <f t="shared" ca="1" si="787"/>
        <v>-17230898.090326138</v>
      </c>
    </row>
    <row r="875" spans="1:19" ht="15.75" customHeight="1" x14ac:dyDescent="0.3">
      <c r="A875" s="37">
        <v>77585</v>
      </c>
      <c r="B875" s="409">
        <f t="shared" ref="B875:C875" si="886">($A875-B$9)/365.25</f>
        <v>130.53798767967146</v>
      </c>
      <c r="C875" s="409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3525.4531757812501</v>
      </c>
      <c r="H875" s="25">
        <f>IF(B875&lt;62,0,'Combined Retirement'!$I$14)</f>
        <v>2192</v>
      </c>
      <c r="I875" s="25">
        <f>IF(C875&lt;62,0,'Combined Retirement'!$I$13)</f>
        <v>2420</v>
      </c>
      <c r="J875" s="25">
        <f t="shared" si="783"/>
        <v>7863.2184191855868</v>
      </c>
      <c r="K875" s="25">
        <f t="shared" si="784"/>
        <v>20282.026119384056</v>
      </c>
      <c r="L875" s="25"/>
      <c r="N875" s="25">
        <f>'Combined Retirement'!$C$18/12</f>
        <v>39153.069999999992</v>
      </c>
      <c r="O875" s="25">
        <f t="shared" si="785"/>
        <v>11007.82546143035</v>
      </c>
      <c r="P875" s="25">
        <f t="shared" si="786"/>
        <v>28145.244538569641</v>
      </c>
      <c r="Q875" s="25">
        <f t="array" aca="1" ref="Q875" ca="1">INDEX('Isaac 401k'!L:L,MATCH('Retirement Calculator'!A875,'Isaac 401k'!N:N,0),0)</f>
        <v>-4954585.1419063741</v>
      </c>
      <c r="R875" s="25">
        <f t="array" aca="1" ref="R875" ca="1">INDEX('Lorri 401b'!L:L,MATCH('Retirement Calculator'!A875,'Lorri 401b'!N:N,0),0)</f>
        <v>-12376370.873520268</v>
      </c>
      <c r="S875" s="25">
        <f t="shared" ca="1" si="787"/>
        <v>-17330956.015426643</v>
      </c>
    </row>
    <row r="876" spans="1:19" ht="15.75" customHeight="1" x14ac:dyDescent="0.3">
      <c r="A876" s="37">
        <v>77615</v>
      </c>
      <c r="B876" s="409">
        <f t="shared" ref="B876:C876" si="887">($A876-B$9)/365.25</f>
        <v>130.62012320328543</v>
      </c>
      <c r="C876" s="409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3525.4531757812501</v>
      </c>
      <c r="H876" s="25">
        <f>IF(B876&lt;62,0,'Combined Retirement'!$I$14)</f>
        <v>2192</v>
      </c>
      <c r="I876" s="25">
        <f>IF(C876&lt;62,0,'Combined Retirement'!$I$13)</f>
        <v>2420</v>
      </c>
      <c r="J876" s="25">
        <f t="shared" si="783"/>
        <v>7863.2184191855868</v>
      </c>
      <c r="K876" s="25">
        <f t="shared" si="784"/>
        <v>20282.026119384056</v>
      </c>
      <c r="L876" s="25"/>
      <c r="N876" s="25">
        <f>'Combined Retirement'!$C$18/12</f>
        <v>39153.069999999992</v>
      </c>
      <c r="O876" s="25">
        <f t="shared" si="785"/>
        <v>11007.82546143035</v>
      </c>
      <c r="P876" s="25">
        <f t="shared" si="786"/>
        <v>28145.244538569641</v>
      </c>
      <c r="Q876" s="25">
        <f t="array" aca="1" ref="Q876" ca="1">INDEX('Isaac 401k'!L:L,MATCH('Retirement Calculator'!A876,'Isaac 401k'!N:N,0),0)</f>
        <v>-4983125.2284935834</v>
      </c>
      <c r="R876" s="25">
        <f t="array" aca="1" ref="R876" ca="1">INDEX('Lorri 401b'!L:L,MATCH('Retirement Calculator'!A876,'Lorri 401b'!N:N,0),0)</f>
        <v>-12448305.620054819</v>
      </c>
      <c r="S876" s="25">
        <f t="shared" ca="1" si="787"/>
        <v>-17431430.848548401</v>
      </c>
    </row>
    <row r="877" spans="1:19" ht="15.75" customHeight="1" x14ac:dyDescent="0.3">
      <c r="A877" s="37">
        <v>77646</v>
      </c>
      <c r="B877" s="409">
        <f t="shared" ref="B877:C877" si="888">($A877-B$9)/365.25</f>
        <v>130.70499657768653</v>
      </c>
      <c r="C877" s="409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3525.4531757812501</v>
      </c>
      <c r="H877" s="25">
        <f>IF(B877&lt;62,0,'Combined Retirement'!$I$14)</f>
        <v>2192</v>
      </c>
      <c r="I877" s="25">
        <f>IF(C877&lt;62,0,'Combined Retirement'!$I$13)</f>
        <v>2420</v>
      </c>
      <c r="J877" s="25">
        <f t="shared" si="783"/>
        <v>7863.2184191855868</v>
      </c>
      <c r="K877" s="25">
        <f t="shared" si="784"/>
        <v>20282.026119384056</v>
      </c>
      <c r="L877" s="25"/>
      <c r="N877" s="25">
        <f>'Combined Retirement'!$C$18/12</f>
        <v>39153.069999999992</v>
      </c>
      <c r="O877" s="25">
        <f t="shared" si="785"/>
        <v>11007.82546143035</v>
      </c>
      <c r="P877" s="25">
        <f t="shared" si="786"/>
        <v>28145.244538569641</v>
      </c>
      <c r="Q877" s="25">
        <f t="array" aca="1" ref="Q877" ca="1">INDEX('Isaac 401k'!L:L,MATCH('Retirement Calculator'!A877,'Isaac 401k'!N:N,0),0)</f>
        <v>-5011784.2321082391</v>
      </c>
      <c r="R877" s="25">
        <f t="array" aca="1" ref="R877" ca="1">INDEX('Lorri 401b'!L:L,MATCH('Retirement Calculator'!A877,'Lorri 401b'!N:N,0),0)</f>
        <v>-12520540.094699929</v>
      </c>
      <c r="S877" s="25">
        <f t="shared" ca="1" si="787"/>
        <v>-17532324.326808169</v>
      </c>
    </row>
    <row r="878" spans="1:19" ht="15.75" customHeight="1" x14ac:dyDescent="0.3">
      <c r="A878" s="37">
        <v>77677</v>
      </c>
      <c r="B878" s="409">
        <f t="shared" ref="B878:C878" si="889">($A878-B$9)/365.25</f>
        <v>130.7898699520876</v>
      </c>
      <c r="C878" s="409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3525.4531757812501</v>
      </c>
      <c r="H878" s="25">
        <f>IF(B878&lt;62,0,'Combined Retirement'!$I$14)</f>
        <v>2192</v>
      </c>
      <c r="I878" s="25">
        <f>IF(C878&lt;62,0,'Combined Retirement'!$I$13)</f>
        <v>2420</v>
      </c>
      <c r="J878" s="25">
        <f t="shared" si="783"/>
        <v>7863.2184191855868</v>
      </c>
      <c r="K878" s="25">
        <f t="shared" si="784"/>
        <v>20282.026119384056</v>
      </c>
      <c r="L878" s="25"/>
      <c r="N878" s="25">
        <f>'Combined Retirement'!$C$18/12</f>
        <v>39153.069999999992</v>
      </c>
      <c r="O878" s="25">
        <f t="shared" si="785"/>
        <v>11007.82546143035</v>
      </c>
      <c r="P878" s="25">
        <f t="shared" si="786"/>
        <v>28145.244538569641</v>
      </c>
      <c r="Q878" s="25">
        <f t="array" aca="1" ref="Q878" ca="1">INDEX('Isaac 401k'!L:L,MATCH('Retirement Calculator'!A878,'Isaac 401k'!N:N,0),0)</f>
        <v>-5040562.6482379558</v>
      </c>
      <c r="R878" s="25">
        <f t="array" aca="1" ref="R878" ca="1">INDEX('Lorri 401b'!L:L,MATCH('Retirement Calculator'!A878,'Lorri 401b'!N:N,0),0)</f>
        <v>-12593075.546322728</v>
      </c>
      <c r="S878" s="25">
        <f t="shared" ca="1" si="787"/>
        <v>-17633638.194560684</v>
      </c>
    </row>
    <row r="879" spans="1:19" ht="15.75" customHeight="1" x14ac:dyDescent="0.3">
      <c r="A879" s="37">
        <v>77707</v>
      </c>
      <c r="B879" s="409">
        <f t="shared" ref="B879:C879" si="890">($A879-B$9)/365.25</f>
        <v>130.87200547570157</v>
      </c>
      <c r="C879" s="409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3525.4531757812501</v>
      </c>
      <c r="H879" s="25">
        <f>IF(B879&lt;62,0,'Combined Retirement'!$I$14)</f>
        <v>2192</v>
      </c>
      <c r="I879" s="25">
        <f>IF(C879&lt;62,0,'Combined Retirement'!$I$13)</f>
        <v>2420</v>
      </c>
      <c r="J879" s="25">
        <f t="shared" si="783"/>
        <v>7863.2184191855868</v>
      </c>
      <c r="K879" s="25">
        <f t="shared" si="784"/>
        <v>20282.026119384056</v>
      </c>
      <c r="L879" s="25"/>
      <c r="N879" s="25">
        <f>'Combined Retirement'!$C$18/12</f>
        <v>39153.069999999992</v>
      </c>
      <c r="O879" s="25">
        <f t="shared" si="785"/>
        <v>11007.82546143035</v>
      </c>
      <c r="P879" s="25">
        <f t="shared" si="786"/>
        <v>28145.244538569641</v>
      </c>
      <c r="Q879" s="25">
        <f t="array" aca="1" ref="Q879" ca="1">INDEX('Isaac 401k'!L:L,MATCH('Retirement Calculator'!A879,'Isaac 401k'!N:N,0),0)</f>
        <v>-5069460.9744348796</v>
      </c>
      <c r="R879" s="25">
        <f t="array" aca="1" ref="R879" ca="1">INDEX('Lorri 401b'!L:L,MATCH('Retirement Calculator'!A879,'Lorri 401b'!N:N,0),0)</f>
        <v>-12665913.228993954</v>
      </c>
      <c r="S879" s="25">
        <f t="shared" ca="1" si="787"/>
        <v>-17735374.203428835</v>
      </c>
    </row>
    <row r="880" spans="1:19" ht="15.75" customHeight="1" x14ac:dyDescent="0.3">
      <c r="A880" s="37">
        <v>77738</v>
      </c>
      <c r="B880" s="409">
        <f t="shared" ref="B880:C880" si="891">($A880-B$9)/365.25</f>
        <v>130.95687885010267</v>
      </c>
      <c r="C880" s="409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3525.4531757812501</v>
      </c>
      <c r="H880" s="25">
        <f>IF(B880&lt;62,0,'Combined Retirement'!$I$14)</f>
        <v>2192</v>
      </c>
      <c r="I880" s="25">
        <f>IF(C880&lt;62,0,'Combined Retirement'!$I$13)</f>
        <v>2420</v>
      </c>
      <c r="J880" s="25">
        <f t="shared" si="783"/>
        <v>7863.2184191855868</v>
      </c>
      <c r="K880" s="25">
        <f t="shared" si="784"/>
        <v>20282.026119384056</v>
      </c>
      <c r="L880" s="25"/>
      <c r="N880" s="25">
        <f>'Combined Retirement'!$C$18/12</f>
        <v>39153.069999999992</v>
      </c>
      <c r="O880" s="25">
        <f t="shared" si="785"/>
        <v>11007.82546143035</v>
      </c>
      <c r="P880" s="25">
        <f t="shared" si="786"/>
        <v>28145.244538569641</v>
      </c>
      <c r="Q880" s="25">
        <f t="array" aca="1" ref="Q880" ca="1">INDEX('Isaac 401k'!L:L,MATCH('Retirement Calculator'!A880,'Isaac 401k'!N:N,0),0)</f>
        <v>-5098479.7103242911</v>
      </c>
      <c r="R880" s="25">
        <f t="array" aca="1" ref="R880" ca="1">INDEX('Lorri 401b'!L:L,MATCH('Retirement Calculator'!A880,'Lorri 401b'!N:N,0),0)</f>
        <v>-12739054.402009645</v>
      </c>
      <c r="S880" s="25">
        <f t="shared" ca="1" si="787"/>
        <v>-17837534.112333938</v>
      </c>
    </row>
    <row r="881" spans="1:19" ht="15.75" customHeight="1" x14ac:dyDescent="0.3">
      <c r="A881" s="37">
        <v>77768</v>
      </c>
      <c r="B881" s="409">
        <f t="shared" ref="B881:C881" si="892">($A881-B$9)/365.25</f>
        <v>131.03901437371664</v>
      </c>
      <c r="C881" s="409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3525.4531757812501</v>
      </c>
      <c r="H881" s="25">
        <f>IF(B881&lt;62,0,'Combined Retirement'!$I$14)</f>
        <v>2192</v>
      </c>
      <c r="I881" s="25">
        <f>IF(C881&lt;62,0,'Combined Retirement'!$I$13)</f>
        <v>2420</v>
      </c>
      <c r="J881" s="25">
        <f t="shared" si="783"/>
        <v>7863.2184191855868</v>
      </c>
      <c r="K881" s="25">
        <f t="shared" si="784"/>
        <v>20282.026119384056</v>
      </c>
      <c r="L881" s="25"/>
      <c r="N881" s="25">
        <f>'Combined Retirement'!$C$18/12</f>
        <v>39153.069999999992</v>
      </c>
      <c r="O881" s="25">
        <f t="shared" si="785"/>
        <v>11007.82546143035</v>
      </c>
      <c r="P881" s="25">
        <f t="shared" si="786"/>
        <v>28145.244538569641</v>
      </c>
      <c r="Q881" s="25">
        <f t="array" aca="1" ref="Q881" ca="1">INDEX('Isaac 401k'!L:L,MATCH('Retirement Calculator'!A881,'Isaac 401k'!N:N,0),0)</f>
        <v>-5127619.3576132413</v>
      </c>
      <c r="R881" s="25">
        <f t="array" aca="1" ref="R881" ca="1">INDEX('Lorri 401b'!L:L,MATCH('Retirement Calculator'!A881,'Lorri 401b'!N:N,0),0)</f>
        <v>-12812500.329912901</v>
      </c>
      <c r="S881" s="25">
        <f t="shared" ca="1" si="787"/>
        <v>-17940119.687526144</v>
      </c>
    </row>
    <row r="882" spans="1:19" ht="15.75" customHeight="1" x14ac:dyDescent="0.3">
      <c r="A882" s="37">
        <v>77799</v>
      </c>
      <c r="B882" s="409">
        <f t="shared" ref="B882:C882" si="893">($A882-B$9)/365.25</f>
        <v>131.12388774811774</v>
      </c>
      <c r="C882" s="409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3525.4531757812501</v>
      </c>
      <c r="H882" s="25">
        <f>IF(B882&lt;62,0,'Combined Retirement'!$I$14)</f>
        <v>2192</v>
      </c>
      <c r="I882" s="25">
        <f>IF(C882&lt;62,0,'Combined Retirement'!$I$13)</f>
        <v>2420</v>
      </c>
      <c r="J882" s="25">
        <f t="shared" si="783"/>
        <v>7863.2184191855868</v>
      </c>
      <c r="K882" s="25">
        <f t="shared" si="784"/>
        <v>20282.026119384056</v>
      </c>
      <c r="L882" s="25"/>
      <c r="N882" s="25">
        <f>'Combined Retirement'!$C$18/12</f>
        <v>39153.069999999992</v>
      </c>
      <c r="O882" s="25">
        <f t="shared" si="785"/>
        <v>11007.82546143035</v>
      </c>
      <c r="P882" s="25">
        <f t="shared" si="786"/>
        <v>28145.244538569641</v>
      </c>
      <c r="Q882" s="25">
        <f t="array" aca="1" ref="Q882" ca="1">INDEX('Isaac 401k'!L:L,MATCH('Retirement Calculator'!A882,'Isaac 401k'!N:N,0),0)</f>
        <v>-5156880.4200992286</v>
      </c>
      <c r="R882" s="25">
        <f t="array" aca="1" ref="R882" ca="1">INDEX('Lorri 401b'!L:L,MATCH('Retirement Calculator'!A882,'Lorri 401b'!N:N,0),0)</f>
        <v>-12886252.282515753</v>
      </c>
      <c r="S882" s="25">
        <f t="shared" ca="1" si="787"/>
        <v>-18043132.702614982</v>
      </c>
    </row>
    <row r="883" spans="1:19" ht="15.75" customHeight="1" x14ac:dyDescent="0.3">
      <c r="A883" s="37">
        <v>77830</v>
      </c>
      <c r="B883" s="409">
        <f t="shared" ref="B883:C883" si="894">($A883-B$9)/365.25</f>
        <v>131.20876112251884</v>
      </c>
      <c r="C883" s="409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3525.4531757812501</v>
      </c>
      <c r="H883" s="25">
        <f>IF(B883&lt;62,0,'Combined Retirement'!$I$14)</f>
        <v>2192</v>
      </c>
      <c r="I883" s="25">
        <f>IF(C883&lt;62,0,'Combined Retirement'!$I$13)</f>
        <v>2420</v>
      </c>
      <c r="J883" s="25">
        <f t="shared" si="783"/>
        <v>7863.2184191855868</v>
      </c>
      <c r="K883" s="25">
        <f t="shared" si="784"/>
        <v>20282.026119384056</v>
      </c>
      <c r="L883" s="25"/>
      <c r="N883" s="25">
        <f>'Combined Retirement'!$C$18/12</f>
        <v>39153.069999999992</v>
      </c>
      <c r="O883" s="25">
        <f t="shared" si="785"/>
        <v>11007.82546143035</v>
      </c>
      <c r="P883" s="25">
        <f t="shared" si="786"/>
        <v>28145.244538569641</v>
      </c>
      <c r="Q883" s="25">
        <f t="array" aca="1" ref="Q883" ca="1">INDEX('Isaac 401k'!L:L,MATCH('Retirement Calculator'!A883,'Isaac 401k'!N:N,0),0)</f>
        <v>-5186263.403678908</v>
      </c>
      <c r="R883" s="25">
        <f t="array" aca="1" ref="R883" ca="1">INDEX('Lorri 401b'!L:L,MATCH('Retirement Calculator'!A883,'Lorri 401b'!N:N,0),0)</f>
        <v>-12960311.534921117</v>
      </c>
      <c r="S883" s="25">
        <f t="shared" ca="1" si="787"/>
        <v>-18146574.938600026</v>
      </c>
    </row>
    <row r="884" spans="1:19" ht="15.75" customHeight="1" x14ac:dyDescent="0.3">
      <c r="A884" s="37">
        <v>77858</v>
      </c>
      <c r="B884" s="409">
        <f t="shared" ref="B884:C884" si="895">($A884-B$9)/365.25</f>
        <v>131.28542094455852</v>
      </c>
      <c r="C884" s="409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3525.4531757812501</v>
      </c>
      <c r="H884" s="25">
        <f>IF(B884&lt;62,0,'Combined Retirement'!$I$14)</f>
        <v>2192</v>
      </c>
      <c r="I884" s="25">
        <f>IF(C884&lt;62,0,'Combined Retirement'!$I$13)</f>
        <v>2420</v>
      </c>
      <c r="J884" s="25">
        <f t="shared" si="783"/>
        <v>7863.2184191855868</v>
      </c>
      <c r="K884" s="25">
        <f t="shared" si="784"/>
        <v>20282.026119384056</v>
      </c>
      <c r="L884" s="25"/>
      <c r="N884" s="25">
        <f>'Combined Retirement'!$C$18/12</f>
        <v>39153.069999999992</v>
      </c>
      <c r="O884" s="25">
        <f t="shared" si="785"/>
        <v>11007.82546143035</v>
      </c>
      <c r="P884" s="25">
        <f t="shared" si="786"/>
        <v>28145.244538569641</v>
      </c>
      <c r="Q884" s="25">
        <f t="array" aca="1" ref="Q884" ca="1">INDEX('Isaac 401k'!L:L,MATCH('Retirement Calculator'!A884,'Isaac 401k'!N:N,0),0)</f>
        <v>-5215768.8163568359</v>
      </c>
      <c r="R884" s="25">
        <f t="array" aca="1" ref="R884" ca="1">INDEX('Lorri 401b'!L:L,MATCH('Retirement Calculator'!A884,'Lorri 401b'!N:N,0),0)</f>
        <v>-13034679.367544837</v>
      </c>
      <c r="S884" s="25">
        <f t="shared" ca="1" si="787"/>
        <v>-18250448.183901675</v>
      </c>
    </row>
    <row r="885" spans="1:19" ht="15.75" customHeight="1" x14ac:dyDescent="0.3">
      <c r="A885" s="37">
        <v>77889</v>
      </c>
      <c r="B885" s="409">
        <f t="shared" ref="B885:C885" si="896">($A885-B$9)/365.25</f>
        <v>131.37029431895962</v>
      </c>
      <c r="C885" s="409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3525.4531757812501</v>
      </c>
      <c r="H885" s="25">
        <f>IF(B885&lt;62,0,'Combined Retirement'!$I$14)</f>
        <v>2192</v>
      </c>
      <c r="I885" s="25">
        <f>IF(C885&lt;62,0,'Combined Retirement'!$I$13)</f>
        <v>2420</v>
      </c>
      <c r="J885" s="25">
        <f t="shared" si="783"/>
        <v>7863.2184191855868</v>
      </c>
      <c r="K885" s="25">
        <f t="shared" si="784"/>
        <v>20282.026119384056</v>
      </c>
      <c r="L885" s="25"/>
      <c r="N885" s="25">
        <f>'Combined Retirement'!$C$18/12</f>
        <v>39153.069999999992</v>
      </c>
      <c r="O885" s="25">
        <f t="shared" si="785"/>
        <v>11007.82546143035</v>
      </c>
      <c r="P885" s="25">
        <f t="shared" si="786"/>
        <v>28145.244538569641</v>
      </c>
      <c r="Q885" s="25">
        <f t="array" aca="1" ref="Q885" ca="1">INDEX('Isaac 401k'!L:L,MATCH('Retirement Calculator'!A885,'Isaac 401k'!N:N,0),0)</f>
        <v>-5245397.1682542553</v>
      </c>
      <c r="R885" s="25">
        <f t="array" aca="1" ref="R885" ca="1">INDEX('Lorri 401b'!L:L,MATCH('Retirement Calculator'!A885,'Lorri 401b'!N:N,0),0)</f>
        <v>-13109357.066137822</v>
      </c>
      <c r="S885" s="25">
        <f t="shared" ca="1" si="787"/>
        <v>-18354754.234392077</v>
      </c>
    </row>
    <row r="886" spans="1:19" ht="15.75" customHeight="1" x14ac:dyDescent="0.3">
      <c r="A886" s="37">
        <v>77919</v>
      </c>
      <c r="B886" s="409">
        <f t="shared" ref="B886:C886" si="897">($A886-B$9)/365.25</f>
        <v>131.45242984257359</v>
      </c>
      <c r="C886" s="409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3525.4531757812501</v>
      </c>
      <c r="H886" s="25">
        <f>IF(B886&lt;62,0,'Combined Retirement'!$I$14)</f>
        <v>2192</v>
      </c>
      <c r="I886" s="25">
        <f>IF(C886&lt;62,0,'Combined Retirement'!$I$13)</f>
        <v>2420</v>
      </c>
      <c r="J886" s="25">
        <f t="shared" si="783"/>
        <v>7863.2184191855868</v>
      </c>
      <c r="K886" s="25">
        <f t="shared" si="784"/>
        <v>20282.026119384056</v>
      </c>
      <c r="L886" s="25"/>
      <c r="N886" s="25">
        <f>'Combined Retirement'!$C$18/12</f>
        <v>39153.069999999992</v>
      </c>
      <c r="O886" s="25">
        <f t="shared" si="785"/>
        <v>11007.82546143035</v>
      </c>
      <c r="P886" s="25">
        <f t="shared" si="786"/>
        <v>28145.244538569641</v>
      </c>
      <c r="Q886" s="25">
        <f t="array" aca="1" ref="Q886" ca="1">INDEX('Isaac 401k'!L:L,MATCH('Retirement Calculator'!A886,'Isaac 401k'!N:N,0),0)</f>
        <v>-5275148.9716179138</v>
      </c>
      <c r="R886" s="25">
        <f t="array" aca="1" ref="R886" ca="1">INDEX('Lorri 401b'!L:L,MATCH('Retirement Calculator'!A886,'Lorri 401b'!N:N,0),0)</f>
        <v>-13184345.921808278</v>
      </c>
      <c r="S886" s="25">
        <f t="shared" ca="1" si="787"/>
        <v>-18459494.893426191</v>
      </c>
    </row>
    <row r="887" spans="1:19" ht="15.75" customHeight="1" x14ac:dyDescent="0.3">
      <c r="A887" s="37">
        <v>77950</v>
      </c>
      <c r="B887" s="409">
        <f t="shared" ref="B887:C887" si="898">($A887-B$9)/365.25</f>
        <v>131.53730321697466</v>
      </c>
      <c r="C887" s="409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3525.4531757812501</v>
      </c>
      <c r="H887" s="25">
        <f>IF(B887&lt;62,0,'Combined Retirement'!$I$14)</f>
        <v>2192</v>
      </c>
      <c r="I887" s="25">
        <f>IF(C887&lt;62,0,'Combined Retirement'!$I$13)</f>
        <v>2420</v>
      </c>
      <c r="J887" s="25">
        <f t="shared" si="783"/>
        <v>7863.2184191855868</v>
      </c>
      <c r="K887" s="25">
        <f t="shared" si="784"/>
        <v>20282.026119384056</v>
      </c>
      <c r="L887" s="25"/>
      <c r="N887" s="25">
        <f>'Combined Retirement'!$C$18/12</f>
        <v>39153.069999999992</v>
      </c>
      <c r="O887" s="25">
        <f t="shared" si="785"/>
        <v>11007.82546143035</v>
      </c>
      <c r="P887" s="25">
        <f t="shared" si="786"/>
        <v>28145.244538569641</v>
      </c>
      <c r="Q887" s="25">
        <f t="array" aca="1" ref="Q887" ca="1">INDEX('Isaac 401k'!L:L,MATCH('Retirement Calculator'!A887,'Isaac 401k'!N:N,0),0)</f>
        <v>-5305024.7408289211</v>
      </c>
      <c r="R887" s="25">
        <f t="array" aca="1" ref="R887" ca="1">INDEX('Lorri 401b'!L:L,MATCH('Retirement Calculator'!A887,'Lorri 401b'!N:N,0),0)</f>
        <v>-13259647.231044028</v>
      </c>
      <c r="S887" s="25">
        <f t="shared" ca="1" si="787"/>
        <v>-18564671.971872948</v>
      </c>
    </row>
    <row r="888" spans="1:19" ht="15.75" customHeight="1" x14ac:dyDescent="0.3">
      <c r="A888" s="37">
        <v>77980</v>
      </c>
      <c r="B888" s="409">
        <f t="shared" ref="B888:C888" si="899">($A888-B$9)/365.25</f>
        <v>131.61943874058863</v>
      </c>
      <c r="C888" s="409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3525.4531757812501</v>
      </c>
      <c r="H888" s="25">
        <f>IF(B888&lt;62,0,'Combined Retirement'!$I$14)</f>
        <v>2192</v>
      </c>
      <c r="I888" s="25">
        <f>IF(C888&lt;62,0,'Combined Retirement'!$I$13)</f>
        <v>2420</v>
      </c>
      <c r="J888" s="25">
        <f t="shared" si="783"/>
        <v>7863.2184191855868</v>
      </c>
      <c r="K888" s="25">
        <f t="shared" si="784"/>
        <v>20282.026119384056</v>
      </c>
      <c r="L888" s="25"/>
      <c r="N888" s="25">
        <f>'Combined Retirement'!$C$18/12</f>
        <v>39153.069999999992</v>
      </c>
      <c r="O888" s="25">
        <f t="shared" si="785"/>
        <v>11007.82546143035</v>
      </c>
      <c r="P888" s="25">
        <f t="shared" si="786"/>
        <v>28145.244538569641</v>
      </c>
      <c r="Q888" s="25">
        <f t="array" aca="1" ref="Q888" ca="1">INDEX('Isaac 401k'!L:L,MATCH('Retirement Calculator'!A888,'Isaac 401k'!N:N,0),0)</f>
        <v>-5335024.9924116405</v>
      </c>
      <c r="R888" s="25">
        <f t="array" aca="1" ref="R888" ca="1">INDEX('Lorri 401b'!L:L,MATCH('Retirement Calculator'!A888,'Lorri 401b'!N:N,0),0)</f>
        <v>-13335262.295734927</v>
      </c>
      <c r="S888" s="25">
        <f t="shared" ca="1" si="787"/>
        <v>-18670287.288146567</v>
      </c>
    </row>
    <row r="889" spans="1:19" ht="15.75" customHeight="1" x14ac:dyDescent="0.3">
      <c r="A889" s="37">
        <v>78011</v>
      </c>
      <c r="B889" s="409">
        <f t="shared" ref="B889:C889" si="900">($A889-B$9)/365.25</f>
        <v>131.70431211498973</v>
      </c>
      <c r="C889" s="409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3525.4531757812501</v>
      </c>
      <c r="H889" s="25">
        <f>IF(B889&lt;62,0,'Combined Retirement'!$I$14)</f>
        <v>2192</v>
      </c>
      <c r="I889" s="25">
        <f>IF(C889&lt;62,0,'Combined Retirement'!$I$13)</f>
        <v>2420</v>
      </c>
      <c r="J889" s="25">
        <f t="shared" si="783"/>
        <v>7863.2184191855868</v>
      </c>
      <c r="K889" s="25">
        <f t="shared" si="784"/>
        <v>20282.026119384056</v>
      </c>
      <c r="L889" s="25"/>
      <c r="N889" s="25">
        <f>'Combined Retirement'!$C$18/12</f>
        <v>39153.069999999992</v>
      </c>
      <c r="O889" s="25">
        <f t="shared" si="785"/>
        <v>11007.82546143035</v>
      </c>
      <c r="P889" s="25">
        <f t="shared" si="786"/>
        <v>28145.244538569641</v>
      </c>
      <c r="Q889" s="25">
        <f t="array" aca="1" ref="Q889" ca="1">INDEX('Isaac 401k'!L:L,MATCH('Retirement Calculator'!A889,'Isaac 401k'!N:N,0),0)</f>
        <v>-5365150.2450426212</v>
      </c>
      <c r="R889" s="25">
        <f t="array" aca="1" ref="R889" ca="1">INDEX('Lorri 401b'!L:L,MATCH('Retirement Calculator'!A889,'Lorri 401b'!N:N,0),0)</f>
        <v>-13411192.423195371</v>
      </c>
      <c r="S889" s="25">
        <f t="shared" ca="1" si="787"/>
        <v>-18776342.668237992</v>
      </c>
    </row>
    <row r="890" spans="1:19" ht="15.75" customHeight="1" x14ac:dyDescent="0.3">
      <c r="A890" s="37">
        <v>78042</v>
      </c>
      <c r="B890" s="409">
        <f t="shared" ref="B890:C890" si="901">($A890-B$9)/365.25</f>
        <v>131.78918548939083</v>
      </c>
      <c r="C890" s="409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3525.4531757812501</v>
      </c>
      <c r="H890" s="25">
        <f>IF(B890&lt;62,0,'Combined Retirement'!$I$14)</f>
        <v>2192</v>
      </c>
      <c r="I890" s="25">
        <f>IF(C890&lt;62,0,'Combined Retirement'!$I$13)</f>
        <v>2420</v>
      </c>
      <c r="J890" s="25">
        <f t="shared" si="783"/>
        <v>7863.2184191855868</v>
      </c>
      <c r="K890" s="25">
        <f t="shared" si="784"/>
        <v>20282.026119384056</v>
      </c>
      <c r="L890" s="25"/>
      <c r="N890" s="25">
        <f>'Combined Retirement'!$C$18/12</f>
        <v>39153.069999999992</v>
      </c>
      <c r="O890" s="25">
        <f t="shared" si="785"/>
        <v>11007.82546143035</v>
      </c>
      <c r="P890" s="25">
        <f t="shared" si="786"/>
        <v>28145.244538569641</v>
      </c>
      <c r="Q890" s="25">
        <f t="array" aca="1" ref="Q890" ca="1">INDEX('Isaac 401k'!L:L,MATCH('Retirement Calculator'!A890,'Isaac 401k'!N:N,0),0)</f>
        <v>-5395401.0195595641</v>
      </c>
      <c r="R890" s="25">
        <f t="array" aca="1" ref="R890" ca="1">INDEX('Lorri 401b'!L:L,MATCH('Retirement Calculator'!A890,'Lorri 401b'!N:N,0),0)</f>
        <v>-13487438.926186901</v>
      </c>
      <c r="S890" s="25">
        <f t="shared" ca="1" si="787"/>
        <v>-18882839.945746467</v>
      </c>
    </row>
    <row r="891" spans="1:19" ht="15.75" customHeight="1" x14ac:dyDescent="0.3">
      <c r="A891" s="37">
        <v>78072</v>
      </c>
      <c r="B891" s="409">
        <f t="shared" ref="B891:C891" si="902">($A891-B$9)/365.25</f>
        <v>131.8713210130048</v>
      </c>
      <c r="C891" s="409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3525.4531757812501</v>
      </c>
      <c r="H891" s="25">
        <f>IF(B891&lt;62,0,'Combined Retirement'!$I$14)</f>
        <v>2192</v>
      </c>
      <c r="I891" s="25">
        <f>IF(C891&lt;62,0,'Combined Retirement'!$I$13)</f>
        <v>2420</v>
      </c>
      <c r="J891" s="25">
        <f t="shared" si="783"/>
        <v>7863.2184191855868</v>
      </c>
      <c r="K891" s="25">
        <f t="shared" si="784"/>
        <v>20282.026119384056</v>
      </c>
      <c r="L891" s="25"/>
      <c r="N891" s="25">
        <f>'Combined Retirement'!$C$18/12</f>
        <v>39153.069999999992</v>
      </c>
      <c r="O891" s="25">
        <f t="shared" si="785"/>
        <v>11007.82546143035</v>
      </c>
      <c r="P891" s="25">
        <f t="shared" si="786"/>
        <v>28145.244538569641</v>
      </c>
      <c r="Q891" s="25">
        <f t="array" aca="1" ref="Q891" ca="1">INDEX('Isaac 401k'!L:L,MATCH('Retirement Calculator'!A891,'Isaac 401k'!N:N,0),0)</f>
        <v>-5425777.8389703277</v>
      </c>
      <c r="R891" s="25">
        <f t="array" aca="1" ref="R891" ca="1">INDEX('Lorri 401b'!L:L,MATCH('Retirement Calculator'!A891,'Lorri 401b'!N:N,0),0)</f>
        <v>-13564003.122940894</v>
      </c>
      <c r="S891" s="25">
        <f t="shared" ca="1" si="787"/>
        <v>-18989780.961911224</v>
      </c>
    </row>
    <row r="892" spans="1:19" ht="15.75" customHeight="1" x14ac:dyDescent="0.3">
      <c r="A892" s="37">
        <v>78103</v>
      </c>
      <c r="B892" s="409">
        <f t="shared" ref="B892:C892" si="903">($A892-B$9)/365.25</f>
        <v>131.95619438740587</v>
      </c>
      <c r="C892" s="409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3525.4531757812501</v>
      </c>
      <c r="H892" s="25">
        <f>IF(B892&lt;62,0,'Combined Retirement'!$I$14)</f>
        <v>2192</v>
      </c>
      <c r="I892" s="25">
        <f>IF(C892&lt;62,0,'Combined Retirement'!$I$13)</f>
        <v>2420</v>
      </c>
      <c r="J892" s="25">
        <f t="shared" si="783"/>
        <v>7863.2184191855868</v>
      </c>
      <c r="K892" s="25">
        <f t="shared" si="784"/>
        <v>20282.026119384056</v>
      </c>
      <c r="L892" s="25"/>
      <c r="N892" s="25">
        <f>'Combined Retirement'!$C$18/12</f>
        <v>39153.069999999992</v>
      </c>
      <c r="O892" s="25">
        <f t="shared" si="785"/>
        <v>11007.82546143035</v>
      </c>
      <c r="P892" s="25">
        <f t="shared" si="786"/>
        <v>28145.244538569641</v>
      </c>
      <c r="Q892" s="25">
        <f t="array" aca="1" ref="Q892" ca="1">INDEX('Isaac 401k'!L:L,MATCH('Retirement Calculator'!A892,'Isaac 401k'!N:N,0),0)</f>
        <v>-5456281.2284619696</v>
      </c>
      <c r="R892" s="25">
        <f t="array" aca="1" ref="R892" ca="1">INDEX('Lorri 401b'!L:L,MATCH('Retirement Calculator'!A892,'Lorri 401b'!N:N,0),0)</f>
        <v>-13640886.337181363</v>
      </c>
      <c r="S892" s="25">
        <f t="shared" ca="1" si="787"/>
        <v>-19097167.565643333</v>
      </c>
    </row>
    <row r="893" spans="1:19" ht="15.75" customHeight="1" x14ac:dyDescent="0.3">
      <c r="A893" s="37">
        <v>78133</v>
      </c>
      <c r="B893" s="409">
        <f t="shared" ref="B893:C893" si="904">($A893-B$9)/365.25</f>
        <v>132.03832991101984</v>
      </c>
      <c r="C893" s="409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3525.4531757812501</v>
      </c>
      <c r="H893" s="25">
        <f>IF(B893&lt;62,0,'Combined Retirement'!$I$14)</f>
        <v>2192</v>
      </c>
      <c r="I893" s="25">
        <f>IF(C893&lt;62,0,'Combined Retirement'!$I$13)</f>
        <v>2420</v>
      </c>
      <c r="J893" s="25">
        <f t="shared" si="783"/>
        <v>7863.2184191855868</v>
      </c>
      <c r="K893" s="25">
        <f t="shared" si="784"/>
        <v>20282.026119384056</v>
      </c>
      <c r="L893" s="25"/>
      <c r="N893" s="25">
        <f>'Combined Retirement'!$C$18/12</f>
        <v>39153.069999999992</v>
      </c>
      <c r="O893" s="25">
        <f t="shared" si="785"/>
        <v>11007.82546143035</v>
      </c>
      <c r="P893" s="25">
        <f t="shared" si="786"/>
        <v>28145.244538569641</v>
      </c>
      <c r="Q893" s="25">
        <f t="array" aca="1" ref="Q893" ca="1">INDEX('Isaac 401k'!L:L,MATCH('Retirement Calculator'!A893,'Isaac 401k'!N:N,0),0)</f>
        <v>-5486911.7154098274</v>
      </c>
      <c r="R893" s="25">
        <f t="array" aca="1" ref="R893" ca="1">INDEX('Lorri 401b'!L:L,MATCH('Retirement Calculator'!A893,'Lorri 401b'!N:N,0),0)</f>
        <v>-13718089.898147834</v>
      </c>
      <c r="S893" s="25">
        <f t="shared" ca="1" si="787"/>
        <v>-19205001.613557663</v>
      </c>
    </row>
    <row r="894" spans="1:19" ht="15.75" customHeight="1" x14ac:dyDescent="0.3">
      <c r="A894" s="37">
        <v>78164</v>
      </c>
      <c r="B894" s="409">
        <f t="shared" ref="B894:C894" si="905">($A894-B$9)/365.25</f>
        <v>132.12320328542094</v>
      </c>
      <c r="C894" s="409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3525.4531757812501</v>
      </c>
      <c r="H894" s="25">
        <f>IF(B894&lt;62,0,'Combined Retirement'!$I$14)</f>
        <v>2192</v>
      </c>
      <c r="I894" s="25">
        <f>IF(C894&lt;62,0,'Combined Retirement'!$I$13)</f>
        <v>2420</v>
      </c>
      <c r="J894" s="25">
        <f t="shared" si="783"/>
        <v>7863.2184191855868</v>
      </c>
      <c r="K894" s="25">
        <f t="shared" si="784"/>
        <v>20282.026119384056</v>
      </c>
      <c r="L894" s="25"/>
      <c r="N894" s="25">
        <f>'Combined Retirement'!$C$18/12</f>
        <v>39153.069999999992</v>
      </c>
      <c r="O894" s="25">
        <f t="shared" si="785"/>
        <v>11007.82546143035</v>
      </c>
      <c r="P894" s="25">
        <f t="shared" si="786"/>
        <v>28145.244538569641</v>
      </c>
      <c r="Q894" s="25">
        <f t="array" aca="1" ref="Q894" ca="1">INDEX('Isaac 401k'!L:L,MATCH('Retirement Calculator'!A894,'Isaac 401k'!N:N,0),0)</f>
        <v>-5517669.8293866338</v>
      </c>
      <c r="R894" s="25">
        <f t="array" aca="1" ref="R894" ca="1">INDEX('Lorri 401b'!L:L,MATCH('Retirement Calculator'!A894,'Lorri 401b'!N:N,0),0)</f>
        <v>-13795615.140618334</v>
      </c>
      <c r="S894" s="25">
        <f t="shared" ca="1" si="787"/>
        <v>-19313284.970004968</v>
      </c>
    </row>
    <row r="895" spans="1:19" ht="15.75" customHeight="1" x14ac:dyDescent="0.3">
      <c r="A895" s="37">
        <v>78195</v>
      </c>
      <c r="B895" s="409">
        <f t="shared" ref="B895:C895" si="906">($A895-B$9)/365.25</f>
        <v>132.20807665982204</v>
      </c>
      <c r="C895" s="409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3525.4531757812501</v>
      </c>
      <c r="H895" s="25">
        <f>IF(B895&lt;62,0,'Combined Retirement'!$I$14)</f>
        <v>2192</v>
      </c>
      <c r="I895" s="25">
        <f>IF(C895&lt;62,0,'Combined Retirement'!$I$13)</f>
        <v>2420</v>
      </c>
      <c r="J895" s="25">
        <f t="shared" si="783"/>
        <v>7863.2184191855868</v>
      </c>
      <c r="K895" s="25">
        <f t="shared" si="784"/>
        <v>20282.026119384056</v>
      </c>
      <c r="L895" s="25"/>
      <c r="N895" s="25">
        <f>'Combined Retirement'!$C$18/12</f>
        <v>39153.069999999992</v>
      </c>
      <c r="O895" s="25">
        <f t="shared" si="785"/>
        <v>11007.82546143035</v>
      </c>
      <c r="P895" s="25">
        <f t="shared" si="786"/>
        <v>28145.244538569641</v>
      </c>
      <c r="Q895" s="25">
        <f t="array" aca="1" ref="Q895" ca="1">INDEX('Isaac 401k'!L:L,MATCH('Retirement Calculator'!A895,'Isaac 401k'!N:N,0),0)</f>
        <v>-5548556.1021716772</v>
      </c>
      <c r="R895" s="25">
        <f t="array" aca="1" ref="R895" ca="1">INDEX('Lorri 401b'!L:L,MATCH('Retirement Calculator'!A895,'Lorri 401b'!N:N,0),0)</f>
        <v>-13873463.40493246</v>
      </c>
      <c r="S895" s="25">
        <f t="shared" ca="1" si="787"/>
        <v>-19422019.507104136</v>
      </c>
    </row>
    <row r="896" spans="1:19" ht="15.75" customHeight="1" x14ac:dyDescent="0.3">
      <c r="A896" s="37">
        <v>78223</v>
      </c>
      <c r="B896" s="409">
        <f t="shared" ref="B896:C896" si="907">($A896-B$9)/365.25</f>
        <v>132.28473648186173</v>
      </c>
      <c r="C896" s="409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3525.4531757812501</v>
      </c>
      <c r="H896" s="25">
        <f>IF(B896&lt;62,0,'Combined Retirement'!$I$14)</f>
        <v>2192</v>
      </c>
      <c r="I896" s="25">
        <f>IF(C896&lt;62,0,'Combined Retirement'!$I$13)</f>
        <v>2420</v>
      </c>
      <c r="J896" s="25">
        <f t="shared" si="783"/>
        <v>7863.2184191855868</v>
      </c>
      <c r="K896" s="25">
        <f t="shared" si="784"/>
        <v>20282.026119384056</v>
      </c>
      <c r="L896" s="25"/>
      <c r="N896" s="25">
        <f>'Combined Retirement'!$C$18/12</f>
        <v>39153.069999999992</v>
      </c>
      <c r="O896" s="25">
        <f t="shared" si="785"/>
        <v>11007.82546143035</v>
      </c>
      <c r="P896" s="25">
        <f t="shared" si="786"/>
        <v>28145.244538569641</v>
      </c>
      <c r="Q896" s="25">
        <f t="array" aca="1" ref="Q896" ca="1">INDEX('Isaac 401k'!L:L,MATCH('Retirement Calculator'!A896,'Isaac 401k'!N:N,0),0)</f>
        <v>-5579571.0677599916</v>
      </c>
      <c r="R896" s="25">
        <f t="array" aca="1" ref="R896" ca="1">INDEX('Lorri 401b'!L:L,MATCH('Retirement Calculator'!A896,'Lorri 401b'!N:N,0),0)</f>
        <v>-13951636.037014561</v>
      </c>
      <c r="S896" s="25">
        <f t="shared" ca="1" si="787"/>
        <v>-19531207.104774553</v>
      </c>
    </row>
    <row r="897" spans="1:19" ht="15.75" customHeight="1" x14ac:dyDescent="0.3">
      <c r="A897" s="37">
        <v>78254</v>
      </c>
      <c r="B897" s="409">
        <f t="shared" ref="B897:C897" si="908">($A897-B$9)/365.25</f>
        <v>132.36960985626283</v>
      </c>
      <c r="C897" s="409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3525.4531757812501</v>
      </c>
      <c r="H897" s="25">
        <f>IF(B897&lt;62,0,'Combined Retirement'!$I$14)</f>
        <v>2192</v>
      </c>
      <c r="I897" s="25">
        <f>IF(C897&lt;62,0,'Combined Retirement'!$I$13)</f>
        <v>2420</v>
      </c>
      <c r="J897" s="25">
        <f t="shared" si="783"/>
        <v>7863.2184191855868</v>
      </c>
      <c r="K897" s="25">
        <f t="shared" si="784"/>
        <v>20282.026119384056</v>
      </c>
      <c r="L897" s="25"/>
      <c r="N897" s="25">
        <f>'Combined Retirement'!$C$18/12</f>
        <v>39153.069999999992</v>
      </c>
      <c r="O897" s="25">
        <f t="shared" si="785"/>
        <v>11007.82546143035</v>
      </c>
      <c r="P897" s="25">
        <f t="shared" si="786"/>
        <v>28145.244538569641</v>
      </c>
      <c r="Q897" s="25">
        <f t="array" aca="1" ref="Q897" ca="1">INDEX('Isaac 401k'!L:L,MATCH('Retirement Calculator'!A897,'Isaac 401k'!N:N,0),0)</f>
        <v>-5610715.2623715904</v>
      </c>
      <c r="R897" s="25">
        <f t="array" aca="1" ref="R897" ca="1">INDEX('Lorri 401b'!L:L,MATCH('Retirement Calculator'!A897,'Lorri 401b'!N:N,0),0)</f>
        <v>-14030134.388397004</v>
      </c>
      <c r="S897" s="25">
        <f t="shared" ca="1" si="787"/>
        <v>-19640849.650768593</v>
      </c>
    </row>
    <row r="898" spans="1:19" ht="15.75" customHeight="1" x14ac:dyDescent="0.3">
      <c r="A898" s="37">
        <v>78284</v>
      </c>
      <c r="B898" s="409">
        <f t="shared" ref="B898:C898" si="909">($A898-B$9)/365.25</f>
        <v>132.4517453798768</v>
      </c>
      <c r="C898" s="409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3525.4531757812501</v>
      </c>
      <c r="H898" s="25">
        <f>IF(B898&lt;62,0,'Combined Retirement'!$I$14)</f>
        <v>2192</v>
      </c>
      <c r="I898" s="25">
        <f>IF(C898&lt;62,0,'Combined Retirement'!$I$13)</f>
        <v>2420</v>
      </c>
      <c r="J898" s="25">
        <f t="shared" si="783"/>
        <v>7863.2184191855868</v>
      </c>
      <c r="K898" s="25">
        <f t="shared" si="784"/>
        <v>20282.026119384056</v>
      </c>
      <c r="L898" s="25"/>
      <c r="N898" s="25">
        <f>'Combined Retirement'!$C$18/12</f>
        <v>39153.069999999992</v>
      </c>
      <c r="O898" s="25">
        <f t="shared" si="785"/>
        <v>11007.82546143035</v>
      </c>
      <c r="P898" s="25">
        <f t="shared" si="786"/>
        <v>28145.244538569641</v>
      </c>
      <c r="Q898" s="25">
        <f t="array" aca="1" ref="Q898" ca="1">INDEX('Isaac 401k'!L:L,MATCH('Retirement Calculator'!A898,'Isaac 401k'!N:N,0),0)</f>
        <v>-5641989.2244607378</v>
      </c>
      <c r="R898" s="25">
        <f t="array" aca="1" ref="R898" ca="1">INDEX('Lorri 401b'!L:L,MATCH('Retirement Calculator'!A898,'Lorri 401b'!N:N,0),0)</f>
        <v>-14108959.81624354</v>
      </c>
      <c r="S898" s="25">
        <f t="shared" ca="1" si="787"/>
        <v>-19750949.04070428</v>
      </c>
    </row>
    <row r="899" spans="1:19" ht="15.75" customHeight="1" x14ac:dyDescent="0.3">
      <c r="A899" s="37">
        <v>78315</v>
      </c>
      <c r="B899" s="409">
        <f t="shared" ref="B899:C899" si="910">($A899-B$9)/365.25</f>
        <v>132.5366187542779</v>
      </c>
      <c r="C899" s="409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3525.4531757812501</v>
      </c>
      <c r="H899" s="25">
        <f>IF(B899&lt;62,0,'Combined Retirement'!$I$14)</f>
        <v>2192</v>
      </c>
      <c r="I899" s="25">
        <f>IF(C899&lt;62,0,'Combined Retirement'!$I$13)</f>
        <v>2420</v>
      </c>
      <c r="J899" s="25">
        <f t="shared" si="783"/>
        <v>7863.2184191855868</v>
      </c>
      <c r="K899" s="25">
        <f t="shared" si="784"/>
        <v>20282.026119384056</v>
      </c>
      <c r="L899" s="25"/>
      <c r="N899" s="25">
        <f>'Combined Retirement'!$C$18/12</f>
        <v>39153.069999999992</v>
      </c>
      <c r="O899" s="25">
        <f t="shared" si="785"/>
        <v>11007.82546143035</v>
      </c>
      <c r="P899" s="25">
        <f t="shared" si="786"/>
        <v>28145.244538569641</v>
      </c>
      <c r="Q899" s="25">
        <f t="array" aca="1" ref="Q899" ca="1">INDEX('Isaac 401k'!L:L,MATCH('Retirement Calculator'!A899,'Isaac 401k'!N:N,0),0)</f>
        <v>-5673393.4947252562</v>
      </c>
      <c r="R899" s="25">
        <f t="array" aca="1" ref="R899" ca="1">INDEX('Lorri 401b'!L:L,MATCH('Retirement Calculator'!A899,'Lorri 401b'!N:N,0),0)</f>
        <v>-14188113.683372771</v>
      </c>
      <c r="S899" s="25">
        <f t="shared" ca="1" si="787"/>
        <v>-19861507.178098027</v>
      </c>
    </row>
    <row r="900" spans="1:19" ht="15.75" customHeight="1" x14ac:dyDescent="0.3">
      <c r="A900" s="37">
        <v>78345</v>
      </c>
      <c r="B900" s="409">
        <f t="shared" ref="B900:C900" si="911">($A900-B$9)/365.25</f>
        <v>132.61875427789187</v>
      </c>
      <c r="C900" s="409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3525.4531757812501</v>
      </c>
      <c r="H900" s="25">
        <f>IF(B900&lt;62,0,'Combined Retirement'!$I$14)</f>
        <v>2192</v>
      </c>
      <c r="I900" s="25">
        <f>IF(C900&lt;62,0,'Combined Retirement'!$I$13)</f>
        <v>2420</v>
      </c>
      <c r="J900" s="25">
        <f t="shared" si="783"/>
        <v>7863.2184191855868</v>
      </c>
      <c r="K900" s="25">
        <f t="shared" si="784"/>
        <v>20282.026119384056</v>
      </c>
      <c r="L900" s="25"/>
      <c r="N900" s="25">
        <f>'Combined Retirement'!$C$18/12</f>
        <v>39153.069999999992</v>
      </c>
      <c r="O900" s="25">
        <f t="shared" si="785"/>
        <v>11007.82546143035</v>
      </c>
      <c r="P900" s="25">
        <f t="shared" si="786"/>
        <v>28145.244538569641</v>
      </c>
      <c r="Q900" s="25">
        <f t="array" aca="1" ref="Q900" ca="1">INDEX('Isaac 401k'!L:L,MATCH('Retirement Calculator'!A900,'Isaac 401k'!N:N,0),0)</f>
        <v>-5704928.6161158774</v>
      </c>
      <c r="R900" s="25">
        <f t="array" aca="1" ref="R900" ca="1">INDEX('Lorri 401b'!L:L,MATCH('Retirement Calculator'!A900,'Lorri 401b'!N:N,0),0)</f>
        <v>-14267597.358281707</v>
      </c>
      <c r="S900" s="25">
        <f t="shared" ca="1" si="787"/>
        <v>-19972525.974397585</v>
      </c>
    </row>
    <row r="901" spans="1:19" ht="15.75" customHeight="1" x14ac:dyDescent="0.3">
      <c r="A901" s="37">
        <v>78376</v>
      </c>
      <c r="B901" s="409">
        <f t="shared" ref="B901:C901" si="912">($A901-B$9)/365.25</f>
        <v>132.70362765229294</v>
      </c>
      <c r="C901" s="409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3525.4531757812501</v>
      </c>
      <c r="H901" s="25">
        <f>IF(B901&lt;62,0,'Combined Retirement'!$I$14)</f>
        <v>2192</v>
      </c>
      <c r="I901" s="25">
        <f>IF(C901&lt;62,0,'Combined Retirement'!$I$13)</f>
        <v>2420</v>
      </c>
      <c r="J901" s="25">
        <f t="shared" si="783"/>
        <v>7863.2184191855868</v>
      </c>
      <c r="K901" s="25">
        <f t="shared" si="784"/>
        <v>20282.026119384056</v>
      </c>
      <c r="L901" s="25"/>
      <c r="N901" s="25">
        <f>'Combined Retirement'!$C$18/12</f>
        <v>39153.069999999992</v>
      </c>
      <c r="O901" s="25">
        <f t="shared" si="785"/>
        <v>11007.82546143035</v>
      </c>
      <c r="P901" s="25">
        <f t="shared" si="786"/>
        <v>28145.244538569641</v>
      </c>
      <c r="Q901" s="25">
        <f t="array" aca="1" ref="Q901" ca="1">INDEX('Isaac 401k'!L:L,MATCH('Retirement Calculator'!A901,'Isaac 401k'!N:N,0),0)</f>
        <v>-5736595.1338456264</v>
      </c>
      <c r="R901" s="25">
        <f t="array" aca="1" ref="R901" ca="1">INDEX('Lorri 401b'!L:L,MATCH('Retirement Calculator'!A901,'Lorri 401b'!N:N,0),0)</f>
        <v>-14347412.21516943</v>
      </c>
      <c r="S901" s="25">
        <f t="shared" ca="1" si="787"/>
        <v>-20084007.349015057</v>
      </c>
    </row>
    <row r="902" spans="1:19" ht="15.75" customHeight="1" x14ac:dyDescent="0.3">
      <c r="A902" s="37">
        <v>78407</v>
      </c>
      <c r="B902" s="409">
        <f t="shared" ref="B902:C902" si="913">($A902-B$9)/365.25</f>
        <v>132.78850102669404</v>
      </c>
      <c r="C902" s="409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3525.4531757812501</v>
      </c>
      <c r="H902" s="25">
        <f>IF(B902&lt;62,0,'Combined Retirement'!$I$14)</f>
        <v>2192</v>
      </c>
      <c r="I902" s="25">
        <f>IF(C902&lt;62,0,'Combined Retirement'!$I$13)</f>
        <v>2420</v>
      </c>
      <c r="J902" s="25">
        <f t="shared" si="783"/>
        <v>7863.2184191855868</v>
      </c>
      <c r="K902" s="25">
        <f t="shared" si="784"/>
        <v>20282.026119384056</v>
      </c>
      <c r="L902" s="25"/>
      <c r="N902" s="25">
        <f>'Combined Retirement'!$C$18/12</f>
        <v>39153.069999999992</v>
      </c>
      <c r="O902" s="25">
        <f t="shared" si="785"/>
        <v>11007.82546143035</v>
      </c>
      <c r="P902" s="25">
        <f t="shared" si="786"/>
        <v>28145.244538569641</v>
      </c>
      <c r="Q902" s="25">
        <f t="array" aca="1" ref="Q902" ca="1">INDEX('Isaac 401k'!L:L,MATCH('Retirement Calculator'!A902,'Isaac 401k'!N:N,0),0)</f>
        <v>-5768393.5953992493</v>
      </c>
      <c r="R902" s="25">
        <f t="array" aca="1" ref="R902" ca="1">INDEX('Lorri 401b'!L:L,MATCH('Retirement Calculator'!A902,'Lorri 401b'!N:N,0),0)</f>
        <v>-14427559.633960851</v>
      </c>
      <c r="S902" s="25">
        <f t="shared" ca="1" si="787"/>
        <v>-20195953.2293601</v>
      </c>
    </row>
    <row r="903" spans="1:19" ht="15.75" customHeight="1" x14ac:dyDescent="0.3">
      <c r="A903" s="37">
        <v>78437</v>
      </c>
      <c r="B903" s="409">
        <f t="shared" ref="B903:C903" si="914">($A903-B$9)/365.25</f>
        <v>132.87063655030801</v>
      </c>
      <c r="C903" s="409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3525.4531757812501</v>
      </c>
      <c r="H903" s="25">
        <f>IF(B903&lt;62,0,'Combined Retirement'!$I$14)</f>
        <v>2192</v>
      </c>
      <c r="I903" s="25">
        <f>IF(C903&lt;62,0,'Combined Retirement'!$I$13)</f>
        <v>2420</v>
      </c>
      <c r="J903" s="25">
        <f t="shared" si="783"/>
        <v>7863.2184191855868</v>
      </c>
      <c r="K903" s="25">
        <f t="shared" si="784"/>
        <v>20282.026119384056</v>
      </c>
      <c r="L903" s="25"/>
      <c r="N903" s="25">
        <f>'Combined Retirement'!$C$18/12</f>
        <v>39153.069999999992</v>
      </c>
      <c r="O903" s="25">
        <f t="shared" si="785"/>
        <v>11007.82546143035</v>
      </c>
      <c r="P903" s="25">
        <f t="shared" si="786"/>
        <v>28145.244538569641</v>
      </c>
      <c r="Q903" s="25">
        <f t="array" aca="1" ref="Q903" ca="1">INDEX('Isaac 401k'!L:L,MATCH('Retirement Calculator'!A903,'Isaac 401k'!N:N,0),0)</f>
        <v>-5800324.5505426787</v>
      </c>
      <c r="R903" s="25">
        <f t="array" aca="1" ref="R903" ca="1">INDEX('Lorri 401b'!L:L,MATCH('Retirement Calculator'!A903,'Lorri 401b'!N:N,0),0)</f>
        <v>-14508041.000330569</v>
      </c>
      <c r="S903" s="25">
        <f t="shared" ca="1" si="787"/>
        <v>-20308365.55087325</v>
      </c>
    </row>
    <row r="904" spans="1:19" ht="15.75" customHeight="1" x14ac:dyDescent="0.3">
      <c r="A904" s="37">
        <v>78468</v>
      </c>
      <c r="B904" s="409">
        <f t="shared" ref="B904:C904" si="915">($A904-B$9)/365.25</f>
        <v>132.95550992470911</v>
      </c>
      <c r="C904" s="409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3525.4531757812501</v>
      </c>
      <c r="H904" s="25">
        <f>IF(B904&lt;62,0,'Combined Retirement'!$I$14)</f>
        <v>2192</v>
      </c>
      <c r="I904" s="25">
        <f>IF(C904&lt;62,0,'Combined Retirement'!$I$13)</f>
        <v>2420</v>
      </c>
      <c r="J904" s="25">
        <f t="shared" si="783"/>
        <v>7863.2184191855868</v>
      </c>
      <c r="K904" s="25">
        <f t="shared" si="784"/>
        <v>20282.026119384056</v>
      </c>
      <c r="L904" s="25"/>
      <c r="N904" s="25">
        <f>'Combined Retirement'!$C$18/12</f>
        <v>39153.069999999992</v>
      </c>
      <c r="O904" s="25">
        <f t="shared" si="785"/>
        <v>11007.82546143035</v>
      </c>
      <c r="P904" s="25">
        <f t="shared" si="786"/>
        <v>28145.244538569641</v>
      </c>
      <c r="Q904" s="25">
        <f t="array" aca="1" ref="Q904" ca="1">INDEX('Isaac 401k'!L:L,MATCH('Retirement Calculator'!A904,'Isaac 401k'!N:N,0),0)</f>
        <v>-5832388.5513325389</v>
      </c>
      <c r="R904" s="25">
        <f t="array" aca="1" ref="R904" ca="1">INDEX('Lorri 401b'!L:L,MATCH('Retirement Calculator'!A904,'Lorri 401b'!N:N,0),0)</f>
        <v>-14588857.705726828</v>
      </c>
      <c r="S904" s="25">
        <f t="shared" ca="1" si="787"/>
        <v>-20421246.257059366</v>
      </c>
    </row>
    <row r="905" spans="1:19" ht="15.75" customHeight="1" x14ac:dyDescent="0.3">
      <c r="A905" s="37">
        <v>78498</v>
      </c>
      <c r="B905" s="409">
        <f t="shared" ref="B905:C905" si="916">($A905-B$9)/365.25</f>
        <v>133.03764544832308</v>
      </c>
      <c r="C905" s="409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3525.4531757812501</v>
      </c>
      <c r="H905" s="25">
        <f>IF(B905&lt;62,0,'Combined Retirement'!$I$14)</f>
        <v>2192</v>
      </c>
      <c r="I905" s="25">
        <f>IF(C905&lt;62,0,'Combined Retirement'!$I$13)</f>
        <v>2420</v>
      </c>
      <c r="J905" s="25">
        <f t="shared" si="783"/>
        <v>7863.2184191855868</v>
      </c>
      <c r="K905" s="25">
        <f t="shared" si="784"/>
        <v>20282.026119384056</v>
      </c>
      <c r="L905" s="25"/>
      <c r="N905" s="25">
        <f>'Combined Retirement'!$C$18/12</f>
        <v>39153.069999999992</v>
      </c>
      <c r="O905" s="25">
        <f t="shared" si="785"/>
        <v>11007.82546143035</v>
      </c>
      <c r="P905" s="25">
        <f t="shared" si="786"/>
        <v>28145.244538569641</v>
      </c>
      <c r="Q905" s="25">
        <f t="array" aca="1" ref="Q905" ca="1">INDEX('Isaac 401k'!L:L,MATCH('Retirement Calculator'!A905,'Isaac 401k'!N:N,0),0)</f>
        <v>-5864586.1521256901</v>
      </c>
      <c r="R905" s="25">
        <f t="array" aca="1" ref="R905" ca="1">INDEX('Lorri 401b'!L:L,MATCH('Retirement Calculator'!A905,'Lorri 401b'!N:N,0),0)</f>
        <v>-14670011.147395572</v>
      </c>
      <c r="S905" s="25">
        <f t="shared" ca="1" si="787"/>
        <v>-20534597.29952126</v>
      </c>
    </row>
    <row r="906" spans="1:19" ht="15.75" customHeight="1" x14ac:dyDescent="0.3">
      <c r="A906" s="37">
        <v>78529</v>
      </c>
      <c r="B906" s="409">
        <f t="shared" ref="B906:C906" si="917">($A906-B$9)/365.25</f>
        <v>133.12251882272417</v>
      </c>
      <c r="C906" s="409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3525.4531757812501</v>
      </c>
      <c r="H906" s="25">
        <f>IF(B906&lt;62,0,'Combined Retirement'!$I$14)</f>
        <v>2192</v>
      </c>
      <c r="I906" s="25">
        <f>IF(C906&lt;62,0,'Combined Retirement'!$I$13)</f>
        <v>2420</v>
      </c>
      <c r="J906" s="25">
        <f t="shared" si="783"/>
        <v>7863.2184191855868</v>
      </c>
      <c r="K906" s="25">
        <f t="shared" si="784"/>
        <v>20282.026119384056</v>
      </c>
      <c r="L906" s="25"/>
      <c r="N906" s="25">
        <f>'Combined Retirement'!$C$18/12</f>
        <v>39153.069999999992</v>
      </c>
      <c r="O906" s="25">
        <f t="shared" si="785"/>
        <v>11007.82546143035</v>
      </c>
      <c r="P906" s="25">
        <f t="shared" si="786"/>
        <v>28145.244538569641</v>
      </c>
      <c r="Q906" s="25">
        <f t="array" aca="1" ref="Q906" ca="1">INDEX('Isaac 401k'!L:L,MATCH('Retirement Calculator'!A906,'Isaac 401k'!N:N,0),0)</f>
        <v>-5896917.9095888129</v>
      </c>
      <c r="R906" s="25">
        <f t="array" aca="1" ref="R906" ca="1">INDEX('Lorri 401b'!L:L,MATCH('Retirement Calculator'!A906,'Lorri 401b'!N:N,0),0)</f>
        <v>-14751502.728404602</v>
      </c>
      <c r="S906" s="25">
        <f t="shared" ca="1" si="787"/>
        <v>-20648420.637993414</v>
      </c>
    </row>
    <row r="907" spans="1:19" ht="15.75" customHeight="1" x14ac:dyDescent="0.3">
      <c r="A907" s="37">
        <v>78560</v>
      </c>
      <c r="B907" s="409">
        <f t="shared" ref="B907:C907" si="918">($A907-B$9)/365.25</f>
        <v>133.20739219712524</v>
      </c>
      <c r="C907" s="409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3525.4531757812501</v>
      </c>
      <c r="H907" s="25">
        <f>IF(B907&lt;62,0,'Combined Retirement'!$I$14)</f>
        <v>2192</v>
      </c>
      <c r="I907" s="25">
        <f>IF(C907&lt;62,0,'Combined Retirement'!$I$13)</f>
        <v>2420</v>
      </c>
      <c r="J907" s="25">
        <f t="shared" si="783"/>
        <v>7863.2184191855868</v>
      </c>
      <c r="K907" s="25">
        <f t="shared" si="784"/>
        <v>20282.026119384056</v>
      </c>
      <c r="L907" s="25"/>
      <c r="N907" s="25">
        <f>'Combined Retirement'!$C$18/12</f>
        <v>39153.069999999992</v>
      </c>
      <c r="O907" s="25">
        <f t="shared" si="785"/>
        <v>11007.82546143035</v>
      </c>
      <c r="P907" s="25">
        <f t="shared" si="786"/>
        <v>28145.244538569641</v>
      </c>
      <c r="Q907" s="25">
        <f t="array" aca="1" ref="Q907" ca="1">INDEX('Isaac 401k'!L:L,MATCH('Retirement Calculator'!A907,'Isaac 401k'!N:N,0),0)</f>
        <v>-5929384.3827080317</v>
      </c>
      <c r="R907" s="25">
        <f t="array" aca="1" ref="R907" ca="1">INDEX('Lorri 401b'!L:L,MATCH('Retirement Calculator'!A907,'Lorri 401b'!N:N,0),0)</f>
        <v>-14833333.857667837</v>
      </c>
      <c r="S907" s="25">
        <f t="shared" ca="1" si="787"/>
        <v>-20762718.240375869</v>
      </c>
    </row>
    <row r="908" spans="1:19" ht="15.75" customHeight="1" x14ac:dyDescent="0.3">
      <c r="A908" s="37">
        <v>78588</v>
      </c>
      <c r="B908" s="409">
        <f t="shared" ref="B908:C908" si="919">($A908-B$9)/365.25</f>
        <v>133.28405201916496</v>
      </c>
      <c r="C908" s="409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3525.4531757812501</v>
      </c>
      <c r="H908" s="25">
        <f>IF(B908&lt;62,0,'Combined Retirement'!$I$14)</f>
        <v>2192</v>
      </c>
      <c r="I908" s="25">
        <f>IF(C908&lt;62,0,'Combined Retirement'!$I$13)</f>
        <v>2420</v>
      </c>
      <c r="J908" s="25">
        <f t="shared" si="783"/>
        <v>7863.2184191855868</v>
      </c>
      <c r="K908" s="25">
        <f t="shared" si="784"/>
        <v>20282.026119384056</v>
      </c>
      <c r="L908" s="25"/>
      <c r="N908" s="25">
        <f>'Combined Retirement'!$C$18/12</f>
        <v>39153.069999999992</v>
      </c>
      <c r="O908" s="25">
        <f t="shared" si="785"/>
        <v>11007.82546143035</v>
      </c>
      <c r="P908" s="25">
        <f t="shared" si="786"/>
        <v>28145.244538569641</v>
      </c>
      <c r="Q908" s="25">
        <f t="array" aca="1" ref="Q908" ca="1">INDEX('Isaac 401k'!L:L,MATCH('Retirement Calculator'!A908,'Isaac 401k'!N:N,0),0)</f>
        <v>-5961986.1327985814</v>
      </c>
      <c r="R908" s="25">
        <f t="array" aca="1" ref="R908" ca="1">INDEX('Lorri 401b'!L:L,MATCH('Retirement Calculator'!A908,'Lorri 401b'!N:N,0),0)</f>
        <v>-14915505.94996967</v>
      </c>
      <c r="S908" s="25">
        <f t="shared" ca="1" si="787"/>
        <v>-20877492.08276825</v>
      </c>
    </row>
    <row r="909" spans="1:19" ht="15.75" customHeight="1" x14ac:dyDescent="0.3">
      <c r="A909" s="37">
        <v>78619</v>
      </c>
      <c r="B909" s="409">
        <f t="shared" ref="B909:C909" si="920">($A909-B$9)/365.25</f>
        <v>133.36892539356606</v>
      </c>
      <c r="C909" s="409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3525.4531757812501</v>
      </c>
      <c r="H909" s="25">
        <f>IF(B909&lt;62,0,'Combined Retirement'!$I$14)</f>
        <v>2192</v>
      </c>
      <c r="I909" s="25">
        <f>IF(C909&lt;62,0,'Combined Retirement'!$I$13)</f>
        <v>2420</v>
      </c>
      <c r="J909" s="25">
        <f t="shared" si="783"/>
        <v>7863.2184191855868</v>
      </c>
      <c r="K909" s="25">
        <f t="shared" si="784"/>
        <v>20282.026119384056</v>
      </c>
      <c r="L909" s="25"/>
      <c r="N909" s="25">
        <f>'Combined Retirement'!$C$18/12</f>
        <v>39153.069999999992</v>
      </c>
      <c r="O909" s="25">
        <f t="shared" si="785"/>
        <v>11007.82546143035</v>
      </c>
      <c r="P909" s="25">
        <f t="shared" si="786"/>
        <v>28145.244538569641</v>
      </c>
      <c r="Q909" s="25">
        <f t="array" aca="1" ref="Q909" ca="1">INDEX('Isaac 401k'!L:L,MATCH('Retirement Calculator'!A909,'Isaac 401k'!N:N,0),0)</f>
        <v>-5994723.7235145075</v>
      </c>
      <c r="R909" s="25">
        <f t="array" aca="1" ref="R909" ca="1">INDEX('Lorri 401b'!L:L,MATCH('Retirement Calculator'!A909,'Lorri 401b'!N:N,0),0)</f>
        <v>-14998020.425989427</v>
      </c>
      <c r="S909" s="25">
        <f t="shared" ca="1" si="787"/>
        <v>-20992744.149503935</v>
      </c>
    </row>
    <row r="910" spans="1:19" ht="15.75" customHeight="1" x14ac:dyDescent="0.3">
      <c r="A910" s="37">
        <v>78649</v>
      </c>
      <c r="B910" s="409">
        <f t="shared" ref="B910:C910" si="921">($A910-B$9)/365.25</f>
        <v>133.45106091718</v>
      </c>
      <c r="C910" s="409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3525.4531757812501</v>
      </c>
      <c r="H910" s="25">
        <f>IF(B910&lt;62,0,'Combined Retirement'!$I$14)</f>
        <v>2192</v>
      </c>
      <c r="I910" s="25">
        <f>IF(C910&lt;62,0,'Combined Retirement'!$I$13)</f>
        <v>2420</v>
      </c>
      <c r="J910" s="25">
        <f t="shared" si="783"/>
        <v>7863.2184191855868</v>
      </c>
      <c r="K910" s="25">
        <f t="shared" si="784"/>
        <v>20282.026119384056</v>
      </c>
      <c r="L910" s="25"/>
      <c r="N910" s="25">
        <f>'Combined Retirement'!$C$18/12</f>
        <v>39153.069999999992</v>
      </c>
      <c r="O910" s="25">
        <f t="shared" si="785"/>
        <v>11007.82546143035</v>
      </c>
      <c r="P910" s="25">
        <f t="shared" si="786"/>
        <v>28145.244538569641</v>
      </c>
      <c r="Q910" s="25">
        <f t="array" aca="1" ref="Q910" ca="1">INDEX('Isaac 401k'!L:L,MATCH('Retirement Calculator'!A910,'Isaac 401k'!N:N,0),0)</f>
        <v>-6027597.7208584175</v>
      </c>
      <c r="R910" s="25">
        <f t="array" aca="1" ref="R910" ca="1">INDEX('Lorri 401b'!L:L,MATCH('Retirement Calculator'!A910,'Lorri 401b'!N:N,0),0)</f>
        <v>-15080878.712325932</v>
      </c>
      <c r="S910" s="25">
        <f t="shared" ca="1" si="787"/>
        <v>-21108476.433184348</v>
      </c>
    </row>
    <row r="911" spans="1:19" ht="15.75" customHeight="1" x14ac:dyDescent="0.3">
      <c r="A911" s="37">
        <v>78680</v>
      </c>
      <c r="B911" s="409">
        <f t="shared" ref="B911:C911" si="922">($A911-B$9)/365.25</f>
        <v>133.5359342915811</v>
      </c>
      <c r="C911" s="409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3525.4531757812501</v>
      </c>
      <c r="H911" s="25">
        <f>IF(B911&lt;62,0,'Combined Retirement'!$I$14)</f>
        <v>2192</v>
      </c>
      <c r="I911" s="25">
        <f>IF(C911&lt;62,0,'Combined Retirement'!$I$13)</f>
        <v>2420</v>
      </c>
      <c r="J911" s="25">
        <f t="shared" si="783"/>
        <v>7863.2184191855868</v>
      </c>
      <c r="K911" s="25">
        <f t="shared" si="784"/>
        <v>20282.026119384056</v>
      </c>
      <c r="L911" s="25"/>
      <c r="N911" s="25">
        <f>'Combined Retirement'!$C$18/12</f>
        <v>39153.069999999992</v>
      </c>
      <c r="O911" s="25">
        <f t="shared" si="785"/>
        <v>11007.82546143035</v>
      </c>
      <c r="P911" s="25">
        <f t="shared" si="786"/>
        <v>28145.244538569641</v>
      </c>
      <c r="Q911" s="25">
        <f t="array" aca="1" ref="Q911" ca="1">INDEX('Isaac 401k'!L:L,MATCH('Retirement Calculator'!A911,'Isaac 401k'!N:N,0),0)</f>
        <v>-6060608.6931912601</v>
      </c>
      <c r="R911" s="25">
        <f t="array" aca="1" ref="R911" ca="1">INDEX('Lorri 401b'!L:L,MATCH('Retirement Calculator'!A911,'Lorri 401b'!N:N,0),0)</f>
        <v>-15164082.241522172</v>
      </c>
      <c r="S911" s="25">
        <f t="shared" ca="1" si="787"/>
        <v>-21224690.934713431</v>
      </c>
    </row>
    <row r="912" spans="1:19" ht="15.75" customHeight="1" x14ac:dyDescent="0.3">
      <c r="A912" s="37">
        <v>78710</v>
      </c>
      <c r="B912" s="409">
        <f t="shared" ref="B912:C912" si="923">($A912-B$9)/365.25</f>
        <v>133.61806981519507</v>
      </c>
      <c r="C912" s="409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3525.4531757812501</v>
      </c>
      <c r="H912" s="25">
        <f>IF(B912&lt;62,0,'Combined Retirement'!$I$14)</f>
        <v>2192</v>
      </c>
      <c r="I912" s="25">
        <f>IF(C912&lt;62,0,'Combined Retirement'!$I$13)</f>
        <v>2420</v>
      </c>
      <c r="J912" s="25">
        <f t="shared" si="783"/>
        <v>7863.2184191855868</v>
      </c>
      <c r="K912" s="25">
        <f t="shared" si="784"/>
        <v>20282.026119384056</v>
      </c>
      <c r="L912" s="25"/>
      <c r="N912" s="25">
        <f>'Combined Retirement'!$C$18/12</f>
        <v>39153.069999999992</v>
      </c>
      <c r="O912" s="25">
        <f t="shared" si="785"/>
        <v>11007.82546143035</v>
      </c>
      <c r="P912" s="25">
        <f t="shared" si="786"/>
        <v>28145.244538569641</v>
      </c>
      <c r="Q912" s="25">
        <f t="array" aca="1" ref="Q912" ca="1">INDEX('Isaac 401k'!L:L,MATCH('Retirement Calculator'!A912,'Isaac 401k'!N:N,0),0)</f>
        <v>-6093757.2112421561</v>
      </c>
      <c r="R912" s="25">
        <f t="array" aca="1" ref="R912" ca="1">INDEX('Lorri 401b'!L:L,MATCH('Retirement Calculator'!A912,'Lorri 401b'!N:N,0),0)</f>
        <v>-15247632.452090064</v>
      </c>
      <c r="S912" s="25">
        <f t="shared" ca="1" si="787"/>
        <v>-21341389.66333222</v>
      </c>
    </row>
    <row r="913" spans="1:19" ht="15.75" customHeight="1" x14ac:dyDescent="0.3">
      <c r="A913" s="37">
        <v>78741</v>
      </c>
      <c r="B913" s="409">
        <f t="shared" ref="B913:C913" si="924">($A913-B$9)/365.25</f>
        <v>133.70294318959617</v>
      </c>
      <c r="C913" s="409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3525.4531757812501</v>
      </c>
      <c r="H913" s="25">
        <f>IF(B913&lt;62,0,'Combined Retirement'!$I$14)</f>
        <v>2192</v>
      </c>
      <c r="I913" s="25">
        <f>IF(C913&lt;62,0,'Combined Retirement'!$I$13)</f>
        <v>2420</v>
      </c>
      <c r="J913" s="25">
        <f t="shared" si="783"/>
        <v>7863.2184191855868</v>
      </c>
      <c r="K913" s="25">
        <f t="shared" si="784"/>
        <v>20282.026119384056</v>
      </c>
      <c r="L913" s="25"/>
      <c r="N913" s="25">
        <f>'Combined Retirement'!$C$18/12</f>
        <v>39153.069999999992</v>
      </c>
      <c r="O913" s="25">
        <f t="shared" si="785"/>
        <v>11007.82546143035</v>
      </c>
      <c r="P913" s="25">
        <f t="shared" si="786"/>
        <v>28145.244538569641</v>
      </c>
      <c r="Q913" s="25">
        <f t="array" aca="1" ref="Q913" ca="1">INDEX('Isaac 401k'!L:L,MATCH('Retirement Calculator'!A913,'Isaac 401k'!N:N,0),0)</f>
        <v>-6127043.8481182642</v>
      </c>
      <c r="R913" s="25">
        <f t="array" aca="1" ref="R913" ca="1">INDEX('Lorri 401b'!L:L,MATCH('Retirement Calculator'!A913,'Lorri 401b'!N:N,0),0)</f>
        <v>-15331530.788535321</v>
      </c>
      <c r="S913" s="25">
        <f t="shared" ca="1" si="787"/>
        <v>-21458574.636653587</v>
      </c>
    </row>
    <row r="914" spans="1:19" ht="15.75" customHeight="1" x14ac:dyDescent="0.3">
      <c r="A914" s="37">
        <v>78772</v>
      </c>
      <c r="B914" s="409">
        <f t="shared" ref="B914:C914" si="925">($A914-B$9)/365.25</f>
        <v>133.78781656399727</v>
      </c>
      <c r="C914" s="409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3525.4531757812501</v>
      </c>
      <c r="H914" s="25">
        <f>IF(B914&lt;62,0,'Combined Retirement'!$I$14)</f>
        <v>2192</v>
      </c>
      <c r="I914" s="25">
        <f>IF(C914&lt;62,0,'Combined Retirement'!$I$13)</f>
        <v>2420</v>
      </c>
      <c r="J914" s="25">
        <f t="shared" si="783"/>
        <v>7863.2184191855868</v>
      </c>
      <c r="K914" s="25">
        <f t="shared" si="784"/>
        <v>20282.026119384056</v>
      </c>
      <c r="L914" s="25"/>
      <c r="N914" s="25">
        <f>'Combined Retirement'!$C$18/12</f>
        <v>39153.069999999992</v>
      </c>
      <c r="O914" s="25">
        <f t="shared" si="785"/>
        <v>11007.82546143035</v>
      </c>
      <c r="P914" s="25">
        <f t="shared" si="786"/>
        <v>28145.244538569641</v>
      </c>
      <c r="Q914" s="25">
        <f t="array" aca="1" ref="Q914" ca="1">INDEX('Isaac 401k'!L:L,MATCH('Retirement Calculator'!A914,'Isaac 401k'!N:N,0),0)</f>
        <v>-6160469.1793146897</v>
      </c>
      <c r="R914" s="25">
        <f t="array" aca="1" ref="R914" ca="1">INDEX('Lorri 401b'!L:L,MATCH('Retirement Calculator'!A914,'Lorri 401b'!N:N,0),0)</f>
        <v>-15415778.701382434</v>
      </c>
      <c r="S914" s="25">
        <f t="shared" ca="1" si="787"/>
        <v>-21576247.880697124</v>
      </c>
    </row>
    <row r="915" spans="1:19" ht="15.75" customHeight="1" x14ac:dyDescent="0.3">
      <c r="A915" s="37">
        <v>78802</v>
      </c>
      <c r="B915" s="409">
        <f t="shared" ref="B915:C915" si="926">($A915-B$9)/365.25</f>
        <v>133.86995208761124</v>
      </c>
      <c r="C915" s="409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3525.4531757812501</v>
      </c>
      <c r="H915" s="25">
        <f>IF(B915&lt;62,0,'Combined Retirement'!$I$14)</f>
        <v>2192</v>
      </c>
      <c r="I915" s="25">
        <f>IF(C915&lt;62,0,'Combined Retirement'!$I$13)</f>
        <v>2420</v>
      </c>
      <c r="J915" s="25">
        <f t="shared" si="783"/>
        <v>7863.2184191855868</v>
      </c>
      <c r="K915" s="25">
        <f t="shared" si="784"/>
        <v>20282.026119384056</v>
      </c>
      <c r="L915" s="25"/>
      <c r="N915" s="25">
        <f>'Combined Retirement'!$C$18/12</f>
        <v>39153.069999999992</v>
      </c>
      <c r="O915" s="25">
        <f t="shared" si="785"/>
        <v>11007.82546143035</v>
      </c>
      <c r="P915" s="25">
        <f t="shared" si="786"/>
        <v>28145.244538569641</v>
      </c>
      <c r="Q915" s="25">
        <f t="array" aca="1" ref="Q915" ca="1">INDEX('Isaac 401k'!L:L,MATCH('Retirement Calculator'!A915,'Isaac 401k'!N:N,0),0)</f>
        <v>-6194033.7827244336</v>
      </c>
      <c r="R915" s="25">
        <f t="array" aca="1" ref="R915" ca="1">INDEX('Lorri 401b'!L:L,MATCH('Retirement Calculator'!A915,'Lorri 401b'!N:N,0),0)</f>
        <v>-15500377.647199742</v>
      </c>
      <c r="S915" s="25">
        <f t="shared" ca="1" si="787"/>
        <v>-21694411.429924175</v>
      </c>
    </row>
    <row r="916" spans="1:19" ht="15.75" customHeight="1" x14ac:dyDescent="0.3">
      <c r="A916" s="37">
        <v>78833</v>
      </c>
      <c r="B916" s="409">
        <f t="shared" ref="B916:C916" si="927">($A916-B$9)/365.25</f>
        <v>133.95482546201231</v>
      </c>
      <c r="C916" s="409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3525.4531757812501</v>
      </c>
      <c r="H916" s="25">
        <f>IF(B916&lt;62,0,'Combined Retirement'!$I$14)</f>
        <v>2192</v>
      </c>
      <c r="I916" s="25">
        <f>IF(C916&lt;62,0,'Combined Retirement'!$I$13)</f>
        <v>2420</v>
      </c>
      <c r="J916" s="25">
        <f t="shared" si="783"/>
        <v>7863.2184191855868</v>
      </c>
      <c r="K916" s="25">
        <f t="shared" si="784"/>
        <v>20282.026119384056</v>
      </c>
      <c r="L916" s="25"/>
      <c r="N916" s="25">
        <f>'Combined Retirement'!$C$18/12</f>
        <v>39153.069999999992</v>
      </c>
      <c r="O916" s="25">
        <f t="shared" si="785"/>
        <v>11007.82546143035</v>
      </c>
      <c r="P916" s="25">
        <f t="shared" si="786"/>
        <v>28145.244538569641</v>
      </c>
      <c r="Q916" s="25">
        <f t="array" aca="1" ref="Q916" ca="1">INDEX('Isaac 401k'!L:L,MATCH('Retirement Calculator'!A916,'Isaac 401k'!N:N,0),0)</f>
        <v>-6227738.2386483848</v>
      </c>
      <c r="R916" s="25">
        <f t="array" aca="1" ref="R916" ca="1">INDEX('Lorri 401b'!L:L,MATCH('Retirement Calculator'!A916,'Lorri 401b'!N:N,0),0)</f>
        <v>-15585329.088624625</v>
      </c>
      <c r="S916" s="25">
        <f t="shared" ca="1" si="787"/>
        <v>-21813067.327273011</v>
      </c>
    </row>
    <row r="917" spans="1:19" ht="15.75" customHeight="1" x14ac:dyDescent="0.3">
      <c r="A917" s="37">
        <v>78863</v>
      </c>
      <c r="B917" s="409">
        <f t="shared" ref="B917:C917" si="928">($A917-B$9)/365.25</f>
        <v>134.03696098562628</v>
      </c>
      <c r="C917" s="409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3525.4531757812501</v>
      </c>
      <c r="H917" s="25">
        <f>IF(B917&lt;62,0,'Combined Retirement'!$I$14)</f>
        <v>2192</v>
      </c>
      <c r="I917" s="25">
        <f>IF(C917&lt;62,0,'Combined Retirement'!$I$13)</f>
        <v>2420</v>
      </c>
      <c r="J917" s="25">
        <f t="shared" si="783"/>
        <v>7863.2184191855868</v>
      </c>
      <c r="K917" s="25">
        <f t="shared" si="784"/>
        <v>20282.026119384056</v>
      </c>
      <c r="L917" s="25"/>
      <c r="N917" s="25">
        <f>'Combined Retirement'!$C$18/12</f>
        <v>39153.069999999992</v>
      </c>
      <c r="O917" s="25">
        <f t="shared" si="785"/>
        <v>11007.82546143035</v>
      </c>
      <c r="P917" s="25">
        <f t="shared" si="786"/>
        <v>28145.244538569641</v>
      </c>
      <c r="Q917" s="25">
        <f t="array" aca="1" ref="Q917" ca="1">INDEX('Isaac 401k'!L:L,MATCH('Retirement Calculator'!A917,'Isaac 401k'!N:N,0),0)</f>
        <v>-6261583.1298053525</v>
      </c>
      <c r="R917" s="25">
        <f t="array" aca="1" ref="R917" ca="1">INDEX('Lorri 401b'!L:L,MATCH('Retirement Calculator'!A917,'Lorri 401b'!N:N,0),0)</f>
        <v>-15670634.494388776</v>
      </c>
      <c r="S917" s="25">
        <f t="shared" ca="1" si="787"/>
        <v>-21932217.62419413</v>
      </c>
    </row>
    <row r="918" spans="1:19" ht="15.75" customHeight="1" x14ac:dyDescent="0.3">
      <c r="A918" s="37">
        <v>78894</v>
      </c>
      <c r="B918" s="409">
        <f t="shared" ref="B918:C918" si="929">($A918-B$9)/365.25</f>
        <v>134.12183436002738</v>
      </c>
      <c r="C918" s="409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3525.4531757812501</v>
      </c>
      <c r="H918" s="25">
        <f>IF(B918&lt;62,0,'Combined Retirement'!$I$14)</f>
        <v>2192</v>
      </c>
      <c r="I918" s="25">
        <f>IF(C918&lt;62,0,'Combined Retirement'!$I$13)</f>
        <v>2420</v>
      </c>
      <c r="J918" s="25">
        <f t="shared" si="783"/>
        <v>7863.2184191855868</v>
      </c>
      <c r="K918" s="25">
        <f t="shared" si="784"/>
        <v>20282.026119384056</v>
      </c>
      <c r="L918" s="25"/>
      <c r="N918" s="25">
        <f>'Combined Retirement'!$C$18/12</f>
        <v>39153.069999999992</v>
      </c>
      <c r="O918" s="25">
        <f t="shared" si="785"/>
        <v>11007.82546143035</v>
      </c>
      <c r="P918" s="25">
        <f t="shared" si="786"/>
        <v>28145.244538569641</v>
      </c>
      <c r="Q918" s="25">
        <f t="array" aca="1" ref="Q918" ca="1">INDEX('Isaac 401k'!L:L,MATCH('Retirement Calculator'!A918,'Isaac 401k'!N:N,0),0)</f>
        <v>-6295569.0413421402</v>
      </c>
      <c r="R918" s="25">
        <f t="array" aca="1" ref="R918" ca="1">INDEX('Lorri 401b'!L:L,MATCH('Retirement Calculator'!A918,'Lorri 401b'!N:N,0),0)</f>
        <v>-15756295.339343611</v>
      </c>
      <c r="S918" s="25">
        <f t="shared" ca="1" si="787"/>
        <v>-22051864.38068575</v>
      </c>
    </row>
    <row r="919" spans="1:19" ht="15.75" customHeight="1" x14ac:dyDescent="0.3">
      <c r="A919" s="37">
        <v>78925</v>
      </c>
      <c r="B919" s="409">
        <f t="shared" ref="B919:C919" si="930">($A919-B$9)/365.25</f>
        <v>134.20670773442848</v>
      </c>
      <c r="C919" s="409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3525.4531757812501</v>
      </c>
      <c r="H919" s="25">
        <f>IF(B919&lt;62,0,'Combined Retirement'!$I$14)</f>
        <v>2192</v>
      </c>
      <c r="I919" s="25">
        <f>IF(C919&lt;62,0,'Combined Retirement'!$I$13)</f>
        <v>2420</v>
      </c>
      <c r="J919" s="25">
        <f t="shared" si="783"/>
        <v>7863.2184191855868</v>
      </c>
      <c r="K919" s="25">
        <f t="shared" si="784"/>
        <v>20282.026119384056</v>
      </c>
      <c r="L919" s="25"/>
      <c r="N919" s="25">
        <f>'Combined Retirement'!$C$18/12</f>
        <v>39153.069999999992</v>
      </c>
      <c r="O919" s="25">
        <f t="shared" si="785"/>
        <v>11007.82546143035</v>
      </c>
      <c r="P919" s="25">
        <f t="shared" si="786"/>
        <v>28145.244538569641</v>
      </c>
      <c r="Q919" s="25">
        <f t="array" aca="1" ref="Q919" ca="1">INDEX('Isaac 401k'!L:L,MATCH('Retirement Calculator'!A919,'Isaac 401k'!N:N,0),0)</f>
        <v>-6329696.5608436652</v>
      </c>
      <c r="R919" s="25">
        <f t="array" aca="1" ref="R919" ca="1">INDEX('Lorri 401b'!L:L,MATCH('Retirement Calculator'!A919,'Lorri 401b'!N:N,0),0)</f>
        <v>-15842313.104485758</v>
      </c>
      <c r="S919" s="25">
        <f t="shared" ca="1" si="787"/>
        <v>-22172009.665329423</v>
      </c>
    </row>
    <row r="920" spans="1:19" ht="15.75" customHeight="1" x14ac:dyDescent="0.3">
      <c r="A920" s="37">
        <v>78954</v>
      </c>
      <c r="B920" s="409">
        <f t="shared" ref="B920:C920" si="931">($A920-B$9)/365.25</f>
        <v>134.28610540725529</v>
      </c>
      <c r="C920" s="409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3525.4531757812501</v>
      </c>
      <c r="H920" s="25">
        <f>IF(B920&lt;62,0,'Combined Retirement'!$I$14)</f>
        <v>2192</v>
      </c>
      <c r="I920" s="25">
        <f>IF(C920&lt;62,0,'Combined Retirement'!$I$13)</f>
        <v>2420</v>
      </c>
      <c r="J920" s="25">
        <f t="shared" si="783"/>
        <v>7863.2184191855868</v>
      </c>
      <c r="K920" s="25">
        <f t="shared" si="784"/>
        <v>20282.026119384056</v>
      </c>
      <c r="L920" s="25"/>
      <c r="N920" s="25">
        <f>'Combined Retirement'!$C$18/12</f>
        <v>39153.069999999992</v>
      </c>
      <c r="O920" s="25">
        <f t="shared" si="785"/>
        <v>11007.82546143035</v>
      </c>
      <c r="P920" s="25">
        <f t="shared" si="786"/>
        <v>28145.244538569641</v>
      </c>
      <c r="Q920" s="25">
        <f t="array" aca="1" ref="Q920" ca="1">INDEX('Isaac 401k'!L:L,MATCH('Retirement Calculator'!A920,'Isaac 401k'!N:N,0),0)</f>
        <v>-6363966.2783431131</v>
      </c>
      <c r="R920" s="25">
        <f t="array" aca="1" ref="R920" ca="1">INDEX('Lorri 401b'!L:L,MATCH('Retirement Calculator'!A920,'Lorri 401b'!N:N,0),0)</f>
        <v>-15928689.276982663</v>
      </c>
      <c r="S920" s="25">
        <f t="shared" ca="1" si="787"/>
        <v>-22292655.555325776</v>
      </c>
    </row>
    <row r="921" spans="1:19" ht="15.75" customHeight="1" x14ac:dyDescent="0.3">
      <c r="A921" s="37">
        <v>78985</v>
      </c>
      <c r="B921" s="409">
        <f t="shared" ref="B921:C921" si="932">($A921-B$9)/365.25</f>
        <v>134.37097878165639</v>
      </c>
      <c r="C921" s="409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3525.4531757812501</v>
      </c>
      <c r="H921" s="25">
        <f>IF(B921&lt;62,0,'Combined Retirement'!$I$14)</f>
        <v>2192</v>
      </c>
      <c r="I921" s="25">
        <f>IF(C921&lt;62,0,'Combined Retirement'!$I$13)</f>
        <v>2420</v>
      </c>
      <c r="J921" s="25">
        <f t="shared" si="783"/>
        <v>7863.2184191855868</v>
      </c>
      <c r="K921" s="25">
        <f t="shared" si="784"/>
        <v>20282.026119384056</v>
      </c>
      <c r="L921" s="25"/>
      <c r="N921" s="25">
        <f>'Combined Retirement'!$C$18/12</f>
        <v>39153.069999999992</v>
      </c>
      <c r="O921" s="25">
        <f t="shared" si="785"/>
        <v>11007.82546143035</v>
      </c>
      <c r="P921" s="25">
        <f t="shared" si="786"/>
        <v>28145.244538569641</v>
      </c>
      <c r="Q921" s="25">
        <f t="array" aca="1" ref="Q921" ca="1">INDEX('Isaac 401k'!L:L,MATCH('Retirement Calculator'!A921,'Isaac 401k'!N:N,0),0)</f>
        <v>-6398378.7863321416</v>
      </c>
      <c r="R921" s="25">
        <f t="array" aca="1" ref="R921" ca="1">INDEX('Lorri 401b'!L:L,MATCH('Retirement Calculator'!A921,'Lorri 401b'!N:N,0),0)</f>
        <v>-16015425.350198306</v>
      </c>
      <c r="S921" s="25">
        <f t="shared" ca="1" si="787"/>
        <v>-22413804.136530448</v>
      </c>
    </row>
    <row r="922" spans="1:19" ht="15.75" customHeight="1" x14ac:dyDescent="0.3">
      <c r="A922" s="37">
        <v>79015</v>
      </c>
      <c r="B922" s="409">
        <f t="shared" ref="B922:C922" si="933">($A922-B$9)/365.25</f>
        <v>134.45311430527036</v>
      </c>
      <c r="C922" s="409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3525.4531757812501</v>
      </c>
      <c r="H922" s="25">
        <f>IF(B922&lt;62,0,'Combined Retirement'!$I$14)</f>
        <v>2192</v>
      </c>
      <c r="I922" s="25">
        <f>IF(C922&lt;62,0,'Combined Retirement'!$I$13)</f>
        <v>2420</v>
      </c>
      <c r="J922" s="25">
        <f t="shared" si="783"/>
        <v>7863.2184191855868</v>
      </c>
      <c r="K922" s="25">
        <f t="shared" si="784"/>
        <v>20282.026119384056</v>
      </c>
      <c r="L922" s="25"/>
      <c r="N922" s="25">
        <f>'Combined Retirement'!$C$18/12</f>
        <v>39153.069999999992</v>
      </c>
      <c r="O922" s="25">
        <f t="shared" si="785"/>
        <v>11007.82546143035</v>
      </c>
      <c r="P922" s="25">
        <f t="shared" si="786"/>
        <v>28145.244538569641</v>
      </c>
      <c r="Q922" s="25">
        <f t="array" aca="1" ref="Q922" ca="1">INDEX('Isaac 401k'!L:L,MATCH('Retirement Calculator'!A922,'Isaac 401k'!N:N,0),0)</f>
        <v>-6432934.6797711244</v>
      </c>
      <c r="R922" s="25">
        <f t="array" aca="1" ref="R922" ca="1">INDEX('Lorri 401b'!L:L,MATCH('Retirement Calculator'!A922,'Lorri 401b'!N:N,0),0)</f>
        <v>-16102522.823719015</v>
      </c>
      <c r="S922" s="25">
        <f t="shared" ca="1" si="787"/>
        <v>-22535457.503490139</v>
      </c>
    </row>
    <row r="923" spans="1:19" ht="15.75" customHeight="1" x14ac:dyDescent="0.3">
      <c r="A923" s="37">
        <v>79046</v>
      </c>
      <c r="B923" s="409">
        <f t="shared" ref="B923:C923" si="934">($A923-B$9)/365.25</f>
        <v>134.53798767967146</v>
      </c>
      <c r="C923" s="409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3525.4531757812501</v>
      </c>
      <c r="H923" s="25">
        <f>IF(B923&lt;62,0,'Combined Retirement'!$I$14)</f>
        <v>2192</v>
      </c>
      <c r="I923" s="25">
        <f>IF(C923&lt;62,0,'Combined Retirement'!$I$13)</f>
        <v>2420</v>
      </c>
      <c r="J923" s="25">
        <f t="shared" si="783"/>
        <v>7863.2184191855868</v>
      </c>
      <c r="K923" s="25">
        <f t="shared" si="784"/>
        <v>20282.026119384056</v>
      </c>
      <c r="L923" s="25"/>
      <c r="N923" s="25">
        <f>'Combined Retirement'!$C$18/12</f>
        <v>39153.069999999992</v>
      </c>
      <c r="O923" s="25">
        <f t="shared" si="785"/>
        <v>11007.82546143035</v>
      </c>
      <c r="P923" s="25">
        <f t="shared" si="786"/>
        <v>28145.244538569641</v>
      </c>
      <c r="Q923" s="25">
        <f t="array" aca="1" ref="Q923" ca="1">INDEX('Isaac 401k'!L:L,MATCH('Retirement Calculator'!A923,'Isaac 401k'!N:N,0),0)</f>
        <v>-6467634.5560994362</v>
      </c>
      <c r="R923" s="25">
        <f t="array" aca="1" ref="R923" ca="1">INDEX('Lorri 401b'!L:L,MATCH('Retirement Calculator'!A923,'Lorri 401b'!N:N,0),0)</f>
        <v>-16189983.203379394</v>
      </c>
      <c r="S923" s="25">
        <f t="shared" ca="1" si="787"/>
        <v>-22657617.75947883</v>
      </c>
    </row>
    <row r="924" spans="1:19" ht="15.75" customHeight="1" x14ac:dyDescent="0.3">
      <c r="A924" s="37">
        <v>79076</v>
      </c>
      <c r="B924" s="409">
        <f t="shared" ref="B924:C924" si="935">($A924-B$9)/365.25</f>
        <v>134.62012320328543</v>
      </c>
      <c r="C924" s="409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3525.4531757812501</v>
      </c>
      <c r="H924" s="25">
        <f>IF(B924&lt;62,0,'Combined Retirement'!$I$14)</f>
        <v>2192</v>
      </c>
      <c r="I924" s="25">
        <f>IF(C924&lt;62,0,'Combined Retirement'!$I$13)</f>
        <v>2420</v>
      </c>
      <c r="J924" s="25">
        <f t="shared" si="783"/>
        <v>7863.2184191855868</v>
      </c>
      <c r="K924" s="25">
        <f t="shared" si="784"/>
        <v>20282.026119384056</v>
      </c>
      <c r="L924" s="25"/>
      <c r="N924" s="25">
        <f>'Combined Retirement'!$C$18/12</f>
        <v>39153.069999999992</v>
      </c>
      <c r="O924" s="25">
        <f t="shared" si="785"/>
        <v>11007.82546143035</v>
      </c>
      <c r="P924" s="25">
        <f t="shared" si="786"/>
        <v>28145.244538569641</v>
      </c>
      <c r="Q924" s="25">
        <f t="array" aca="1" ref="Q924" ca="1">INDEX('Isaac 401k'!L:L,MATCH('Retirement Calculator'!A924,'Isaac 401k'!N:N,0),0)</f>
        <v>-6502479.0152457831</v>
      </c>
      <c r="R924" s="25">
        <f t="array" aca="1" ref="R924" ca="1">INDEX('Lorri 401b'!L:L,MATCH('Retirement Calculator'!A924,'Lorri 401b'!N:N,0),0)</f>
        <v>-16277808.001288358</v>
      </c>
      <c r="S924" s="25">
        <f t="shared" ca="1" si="787"/>
        <v>-22780287.016534142</v>
      </c>
    </row>
    <row r="925" spans="1:19" ht="15.75" customHeight="1" x14ac:dyDescent="0.3">
      <c r="A925" s="37">
        <v>79107</v>
      </c>
      <c r="B925" s="409">
        <f t="shared" ref="B925:C925" si="936">($A925-B$9)/365.25</f>
        <v>134.70499657768653</v>
      </c>
      <c r="C925" s="409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3525.4531757812501</v>
      </c>
      <c r="H925" s="25">
        <f>IF(B925&lt;62,0,'Combined Retirement'!$I$14)</f>
        <v>2192</v>
      </c>
      <c r="I925" s="25">
        <f>IF(C925&lt;62,0,'Combined Retirement'!$I$13)</f>
        <v>2420</v>
      </c>
      <c r="J925" s="25">
        <f t="shared" si="783"/>
        <v>7863.2184191855868</v>
      </c>
      <c r="K925" s="25">
        <f t="shared" si="784"/>
        <v>20282.026119384056</v>
      </c>
      <c r="L925" s="25"/>
      <c r="N925" s="25">
        <f>'Combined Retirement'!$C$18/12</f>
        <v>39153.069999999992</v>
      </c>
      <c r="O925" s="25">
        <f t="shared" si="785"/>
        <v>11007.82546143035</v>
      </c>
      <c r="P925" s="25">
        <f t="shared" si="786"/>
        <v>28145.244538569641</v>
      </c>
      <c r="Q925" s="25">
        <f t="array" aca="1" ref="Q925" ca="1">INDEX('Isaac 401k'!L:L,MATCH('Retirement Calculator'!A925,'Isaac 401k'!N:N,0),0)</f>
        <v>-6537468.6596385734</v>
      </c>
      <c r="R925" s="25">
        <f t="array" aca="1" ref="R925" ca="1">INDEX('Lorri 401b'!L:L,MATCH('Retirement Calculator'!A925,'Lorri 401b'!N:N,0),0)</f>
        <v>-16365998.735855276</v>
      </c>
      <c r="S925" s="25">
        <f t="shared" ca="1" si="787"/>
        <v>-22903467.39549385</v>
      </c>
    </row>
    <row r="926" spans="1:19" ht="15.75" customHeight="1" x14ac:dyDescent="0.3">
      <c r="A926" s="37">
        <v>79138</v>
      </c>
      <c r="B926" s="409">
        <f t="shared" ref="B926:C926" si="937">($A926-B$9)/365.25</f>
        <v>134.7898699520876</v>
      </c>
      <c r="C926" s="409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3525.4531757812501</v>
      </c>
      <c r="H926" s="25">
        <f>IF(B926&lt;62,0,'Combined Retirement'!$I$14)</f>
        <v>2192</v>
      </c>
      <c r="I926" s="25">
        <f>IF(C926&lt;62,0,'Combined Retirement'!$I$13)</f>
        <v>2420</v>
      </c>
      <c r="J926" s="25">
        <f t="shared" si="783"/>
        <v>7863.2184191855868</v>
      </c>
      <c r="K926" s="25">
        <f t="shared" si="784"/>
        <v>20282.026119384056</v>
      </c>
      <c r="L926" s="25"/>
      <c r="N926" s="25">
        <f>'Combined Retirement'!$C$18/12</f>
        <v>39153.069999999992</v>
      </c>
      <c r="O926" s="25">
        <f t="shared" si="785"/>
        <v>11007.82546143035</v>
      </c>
      <c r="P926" s="25">
        <f t="shared" si="786"/>
        <v>28145.244538569641</v>
      </c>
      <c r="Q926" s="25">
        <f t="array" aca="1" ref="Q926" ca="1">INDEX('Isaac 401k'!L:L,MATCH('Retirement Calculator'!A926,'Isaac 401k'!N:N,0),0)</f>
        <v>-6572604.0942163337</v>
      </c>
      <c r="R926" s="25">
        <f t="array" aca="1" ref="R926" ca="1">INDEX('Lorri 401b'!L:L,MATCH('Retirement Calculator'!A926,'Lorri 401b'!N:N,0),0)</f>
        <v>-16454556.931816222</v>
      </c>
      <c r="S926" s="25">
        <f t="shared" ca="1" si="787"/>
        <v>-23027161.026032556</v>
      </c>
    </row>
    <row r="927" spans="1:19" ht="15.75" customHeight="1" x14ac:dyDescent="0.3">
      <c r="A927" s="37">
        <v>79168</v>
      </c>
      <c r="B927" s="409">
        <f t="shared" ref="B927:C927" si="938">($A927-B$9)/365.25</f>
        <v>134.87200547570157</v>
      </c>
      <c r="C927" s="409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3525.4531757812501</v>
      </c>
      <c r="H927" s="25">
        <f>IF(B927&lt;62,0,'Combined Retirement'!$I$14)</f>
        <v>2192</v>
      </c>
      <c r="I927" s="25">
        <f>IF(C927&lt;62,0,'Combined Retirement'!$I$13)</f>
        <v>2420</v>
      </c>
      <c r="J927" s="25">
        <f t="shared" si="783"/>
        <v>7863.2184191855868</v>
      </c>
      <c r="K927" s="25">
        <f t="shared" si="784"/>
        <v>20282.026119384056</v>
      </c>
      <c r="L927" s="25"/>
      <c r="N927" s="25">
        <f>'Combined Retirement'!$C$18/12</f>
        <v>39153.069999999992</v>
      </c>
      <c r="O927" s="25">
        <f t="shared" si="785"/>
        <v>11007.82546143035</v>
      </c>
      <c r="P927" s="25">
        <f t="shared" si="786"/>
        <v>28145.244538569641</v>
      </c>
      <c r="Q927" s="25">
        <f t="array" aca="1" ref="Q927" ca="1">INDEX('Isaac 401k'!L:L,MATCH('Retirement Calculator'!A927,'Isaac 401k'!N:N,0),0)</f>
        <v>-6607885.9264381677</v>
      </c>
      <c r="R927" s="25">
        <f t="array" aca="1" ref="R927" ca="1">INDEX('Lorri 401b'!L:L,MATCH('Retirement Calculator'!A927,'Lorri 401b'!N:N,0),0)</f>
        <v>-16543484.120260339</v>
      </c>
      <c r="S927" s="25">
        <f t="shared" ca="1" si="787"/>
        <v>-23151370.046698507</v>
      </c>
    </row>
    <row r="928" spans="1:19" ht="15.75" customHeight="1" x14ac:dyDescent="0.3">
      <c r="A928" s="37">
        <v>79199</v>
      </c>
      <c r="B928" s="409">
        <f t="shared" ref="B928:C928" si="939">($A928-B$9)/365.25</f>
        <v>134.95687885010267</v>
      </c>
      <c r="C928" s="409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3525.4531757812501</v>
      </c>
      <c r="H928" s="25">
        <f>IF(B928&lt;62,0,'Combined Retirement'!$I$14)</f>
        <v>2192</v>
      </c>
      <c r="I928" s="25">
        <f>IF(C928&lt;62,0,'Combined Retirement'!$I$13)</f>
        <v>2420</v>
      </c>
      <c r="J928" s="25">
        <f t="shared" si="783"/>
        <v>7863.2184191855868</v>
      </c>
      <c r="K928" s="25">
        <f t="shared" si="784"/>
        <v>20282.026119384056</v>
      </c>
      <c r="L928" s="25"/>
      <c r="N928" s="25">
        <f>'Combined Retirement'!$C$18/12</f>
        <v>39153.069999999992</v>
      </c>
      <c r="O928" s="25">
        <f t="shared" si="785"/>
        <v>11007.82546143035</v>
      </c>
      <c r="P928" s="25">
        <f t="shared" si="786"/>
        <v>28145.244538569641</v>
      </c>
      <c r="Q928" s="25">
        <f t="array" aca="1" ref="Q928" ca="1">INDEX('Isaac 401k'!L:L,MATCH('Retirement Calculator'!A928,'Isaac 401k'!N:N,0),0)</f>
        <v>-6643314.7662942596</v>
      </c>
      <c r="R928" s="25">
        <f t="array" aca="1" ref="R928" ca="1">INDEX('Lorri 401b'!L:L,MATCH('Retirement Calculator'!A928,'Lorri 401b'!N:N,0),0)</f>
        <v>-16632781.838656306</v>
      </c>
      <c r="S928" s="25">
        <f t="shared" ca="1" si="787"/>
        <v>-23276096.604950566</v>
      </c>
    </row>
    <row r="929" spans="1:19" ht="15.75" customHeight="1" x14ac:dyDescent="0.3">
      <c r="A929" s="37">
        <v>79229</v>
      </c>
      <c r="B929" s="409">
        <f t="shared" ref="B929:C929" si="940">($A929-B$9)/365.25</f>
        <v>135.03901437371664</v>
      </c>
      <c r="C929" s="409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3525.4531757812501</v>
      </c>
      <c r="H929" s="25">
        <f>IF(B929&lt;62,0,'Combined Retirement'!$I$14)</f>
        <v>2192</v>
      </c>
      <c r="I929" s="25">
        <f>IF(C929&lt;62,0,'Combined Retirement'!$I$13)</f>
        <v>2420</v>
      </c>
      <c r="J929" s="25">
        <f t="shared" si="783"/>
        <v>7863.2184191855868</v>
      </c>
      <c r="K929" s="25">
        <f t="shared" si="784"/>
        <v>20282.026119384056</v>
      </c>
      <c r="L929" s="25"/>
      <c r="N929" s="25">
        <f>'Combined Retirement'!$C$18/12</f>
        <v>39153.069999999992</v>
      </c>
      <c r="O929" s="25">
        <f t="shared" si="785"/>
        <v>11007.82546143035</v>
      </c>
      <c r="P929" s="25">
        <f t="shared" si="786"/>
        <v>28145.244538569641</v>
      </c>
      <c r="Q929" s="25">
        <f t="array" aca="1" ref="Q929" ca="1">INDEX('Isaac 401k'!L:L,MATCH('Retirement Calculator'!A929,'Isaac 401k'!N:N,0),0)</f>
        <v>-6678891.2263164185</v>
      </c>
      <c r="R929" s="25">
        <f t="array" aca="1" ref="R929" ca="1">INDEX('Lorri 401b'!L:L,MATCH('Retirement Calculator'!A929,'Lorri 401b'!N:N,0),0)</f>
        <v>-16722451.630878923</v>
      </c>
      <c r="S929" s="25">
        <f t="shared" ca="1" si="787"/>
        <v>-23401342.85719534</v>
      </c>
    </row>
    <row r="930" spans="1:19" ht="15.75" customHeight="1" x14ac:dyDescent="0.3">
      <c r="A930" s="37">
        <v>79260</v>
      </c>
      <c r="B930" s="409">
        <f t="shared" ref="B930:C930" si="941">($A930-B$9)/365.25</f>
        <v>135.12388774811774</v>
      </c>
      <c r="C930" s="409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3525.4531757812501</v>
      </c>
      <c r="H930" s="25">
        <f>IF(B930&lt;62,0,'Combined Retirement'!$I$14)</f>
        <v>2192</v>
      </c>
      <c r="I930" s="25">
        <f>IF(C930&lt;62,0,'Combined Retirement'!$I$13)</f>
        <v>2420</v>
      </c>
      <c r="J930" s="25">
        <f t="shared" si="783"/>
        <v>7863.2184191855868</v>
      </c>
      <c r="K930" s="25">
        <f t="shared" si="784"/>
        <v>20282.026119384056</v>
      </c>
      <c r="L930" s="25"/>
      <c r="N930" s="25">
        <f>'Combined Retirement'!$C$18/12</f>
        <v>39153.069999999992</v>
      </c>
      <c r="O930" s="25">
        <f t="shared" si="785"/>
        <v>11007.82546143035</v>
      </c>
      <c r="P930" s="25">
        <f t="shared" si="786"/>
        <v>28145.244538569641</v>
      </c>
      <c r="Q930" s="25">
        <f t="array" aca="1" ref="Q930" ca="1">INDEX('Isaac 401k'!L:L,MATCH('Retirement Calculator'!A930,'Isaac 401k'!N:N,0),0)</f>
        <v>-6714615.9215886695</v>
      </c>
      <c r="R930" s="25">
        <f t="array" aca="1" ref="R930" ca="1">INDEX('Lorri 401b'!L:L,MATCH('Retirement Calculator'!A930,'Lorri 401b'!N:N,0),0)</f>
        <v>-16812495.047235802</v>
      </c>
      <c r="S930" s="25">
        <f t="shared" ca="1" si="787"/>
        <v>-23527110.968824472</v>
      </c>
    </row>
    <row r="931" spans="1:19" ht="15.75" customHeight="1" x14ac:dyDescent="0.3">
      <c r="A931" s="37">
        <v>79291</v>
      </c>
      <c r="B931" s="409">
        <f t="shared" ref="B931:C931" si="942">($A931-B$9)/365.25</f>
        <v>135.20876112251884</v>
      </c>
      <c r="C931" s="409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3525.4531757812501</v>
      </c>
      <c r="H931" s="25">
        <f>IF(B931&lt;62,0,'Combined Retirement'!$I$14)</f>
        <v>2192</v>
      </c>
      <c r="I931" s="25">
        <f>IF(C931&lt;62,0,'Combined Retirement'!$I$13)</f>
        <v>2420</v>
      </c>
      <c r="J931" s="25">
        <f t="shared" si="783"/>
        <v>7863.2184191855868</v>
      </c>
      <c r="K931" s="25">
        <f t="shared" si="784"/>
        <v>20282.026119384056</v>
      </c>
      <c r="L931" s="25"/>
      <c r="N931" s="25">
        <f>'Combined Retirement'!$C$18/12</f>
        <v>39153.069999999992</v>
      </c>
      <c r="O931" s="25">
        <f t="shared" si="785"/>
        <v>11007.82546143035</v>
      </c>
      <c r="P931" s="25">
        <f t="shared" si="786"/>
        <v>28145.244538569641</v>
      </c>
      <c r="Q931" s="25">
        <f t="array" aca="1" ref="Q931" ca="1">INDEX('Isaac 401k'!L:L,MATCH('Retirement Calculator'!A931,'Isaac 401k'!N:N,0),0)</f>
        <v>-6750489.4697578885</v>
      </c>
      <c r="R931" s="25">
        <f t="array" aca="1" ref="R931" ca="1">INDEX('Lorri 401b'!L:L,MATCH('Retirement Calculator'!A931,'Lorri 401b'!N:N,0),0)</f>
        <v>-16902913.644494168</v>
      </c>
      <c r="S931" s="25">
        <f t="shared" ca="1" si="787"/>
        <v>-23653403.114252057</v>
      </c>
    </row>
    <row r="932" spans="1:19" ht="15.75" customHeight="1" x14ac:dyDescent="0.3">
      <c r="A932" s="37">
        <v>79319</v>
      </c>
      <c r="B932" s="409">
        <f t="shared" ref="B932:C932" si="943">($A932-B$9)/365.25</f>
        <v>135.28542094455852</v>
      </c>
      <c r="C932" s="409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3525.4531757812501</v>
      </c>
      <c r="H932" s="25">
        <f>IF(B932&lt;62,0,'Combined Retirement'!$I$14)</f>
        <v>2192</v>
      </c>
      <c r="I932" s="25">
        <f>IF(C932&lt;62,0,'Combined Retirement'!$I$13)</f>
        <v>2420</v>
      </c>
      <c r="J932" s="25">
        <f t="shared" si="783"/>
        <v>7863.2184191855868</v>
      </c>
      <c r="K932" s="25">
        <f t="shared" si="784"/>
        <v>20282.026119384056</v>
      </c>
      <c r="L932" s="25"/>
      <c r="N932" s="25">
        <f>'Combined Retirement'!$C$18/12</f>
        <v>39153.069999999992</v>
      </c>
      <c r="O932" s="25">
        <f t="shared" si="785"/>
        <v>11007.82546143035</v>
      </c>
      <c r="P932" s="25">
        <f t="shared" si="786"/>
        <v>28145.244538569641</v>
      </c>
      <c r="Q932" s="25">
        <f t="array" aca="1" ref="Q932" ca="1">INDEX('Isaac 401k'!L:L,MATCH('Retirement Calculator'!A932,'Isaac 401k'!N:N,0),0)</f>
        <v>-6786512.4910444785</v>
      </c>
      <c r="R932" s="25">
        <f t="array" aca="1" ref="R932" ca="1">INDEX('Lorri 401b'!L:L,MATCH('Retirement Calculator'!A932,'Lorri 401b'!N:N,0),0)</f>
        <v>-16993708.985907778</v>
      </c>
      <c r="S932" s="25">
        <f t="shared" ca="1" si="787"/>
        <v>-23780221.476952255</v>
      </c>
    </row>
    <row r="933" spans="1:19" ht="15.75" customHeight="1" x14ac:dyDescent="0.3">
      <c r="A933" s="37">
        <v>79350</v>
      </c>
      <c r="B933" s="409">
        <f t="shared" ref="B933:C933" si="944">($A933-B$9)/365.25</f>
        <v>135.37029431895962</v>
      </c>
      <c r="C933" s="409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3525.4531757812501</v>
      </c>
      <c r="H933" s="25">
        <f>IF(B933&lt;62,0,'Combined Retirement'!$I$14)</f>
        <v>2192</v>
      </c>
      <c r="I933" s="25">
        <f>IF(C933&lt;62,0,'Combined Retirement'!$I$13)</f>
        <v>2420</v>
      </c>
      <c r="J933" s="25">
        <f t="shared" si="783"/>
        <v>7863.2184191855868</v>
      </c>
      <c r="K933" s="25">
        <f t="shared" si="784"/>
        <v>20282.026119384056</v>
      </c>
      <c r="L933" s="25"/>
      <c r="N933" s="25">
        <f>'Combined Retirement'!$C$18/12</f>
        <v>39153.069999999992</v>
      </c>
      <c r="O933" s="25">
        <f t="shared" si="785"/>
        <v>11007.82546143035</v>
      </c>
      <c r="P933" s="25">
        <f t="shared" si="786"/>
        <v>28145.244538569641</v>
      </c>
      <c r="Q933" s="25">
        <f t="array" aca="1" ref="Q933" ca="1">INDEX('Isaac 401k'!L:L,MATCH('Retirement Calculator'!A933,'Isaac 401k'!N:N,0),0)</f>
        <v>-6822685.6082530962</v>
      </c>
      <c r="R933" s="25">
        <f t="array" aca="1" ref="R933" ca="1">INDEX('Lorri 401b'!L:L,MATCH('Retirement Calculator'!A933,'Lorri 401b'!N:N,0),0)</f>
        <v>-17084882.641243942</v>
      </c>
      <c r="S933" s="25">
        <f t="shared" ca="1" si="787"/>
        <v>-23907568.249497037</v>
      </c>
    </row>
    <row r="934" spans="1:19" ht="15.75" customHeight="1" x14ac:dyDescent="0.3">
      <c r="A934" s="37">
        <v>79380</v>
      </c>
      <c r="B934" s="409">
        <f t="shared" ref="B934:C934" si="945">($A934-B$9)/365.25</f>
        <v>135.45242984257359</v>
      </c>
      <c r="C934" s="409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3525.4531757812501</v>
      </c>
      <c r="H934" s="25">
        <f>IF(B934&lt;62,0,'Combined Retirement'!$I$14)</f>
        <v>2192</v>
      </c>
      <c r="I934" s="25">
        <f>IF(C934&lt;62,0,'Combined Retirement'!$I$13)</f>
        <v>2420</v>
      </c>
      <c r="J934" s="25">
        <f t="shared" si="783"/>
        <v>7863.2184191855868</v>
      </c>
      <c r="K934" s="25">
        <f t="shared" si="784"/>
        <v>20282.026119384056</v>
      </c>
      <c r="L934" s="25"/>
      <c r="N934" s="25">
        <f>'Combined Retirement'!$C$18/12</f>
        <v>39153.069999999992</v>
      </c>
      <c r="O934" s="25">
        <f t="shared" si="785"/>
        <v>11007.82546143035</v>
      </c>
      <c r="P934" s="25">
        <f t="shared" si="786"/>
        <v>28145.244538569641</v>
      </c>
      <c r="Q934" s="25">
        <f t="array" aca="1" ref="Q934" ca="1">INDEX('Isaac 401k'!L:L,MATCH('Retirement Calculator'!A934,'Isaac 401k'!N:N,0),0)</f>
        <v>-6859009.4467834169</v>
      </c>
      <c r="R934" s="25">
        <f t="array" aca="1" ref="R934" ca="1">INDEX('Lorri 401b'!L:L,MATCH('Retirement Calculator'!A934,'Lorri 401b'!N:N,0),0)</f>
        <v>-17176436.186810676</v>
      </c>
      <c r="S934" s="25">
        <f t="shared" ca="1" si="787"/>
        <v>-24035445.633594092</v>
      </c>
    </row>
    <row r="935" spans="1:19" ht="15.75" customHeight="1" x14ac:dyDescent="0.3">
      <c r="A935" s="37">
        <v>79411</v>
      </c>
      <c r="B935" s="409">
        <f t="shared" ref="B935:C935" si="946">($A935-B$9)/365.25</f>
        <v>135.53730321697466</v>
      </c>
      <c r="C935" s="409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3525.4531757812501</v>
      </c>
      <c r="H935" s="25">
        <f>IF(B935&lt;62,0,'Combined Retirement'!$I$14)</f>
        <v>2192</v>
      </c>
      <c r="I935" s="25">
        <f>IF(C935&lt;62,0,'Combined Retirement'!$I$13)</f>
        <v>2420</v>
      </c>
      <c r="J935" s="25">
        <f t="shared" si="783"/>
        <v>7863.2184191855868</v>
      </c>
      <c r="K935" s="25">
        <f t="shared" si="784"/>
        <v>20282.026119384056</v>
      </c>
      <c r="L935" s="25"/>
      <c r="N935" s="25">
        <f>'Combined Retirement'!$C$18/12</f>
        <v>39153.069999999992</v>
      </c>
      <c r="O935" s="25">
        <f t="shared" si="785"/>
        <v>11007.82546143035</v>
      </c>
      <c r="P935" s="25">
        <f t="shared" si="786"/>
        <v>28145.244538569641</v>
      </c>
      <c r="Q935" s="25">
        <f t="array" aca="1" ref="Q935" ca="1">INDEX('Isaac 401k'!L:L,MATCH('Retirement Calculator'!A935,'Isaac 401k'!N:N,0),0)</f>
        <v>-6895484.634640947</v>
      </c>
      <c r="R935" s="25">
        <f t="array" aca="1" ref="R935" ca="1">INDEX('Lorri 401b'!L:L,MATCH('Retirement Calculator'!A935,'Lorri 401b'!N:N,0),0)</f>
        <v>-17268371.205483936</v>
      </c>
      <c r="S935" s="25">
        <f t="shared" ca="1" si="787"/>
        <v>-24163855.840124883</v>
      </c>
    </row>
    <row r="936" spans="1:19" ht="15.75" customHeight="1" x14ac:dyDescent="0.3">
      <c r="A936" s="37">
        <v>79441</v>
      </c>
      <c r="B936" s="409">
        <f t="shared" ref="B936:C936" si="947">($A936-B$9)/365.25</f>
        <v>135.61943874058863</v>
      </c>
      <c r="C936" s="409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3525.4531757812501</v>
      </c>
      <c r="H936" s="25">
        <f>IF(B936&lt;62,0,'Combined Retirement'!$I$14)</f>
        <v>2192</v>
      </c>
      <c r="I936" s="25">
        <f>IF(C936&lt;62,0,'Combined Retirement'!$I$13)</f>
        <v>2420</v>
      </c>
      <c r="J936" s="25">
        <f t="shared" si="783"/>
        <v>7863.2184191855868</v>
      </c>
      <c r="K936" s="25">
        <f t="shared" si="784"/>
        <v>20282.026119384056</v>
      </c>
      <c r="L936" s="25"/>
      <c r="N936" s="25">
        <f>'Combined Retirement'!$C$18/12</f>
        <v>39153.069999999992</v>
      </c>
      <c r="O936" s="25">
        <f t="shared" si="785"/>
        <v>11007.82546143035</v>
      </c>
      <c r="P936" s="25">
        <f t="shared" si="786"/>
        <v>28145.244538569641</v>
      </c>
      <c r="Q936" s="25">
        <f t="array" aca="1" ref="Q936" ca="1">INDEX('Isaac 401k'!L:L,MATCH('Retirement Calculator'!A936,'Isaac 401k'!N:N,0),0)</f>
        <v>-6932111.8024478834</v>
      </c>
      <c r="R936" s="25">
        <f t="array" aca="1" ref="R936" ca="1">INDEX('Lorri 401b'!L:L,MATCH('Retirement Calculator'!A936,'Lorri 401b'!N:N,0),0)</f>
        <v>-17360689.286735002</v>
      </c>
      <c r="S936" s="25">
        <f t="shared" ca="1" si="787"/>
        <v>-24292801.089182884</v>
      </c>
    </row>
    <row r="937" spans="1:19" ht="15.75" customHeight="1" x14ac:dyDescent="0.3">
      <c r="A937" s="37">
        <v>79472</v>
      </c>
      <c r="B937" s="409">
        <f t="shared" ref="B937:C937" si="948">($A937-B$9)/365.25</f>
        <v>135.70431211498973</v>
      </c>
      <c r="C937" s="409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3525.4531757812501</v>
      </c>
      <c r="H937" s="25">
        <f>IF(B937&lt;62,0,'Combined Retirement'!$I$14)</f>
        <v>2192</v>
      </c>
      <c r="I937" s="25">
        <f>IF(C937&lt;62,0,'Combined Retirement'!$I$13)</f>
        <v>2420</v>
      </c>
      <c r="J937" s="25">
        <f t="shared" si="783"/>
        <v>7863.2184191855868</v>
      </c>
      <c r="K937" s="25">
        <f t="shared" si="784"/>
        <v>20282.026119384056</v>
      </c>
      <c r="L937" s="25"/>
      <c r="N937" s="25">
        <f>'Combined Retirement'!$C$18/12</f>
        <v>39153.069999999992</v>
      </c>
      <c r="O937" s="25">
        <f t="shared" si="785"/>
        <v>11007.82546143035</v>
      </c>
      <c r="P937" s="25">
        <f t="shared" si="786"/>
        <v>28145.244538569641</v>
      </c>
      <c r="Q937" s="25">
        <f t="array" aca="1" ref="Q937" ca="1">INDEX('Isaac 401k'!L:L,MATCH('Retirement Calculator'!A937,'Isaac 401k'!N:N,0),0)</f>
        <v>-6968891.5834540157</v>
      </c>
      <c r="R937" s="25">
        <f t="array" aca="1" ref="R937" ca="1">INDEX('Lorri 401b'!L:L,MATCH('Retirement Calculator'!A937,'Lorri 401b'!N:N,0),0)</f>
        <v>-17453392.026657946</v>
      </c>
      <c r="S937" s="25">
        <f t="shared" ca="1" si="787"/>
        <v>-24422283.610111963</v>
      </c>
    </row>
    <row r="938" spans="1:19" ht="15.75" customHeight="1" x14ac:dyDescent="0.3">
      <c r="A938" s="37">
        <v>79503</v>
      </c>
      <c r="B938" s="409">
        <f t="shared" ref="B938:C938" si="949">($A938-B$9)/365.25</f>
        <v>135.78918548939083</v>
      </c>
      <c r="C938" s="409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3525.4531757812501</v>
      </c>
      <c r="H938" s="25">
        <f>IF(B938&lt;62,0,'Combined Retirement'!$I$14)</f>
        <v>2192</v>
      </c>
      <c r="I938" s="25">
        <f>IF(C938&lt;62,0,'Combined Retirement'!$I$13)</f>
        <v>2420</v>
      </c>
      <c r="J938" s="25">
        <f t="shared" si="783"/>
        <v>7863.2184191855868</v>
      </c>
      <c r="K938" s="25">
        <f t="shared" si="784"/>
        <v>20282.026119384056</v>
      </c>
      <c r="L938" s="25"/>
      <c r="N938" s="25">
        <f>'Combined Retirement'!$C$18/12</f>
        <v>39153.069999999992</v>
      </c>
      <c r="O938" s="25">
        <f t="shared" si="785"/>
        <v>11007.82546143035</v>
      </c>
      <c r="P938" s="25">
        <f t="shared" si="786"/>
        <v>28145.244538569641</v>
      </c>
      <c r="Q938" s="25">
        <f t="array" aca="1" ref="Q938" ca="1">INDEX('Isaac 401k'!L:L,MATCH('Retirement Calculator'!A938,'Isaac 401k'!N:N,0),0)</f>
        <v>-7005824.6135476734</v>
      </c>
      <c r="R938" s="25">
        <f t="array" aca="1" ref="R938" ca="1">INDEX('Lorri 401b'!L:L,MATCH('Retirement Calculator'!A938,'Lorri 401b'!N:N,0),0)</f>
        <v>-17546481.027997237</v>
      </c>
      <c r="S938" s="25">
        <f t="shared" ca="1" si="787"/>
        <v>-24552305.641544908</v>
      </c>
    </row>
    <row r="939" spans="1:19" ht="15.75" customHeight="1" x14ac:dyDescent="0.3">
      <c r="A939" s="37">
        <v>79533</v>
      </c>
      <c r="B939" s="409">
        <f t="shared" ref="B939:C939" si="950">($A939-B$9)/365.25</f>
        <v>135.8713210130048</v>
      </c>
      <c r="C939" s="409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3525.4531757812501</v>
      </c>
      <c r="H939" s="25">
        <f>IF(B939&lt;62,0,'Combined Retirement'!$I$14)</f>
        <v>2192</v>
      </c>
      <c r="I939" s="25">
        <f>IF(C939&lt;62,0,'Combined Retirement'!$I$13)</f>
        <v>2420</v>
      </c>
      <c r="J939" s="25">
        <f t="shared" si="783"/>
        <v>7863.2184191855868</v>
      </c>
      <c r="K939" s="25">
        <f t="shared" si="784"/>
        <v>20282.026119384056</v>
      </c>
      <c r="L939" s="25"/>
      <c r="N939" s="25">
        <f>'Combined Retirement'!$C$18/12</f>
        <v>39153.069999999992</v>
      </c>
      <c r="O939" s="25">
        <f t="shared" si="785"/>
        <v>11007.82546143035</v>
      </c>
      <c r="P939" s="25">
        <f t="shared" si="786"/>
        <v>28145.244538569641</v>
      </c>
      <c r="Q939" s="25">
        <f t="array" aca="1" ref="Q939" ca="1">INDEX('Isaac 401k'!L:L,MATCH('Retirement Calculator'!A939,'Isaac 401k'!N:N,0),0)</f>
        <v>-7042911.531266721</v>
      </c>
      <c r="R939" s="25">
        <f t="array" aca="1" ref="R939" ca="1">INDEX('Lorri 401b'!L:L,MATCH('Retirement Calculator'!A939,'Lorri 401b'!N:N,0),0)</f>
        <v>-17639957.900175441</v>
      </c>
      <c r="S939" s="25">
        <f t="shared" ca="1" si="787"/>
        <v>-24682869.431442164</v>
      </c>
    </row>
    <row r="940" spans="1:19" ht="15.75" customHeight="1" x14ac:dyDescent="0.3">
      <c r="A940" s="37">
        <v>79564</v>
      </c>
      <c r="B940" s="409">
        <f t="shared" ref="B940:C940" si="951">($A940-B$9)/365.25</f>
        <v>135.95619438740587</v>
      </c>
      <c r="C940" s="409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3525.4531757812501</v>
      </c>
      <c r="H940" s="25">
        <f>IF(B940&lt;62,0,'Combined Retirement'!$I$14)</f>
        <v>2192</v>
      </c>
      <c r="I940" s="25">
        <f>IF(C940&lt;62,0,'Combined Retirement'!$I$13)</f>
        <v>2420</v>
      </c>
      <c r="J940" s="25">
        <f t="shared" si="783"/>
        <v>7863.2184191855868</v>
      </c>
      <c r="K940" s="25">
        <f t="shared" si="784"/>
        <v>20282.026119384056</v>
      </c>
      <c r="L940" s="25"/>
      <c r="N940" s="25">
        <f>'Combined Retirement'!$C$18/12</f>
        <v>39153.069999999992</v>
      </c>
      <c r="O940" s="25">
        <f t="shared" si="785"/>
        <v>11007.82546143035</v>
      </c>
      <c r="P940" s="25">
        <f t="shared" si="786"/>
        <v>28145.244538569641</v>
      </c>
      <c r="Q940" s="25">
        <f t="array" aca="1" ref="Q940" ca="1">INDEX('Isaac 401k'!L:L,MATCH('Retirement Calculator'!A940,'Isaac 401k'!N:N,0),0)</f>
        <v>-7080152.9778095977</v>
      </c>
      <c r="R940" s="25">
        <f t="array" aca="1" ref="R940" ca="1">INDEX('Lorri 401b'!L:L,MATCH('Retirement Calculator'!A940,'Lorri 401b'!N:N,0),0)</f>
        <v>-17733824.259321053</v>
      </c>
      <c r="S940" s="25">
        <f t="shared" ca="1" si="787"/>
        <v>-24813977.237130649</v>
      </c>
    </row>
    <row r="941" spans="1:19" ht="15.75" customHeight="1" x14ac:dyDescent="0.3">
      <c r="A941" s="37">
        <v>79594</v>
      </c>
      <c r="B941" s="409">
        <f t="shared" ref="B941:C941" si="952">($A941-B$9)/365.25</f>
        <v>136.03832991101984</v>
      </c>
      <c r="C941" s="409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3525.4531757812501</v>
      </c>
      <c r="H941" s="25">
        <f>IF(B941&lt;62,0,'Combined Retirement'!$I$14)</f>
        <v>2192</v>
      </c>
      <c r="I941" s="25">
        <f>IF(C941&lt;62,0,'Combined Retirement'!$I$13)</f>
        <v>2420</v>
      </c>
      <c r="J941" s="25">
        <f t="shared" si="783"/>
        <v>7863.2184191855868</v>
      </c>
      <c r="K941" s="25">
        <f t="shared" si="784"/>
        <v>20282.026119384056</v>
      </c>
      <c r="L941" s="25"/>
      <c r="N941" s="25">
        <f>'Combined Retirement'!$C$18/12</f>
        <v>39153.069999999992</v>
      </c>
      <c r="O941" s="25">
        <f t="shared" si="785"/>
        <v>11007.82546143035</v>
      </c>
      <c r="P941" s="25">
        <f t="shared" si="786"/>
        <v>28145.244538569641</v>
      </c>
      <c r="Q941" s="25">
        <f t="array" aca="1" ref="Q941" ca="1">INDEX('Isaac 401k'!L:L,MATCH('Retirement Calculator'!A941,'Isaac 401k'!N:N,0),0)</f>
        <v>-7117549.5970464032</v>
      </c>
      <c r="R941" s="25">
        <f t="array" aca="1" ref="R941" ca="1">INDEX('Lorri 401b'!L:L,MATCH('Retirement Calculator'!A941,'Lorri 401b'!N:N,0),0)</f>
        <v>-17828081.72829644</v>
      </c>
      <c r="S941" s="25">
        <f t="shared" ca="1" si="787"/>
        <v>-24945631.325342841</v>
      </c>
    </row>
    <row r="942" spans="1:19" ht="15.75" customHeight="1" x14ac:dyDescent="0.3">
      <c r="A942" s="37">
        <v>79625</v>
      </c>
      <c r="B942" s="409">
        <f t="shared" ref="B942:C942" si="953">($A942-B$9)/365.25</f>
        <v>136.12320328542094</v>
      </c>
      <c r="C942" s="409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3525.4531757812501</v>
      </c>
      <c r="H942" s="25">
        <f>IF(B942&lt;62,0,'Combined Retirement'!$I$14)</f>
        <v>2192</v>
      </c>
      <c r="I942" s="25">
        <f>IF(C942&lt;62,0,'Combined Retirement'!$I$13)</f>
        <v>2420</v>
      </c>
      <c r="J942" s="25">
        <f t="shared" si="783"/>
        <v>7863.2184191855868</v>
      </c>
      <c r="K942" s="25">
        <f t="shared" si="784"/>
        <v>20282.026119384056</v>
      </c>
      <c r="L942" s="25"/>
      <c r="N942" s="25">
        <f>'Combined Retirement'!$C$18/12</f>
        <v>39153.069999999992</v>
      </c>
      <c r="O942" s="25">
        <f t="shared" si="785"/>
        <v>11007.82546143035</v>
      </c>
      <c r="P942" s="25">
        <f t="shared" si="786"/>
        <v>28145.244538569641</v>
      </c>
      <c r="Q942" s="25">
        <f t="array" aca="1" ref="Q942" ca="1">INDEX('Isaac 401k'!L:L,MATCH('Retirement Calculator'!A942,'Isaac 401k'!N:N,0),0)</f>
        <v>-7155102.0355300289</v>
      </c>
      <c r="R942" s="25">
        <f t="array" aca="1" ref="R942" ca="1">INDEX('Lorri 401b'!L:L,MATCH('Retirement Calculator'!A942,'Lorri 401b'!N:N,0),0)</f>
        <v>-17922731.936725892</v>
      </c>
      <c r="S942" s="25">
        <f t="shared" ca="1" si="787"/>
        <v>-25077833.972255923</v>
      </c>
    </row>
    <row r="943" spans="1:19" ht="15.75" customHeight="1" x14ac:dyDescent="0.3">
      <c r="A943" s="37">
        <v>79656</v>
      </c>
      <c r="B943" s="409">
        <f t="shared" ref="B943:C943" si="954">($A943-B$9)/365.25</f>
        <v>136.20807665982204</v>
      </c>
      <c r="C943" s="409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3525.4531757812501</v>
      </c>
      <c r="H943" s="25">
        <f>IF(B943&lt;62,0,'Combined Retirement'!$I$14)</f>
        <v>2192</v>
      </c>
      <c r="I943" s="25">
        <f>IF(C943&lt;62,0,'Combined Retirement'!$I$13)</f>
        <v>2420</v>
      </c>
      <c r="J943" s="25">
        <f t="shared" si="783"/>
        <v>7863.2184191855868</v>
      </c>
      <c r="K943" s="25">
        <f t="shared" si="784"/>
        <v>20282.026119384056</v>
      </c>
      <c r="L943" s="25"/>
      <c r="N943" s="25">
        <f>'Combined Retirement'!$C$18/12</f>
        <v>39153.069999999992</v>
      </c>
      <c r="O943" s="25">
        <f t="shared" si="785"/>
        <v>11007.82546143035</v>
      </c>
      <c r="P943" s="25">
        <f t="shared" si="786"/>
        <v>28145.244538569641</v>
      </c>
      <c r="Q943" s="25">
        <f t="array" aca="1" ref="Q943" ca="1">INDEX('Isaac 401k'!L:L,MATCH('Retirement Calculator'!A943,'Isaac 401k'!N:N,0),0)</f>
        <v>-7192810.9425073368</v>
      </c>
      <c r="R943" s="25">
        <f t="array" aca="1" ref="R943" ca="1">INDEX('Lorri 401b'!L:L,MATCH('Retirement Calculator'!A943,'Lorri 401b'!N:N,0),0)</f>
        <v>-18017776.521023799</v>
      </c>
      <c r="S943" s="25">
        <f t="shared" ca="1" si="787"/>
        <v>-25210587.463531137</v>
      </c>
    </row>
    <row r="944" spans="1:19" ht="15.75" customHeight="1" x14ac:dyDescent="0.3">
      <c r="A944" s="37">
        <v>79684</v>
      </c>
      <c r="B944" s="409">
        <f t="shared" ref="B944:C944" si="955">($A944-B$9)/365.25</f>
        <v>136.28473648186173</v>
      </c>
      <c r="C944" s="409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3525.4531757812501</v>
      </c>
      <c r="H944" s="25">
        <f>IF(B944&lt;62,0,'Combined Retirement'!$I$14)</f>
        <v>2192</v>
      </c>
      <c r="I944" s="25">
        <f>IF(C944&lt;62,0,'Combined Retirement'!$I$13)</f>
        <v>2420</v>
      </c>
      <c r="J944" s="25">
        <f t="shared" si="783"/>
        <v>7863.2184191855868</v>
      </c>
      <c r="K944" s="25">
        <f t="shared" si="784"/>
        <v>20282.026119384056</v>
      </c>
      <c r="L944" s="25"/>
      <c r="N944" s="25">
        <f>'Combined Retirement'!$C$18/12</f>
        <v>39153.069999999992</v>
      </c>
      <c r="O944" s="25">
        <f t="shared" si="785"/>
        <v>11007.82546143035</v>
      </c>
      <c r="P944" s="25">
        <f t="shared" si="786"/>
        <v>28145.244538569641</v>
      </c>
      <c r="Q944" s="25">
        <f t="array" aca="1" ref="Q944" ca="1">INDEX('Isaac 401k'!L:L,MATCH('Retirement Calculator'!A944,'Isaac 401k'!N:N,0),0)</f>
        <v>-7230676.9699303834</v>
      </c>
      <c r="R944" s="25">
        <f t="array" aca="1" ref="R944" ca="1">INDEX('Lorri 401b'!L:L,MATCH('Retirement Calculator'!A944,'Lorri 401b'!N:N,0),0)</f>
        <v>-18113217.124422945</v>
      </c>
      <c r="S944" s="25">
        <f t="shared" ca="1" si="787"/>
        <v>-25343894.094353329</v>
      </c>
    </row>
    <row r="945" spans="1:19" ht="15.75" customHeight="1" x14ac:dyDescent="0.3">
      <c r="A945" s="37">
        <v>79715</v>
      </c>
      <c r="B945" s="409">
        <f t="shared" ref="B945:C945" si="956">($A945-B$9)/365.25</f>
        <v>136.36960985626283</v>
      </c>
      <c r="C945" s="409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3525.4531757812501</v>
      </c>
      <c r="H945" s="25">
        <f>IF(B945&lt;62,0,'Combined Retirement'!$I$14)</f>
        <v>2192</v>
      </c>
      <c r="I945" s="25">
        <f>IF(C945&lt;62,0,'Combined Retirement'!$I$13)</f>
        <v>2420</v>
      </c>
      <c r="J945" s="25">
        <f t="shared" si="783"/>
        <v>7863.2184191855868</v>
      </c>
      <c r="K945" s="25">
        <f t="shared" si="784"/>
        <v>20282.026119384056</v>
      </c>
      <c r="L945" s="25"/>
      <c r="N945" s="25">
        <f>'Combined Retirement'!$C$18/12</f>
        <v>39153.069999999992</v>
      </c>
      <c r="O945" s="25">
        <f t="shared" si="785"/>
        <v>11007.82546143035</v>
      </c>
      <c r="P945" s="25">
        <f t="shared" si="786"/>
        <v>28145.244538569641</v>
      </c>
      <c r="Q945" s="25">
        <f t="array" aca="1" ref="Q945" ca="1">INDEX('Isaac 401k'!L:L,MATCH('Retirement Calculator'!A945,'Isaac 401k'!N:N,0),0)</f>
        <v>-7268700.7724676924</v>
      </c>
      <c r="R945" s="25">
        <f t="array" aca="1" ref="R945" ca="1">INDEX('Lorri 401b'!L:L,MATCH('Retirement Calculator'!A945,'Lorri 401b'!N:N,0),0)</f>
        <v>-18209055.397002924</v>
      </c>
      <c r="S945" s="25">
        <f t="shared" ca="1" si="787"/>
        <v>-25477756.169470616</v>
      </c>
    </row>
    <row r="946" spans="1:19" ht="15.75" customHeight="1" x14ac:dyDescent="0.3">
      <c r="A946" s="37">
        <v>79745</v>
      </c>
      <c r="B946" s="409">
        <f t="shared" ref="B946:C946" si="957">($A946-B$9)/365.25</f>
        <v>136.4517453798768</v>
      </c>
      <c r="C946" s="409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3525.4531757812501</v>
      </c>
      <c r="H946" s="25">
        <f>IF(B946&lt;62,0,'Combined Retirement'!$I$14)</f>
        <v>2192</v>
      </c>
      <c r="I946" s="25">
        <f>IF(C946&lt;62,0,'Combined Retirement'!$I$13)</f>
        <v>2420</v>
      </c>
      <c r="J946" s="25">
        <f t="shared" si="783"/>
        <v>7863.2184191855868</v>
      </c>
      <c r="K946" s="25">
        <f t="shared" si="784"/>
        <v>20282.026119384056</v>
      </c>
      <c r="L946" s="25"/>
      <c r="N946" s="25">
        <f>'Combined Retirement'!$C$18/12</f>
        <v>39153.069999999992</v>
      </c>
      <c r="O946" s="25">
        <f t="shared" si="785"/>
        <v>11007.82546143035</v>
      </c>
      <c r="P946" s="25">
        <f t="shared" si="786"/>
        <v>28145.244538569641</v>
      </c>
      <c r="Q946" s="25">
        <f t="array" aca="1" ref="Q946" ca="1">INDEX('Isaac 401k'!L:L,MATCH('Retirement Calculator'!A946,'Isaac 401k'!N:N,0),0)</f>
        <v>-7306883.0075155739</v>
      </c>
      <c r="R946" s="25">
        <f t="array" aca="1" ref="R946" ca="1">INDEX('Lorri 401b'!L:L,MATCH('Retirement Calculator'!A946,'Lorri 401b'!N:N,0),0)</f>
        <v>-18305292.995718651</v>
      </c>
      <c r="S946" s="25">
        <f t="shared" ca="1" si="787"/>
        <v>-25612176.003234223</v>
      </c>
    </row>
    <row r="947" spans="1:19" ht="15.75" customHeight="1" x14ac:dyDescent="0.3">
      <c r="A947" s="37">
        <v>79776</v>
      </c>
      <c r="B947" s="409">
        <f t="shared" ref="B947:C947" si="958">($A947-B$9)/365.25</f>
        <v>136.5366187542779</v>
      </c>
      <c r="C947" s="409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3525.4531757812501</v>
      </c>
      <c r="H947" s="25">
        <f>IF(B947&lt;62,0,'Combined Retirement'!$I$14)</f>
        <v>2192</v>
      </c>
      <c r="I947" s="25">
        <f>IF(C947&lt;62,0,'Combined Retirement'!$I$13)</f>
        <v>2420</v>
      </c>
      <c r="J947" s="25">
        <f t="shared" si="783"/>
        <v>7863.2184191855868</v>
      </c>
      <c r="K947" s="25">
        <f t="shared" si="784"/>
        <v>20282.026119384056</v>
      </c>
      <c r="L947" s="25"/>
      <c r="N947" s="25">
        <f>'Combined Retirement'!$C$18/12</f>
        <v>39153.069999999992</v>
      </c>
      <c r="O947" s="25">
        <f t="shared" si="785"/>
        <v>11007.82546143035</v>
      </c>
      <c r="P947" s="25">
        <f t="shared" si="786"/>
        <v>28145.244538569641</v>
      </c>
      <c r="Q947" s="25">
        <f t="array" aca="1" ref="Q947" ca="1">INDEX('Isaac 401k'!L:L,MATCH('Retirement Calculator'!A947,'Isaac 401k'!N:N,0),0)</f>
        <v>-7345224.3352094879</v>
      </c>
      <c r="R947" s="25">
        <f t="array" aca="1" ref="R947" ca="1">INDEX('Lorri 401b'!L:L,MATCH('Retirement Calculator'!A947,'Lorri 401b'!N:N,0),0)</f>
        <v>-18401931.584429026</v>
      </c>
      <c r="S947" s="25">
        <f t="shared" ca="1" si="787"/>
        <v>-25747155.919638515</v>
      </c>
    </row>
    <row r="948" spans="1:19" ht="15.75" customHeight="1" x14ac:dyDescent="0.3">
      <c r="A948" s="37">
        <v>79806</v>
      </c>
      <c r="B948" s="409">
        <f t="shared" ref="B948:C948" si="959">($A948-B$9)/365.25</f>
        <v>136.61875427789187</v>
      </c>
      <c r="C948" s="409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3525.4531757812501</v>
      </c>
      <c r="H948" s="25">
        <f>IF(B948&lt;62,0,'Combined Retirement'!$I$14)</f>
        <v>2192</v>
      </c>
      <c r="I948" s="25">
        <f>IF(C948&lt;62,0,'Combined Retirement'!$I$13)</f>
        <v>2420</v>
      </c>
      <c r="J948" s="25">
        <f t="shared" si="783"/>
        <v>7863.2184191855868</v>
      </c>
      <c r="K948" s="25">
        <f t="shared" si="784"/>
        <v>20282.026119384056</v>
      </c>
      <c r="L948" s="25"/>
      <c r="N948" s="25">
        <f>'Combined Retirement'!$C$18/12</f>
        <v>39153.069999999992</v>
      </c>
      <c r="O948" s="25">
        <f t="shared" si="785"/>
        <v>11007.82546143035</v>
      </c>
      <c r="P948" s="25">
        <f t="shared" si="786"/>
        <v>28145.244538569641</v>
      </c>
      <c r="Q948" s="25">
        <f t="array" aca="1" ref="Q948" ca="1">INDEX('Isaac 401k'!L:L,MATCH('Retirement Calculator'!A948,'Isaac 401k'!N:N,0),0)</f>
        <v>-7383725.41843546</v>
      </c>
      <c r="R948" s="25">
        <f t="array" aca="1" ref="R948" ca="1">INDEX('Lorri 401b'!L:L,MATCH('Retirement Calculator'!A948,'Lorri 401b'!N:N,0),0)</f>
        <v>-18498972.833925694</v>
      </c>
      <c r="S948" s="25">
        <f t="shared" ca="1" si="787"/>
        <v>-25882698.252361156</v>
      </c>
    </row>
    <row r="949" spans="1:19" ht="15.75" customHeight="1" x14ac:dyDescent="0.3">
      <c r="A949" s="37">
        <v>79837</v>
      </c>
      <c r="B949" s="409">
        <f t="shared" ref="B949:C949" si="960">($A949-B$9)/365.25</f>
        <v>136.70362765229294</v>
      </c>
      <c r="C949" s="409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3525.4531757812501</v>
      </c>
      <c r="H949" s="25">
        <f>IF(B949&lt;62,0,'Combined Retirement'!$I$14)</f>
        <v>2192</v>
      </c>
      <c r="I949" s="25">
        <f>IF(C949&lt;62,0,'Combined Retirement'!$I$13)</f>
        <v>2420</v>
      </c>
      <c r="J949" s="25">
        <f t="shared" si="783"/>
        <v>7863.2184191855868</v>
      </c>
      <c r="K949" s="25">
        <f t="shared" si="784"/>
        <v>20282.026119384056</v>
      </c>
      <c r="L949" s="25"/>
      <c r="N949" s="25">
        <f>'Combined Retirement'!$C$18/12</f>
        <v>39153.069999999992</v>
      </c>
      <c r="O949" s="25">
        <f t="shared" si="785"/>
        <v>11007.82546143035</v>
      </c>
      <c r="P949" s="25">
        <f t="shared" si="786"/>
        <v>28145.244538569641</v>
      </c>
      <c r="Q949" s="25">
        <f t="array" aca="1" ref="Q949" ca="1">INDEX('Isaac 401k'!L:L,MATCH('Retirement Calculator'!A949,'Isaac 401k'!N:N,0),0)</f>
        <v>-7422386.9228415405</v>
      </c>
      <c r="R949" s="25">
        <f t="array" aca="1" ref="R949" ca="1">INDEX('Lorri 401b'!L:L,MATCH('Retirement Calculator'!A949,'Lorri 401b'!N:N,0),0)</f>
        <v>-18596418.421961933</v>
      </c>
      <c r="S949" s="25">
        <f t="shared" ca="1" si="787"/>
        <v>-26018805.344803475</v>
      </c>
    </row>
    <row r="950" spans="1:19" ht="15.75" customHeight="1" x14ac:dyDescent="0.3">
      <c r="A950" s="37">
        <v>79868</v>
      </c>
      <c r="B950" s="409">
        <f t="shared" ref="B950:C950" si="961">($A950-B$9)/365.25</f>
        <v>136.78850102669404</v>
      </c>
      <c r="C950" s="409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3525.4531757812501</v>
      </c>
      <c r="H950" s="25">
        <f>IF(B950&lt;62,0,'Combined Retirement'!$I$14)</f>
        <v>2192</v>
      </c>
      <c r="I950" s="25">
        <f>IF(C950&lt;62,0,'Combined Retirement'!$I$13)</f>
        <v>2420</v>
      </c>
      <c r="J950" s="25">
        <f t="shared" si="783"/>
        <v>7863.2184191855868</v>
      </c>
      <c r="K950" s="25">
        <f t="shared" si="784"/>
        <v>20282.026119384056</v>
      </c>
      <c r="L950" s="25"/>
      <c r="N950" s="25">
        <f>'Combined Retirement'!$C$18/12</f>
        <v>39153.069999999992</v>
      </c>
      <c r="O950" s="25">
        <f t="shared" si="785"/>
        <v>11007.82546143035</v>
      </c>
      <c r="P950" s="25">
        <f t="shared" si="786"/>
        <v>28145.244538569641</v>
      </c>
      <c r="Q950" s="25">
        <f t="array" aca="1" ref="Q950" ca="1">INDEX('Isaac 401k'!L:L,MATCH('Retirement Calculator'!A950,'Isaac 401k'!N:N,0),0)</f>
        <v>-7461209.5168493129</v>
      </c>
      <c r="R950" s="25">
        <f t="array" aca="1" ref="R950" ca="1">INDEX('Lorri 401b'!L:L,MATCH('Retirement Calculator'!A950,'Lorri 401b'!N:N,0),0)</f>
        <v>-18694270.033281658</v>
      </c>
      <c r="S950" s="25">
        <f t="shared" ca="1" si="787"/>
        <v>-26155479.550130971</v>
      </c>
    </row>
    <row r="951" spans="1:19" ht="15.75" customHeight="1" x14ac:dyDescent="0.3">
      <c r="A951" s="37">
        <v>79898</v>
      </c>
      <c r="B951" s="409">
        <f t="shared" ref="B951:C951" si="962">($A951-B$9)/365.25</f>
        <v>136.87063655030801</v>
      </c>
      <c r="C951" s="409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3525.4531757812501</v>
      </c>
      <c r="H951" s="25">
        <f>IF(B951&lt;62,0,'Combined Retirement'!$I$14)</f>
        <v>2192</v>
      </c>
      <c r="I951" s="25">
        <f>IF(C951&lt;62,0,'Combined Retirement'!$I$13)</f>
        <v>2420</v>
      </c>
      <c r="J951" s="25">
        <f t="shared" si="783"/>
        <v>7863.2184191855868</v>
      </c>
      <c r="K951" s="25">
        <f t="shared" si="784"/>
        <v>20282.026119384056</v>
      </c>
      <c r="L951" s="25"/>
      <c r="N951" s="25">
        <f>'Combined Retirement'!$C$18/12</f>
        <v>39153.069999999992</v>
      </c>
      <c r="O951" s="25">
        <f t="shared" si="785"/>
        <v>11007.82546143035</v>
      </c>
      <c r="P951" s="25">
        <f t="shared" si="786"/>
        <v>28145.244538569641</v>
      </c>
      <c r="Q951" s="25">
        <f t="array" aca="1" ref="Q951" ca="1">INDEX('Isaac 401k'!L:L,MATCH('Retirement Calculator'!A951,'Isaac 401k'!N:N,0),0)</f>
        <v>-7500193.8716654507</v>
      </c>
      <c r="R951" s="25">
        <f t="array" aca="1" ref="R951" ca="1">INDEX('Lorri 401b'!L:L,MATCH('Retirement Calculator'!A951,'Lorri 401b'!N:N,0),0)</f>
        <v>-18792529.359648548</v>
      </c>
      <c r="S951" s="25">
        <f t="shared" ca="1" si="787"/>
        <v>-26292723.231314</v>
      </c>
    </row>
    <row r="952" spans="1:19" ht="15.75" customHeight="1" x14ac:dyDescent="0.3">
      <c r="A952" s="37">
        <v>79929</v>
      </c>
      <c r="B952" s="409">
        <f t="shared" ref="B952:C952" si="963">($A952-B$9)/365.25</f>
        <v>136.95550992470911</v>
      </c>
      <c r="C952" s="409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3525.4531757812501</v>
      </c>
      <c r="H952" s="25">
        <f>IF(B952&lt;62,0,'Combined Retirement'!$I$14)</f>
        <v>2192</v>
      </c>
      <c r="I952" s="25">
        <f>IF(C952&lt;62,0,'Combined Retirement'!$I$13)</f>
        <v>2420</v>
      </c>
      <c r="J952" s="25">
        <f t="shared" si="783"/>
        <v>7863.2184191855868</v>
      </c>
      <c r="K952" s="25">
        <f t="shared" si="784"/>
        <v>20282.026119384056</v>
      </c>
      <c r="L952" s="25"/>
      <c r="N952" s="25">
        <f>'Combined Retirement'!$C$18/12</f>
        <v>39153.069999999992</v>
      </c>
      <c r="O952" s="25">
        <f t="shared" si="785"/>
        <v>11007.82546143035</v>
      </c>
      <c r="P952" s="25">
        <f t="shared" si="786"/>
        <v>28145.244538569641</v>
      </c>
      <c r="Q952" s="25">
        <f t="array" aca="1" ref="Q952" ca="1">INDEX('Isaac 401k'!L:L,MATCH('Retirement Calculator'!A952,'Isaac 401k'!N:N,0),0)</f>
        <v>-7539340.6612933222</v>
      </c>
      <c r="R952" s="25">
        <f t="array" aca="1" ref="R952" ca="1">INDEX('Lorri 401b'!L:L,MATCH('Retirement Calculator'!A952,'Lorri 401b'!N:N,0),0)</f>
        <v>-18891198.099875301</v>
      </c>
      <c r="S952" s="25">
        <f t="shared" ca="1" si="787"/>
        <v>-26430538.761168621</v>
      </c>
    </row>
    <row r="953" spans="1:19" ht="15.75" customHeight="1" x14ac:dyDescent="0.3">
      <c r="A953" s="37">
        <v>79959</v>
      </c>
      <c r="B953" s="409">
        <f t="shared" ref="B953:C953" si="964">($A953-B$9)/365.25</f>
        <v>137.03764544832308</v>
      </c>
      <c r="C953" s="409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3525.4531757812501</v>
      </c>
      <c r="H953" s="25">
        <f>IF(B953&lt;62,0,'Combined Retirement'!$I$14)</f>
        <v>2192</v>
      </c>
      <c r="I953" s="25">
        <f>IF(C953&lt;62,0,'Combined Retirement'!$I$13)</f>
        <v>2420</v>
      </c>
      <c r="J953" s="25">
        <f t="shared" si="783"/>
        <v>7863.2184191855868</v>
      </c>
      <c r="K953" s="25">
        <f t="shared" si="784"/>
        <v>20282.026119384056</v>
      </c>
      <c r="L953" s="25"/>
      <c r="N953" s="25">
        <f>'Combined Retirement'!$C$18/12</f>
        <v>39153.069999999992</v>
      </c>
      <c r="O953" s="25">
        <f t="shared" si="785"/>
        <v>11007.82546143035</v>
      </c>
      <c r="P953" s="25">
        <f t="shared" si="786"/>
        <v>28145.244538569641</v>
      </c>
      <c r="Q953" s="25">
        <f t="array" aca="1" ref="Q953" ca="1">INDEX('Isaac 401k'!L:L,MATCH('Retirement Calculator'!A953,'Isaac 401k'!N:N,0),0)</f>
        <v>-7578650.5625446439</v>
      </c>
      <c r="R953" s="25">
        <f t="array" aca="1" ref="R953" ca="1">INDEX('Lorri 401b'!L:L,MATCH('Retirement Calculator'!A953,'Lorri 401b'!N:N,0),0)</f>
        <v>-18990277.959852997</v>
      </c>
      <c r="S953" s="25">
        <f t="shared" ca="1" si="787"/>
        <v>-26568928.522397641</v>
      </c>
    </row>
    <row r="954" spans="1:19" ht="15.75" customHeight="1" x14ac:dyDescent="0.3">
      <c r="A954" s="37">
        <v>79990</v>
      </c>
      <c r="B954" s="409">
        <f t="shared" ref="B954:C954" si="965">($A954-B$9)/365.25</f>
        <v>137.12251882272417</v>
      </c>
      <c r="C954" s="409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3525.4531757812501</v>
      </c>
      <c r="H954" s="25">
        <f>IF(B954&lt;62,0,'Combined Retirement'!$I$14)</f>
        <v>2192</v>
      </c>
      <c r="I954" s="25">
        <f>IF(C954&lt;62,0,'Combined Retirement'!$I$13)</f>
        <v>2420</v>
      </c>
      <c r="J954" s="25">
        <f t="shared" si="783"/>
        <v>7863.2184191855868</v>
      </c>
      <c r="K954" s="25">
        <f t="shared" si="784"/>
        <v>20282.026119384056</v>
      </c>
      <c r="L954" s="25"/>
      <c r="N954" s="25">
        <f>'Combined Retirement'!$C$18/12</f>
        <v>39153.069999999992</v>
      </c>
      <c r="O954" s="25">
        <f t="shared" si="785"/>
        <v>11007.82546143035</v>
      </c>
      <c r="P954" s="25">
        <f t="shared" si="786"/>
        <v>28145.244538569641</v>
      </c>
      <c r="Q954" s="25">
        <f t="array" aca="1" ref="Q954" ca="1">INDEX('Isaac 401k'!L:L,MATCH('Retirement Calculator'!A954,'Isaac 401k'!N:N,0),0)</f>
        <v>-7618124.2550511789</v>
      </c>
      <c r="R954" s="25">
        <f t="array" aca="1" ref="R954" ca="1">INDEX('Lorri 401b'!L:L,MATCH('Retirement Calculator'!A954,'Lorri 401b'!N:N,0),0)</f>
        <v>-19089770.6525806</v>
      </c>
      <c r="S954" s="25">
        <f t="shared" ca="1" si="787"/>
        <v>-26707894.907631777</v>
      </c>
    </row>
    <row r="955" spans="1:19" ht="15.75" customHeight="1" x14ac:dyDescent="0.3">
      <c r="A955" s="37">
        <v>80021</v>
      </c>
      <c r="B955" s="409">
        <f t="shared" ref="B955:C955" si="966">($A955-B$9)/365.25</f>
        <v>137.20739219712524</v>
      </c>
      <c r="C955" s="409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3525.4531757812501</v>
      </c>
      <c r="H955" s="25">
        <f>IF(B955&lt;62,0,'Combined Retirement'!$I$14)</f>
        <v>2192</v>
      </c>
      <c r="I955" s="25">
        <f>IF(C955&lt;62,0,'Combined Retirement'!$I$13)</f>
        <v>2420</v>
      </c>
      <c r="J955" s="25">
        <f t="shared" si="783"/>
        <v>7863.2184191855868</v>
      </c>
      <c r="K955" s="25">
        <f t="shared" si="784"/>
        <v>20282.026119384056</v>
      </c>
      <c r="L955" s="25"/>
      <c r="N955" s="25">
        <f>'Combined Retirement'!$C$18/12</f>
        <v>39153.069999999992</v>
      </c>
      <c r="O955" s="25">
        <f t="shared" si="785"/>
        <v>11007.82546143035</v>
      </c>
      <c r="P955" s="25">
        <f t="shared" si="786"/>
        <v>28145.244538569641</v>
      </c>
      <c r="Q955" s="25">
        <f t="array" aca="1" ref="Q955" ca="1">INDEX('Isaac 401k'!L:L,MATCH('Retirement Calculator'!A955,'Isaac 401k'!N:N,0),0)</f>
        <v>-7657762.4212764911</v>
      </c>
      <c r="R955" s="25">
        <f t="array" aca="1" ref="R955" ca="1">INDEX('Lorri 401b'!L:L,MATCH('Retirement Calculator'!A955,'Lorri 401b'!N:N,0),0)</f>
        <v>-19189677.89819457</v>
      </c>
      <c r="S955" s="25">
        <f t="shared" ca="1" si="787"/>
        <v>-26847440.319471061</v>
      </c>
    </row>
    <row r="956" spans="1:19" ht="15.75" customHeight="1" x14ac:dyDescent="0.3">
      <c r="A956" s="37">
        <v>80049</v>
      </c>
      <c r="B956" s="409">
        <f t="shared" ref="B956:C956" si="967">($A956-B$9)/365.25</f>
        <v>137.28405201916496</v>
      </c>
      <c r="C956" s="409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3525.4531757812501</v>
      </c>
      <c r="H956" s="25">
        <f>IF(B956&lt;62,0,'Combined Retirement'!$I$14)</f>
        <v>2192</v>
      </c>
      <c r="I956" s="25">
        <f>IF(C956&lt;62,0,'Combined Retirement'!$I$13)</f>
        <v>2420</v>
      </c>
      <c r="J956" s="25">
        <f t="shared" si="783"/>
        <v>7863.2184191855868</v>
      </c>
      <c r="K956" s="25">
        <f t="shared" si="784"/>
        <v>20282.026119384056</v>
      </c>
      <c r="L956" s="25"/>
      <c r="N956" s="25">
        <f>'Combined Retirement'!$C$18/12</f>
        <v>39153.069999999992</v>
      </c>
      <c r="O956" s="25">
        <f t="shared" si="785"/>
        <v>11007.82546143035</v>
      </c>
      <c r="P956" s="25">
        <f t="shared" si="786"/>
        <v>28145.244538569641</v>
      </c>
      <c r="Q956" s="25">
        <f t="array" aca="1" ref="Q956" ca="1">INDEX('Isaac 401k'!L:L,MATCH('Retirement Calculator'!A956,'Isaac 401k'!N:N,0),0)</f>
        <v>-7697565.7465277426</v>
      </c>
      <c r="R956" s="25">
        <f t="array" aca="1" ref="R956" ca="1">INDEX('Lorri 401b'!L:L,MATCH('Retirement Calculator'!A956,'Lorri 401b'!N:N,0),0)</f>
        <v>-19290001.423998598</v>
      </c>
      <c r="S956" s="25">
        <f t="shared" ca="1" si="787"/>
        <v>-26987567.170526341</v>
      </c>
    </row>
    <row r="957" spans="1:19" ht="15.75" customHeight="1" x14ac:dyDescent="0.3">
      <c r="A957" s="37">
        <v>80080</v>
      </c>
      <c r="B957" s="409">
        <f t="shared" ref="B957:C957" si="968">($A957-B$9)/365.25</f>
        <v>137.36892539356606</v>
      </c>
      <c r="C957" s="409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3525.4531757812501</v>
      </c>
      <c r="H957" s="25">
        <f>IF(B957&lt;62,0,'Combined Retirement'!$I$14)</f>
        <v>2192</v>
      </c>
      <c r="I957" s="25">
        <f>IF(C957&lt;62,0,'Combined Retirement'!$I$13)</f>
        <v>2420</v>
      </c>
      <c r="J957" s="25">
        <f t="shared" si="783"/>
        <v>7863.2184191855868</v>
      </c>
      <c r="K957" s="25">
        <f t="shared" si="784"/>
        <v>20282.026119384056</v>
      </c>
      <c r="L957" s="25"/>
      <c r="N957" s="25">
        <f>'Combined Retirement'!$C$18/12</f>
        <v>39153.069999999992</v>
      </c>
      <c r="O957" s="25">
        <f t="shared" si="785"/>
        <v>11007.82546143035</v>
      </c>
      <c r="P957" s="25">
        <f t="shared" si="786"/>
        <v>28145.244538569641</v>
      </c>
      <c r="Q957" s="25">
        <f t="array" aca="1" ref="Q957" ca="1">INDEX('Isaac 401k'!L:L,MATCH('Retirement Calculator'!A957,'Isaac 401k'!N:N,0),0)</f>
        <v>-7737534.9189675404</v>
      </c>
      <c r="R957" s="25">
        <f t="array" aca="1" ref="R957" ca="1">INDEX('Lorri 401b'!L:L,MATCH('Retirement Calculator'!A957,'Lorri 401b'!N:N,0),0)</f>
        <v>-19390742.964493476</v>
      </c>
      <c r="S957" s="25">
        <f t="shared" ca="1" si="787"/>
        <v>-27128277.883461017</v>
      </c>
    </row>
    <row r="958" spans="1:19" ht="15.75" customHeight="1" x14ac:dyDescent="0.3">
      <c r="A958" s="37">
        <v>80110</v>
      </c>
      <c r="B958" s="409">
        <f t="shared" ref="B958:C958" si="969">($A958-B$9)/365.25</f>
        <v>137.45106091718</v>
      </c>
      <c r="C958" s="409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3525.4531757812501</v>
      </c>
      <c r="H958" s="25">
        <f>IF(B958&lt;62,0,'Combined Retirement'!$I$14)</f>
        <v>2192</v>
      </c>
      <c r="I958" s="25">
        <f>IF(C958&lt;62,0,'Combined Retirement'!$I$13)</f>
        <v>2420</v>
      </c>
      <c r="J958" s="25">
        <f t="shared" si="783"/>
        <v>7863.2184191855868</v>
      </c>
      <c r="K958" s="25">
        <f t="shared" si="784"/>
        <v>20282.026119384056</v>
      </c>
      <c r="L958" s="25"/>
      <c r="N958" s="25">
        <f>'Combined Retirement'!$C$18/12</f>
        <v>39153.069999999992</v>
      </c>
      <c r="O958" s="25">
        <f t="shared" si="785"/>
        <v>11007.82546143035</v>
      </c>
      <c r="P958" s="25">
        <f t="shared" si="786"/>
        <v>28145.244538569641</v>
      </c>
      <c r="Q958" s="25">
        <f t="array" aca="1" ref="Q958" ca="1">INDEX('Isaac 401k'!L:L,MATCH('Retirement Calculator'!A958,'Isaac 401k'!N:N,0),0)</f>
        <v>-7777670.6296258373</v>
      </c>
      <c r="R958" s="25">
        <f t="array" aca="1" ref="R958" ca="1">INDEX('Lorri 401b'!L:L,MATCH('Retirement Calculator'!A958,'Lorri 401b'!N:N,0),0)</f>
        <v>-19491904.261407081</v>
      </c>
      <c r="S958" s="25">
        <f t="shared" ca="1" si="787"/>
        <v>-27269574.891032919</v>
      </c>
    </row>
    <row r="959" spans="1:19" ht="15.75" customHeight="1" x14ac:dyDescent="0.3">
      <c r="A959" s="37">
        <v>80141</v>
      </c>
      <c r="B959" s="409">
        <f t="shared" ref="B959:C959" si="970">($A959-B$9)/365.25</f>
        <v>137.5359342915811</v>
      </c>
      <c r="C959" s="409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3525.4531757812501</v>
      </c>
      <c r="H959" s="25">
        <f>IF(B959&lt;62,0,'Combined Retirement'!$I$14)</f>
        <v>2192</v>
      </c>
      <c r="I959" s="25">
        <f>IF(C959&lt;62,0,'Combined Retirement'!$I$13)</f>
        <v>2420</v>
      </c>
      <c r="J959" s="25">
        <f t="shared" si="783"/>
        <v>7863.2184191855868</v>
      </c>
      <c r="K959" s="25">
        <f t="shared" si="784"/>
        <v>20282.026119384056</v>
      </c>
      <c r="L959" s="25"/>
      <c r="N959" s="25">
        <f>'Combined Retirement'!$C$18/12</f>
        <v>39153.069999999992</v>
      </c>
      <c r="O959" s="25">
        <f t="shared" si="785"/>
        <v>11007.82546143035</v>
      </c>
      <c r="P959" s="25">
        <f t="shared" si="786"/>
        <v>28145.244538569641</v>
      </c>
      <c r="Q959" s="25">
        <f t="array" aca="1" ref="Q959" ca="1">INDEX('Isaac 401k'!L:L,MATCH('Retirement Calculator'!A959,'Isaac 401k'!N:N,0),0)</f>
        <v>-7817973.5724118771</v>
      </c>
      <c r="R959" s="25">
        <f t="array" aca="1" ref="R959" ca="1">INDEX('Lorri 401b'!L:L,MATCH('Retirement Calculator'!A959,'Lorri 401b'!N:N,0),0)</f>
        <v>-19593487.063724492</v>
      </c>
      <c r="S959" s="25">
        <f t="shared" ca="1" si="787"/>
        <v>-27411460.636136368</v>
      </c>
    </row>
    <row r="960" spans="1:19" ht="15.75" customHeight="1" x14ac:dyDescent="0.3">
      <c r="A960" s="37">
        <v>80171</v>
      </c>
      <c r="B960" s="409">
        <f t="shared" ref="B960:C960" si="971">($A960-B$9)/365.25</f>
        <v>137.61806981519507</v>
      </c>
      <c r="C960" s="409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3525.4531757812501</v>
      </c>
      <c r="H960" s="25">
        <f>IF(B960&lt;62,0,'Combined Retirement'!$I$14)</f>
        <v>2192</v>
      </c>
      <c r="I960" s="25">
        <f>IF(C960&lt;62,0,'Combined Retirement'!$I$13)</f>
        <v>2420</v>
      </c>
      <c r="J960" s="25">
        <f t="shared" si="783"/>
        <v>7863.2184191855868</v>
      </c>
      <c r="K960" s="25">
        <f t="shared" si="784"/>
        <v>20282.026119384056</v>
      </c>
      <c r="L960" s="25"/>
      <c r="N960" s="25">
        <f>'Combined Retirement'!$C$18/12</f>
        <v>39153.069999999992</v>
      </c>
      <c r="O960" s="25">
        <f t="shared" si="785"/>
        <v>11007.82546143035</v>
      </c>
      <c r="P960" s="25">
        <f t="shared" si="786"/>
        <v>28145.244538569641</v>
      </c>
      <c r="Q960" s="25">
        <f t="array" aca="1" ref="Q960" ca="1">INDEX('Isaac 401k'!L:L,MATCH('Retirement Calculator'!A960,'Isaac 401k'!N:N,0),0)</f>
        <v>-7858444.4441261925</v>
      </c>
      <c r="R960" s="25">
        <f t="array" aca="1" ref="R960" ca="1">INDEX('Lorri 401b'!L:L,MATCH('Retirement Calculator'!A960,'Lorri 401b'!N:N,0),0)</f>
        <v>-19695493.127718225</v>
      </c>
      <c r="S960" s="25">
        <f t="shared" ca="1" si="787"/>
        <v>-27553937.571844418</v>
      </c>
    </row>
    <row r="961" spans="1:19" ht="15.75" customHeight="1" x14ac:dyDescent="0.3">
      <c r="A961" s="37">
        <v>80202</v>
      </c>
      <c r="B961" s="409">
        <f t="shared" ref="B961:C961" si="972">($A961-B$9)/365.25</f>
        <v>137.70294318959617</v>
      </c>
      <c r="C961" s="409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3525.4531757812501</v>
      </c>
      <c r="H961" s="25">
        <f>IF(B961&lt;62,0,'Combined Retirement'!$I$14)</f>
        <v>2192</v>
      </c>
      <c r="I961" s="25">
        <f>IF(C961&lt;62,0,'Combined Retirement'!$I$13)</f>
        <v>2420</v>
      </c>
      <c r="J961" s="25">
        <f t="shared" si="783"/>
        <v>7863.2184191855868</v>
      </c>
      <c r="K961" s="25">
        <f t="shared" si="784"/>
        <v>20282.026119384056</v>
      </c>
      <c r="L961" s="25"/>
      <c r="N961" s="25">
        <f>'Combined Retirement'!$C$18/12</f>
        <v>39153.069999999992</v>
      </c>
      <c r="O961" s="25">
        <f t="shared" si="785"/>
        <v>11007.82546143035</v>
      </c>
      <c r="P961" s="25">
        <f t="shared" si="786"/>
        <v>28145.244538569641</v>
      </c>
      <c r="Q961" s="25">
        <f t="array" aca="1" ref="Q961" ca="1">INDEX('Isaac 401k'!L:L,MATCH('Retirement Calculator'!A961,'Isaac 401k'!N:N,0),0)</f>
        <v>-7899083.944472651</v>
      </c>
      <c r="R961" s="25">
        <f t="array" aca="1" ref="R961" ca="1">INDEX('Lorri 401b'!L:L,MATCH('Retirement Calculator'!A961,'Lorri 401b'!N:N,0),0)</f>
        <v>-19797924.216978598</v>
      </c>
      <c r="S961" s="25">
        <f t="shared" ca="1" si="787"/>
        <v>-27697008.16145125</v>
      </c>
    </row>
    <row r="962" spans="1:19" ht="15.75" customHeight="1" x14ac:dyDescent="0.3">
      <c r="A962" s="37">
        <v>80233</v>
      </c>
      <c r="B962" s="409">
        <f t="shared" ref="B962:C962" si="973">($A962-B$9)/365.25</f>
        <v>137.78781656399727</v>
      </c>
      <c r="C962" s="409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3525.4531757812501</v>
      </c>
      <c r="H962" s="25">
        <f>IF(B962&lt;62,0,'Combined Retirement'!$I$14)</f>
        <v>2192</v>
      </c>
      <c r="I962" s="25">
        <f>IF(C962&lt;62,0,'Combined Retirement'!$I$13)</f>
        <v>2420</v>
      </c>
      <c r="J962" s="25">
        <f t="shared" si="783"/>
        <v>7863.2184191855868</v>
      </c>
      <c r="K962" s="25">
        <f t="shared" si="784"/>
        <v>20282.026119384056</v>
      </c>
      <c r="L962" s="25"/>
      <c r="N962" s="25">
        <f>'Combined Retirement'!$C$18/12</f>
        <v>39153.069999999992</v>
      </c>
      <c r="O962" s="25">
        <f t="shared" si="785"/>
        <v>11007.82546143035</v>
      </c>
      <c r="P962" s="25">
        <f t="shared" si="786"/>
        <v>28145.244538569641</v>
      </c>
      <c r="Q962" s="25">
        <f t="array" aca="1" ref="Q962" ca="1">INDEX('Isaac 401k'!L:L,MATCH('Retirement Calculator'!A962,'Isaac 401k'!N:N,0),0)</f>
        <v>-7939892.7760705529</v>
      </c>
      <c r="R962" s="25">
        <f t="array" aca="1" ref="R962" ca="1">INDEX('Lorri 401b'!L:L,MATCH('Retirement Calculator'!A962,'Lorri 401b'!N:N,0),0)</f>
        <v>-19900782.102444224</v>
      </c>
      <c r="S962" s="25">
        <f t="shared" ca="1" si="787"/>
        <v>-27840674.878514778</v>
      </c>
    </row>
    <row r="963" spans="1:19" ht="15.75" customHeight="1" x14ac:dyDescent="0.3">
      <c r="A963" s="37">
        <v>80263</v>
      </c>
      <c r="B963" s="409">
        <f t="shared" ref="B963:C963" si="974">($A963-B$9)/365.25</f>
        <v>137.86995208761124</v>
      </c>
      <c r="C963" s="409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3525.4531757812501</v>
      </c>
      <c r="H963" s="25">
        <f>IF(B963&lt;62,0,'Combined Retirement'!$I$14)</f>
        <v>2192</v>
      </c>
      <c r="I963" s="25">
        <f>IF(C963&lt;62,0,'Combined Retirement'!$I$13)</f>
        <v>2420</v>
      </c>
      <c r="J963" s="25">
        <f t="shared" si="783"/>
        <v>7863.2184191855868</v>
      </c>
      <c r="K963" s="25">
        <f t="shared" si="784"/>
        <v>20282.026119384056</v>
      </c>
      <c r="L963" s="25"/>
      <c r="N963" s="25">
        <f>'Combined Retirement'!$C$18/12</f>
        <v>39153.069999999992</v>
      </c>
      <c r="O963" s="25">
        <f t="shared" si="785"/>
        <v>11007.82546143035</v>
      </c>
      <c r="P963" s="25">
        <f t="shared" si="786"/>
        <v>28145.244538569641</v>
      </c>
      <c r="Q963" s="25">
        <f t="array" aca="1" ref="Q963" ca="1">INDEX('Isaac 401k'!L:L,MATCH('Retirement Calculator'!A963,'Isaac 401k'!N:N,0),0)</f>
        <v>-7980871.6444667792</v>
      </c>
      <c r="R963" s="25">
        <f t="array" aca="1" ref="R963" ca="1">INDEX('Lorri 401b'!L:L,MATCH('Retirement Calculator'!A963,'Lorri 401b'!N:N,0),0)</f>
        <v>-20004068.562432624</v>
      </c>
      <c r="S963" s="25">
        <f t="shared" ca="1" si="787"/>
        <v>-27984940.206899405</v>
      </c>
    </row>
    <row r="964" spans="1:19" ht="15.75" customHeight="1" x14ac:dyDescent="0.3">
      <c r="A964" s="37">
        <v>80294</v>
      </c>
      <c r="B964" s="409">
        <f t="shared" ref="B964:C964" si="975">($A964-B$9)/365.25</f>
        <v>137.95482546201231</v>
      </c>
      <c r="C964" s="409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3525.4531757812501</v>
      </c>
      <c r="H964" s="25">
        <f>IF(B964&lt;62,0,'Combined Retirement'!$I$14)</f>
        <v>2192</v>
      </c>
      <c r="I964" s="25">
        <f>IF(C964&lt;62,0,'Combined Retirement'!$I$13)</f>
        <v>2420</v>
      </c>
      <c r="J964" s="25">
        <f t="shared" si="783"/>
        <v>7863.2184191855868</v>
      </c>
      <c r="K964" s="25">
        <f t="shared" si="784"/>
        <v>20282.026119384056</v>
      </c>
      <c r="L964" s="25"/>
      <c r="N964" s="25">
        <f>'Combined Retirement'!$C$18/12</f>
        <v>39153.069999999992</v>
      </c>
      <c r="O964" s="25">
        <f t="shared" si="785"/>
        <v>11007.82546143035</v>
      </c>
      <c r="P964" s="25">
        <f t="shared" si="786"/>
        <v>28145.244538569641</v>
      </c>
      <c r="Q964" s="25">
        <f t="array" aca="1" ref="Q964" ca="1">INDEX('Isaac 401k'!L:L,MATCH('Retirement Calculator'!A964,'Isaac 401k'!N:N,0),0)</f>
        <v>-8022021.2581479903</v>
      </c>
      <c r="R964" s="25">
        <f t="array" aca="1" ref="R964" ca="1">INDEX('Lorri 401b'!L:L,MATCH('Retirement Calculator'!A964,'Lorri 401b'!N:N,0),0)</f>
        <v>-20107785.382670976</v>
      </c>
      <c r="S964" s="25">
        <f t="shared" ca="1" si="787"/>
        <v>-28129806.640818968</v>
      </c>
    </row>
    <row r="965" spans="1:19" ht="15.75" customHeight="1" x14ac:dyDescent="0.3">
      <c r="A965" s="37">
        <v>80324</v>
      </c>
      <c r="B965" s="409">
        <f t="shared" ref="B965:C965" si="976">($A965-B$9)/365.25</f>
        <v>138.03696098562628</v>
      </c>
      <c r="C965" s="409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3525.4531757812501</v>
      </c>
      <c r="H965" s="25">
        <f>IF(B965&lt;62,0,'Combined Retirement'!$I$14)</f>
        <v>2192</v>
      </c>
      <c r="I965" s="25">
        <f>IF(C965&lt;62,0,'Combined Retirement'!$I$13)</f>
        <v>2420</v>
      </c>
      <c r="J965" s="25">
        <f t="shared" si="783"/>
        <v>7863.2184191855868</v>
      </c>
      <c r="K965" s="25">
        <f t="shared" si="784"/>
        <v>20282.026119384056</v>
      </c>
      <c r="L965" s="25"/>
      <c r="N965" s="25">
        <f>'Combined Retirement'!$C$18/12</f>
        <v>39153.069999999992</v>
      </c>
      <c r="O965" s="25">
        <f t="shared" si="785"/>
        <v>11007.82546143035</v>
      </c>
      <c r="P965" s="25">
        <f t="shared" si="786"/>
        <v>28145.244538569641</v>
      </c>
      <c r="Q965" s="25">
        <f t="array" aca="1" ref="Q965" ca="1">INDEX('Isaac 401k'!L:L,MATCH('Retirement Calculator'!A965,'Isaac 401k'!N:N,0),0)</f>
        <v>-8063342.3285528729</v>
      </c>
      <c r="R965" s="25">
        <f t="array" aca="1" ref="R965" ca="1">INDEX('Lorri 401b'!L:L,MATCH('Retirement Calculator'!A965,'Lorri 401b'!N:N,0),0)</f>
        <v>-20211934.356326986</v>
      </c>
      <c r="S965" s="25">
        <f t="shared" ca="1" si="787"/>
        <v>-28275276.684879858</v>
      </c>
    </row>
    <row r="966" spans="1:19" ht="15.75" customHeight="1" x14ac:dyDescent="0.3">
      <c r="A966" s="37">
        <v>80355</v>
      </c>
      <c r="B966" s="409">
        <f t="shared" ref="B966:C966" si="977">($A966-B$9)/365.25</f>
        <v>138.12183436002738</v>
      </c>
      <c r="C966" s="409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3525.4531757812501</v>
      </c>
      <c r="H966" s="25">
        <f>IF(B966&lt;62,0,'Combined Retirement'!$I$14)</f>
        <v>2192</v>
      </c>
      <c r="I966" s="25">
        <f>IF(C966&lt;62,0,'Combined Retirement'!$I$13)</f>
        <v>2420</v>
      </c>
      <c r="J966" s="25">
        <f t="shared" si="783"/>
        <v>7863.2184191855868</v>
      </c>
      <c r="K966" s="25">
        <f t="shared" si="784"/>
        <v>20282.026119384056</v>
      </c>
      <c r="L966" s="25"/>
      <c r="N966" s="25">
        <f>'Combined Retirement'!$C$18/12</f>
        <v>39153.069999999992</v>
      </c>
      <c r="O966" s="25">
        <f t="shared" si="785"/>
        <v>11007.82546143035</v>
      </c>
      <c r="P966" s="25">
        <f t="shared" si="786"/>
        <v>28145.244538569641</v>
      </c>
      <c r="Q966" s="25">
        <f t="array" aca="1" ref="Q966" ca="1">INDEX('Isaac 401k'!L:L,MATCH('Retirement Calculator'!A966,'Isaac 401k'!N:N,0),0)</f>
        <v>-8104835.5700844424</v>
      </c>
      <c r="R966" s="25">
        <f t="array" aca="1" ref="R966" ca="1">INDEX('Lorri 401b'!L:L,MATCH('Retirement Calculator'!A966,'Lorri 401b'!N:N,0),0)</f>
        <v>-20316517.284039896</v>
      </c>
      <c r="S966" s="25">
        <f t="shared" ca="1" si="787"/>
        <v>-28421352.854124337</v>
      </c>
    </row>
    <row r="967" spans="1:19" ht="15.75" customHeight="1" x14ac:dyDescent="0.3">
      <c r="A967" s="37">
        <v>80386</v>
      </c>
      <c r="B967" s="409">
        <f t="shared" ref="B967:C967" si="978">($A967-B$9)/365.25</f>
        <v>138.20670773442848</v>
      </c>
      <c r="C967" s="409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3525.4531757812501</v>
      </c>
      <c r="H967" s="25">
        <f>IF(B967&lt;62,0,'Combined Retirement'!$I$14)</f>
        <v>2192</v>
      </c>
      <c r="I967" s="25">
        <f>IF(C967&lt;62,0,'Combined Retirement'!$I$13)</f>
        <v>2420</v>
      </c>
      <c r="J967" s="25">
        <f t="shared" si="783"/>
        <v>7863.2184191855868</v>
      </c>
      <c r="K967" s="25">
        <f t="shared" si="784"/>
        <v>20282.026119384056</v>
      </c>
      <c r="L967" s="25"/>
      <c r="N967" s="25">
        <f>'Combined Retirement'!$C$18/12</f>
        <v>39153.069999999992</v>
      </c>
      <c r="O967" s="25">
        <f t="shared" si="785"/>
        <v>11007.82546143035</v>
      </c>
      <c r="P967" s="25">
        <f t="shared" si="786"/>
        <v>28145.244538569641</v>
      </c>
      <c r="Q967" s="25">
        <f t="array" aca="1" ref="Q967" ca="1">INDEX('Isaac 401k'!L:L,MATCH('Retirement Calculator'!A967,'Isaac 401k'!N:N,0),0)</f>
        <v>-8146501.7001223937</v>
      </c>
      <c r="R967" s="25">
        <f t="array" aca="1" ref="R967" ca="1">INDEX('Lorri 401b'!L:L,MATCH('Retirement Calculator'!A967,'Lorri 401b'!N:N,0),0)</f>
        <v>-20421535.973951612</v>
      </c>
      <c r="S967" s="25">
        <f t="shared" ca="1" si="787"/>
        <v>-28568037.674074005</v>
      </c>
    </row>
    <row r="968" spans="1:19" ht="15.75" customHeight="1" x14ac:dyDescent="0.3">
      <c r="A968" s="37">
        <v>80415</v>
      </c>
      <c r="B968" s="409">
        <f t="shared" ref="B968:C968" si="979">($A968-B$9)/365.25</f>
        <v>138.28610540725529</v>
      </c>
      <c r="C968" s="409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3525.4531757812501</v>
      </c>
      <c r="H968" s="25">
        <f>IF(B968&lt;62,0,'Combined Retirement'!$I$14)</f>
        <v>2192</v>
      </c>
      <c r="I968" s="25">
        <f>IF(C968&lt;62,0,'Combined Retirement'!$I$13)</f>
        <v>2420</v>
      </c>
      <c r="J968" s="25">
        <f t="shared" si="783"/>
        <v>7863.2184191855868</v>
      </c>
      <c r="K968" s="25">
        <f t="shared" si="784"/>
        <v>20282.026119384056</v>
      </c>
      <c r="L968" s="25"/>
      <c r="N968" s="25">
        <f>'Combined Retirement'!$C$18/12</f>
        <v>39153.069999999992</v>
      </c>
      <c r="O968" s="25">
        <f t="shared" si="785"/>
        <v>11007.82546143035</v>
      </c>
      <c r="P968" s="25">
        <f t="shared" si="786"/>
        <v>28145.244538569641</v>
      </c>
      <c r="Q968" s="25">
        <f t="array" aca="1" ref="Q968" ca="1">INDEX('Isaac 401k'!L:L,MATCH('Retirement Calculator'!A968,'Isaac 401k'!N:N,0),0)</f>
        <v>-8188341.4390355032</v>
      </c>
      <c r="R968" s="25">
        <f t="array" aca="1" ref="R968" ca="1">INDEX('Lorri 401b'!L:L,MATCH('Retirement Calculator'!A968,'Lorri 401b'!N:N,0),0)</f>
        <v>-20526992.241737958</v>
      </c>
      <c r="S968" s="25">
        <f t="shared" ca="1" si="787"/>
        <v>-28715333.680773459</v>
      </c>
    </row>
    <row r="969" spans="1:19" ht="15.75" customHeight="1" x14ac:dyDescent="0.3">
      <c r="A969" s="37">
        <v>80446</v>
      </c>
      <c r="B969" s="409">
        <f t="shared" ref="B969:C969" si="980">($A969-B$9)/365.25</f>
        <v>138.37097878165639</v>
      </c>
      <c r="C969" s="409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3525.4531757812501</v>
      </c>
      <c r="H969" s="25">
        <f>IF(B969&lt;62,0,'Combined Retirement'!$I$14)</f>
        <v>2192</v>
      </c>
      <c r="I969" s="25">
        <f>IF(C969&lt;62,0,'Combined Retirement'!$I$13)</f>
        <v>2420</v>
      </c>
      <c r="J969" s="25">
        <f t="shared" si="783"/>
        <v>7863.2184191855868</v>
      </c>
      <c r="K969" s="25">
        <f t="shared" si="784"/>
        <v>20282.026119384056</v>
      </c>
      <c r="L969" s="25"/>
      <c r="N969" s="25">
        <f>'Combined Retirement'!$C$18/12</f>
        <v>39153.069999999992</v>
      </c>
      <c r="O969" s="25">
        <f t="shared" si="785"/>
        <v>11007.82546143035</v>
      </c>
      <c r="P969" s="25">
        <f t="shared" si="786"/>
        <v>28145.244538569641</v>
      </c>
      <c r="Q969" s="25">
        <f t="array" aca="1" ref="Q969" ca="1">INDEX('Isaac 401k'!L:L,MATCH('Retirement Calculator'!A969,'Isaac 401k'!N:N,0),0)</f>
        <v>-8230355.5101940837</v>
      </c>
      <c r="R969" s="25">
        <f t="array" aca="1" ref="R969" ca="1">INDEX('Lorri 401b'!L:L,MATCH('Retirement Calculator'!A969,'Lorri 401b'!N:N,0),0)</f>
        <v>-20632887.910640083</v>
      </c>
      <c r="S969" s="25">
        <f t="shared" ca="1" si="787"/>
        <v>-28863243.420834169</v>
      </c>
    </row>
    <row r="970" spans="1:19" ht="15.75" customHeight="1" x14ac:dyDescent="0.3">
      <c r="A970" s="37">
        <v>80476</v>
      </c>
      <c r="B970" s="409">
        <f t="shared" ref="B970:C970" si="981">($A970-B$9)/365.25</f>
        <v>138.45311430527036</v>
      </c>
      <c r="C970" s="409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3525.4531757812501</v>
      </c>
      <c r="H970" s="25">
        <f>IF(B970&lt;62,0,'Combined Retirement'!$I$14)</f>
        <v>2192</v>
      </c>
      <c r="I970" s="25">
        <f>IF(C970&lt;62,0,'Combined Retirement'!$I$13)</f>
        <v>2420</v>
      </c>
      <c r="J970" s="25">
        <f t="shared" si="783"/>
        <v>7863.2184191855868</v>
      </c>
      <c r="K970" s="25">
        <f t="shared" si="784"/>
        <v>20282.026119384056</v>
      </c>
      <c r="L970" s="25"/>
      <c r="N970" s="25">
        <f>'Combined Retirement'!$C$18/12</f>
        <v>39153.069999999992</v>
      </c>
      <c r="O970" s="25">
        <f t="shared" si="785"/>
        <v>11007.82546143035</v>
      </c>
      <c r="P970" s="25">
        <f t="shared" si="786"/>
        <v>28145.244538569641</v>
      </c>
      <c r="Q970" s="25">
        <f t="array" aca="1" ref="Q970" ca="1">INDEX('Isaac 401k'!L:L,MATCH('Retirement Calculator'!A970,'Isaac 401k'!N:N,0),0)</f>
        <v>-8272544.6399824917</v>
      </c>
      <c r="R970" s="25">
        <f t="array" aca="1" ref="R970" ca="1">INDEX('Lorri 401b'!L:L,MATCH('Retirement Calculator'!A970,'Lorri 401b'!N:N,0),0)</f>
        <v>-20739224.811495967</v>
      </c>
      <c r="S970" s="25">
        <f t="shared" ca="1" si="787"/>
        <v>-29011769.451478459</v>
      </c>
    </row>
    <row r="971" spans="1:19" ht="15.75" customHeight="1" x14ac:dyDescent="0.3">
      <c r="A971" s="37">
        <v>80507</v>
      </c>
      <c r="B971" s="409">
        <f t="shared" ref="B971:C971" si="982">($A971-B$9)/365.25</f>
        <v>138.53798767967146</v>
      </c>
      <c r="C971" s="409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3525.4531757812501</v>
      </c>
      <c r="H971" s="25">
        <f>IF(B971&lt;62,0,'Combined Retirement'!$I$14)</f>
        <v>2192</v>
      </c>
      <c r="I971" s="25">
        <f>IF(C971&lt;62,0,'Combined Retirement'!$I$13)</f>
        <v>2420</v>
      </c>
      <c r="J971" s="25">
        <f t="shared" si="783"/>
        <v>7863.2184191855868</v>
      </c>
      <c r="K971" s="25">
        <f t="shared" si="784"/>
        <v>20282.026119384056</v>
      </c>
      <c r="L971" s="25"/>
      <c r="N971" s="25">
        <f>'Combined Retirement'!$C$18/12</f>
        <v>39153.069999999992</v>
      </c>
      <c r="O971" s="25">
        <f t="shared" si="785"/>
        <v>11007.82546143035</v>
      </c>
      <c r="P971" s="25">
        <f t="shared" si="786"/>
        <v>28145.244538569641</v>
      </c>
      <c r="Q971" s="25">
        <f t="array" aca="1" ref="Q971" ca="1">INDEX('Isaac 401k'!L:L,MATCH('Retirement Calculator'!A971,'Isaac 401k'!N:N,0),0)</f>
        <v>-8314909.5578116849</v>
      </c>
      <c r="R971" s="25">
        <f t="array" aca="1" ref="R971" ca="1">INDEX('Lorri 401b'!L:L,MATCH('Retirement Calculator'!A971,'Lorri 401b'!N:N,0),0)</f>
        <v>-20846004.782772083</v>
      </c>
      <c r="S971" s="25">
        <f t="shared" ca="1" si="787"/>
        <v>-29160914.340583768</v>
      </c>
    </row>
    <row r="972" spans="1:19" ht="15.75" customHeight="1" x14ac:dyDescent="0.3">
      <c r="A972" s="37">
        <v>80537</v>
      </c>
      <c r="B972" s="409">
        <f t="shared" ref="B972:C972" si="983">($A972-B$9)/365.25</f>
        <v>138.62012320328543</v>
      </c>
      <c r="C972" s="409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3525.4531757812501</v>
      </c>
      <c r="H972" s="25">
        <f>IF(B972&lt;62,0,'Combined Retirement'!$I$14)</f>
        <v>2192</v>
      </c>
      <c r="I972" s="25">
        <f>IF(C972&lt;62,0,'Combined Retirement'!$I$13)</f>
        <v>2420</v>
      </c>
      <c r="J972" s="25">
        <f t="shared" si="783"/>
        <v>7863.2184191855868</v>
      </c>
      <c r="K972" s="25">
        <f t="shared" si="784"/>
        <v>20282.026119384056</v>
      </c>
      <c r="L972" s="25"/>
      <c r="N972" s="25">
        <f>'Combined Retirement'!$C$18/12</f>
        <v>39153.069999999992</v>
      </c>
      <c r="O972" s="25">
        <f t="shared" si="785"/>
        <v>11007.82546143035</v>
      </c>
      <c r="P972" s="25">
        <f t="shared" si="786"/>
        <v>28145.244538569641</v>
      </c>
      <c r="Q972" s="25">
        <f t="array" aca="1" ref="Q972" ca="1">INDEX('Isaac 401k'!L:L,MATCH('Retirement Calculator'!A972,'Isaac 401k'!N:N,0),0)</f>
        <v>-8357450.9961318327</v>
      </c>
      <c r="R972" s="25">
        <f t="array" aca="1" ref="R972" ca="1">INDEX('Lorri 401b'!L:L,MATCH('Retirement Calculator'!A972,'Lorri 401b'!N:N,0),0)</f>
        <v>-20953229.670595184</v>
      </c>
      <c r="S972" s="25">
        <f t="shared" ca="1" si="787"/>
        <v>-29310680.666727018</v>
      </c>
    </row>
    <row r="973" spans="1:19" ht="15.75" customHeight="1" x14ac:dyDescent="0.3">
      <c r="A973" s="37">
        <v>80568</v>
      </c>
      <c r="B973" s="409">
        <f t="shared" ref="B973:C973" si="984">($A973-B$9)/365.25</f>
        <v>138.70499657768653</v>
      </c>
      <c r="C973" s="409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3525.4531757812501</v>
      </c>
      <c r="H973" s="25">
        <f>IF(B973&lt;62,0,'Combined Retirement'!$I$14)</f>
        <v>2192</v>
      </c>
      <c r="I973" s="25">
        <f>IF(C973&lt;62,0,'Combined Retirement'!$I$13)</f>
        <v>2420</v>
      </c>
      <c r="J973" s="25">
        <f t="shared" si="783"/>
        <v>7863.2184191855868</v>
      </c>
      <c r="K973" s="25">
        <f t="shared" si="784"/>
        <v>20282.026119384056</v>
      </c>
      <c r="L973" s="25"/>
      <c r="N973" s="25">
        <f>'Combined Retirement'!$C$18/12</f>
        <v>39153.069999999992</v>
      </c>
      <c r="O973" s="25">
        <f t="shared" si="785"/>
        <v>11007.82546143035</v>
      </c>
      <c r="P973" s="25">
        <f t="shared" si="786"/>
        <v>28145.244538569641</v>
      </c>
      <c r="Q973" s="25">
        <f t="array" aca="1" ref="Q973" ca="1">INDEX('Isaac 401k'!L:L,MATCH('Retirement Calculator'!A973,'Isaac 401k'!N:N,0),0)</f>
        <v>-8400169.6904449817</v>
      </c>
      <c r="R973" s="25">
        <f t="array" aca="1" ref="R973" ca="1">INDEX('Lorri 401b'!L:L,MATCH('Retirement Calculator'!A973,'Lorri 401b'!N:N,0),0)</f>
        <v>-21060901.328784212</v>
      </c>
      <c r="S973" s="25">
        <f t="shared" ca="1" si="787"/>
        <v>-29461071.019229196</v>
      </c>
    </row>
    <row r="974" spans="1:19" ht="15.75" customHeight="1" x14ac:dyDescent="0.3">
      <c r="A974" s="37">
        <v>80599</v>
      </c>
      <c r="B974" s="409">
        <f t="shared" ref="B974:C974" si="985">($A974-B$9)/365.25</f>
        <v>138.7898699520876</v>
      </c>
      <c r="C974" s="409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3525.4531757812501</v>
      </c>
      <c r="H974" s="25">
        <f>IF(B974&lt;62,0,'Combined Retirement'!$I$14)</f>
        <v>2192</v>
      </c>
      <c r="I974" s="25">
        <f>IF(C974&lt;62,0,'Combined Retirement'!$I$13)</f>
        <v>2420</v>
      </c>
      <c r="J974" s="25">
        <f t="shared" si="783"/>
        <v>7863.2184191855868</v>
      </c>
      <c r="K974" s="25">
        <f t="shared" si="784"/>
        <v>20282.026119384056</v>
      </c>
      <c r="L974" s="25"/>
      <c r="N974" s="25">
        <f>'Combined Retirement'!$C$18/12</f>
        <v>39153.069999999992</v>
      </c>
      <c r="O974" s="25">
        <f t="shared" si="785"/>
        <v>11007.82546143035</v>
      </c>
      <c r="P974" s="25">
        <f t="shared" si="786"/>
        <v>28145.244538569641</v>
      </c>
      <c r="Q974" s="25">
        <f t="array" aca="1" ref="Q974" ca="1">INDEX('Isaac 401k'!L:L,MATCH('Retirement Calculator'!A974,'Isaac 401k'!N:N,0),0)</f>
        <v>-8443066.3793177679</v>
      </c>
      <c r="R974" s="25">
        <f t="array" aca="1" ref="R974" ca="1">INDEX('Lorri 401b'!L:L,MATCH('Retirement Calculator'!A974,'Lorri 401b'!N:N,0),0)</f>
        <v>-21169021.618882362</v>
      </c>
      <c r="S974" s="25">
        <f t="shared" ca="1" si="787"/>
        <v>-29612087.99820013</v>
      </c>
    </row>
    <row r="975" spans="1:19" ht="15.75" customHeight="1" x14ac:dyDescent="0.3">
      <c r="A975" s="37">
        <v>80629</v>
      </c>
      <c r="B975" s="409">
        <f t="shared" ref="B975:C975" si="986">($A975-B$9)/365.25</f>
        <v>138.87200547570157</v>
      </c>
      <c r="C975" s="409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3525.4531757812501</v>
      </c>
      <c r="H975" s="25">
        <f>IF(B975&lt;62,0,'Combined Retirement'!$I$14)</f>
        <v>2192</v>
      </c>
      <c r="I975" s="25">
        <f>IF(C975&lt;62,0,'Combined Retirement'!$I$13)</f>
        <v>2420</v>
      </c>
      <c r="J975" s="25">
        <f t="shared" si="783"/>
        <v>7863.2184191855868</v>
      </c>
      <c r="K975" s="25">
        <f t="shared" si="784"/>
        <v>20282.026119384056</v>
      </c>
      <c r="L975" s="25"/>
      <c r="N975" s="25">
        <f>'Combined Retirement'!$C$18/12</f>
        <v>39153.069999999992</v>
      </c>
      <c r="O975" s="25">
        <f t="shared" si="785"/>
        <v>11007.82546143035</v>
      </c>
      <c r="P975" s="25">
        <f t="shared" si="786"/>
        <v>28145.244538569641</v>
      </c>
      <c r="Q975" s="25">
        <f t="array" aca="1" ref="Q975" ca="1">INDEX('Isaac 401k'!L:L,MATCH('Retirement Calculator'!A975,'Isaac 401k'!N:N,0),0)</f>
        <v>-8486141.8043941893</v>
      </c>
      <c r="R975" s="25">
        <f t="array" aca="1" ref="R975" ca="1">INDEX('Lorri 401b'!L:L,MATCH('Retirement Calculator'!A975,'Lorri 401b'!N:N,0),0)</f>
        <v>-21277592.410189252</v>
      </c>
      <c r="S975" s="25">
        <f t="shared" ca="1" si="787"/>
        <v>-29763734.214583442</v>
      </c>
    </row>
    <row r="976" spans="1:19" ht="15.75" customHeight="1" x14ac:dyDescent="0.3">
      <c r="A976" s="37">
        <v>80660</v>
      </c>
      <c r="B976" s="409">
        <f t="shared" ref="B976:C976" si="987">($A976-B$9)/365.25</f>
        <v>138.95687885010267</v>
      </c>
      <c r="C976" s="409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3525.4531757812501</v>
      </c>
      <c r="H976" s="25">
        <f>IF(B976&lt;62,0,'Combined Retirement'!$I$14)</f>
        <v>2192</v>
      </c>
      <c r="I976" s="25">
        <f>IF(C976&lt;62,0,'Combined Retirement'!$I$13)</f>
        <v>2420</v>
      </c>
      <c r="J976" s="25">
        <f t="shared" si="783"/>
        <v>7863.2184191855868</v>
      </c>
      <c r="K976" s="25">
        <f t="shared" si="784"/>
        <v>20282.026119384056</v>
      </c>
      <c r="L976" s="25"/>
      <c r="N976" s="25">
        <f>'Combined Retirement'!$C$18/12</f>
        <v>39153.069999999992</v>
      </c>
      <c r="O976" s="25">
        <f t="shared" si="785"/>
        <v>11007.82546143035</v>
      </c>
      <c r="P976" s="25">
        <f t="shared" si="786"/>
        <v>28145.244538569641</v>
      </c>
      <c r="Q976" s="25">
        <f t="array" aca="1" ref="Q976" ca="1">INDEX('Isaac 401k'!L:L,MATCH('Retirement Calculator'!A976,'Isaac 401k'!N:N,0),0)</f>
        <v>-8529396.7104084305</v>
      </c>
      <c r="R976" s="25">
        <f t="array" aca="1" ref="R976" ca="1">INDEX('Lorri 401b'!L:L,MATCH('Retirement Calculator'!A976,'Lorri 401b'!N:N,0),0)</f>
        <v>-21386615.579793256</v>
      </c>
      <c r="S976" s="25">
        <f t="shared" ca="1" si="787"/>
        <v>-29916012.290201686</v>
      </c>
    </row>
    <row r="977" spans="1:19" ht="15.75" customHeight="1" x14ac:dyDescent="0.3">
      <c r="A977" s="37">
        <v>80690</v>
      </c>
      <c r="B977" s="409">
        <f t="shared" ref="B977:C977" si="988">($A977-B$9)/365.25</f>
        <v>139.03901437371664</v>
      </c>
      <c r="C977" s="409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3525.4531757812501</v>
      </c>
      <c r="H977" s="25">
        <f>IF(B977&lt;62,0,'Combined Retirement'!$I$14)</f>
        <v>2192</v>
      </c>
      <c r="I977" s="25">
        <f>IF(C977&lt;62,0,'Combined Retirement'!$I$13)</f>
        <v>2420</v>
      </c>
      <c r="J977" s="25">
        <f t="shared" si="783"/>
        <v>7863.2184191855868</v>
      </c>
      <c r="K977" s="25">
        <f t="shared" si="784"/>
        <v>20282.026119384056</v>
      </c>
      <c r="L977" s="25"/>
      <c r="N977" s="25">
        <f>'Combined Retirement'!$C$18/12</f>
        <v>39153.069999999992</v>
      </c>
      <c r="O977" s="25">
        <f t="shared" si="785"/>
        <v>11007.82546143035</v>
      </c>
      <c r="P977" s="25">
        <f t="shared" si="786"/>
        <v>28145.244538569641</v>
      </c>
      <c r="Q977" s="25">
        <f t="array" aca="1" ref="Q977" ca="1">INDEX('Isaac 401k'!L:L,MATCH('Retirement Calculator'!A977,'Isaac 401k'!N:N,0),0)</f>
        <v>-8572831.8451977298</v>
      </c>
      <c r="R977" s="25">
        <f t="array" aca="1" ref="R977" ca="1">INDEX('Lorri 401b'!L:L,MATCH('Retirement Calculator'!A977,'Lorri 401b'!N:N,0),0)</f>
        <v>-21496093.012603942</v>
      </c>
      <c r="S977" s="25">
        <f t="shared" ca="1" si="787"/>
        <v>-30068924.857801672</v>
      </c>
    </row>
    <row r="978" spans="1:19" ht="15.75" customHeight="1" x14ac:dyDescent="0.3">
      <c r="A978" s="37">
        <v>80721</v>
      </c>
      <c r="B978" s="409">
        <f t="shared" ref="B978:C978" si="989">($A978-B$9)/365.25</f>
        <v>139.12388774811774</v>
      </c>
      <c r="C978" s="409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3525.4531757812501</v>
      </c>
      <c r="H978" s="25">
        <f>IF(B978&lt;62,0,'Combined Retirement'!$I$14)</f>
        <v>2192</v>
      </c>
      <c r="I978" s="25">
        <f>IF(C978&lt;62,0,'Combined Retirement'!$I$13)</f>
        <v>2420</v>
      </c>
      <c r="J978" s="25">
        <f t="shared" si="783"/>
        <v>7863.2184191855868</v>
      </c>
      <c r="K978" s="25">
        <f t="shared" si="784"/>
        <v>20282.026119384056</v>
      </c>
      <c r="L978" s="25"/>
      <c r="N978" s="25">
        <f>'Combined Retirement'!$C$18/12</f>
        <v>39153.069999999992</v>
      </c>
      <c r="O978" s="25">
        <f t="shared" si="785"/>
        <v>11007.82546143035</v>
      </c>
      <c r="P978" s="25">
        <f t="shared" si="786"/>
        <v>28145.244538569641</v>
      </c>
      <c r="Q978" s="25">
        <f t="array" aca="1" ref="Q978" ca="1">INDEX('Isaac 401k'!L:L,MATCH('Retirement Calculator'!A978,'Isaac 401k'!N:N,0),0)</f>
        <v>-8616447.9597153179</v>
      </c>
      <c r="R978" s="25">
        <f t="array" aca="1" ref="R978" ca="1">INDEX('Lorri 401b'!L:L,MATCH('Retirement Calculator'!A978,'Lorri 401b'!N:N,0),0)</f>
        <v>-21606026.601384673</v>
      </c>
      <c r="S978" s="25">
        <f t="shared" ca="1" si="787"/>
        <v>-30222474.561099991</v>
      </c>
    </row>
    <row r="979" spans="1:19" ht="15.75" customHeight="1" x14ac:dyDescent="0.3">
      <c r="A979" s="37">
        <v>80752</v>
      </c>
      <c r="B979" s="409">
        <f t="shared" ref="B979:C979" si="990">($A979-B$9)/365.25</f>
        <v>139.20876112251884</v>
      </c>
      <c r="C979" s="409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3525.4531757812501</v>
      </c>
      <c r="H979" s="25">
        <f>IF(B979&lt;62,0,'Combined Retirement'!$I$14)</f>
        <v>2192</v>
      </c>
      <c r="I979" s="25">
        <f>IF(C979&lt;62,0,'Combined Retirement'!$I$13)</f>
        <v>2420</v>
      </c>
      <c r="J979" s="25">
        <f t="shared" si="783"/>
        <v>7863.2184191855868</v>
      </c>
      <c r="K979" s="25">
        <f t="shared" si="784"/>
        <v>20282.026119384056</v>
      </c>
      <c r="L979" s="25"/>
      <c r="N979" s="25">
        <f>'Combined Retirement'!$C$18/12</f>
        <v>39153.069999999992</v>
      </c>
      <c r="O979" s="25">
        <f t="shared" si="785"/>
        <v>11007.82546143035</v>
      </c>
      <c r="P979" s="25">
        <f t="shared" si="786"/>
        <v>28145.244538569641</v>
      </c>
      <c r="Q979" s="25">
        <f t="array" aca="1" ref="Q979" ca="1">INDEX('Isaac 401k'!L:L,MATCH('Retirement Calculator'!A979,'Isaac 401k'!N:N,0),0)</f>
        <v>-8660245.8080433961</v>
      </c>
      <c r="R979" s="25">
        <f t="array" aca="1" ref="R979" ca="1">INDEX('Lorri 401b'!L:L,MATCH('Retirement Calculator'!A979,'Lorri 401b'!N:N,0),0)</f>
        <v>-21716418.246785324</v>
      </c>
      <c r="S979" s="25">
        <f t="shared" ca="1" si="787"/>
        <v>-30376664.054828718</v>
      </c>
    </row>
    <row r="980" spans="1:19" ht="15.75" customHeight="1" x14ac:dyDescent="0.3">
      <c r="A980" s="37">
        <v>80780</v>
      </c>
      <c r="B980" s="409">
        <f t="shared" ref="B980:C980" si="991">($A980-B$9)/365.25</f>
        <v>139.28542094455852</v>
      </c>
      <c r="C980" s="409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3525.4531757812501</v>
      </c>
      <c r="H980" s="25">
        <f>IF(B980&lt;62,0,'Combined Retirement'!$I$14)</f>
        <v>2192</v>
      </c>
      <c r="I980" s="25">
        <f>IF(C980&lt;62,0,'Combined Retirement'!$I$13)</f>
        <v>2420</v>
      </c>
      <c r="J980" s="25">
        <f t="shared" si="783"/>
        <v>7863.2184191855868</v>
      </c>
      <c r="K980" s="25">
        <f t="shared" si="784"/>
        <v>20282.026119384056</v>
      </c>
      <c r="L980" s="25"/>
      <c r="N980" s="25">
        <f>'Combined Retirement'!$C$18/12</f>
        <v>39153.069999999992</v>
      </c>
      <c r="O980" s="25">
        <f t="shared" si="785"/>
        <v>11007.82546143035</v>
      </c>
      <c r="P980" s="25">
        <f t="shared" si="786"/>
        <v>28145.244538569641</v>
      </c>
      <c r="Q980" s="25">
        <f t="array" aca="1" ref="Q980" ca="1">INDEX('Isaac 401k'!L:L,MATCH('Retirement Calculator'!A980,'Isaac 401k'!N:N,0),0)</f>
        <v>-8704226.1474061757</v>
      </c>
      <c r="R980" s="25">
        <f t="array" aca="1" ref="R980" ca="1">INDEX('Lorri 401b'!L:L,MATCH('Retirement Calculator'!A980,'Lorri 401b'!N:N,0),0)</f>
        <v>-21827269.857375145</v>
      </c>
      <c r="S980" s="25">
        <f t="shared" ca="1" si="787"/>
        <v>-30531496.004781321</v>
      </c>
    </row>
    <row r="981" spans="1:19" ht="15.75" customHeight="1" x14ac:dyDescent="0.3">
      <c r="A981" s="37">
        <v>80811</v>
      </c>
      <c r="B981" s="409">
        <f t="shared" ref="B981:C981" si="992">($A981-B$9)/365.25</f>
        <v>139.37029431895962</v>
      </c>
      <c r="C981" s="409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3525.4531757812501</v>
      </c>
      <c r="H981" s="25">
        <f>IF(B981&lt;62,0,'Combined Retirement'!$I$14)</f>
        <v>2192</v>
      </c>
      <c r="I981" s="25">
        <f>IF(C981&lt;62,0,'Combined Retirement'!$I$13)</f>
        <v>2420</v>
      </c>
      <c r="J981" s="25">
        <f t="shared" si="783"/>
        <v>7863.2184191855868</v>
      </c>
      <c r="K981" s="25">
        <f t="shared" si="784"/>
        <v>20282.026119384056</v>
      </c>
      <c r="L981" s="25"/>
      <c r="N981" s="25">
        <f>'Combined Retirement'!$C$18/12</f>
        <v>39153.069999999992</v>
      </c>
      <c r="O981" s="25">
        <f t="shared" si="785"/>
        <v>11007.82546143035</v>
      </c>
      <c r="P981" s="25">
        <f t="shared" si="786"/>
        <v>28145.244538569641</v>
      </c>
      <c r="Q981" s="25">
        <f t="array" aca="1" ref="Q981" ca="1">INDEX('Isaac 401k'!L:L,MATCH('Retirement Calculator'!A981,'Isaac 401k'!N:N,0),0)</f>
        <v>-8748389.7381829657</v>
      </c>
      <c r="R981" s="25">
        <f t="array" aca="1" ref="R981" ca="1">INDEX('Lorri 401b'!L:L,MATCH('Retirement Calculator'!A981,'Lorri 401b'!N:N,0),0)</f>
        <v>-21938583.349675756</v>
      </c>
      <c r="S981" s="25">
        <f t="shared" ca="1" si="787"/>
        <v>-30686973.087858722</v>
      </c>
    </row>
    <row r="982" spans="1:19" ht="15.75" customHeight="1" x14ac:dyDescent="0.3">
      <c r="A982" s="37">
        <v>80841</v>
      </c>
      <c r="B982" s="409">
        <f t="shared" ref="B982:C982" si="993">($A982-B$9)/365.25</f>
        <v>139.45242984257359</v>
      </c>
      <c r="C982" s="409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3525.4531757812501</v>
      </c>
      <c r="H982" s="25">
        <f>IF(B982&lt;62,0,'Combined Retirement'!$I$14)</f>
        <v>2192</v>
      </c>
      <c r="I982" s="25">
        <f>IF(C982&lt;62,0,'Combined Retirement'!$I$13)</f>
        <v>2420</v>
      </c>
      <c r="J982" s="25">
        <f t="shared" si="783"/>
        <v>7863.2184191855868</v>
      </c>
      <c r="K982" s="25">
        <f t="shared" si="784"/>
        <v>20282.026119384056</v>
      </c>
      <c r="L982" s="25"/>
      <c r="N982" s="25">
        <f>'Combined Retirement'!$C$18/12</f>
        <v>39153.069999999992</v>
      </c>
      <c r="O982" s="25">
        <f t="shared" si="785"/>
        <v>11007.82546143035</v>
      </c>
      <c r="P982" s="25">
        <f t="shared" si="786"/>
        <v>28145.244538569641</v>
      </c>
      <c r="Q982" s="25">
        <f t="array" aca="1" ref="Q982" ca="1">INDEX('Isaac 401k'!L:L,MATCH('Retirement Calculator'!A982,'Isaac 401k'!N:N,0),0)</f>
        <v>-8792737.3439213261</v>
      </c>
      <c r="R982" s="25">
        <f t="array" aca="1" ref="R982" ca="1">INDEX('Lorri 401b'!L:L,MATCH('Retirement Calculator'!A982,'Lorri 401b'!N:N,0),0)</f>
        <v>-22050360.648194287</v>
      </c>
      <c r="S982" s="25">
        <f t="shared" ca="1" si="787"/>
        <v>-30843097.992115613</v>
      </c>
    </row>
    <row r="983" spans="1:19" ht="15.75" customHeight="1" x14ac:dyDescent="0.3">
      <c r="A983" s="37">
        <v>80872</v>
      </c>
      <c r="B983" s="409">
        <f t="shared" ref="B983:C983" si="994">($A983-B$9)/365.25</f>
        <v>139.53730321697466</v>
      </c>
      <c r="C983" s="409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3525.4531757812501</v>
      </c>
      <c r="H983" s="25">
        <f>IF(B983&lt;62,0,'Combined Retirement'!$I$14)</f>
        <v>2192</v>
      </c>
      <c r="I983" s="25">
        <f>IF(C983&lt;62,0,'Combined Retirement'!$I$13)</f>
        <v>2420</v>
      </c>
      <c r="J983" s="25">
        <f t="shared" si="783"/>
        <v>7863.2184191855868</v>
      </c>
      <c r="K983" s="25">
        <f t="shared" si="784"/>
        <v>20282.026119384056</v>
      </c>
      <c r="L983" s="25"/>
      <c r="N983" s="25">
        <f>'Combined Retirement'!$C$18/12</f>
        <v>39153.069999999992</v>
      </c>
      <c r="O983" s="25">
        <f t="shared" si="785"/>
        <v>11007.82546143035</v>
      </c>
      <c r="P983" s="25">
        <f t="shared" si="786"/>
        <v>28145.244538569641</v>
      </c>
      <c r="Q983" s="25">
        <f t="array" aca="1" ref="Q983" ca="1">INDEX('Isaac 401k'!L:L,MATCH('Retirement Calculator'!A983,'Isaac 401k'!N:N,0),0)</f>
        <v>-8837269.7313502636</v>
      </c>
      <c r="R983" s="25">
        <f t="array" aca="1" ref="R983" ca="1">INDEX('Lorri 401b'!L:L,MATCH('Retirement Calculator'!A983,'Lorri 401b'!N:N,0),0)</f>
        <v>-22162603.685456645</v>
      </c>
      <c r="S983" s="25">
        <f t="shared" ca="1" si="787"/>
        <v>-30999873.416806906</v>
      </c>
    </row>
    <row r="984" spans="1:19" ht="15.75" customHeight="1" x14ac:dyDescent="0.3">
      <c r="A984" s="37">
        <v>80902</v>
      </c>
      <c r="B984" s="409">
        <f t="shared" ref="B984:C984" si="995">($A984-B$9)/365.25</f>
        <v>139.61943874058863</v>
      </c>
      <c r="C984" s="409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3525.4531757812501</v>
      </c>
      <c r="H984" s="25">
        <f>IF(B984&lt;62,0,'Combined Retirement'!$I$14)</f>
        <v>2192</v>
      </c>
      <c r="I984" s="25">
        <f>IF(C984&lt;62,0,'Combined Retirement'!$I$13)</f>
        <v>2420</v>
      </c>
      <c r="J984" s="25">
        <f t="shared" si="783"/>
        <v>7863.2184191855868</v>
      </c>
      <c r="K984" s="25">
        <f t="shared" si="784"/>
        <v>20282.026119384056</v>
      </c>
      <c r="L984" s="25"/>
      <c r="N984" s="25">
        <f>'Combined Retirement'!$C$18/12</f>
        <v>39153.069999999992</v>
      </c>
      <c r="O984" s="25">
        <f t="shared" si="785"/>
        <v>11007.82546143035</v>
      </c>
      <c r="P984" s="25">
        <f t="shared" si="786"/>
        <v>28145.244538569641</v>
      </c>
      <c r="Q984" s="25">
        <f t="array" aca="1" ref="Q984" ca="1">INDEX('Isaac 401k'!L:L,MATCH('Retirement Calculator'!A984,'Isaac 401k'!N:N,0),0)</f>
        <v>-8881987.6703934874</v>
      </c>
      <c r="R984" s="25">
        <f t="array" aca="1" ref="R984" ca="1">INDEX('Lorri 401b'!L:L,MATCH('Retirement Calculator'!A984,'Lorri 401b'!N:N,0),0)</f>
        <v>-22275314.402040929</v>
      </c>
      <c r="S984" s="25">
        <f t="shared" ca="1" si="787"/>
        <v>-31157302.072434418</v>
      </c>
    </row>
    <row r="985" spans="1:19" ht="15.75" customHeight="1" x14ac:dyDescent="0.3">
      <c r="A985" s="37">
        <v>80933</v>
      </c>
      <c r="B985" s="409">
        <f t="shared" ref="B985:C985" si="996">($A985-B$9)/365.25</f>
        <v>139.70431211498973</v>
      </c>
      <c r="C985" s="409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3525.4531757812501</v>
      </c>
      <c r="H985" s="25">
        <f>IF(B985&lt;62,0,'Combined Retirement'!$I$14)</f>
        <v>2192</v>
      </c>
      <c r="I985" s="25">
        <f>IF(C985&lt;62,0,'Combined Retirement'!$I$13)</f>
        <v>2420</v>
      </c>
      <c r="J985" s="25">
        <f t="shared" si="783"/>
        <v>7863.2184191855868</v>
      </c>
      <c r="K985" s="25">
        <f t="shared" si="784"/>
        <v>20282.026119384056</v>
      </c>
      <c r="L985" s="25"/>
      <c r="N985" s="25">
        <f>'Combined Retirement'!$C$18/12</f>
        <v>39153.069999999992</v>
      </c>
      <c r="O985" s="25">
        <f t="shared" si="785"/>
        <v>11007.82546143035</v>
      </c>
      <c r="P985" s="25">
        <f t="shared" si="786"/>
        <v>28145.244538569641</v>
      </c>
      <c r="Q985" s="25">
        <f t="array" aca="1" ref="Q985" ca="1">INDEX('Isaac 401k'!L:L,MATCH('Retirement Calculator'!A985,'Isaac 401k'!N:N,0),0)</f>
        <v>-8926891.9341827258</v>
      </c>
      <c r="R985" s="25">
        <f t="array" aca="1" ref="R985" ca="1">INDEX('Lorri 401b'!L:L,MATCH('Retirement Calculator'!A985,'Lorri 401b'!N:N,0),0)</f>
        <v>-22388494.74661098</v>
      </c>
      <c r="S985" s="25">
        <f t="shared" ca="1" si="787"/>
        <v>-31315386.680793706</v>
      </c>
    </row>
    <row r="986" spans="1:19" ht="15.75" customHeight="1" x14ac:dyDescent="0.3">
      <c r="A986" s="37">
        <v>80964</v>
      </c>
      <c r="B986" s="409">
        <f t="shared" ref="B986:C986" si="997">($A986-B$9)/365.25</f>
        <v>139.78918548939083</v>
      </c>
      <c r="C986" s="409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3525.4531757812501</v>
      </c>
      <c r="H986" s="25">
        <f>IF(B986&lt;62,0,'Combined Retirement'!$I$14)</f>
        <v>2192</v>
      </c>
      <c r="I986" s="25">
        <f>IF(C986&lt;62,0,'Combined Retirement'!$I$13)</f>
        <v>2420</v>
      </c>
      <c r="J986" s="25">
        <f t="shared" si="783"/>
        <v>7863.2184191855868</v>
      </c>
      <c r="K986" s="25">
        <f t="shared" si="784"/>
        <v>20282.026119384056</v>
      </c>
      <c r="L986" s="25"/>
      <c r="N986" s="25">
        <f>'Combined Retirement'!$C$18/12</f>
        <v>39153.069999999992</v>
      </c>
      <c r="O986" s="25">
        <f t="shared" si="785"/>
        <v>11007.82546143035</v>
      </c>
      <c r="P986" s="25">
        <f t="shared" si="786"/>
        <v>28145.244538569641</v>
      </c>
      <c r="Q986" s="25">
        <f t="array" aca="1" ref="Q986" ca="1">INDEX('Isaac 401k'!L:L,MATCH('Retirement Calculator'!A986,'Isaac 401k'!N:N,0),0)</f>
        <v>-8971983.2990710847</v>
      </c>
      <c r="R986" s="25">
        <f t="array" aca="1" ref="R986" ca="1">INDEX('Lorri 401b'!L:L,MATCH('Retirement Calculator'!A986,'Lorri 401b'!N:N,0),0)</f>
        <v>-22502146.675950076</v>
      </c>
      <c r="S986" s="25">
        <f t="shared" ca="1" si="787"/>
        <v>-31474129.975021161</v>
      </c>
    </row>
    <row r="987" spans="1:19" ht="15.75" customHeight="1" x14ac:dyDescent="0.3">
      <c r="A987" s="37">
        <v>80994</v>
      </c>
      <c r="B987" s="409">
        <f t="shared" ref="B987:C987" si="998">($A987-B$9)/365.25</f>
        <v>139.8713210130048</v>
      </c>
      <c r="C987" s="409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3525.4531757812501</v>
      </c>
      <c r="H987" s="25">
        <f>IF(B987&lt;62,0,'Combined Retirement'!$I$14)</f>
        <v>2192</v>
      </c>
      <c r="I987" s="25">
        <f>IF(C987&lt;62,0,'Combined Retirement'!$I$13)</f>
        <v>2420</v>
      </c>
      <c r="J987" s="25">
        <f t="shared" si="783"/>
        <v>7863.2184191855868</v>
      </c>
      <c r="K987" s="25">
        <f t="shared" si="784"/>
        <v>20282.026119384056</v>
      </c>
      <c r="L987" s="25"/>
      <c r="N987" s="25">
        <f>'Combined Retirement'!$C$18/12</f>
        <v>39153.069999999992</v>
      </c>
      <c r="O987" s="25">
        <f t="shared" si="785"/>
        <v>11007.82546143035</v>
      </c>
      <c r="P987" s="25">
        <f t="shared" si="786"/>
        <v>28145.244538569641</v>
      </c>
      <c r="Q987" s="25">
        <f t="array" aca="1" ref="Q987" ca="1">INDEX('Isaac 401k'!L:L,MATCH('Retirement Calculator'!A987,'Isaac 401k'!N:N,0),0)</f>
        <v>-9017262.5446464792</v>
      </c>
      <c r="R987" s="25">
        <f t="array" aca="1" ref="R987" ca="1">INDEX('Lorri 401b'!L:L,MATCH('Retirement Calculator'!A987,'Lorri 401b'!N:N,0),0)</f>
        <v>-22616272.154994752</v>
      </c>
      <c r="S987" s="25">
        <f t="shared" ca="1" si="787"/>
        <v>-31633534.699641231</v>
      </c>
    </row>
    <row r="988" spans="1:19" ht="15.75" customHeight="1" x14ac:dyDescent="0.3">
      <c r="A988" s="37">
        <v>81025</v>
      </c>
      <c r="B988" s="409">
        <f t="shared" ref="B988:C988" si="999">($A988-B$9)/365.25</f>
        <v>139.95619438740587</v>
      </c>
      <c r="C988" s="409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3525.4531757812501</v>
      </c>
      <c r="H988" s="25">
        <f>IF(B988&lt;62,0,'Combined Retirement'!$I$14)</f>
        <v>2192</v>
      </c>
      <c r="I988" s="25">
        <f>IF(C988&lt;62,0,'Combined Retirement'!$I$13)</f>
        <v>2420</v>
      </c>
      <c r="J988" s="25">
        <f t="shared" si="783"/>
        <v>7863.2184191855868</v>
      </c>
      <c r="K988" s="25">
        <f t="shared" si="784"/>
        <v>20282.026119384056</v>
      </c>
      <c r="L988" s="25"/>
      <c r="N988" s="25">
        <f>'Combined Retirement'!$C$18/12</f>
        <v>39153.069999999992</v>
      </c>
      <c r="O988" s="25">
        <f t="shared" si="785"/>
        <v>11007.82546143035</v>
      </c>
      <c r="P988" s="25">
        <f t="shared" si="786"/>
        <v>28145.244538569641</v>
      </c>
      <c r="Q988" s="25">
        <f t="array" aca="1" ref="Q988" ca="1">INDEX('Isaac 401k'!L:L,MATCH('Retirement Calculator'!A988,'Isaac 401k'!N:N,0),0)</f>
        <v>-9062730.4537451044</v>
      </c>
      <c r="R988" s="25">
        <f t="array" aca="1" ref="R988" ca="1">INDEX('Lorri 401b'!L:L,MATCH('Retirement Calculator'!A988,'Lorri 401b'!N:N,0),0)</f>
        <v>-22730873.156868778</v>
      </c>
      <c r="S988" s="25">
        <f t="shared" ca="1" si="787"/>
        <v>-31793603.610613883</v>
      </c>
    </row>
    <row r="989" spans="1:19" ht="15.75" customHeight="1" x14ac:dyDescent="0.3">
      <c r="A989" s="37">
        <v>81055</v>
      </c>
      <c r="B989" s="409">
        <f t="shared" ref="B989:C989" si="1000">($A989-B$9)/365.25</f>
        <v>140.03832991101984</v>
      </c>
      <c r="C989" s="409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3525.4531757812501</v>
      </c>
      <c r="H989" s="25">
        <f>IF(B989&lt;62,0,'Combined Retirement'!$I$14)</f>
        <v>2192</v>
      </c>
      <c r="I989" s="25">
        <f>IF(C989&lt;62,0,'Combined Retirement'!$I$13)</f>
        <v>2420</v>
      </c>
      <c r="J989" s="25">
        <f t="shared" si="783"/>
        <v>7863.2184191855868</v>
      </c>
      <c r="K989" s="25">
        <f t="shared" si="784"/>
        <v>20282.026119384056</v>
      </c>
      <c r="L989" s="25"/>
      <c r="N989" s="25">
        <f>'Combined Retirement'!$C$18/12</f>
        <v>39153.069999999992</v>
      </c>
      <c r="O989" s="25">
        <f t="shared" si="785"/>
        <v>11007.82546143035</v>
      </c>
      <c r="P989" s="25">
        <f t="shared" si="786"/>
        <v>28145.244538569641</v>
      </c>
      <c r="Q989" s="25">
        <f t="array" aca="1" ref="Q989" ca="1">INDEX('Isaac 401k'!L:L,MATCH('Retirement Calculator'!A989,'Isaac 401k'!N:N,0),0)</f>
        <v>-9108387.812464973</v>
      </c>
      <c r="R989" s="25">
        <f t="array" aca="1" ref="R989" ca="1">INDEX('Lorri 401b'!L:L,MATCH('Retirement Calculator'!A989,'Lorri 401b'!N:N,0),0)</f>
        <v>-22845951.662917279</v>
      </c>
      <c r="S989" s="25">
        <f t="shared" ca="1" si="787"/>
        <v>-31954339.475382254</v>
      </c>
    </row>
    <row r="990" spans="1:19" ht="15.75" customHeight="1" x14ac:dyDescent="0.3">
      <c r="A990" s="37">
        <v>81086</v>
      </c>
      <c r="B990" s="409">
        <f t="shared" ref="B990:C990" si="1001">($A990-B$9)/365.25</f>
        <v>140.12320328542094</v>
      </c>
      <c r="C990" s="409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3525.4531757812501</v>
      </c>
      <c r="H990" s="25">
        <f>IF(B990&lt;62,0,'Combined Retirement'!$I$14)</f>
        <v>2192</v>
      </c>
      <c r="I990" s="25">
        <f>IF(C990&lt;62,0,'Combined Retirement'!$I$13)</f>
        <v>2420</v>
      </c>
      <c r="J990" s="25">
        <f t="shared" si="783"/>
        <v>7863.2184191855868</v>
      </c>
      <c r="K990" s="25">
        <f t="shared" si="784"/>
        <v>20282.026119384056</v>
      </c>
      <c r="L990" s="25"/>
      <c r="N990" s="25">
        <f>'Combined Retirement'!$C$18/12</f>
        <v>39153.069999999992</v>
      </c>
      <c r="O990" s="25">
        <f t="shared" si="785"/>
        <v>11007.82546143035</v>
      </c>
      <c r="P990" s="25">
        <f t="shared" si="786"/>
        <v>28145.244538569641</v>
      </c>
      <c r="Q990" s="25">
        <f t="array" aca="1" ref="Q990" ca="1">INDEX('Isaac 401k'!L:L,MATCH('Retirement Calculator'!A990,'Isaac 401k'!N:N,0),0)</f>
        <v>-9154235.4101795088</v>
      </c>
      <c r="R990" s="25">
        <f t="array" aca="1" ref="R990" ca="1">INDEX('Lorri 401b'!L:L,MATCH('Retirement Calculator'!A990,'Lorri 401b'!N:N,0),0)</f>
        <v>-22961509.662740983</v>
      </c>
      <c r="S990" s="25">
        <f t="shared" ca="1" si="787"/>
        <v>-32115745.072920494</v>
      </c>
    </row>
    <row r="991" spans="1:19" ht="15.75" customHeight="1" x14ac:dyDescent="0.3">
      <c r="A991" s="37">
        <v>81117</v>
      </c>
      <c r="B991" s="409">
        <f t="shared" ref="B991:C991" si="1002">($A991-B$9)/365.25</f>
        <v>140.20807665982204</v>
      </c>
      <c r="C991" s="409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3525.4531757812501</v>
      </c>
      <c r="H991" s="25">
        <f>IF(B991&lt;62,0,'Combined Retirement'!$I$14)</f>
        <v>2192</v>
      </c>
      <c r="I991" s="25">
        <f>IF(C991&lt;62,0,'Combined Retirement'!$I$13)</f>
        <v>2420</v>
      </c>
      <c r="J991" s="25">
        <f t="shared" si="783"/>
        <v>7863.2184191855868</v>
      </c>
      <c r="K991" s="25">
        <f t="shared" si="784"/>
        <v>20282.026119384056</v>
      </c>
      <c r="L991" s="25"/>
      <c r="N991" s="25">
        <f>'Combined Retirement'!$C$18/12</f>
        <v>39153.069999999992</v>
      </c>
      <c r="O991" s="25">
        <f t="shared" si="785"/>
        <v>11007.82546143035</v>
      </c>
      <c r="P991" s="25">
        <f t="shared" si="786"/>
        <v>28145.244538569641</v>
      </c>
      <c r="Q991" s="25">
        <f t="array" aca="1" ref="Q991" ca="1">INDEX('Isaac 401k'!L:L,MATCH('Retirement Calculator'!A991,'Isaac 401k'!N:N,0),0)</f>
        <v>-9200274.0395511892</v>
      </c>
      <c r="R991" s="25">
        <f t="array" aca="1" ref="R991" ca="1">INDEX('Lorri 401b'!L:L,MATCH('Retirement Calculator'!A991,'Lorri 401b'!N:N,0),0)</f>
        <v>-23077549.154230621</v>
      </c>
      <c r="S991" s="25">
        <f t="shared" ca="1" si="787"/>
        <v>-32277823.193781808</v>
      </c>
    </row>
    <row r="992" spans="1:19" ht="15.75" customHeight="1" x14ac:dyDescent="0.3">
      <c r="A992" s="37">
        <v>81145</v>
      </c>
      <c r="B992" s="409">
        <f t="shared" ref="B992:C992" si="1003">($A992-B$9)/365.25</f>
        <v>140.28473648186173</v>
      </c>
      <c r="C992" s="409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3525.4531757812501</v>
      </c>
      <c r="H992" s="25">
        <f>IF(B992&lt;62,0,'Combined Retirement'!$I$14)</f>
        <v>2192</v>
      </c>
      <c r="I992" s="25">
        <f>IF(C992&lt;62,0,'Combined Retirement'!$I$13)</f>
        <v>2420</v>
      </c>
      <c r="J992" s="25">
        <f t="shared" si="783"/>
        <v>7863.2184191855868</v>
      </c>
      <c r="K992" s="25">
        <f t="shared" si="784"/>
        <v>20282.026119384056</v>
      </c>
      <c r="L992" s="25"/>
      <c r="N992" s="25">
        <f>'Combined Retirement'!$C$18/12</f>
        <v>39153.069999999992</v>
      </c>
      <c r="O992" s="25">
        <f t="shared" si="785"/>
        <v>11007.82546143035</v>
      </c>
      <c r="P992" s="25">
        <f t="shared" si="786"/>
        <v>28145.244538569641</v>
      </c>
      <c r="Q992" s="25">
        <f t="array" aca="1" ref="Q992" ca="1">INDEX('Isaac 401k'!L:L,MATCH('Retirement Calculator'!A992,'Isaac 401k'!N:N,0),0)</f>
        <v>-9246504.4965452515</v>
      </c>
      <c r="R992" s="25">
        <f t="array" aca="1" ref="R992" ca="1">INDEX('Lorri 401b'!L:L,MATCH('Retirement Calculator'!A992,'Lorri 401b'!N:N,0),0)</f>
        <v>-23194072.143601462</v>
      </c>
      <c r="S992" s="25">
        <f t="shared" ca="1" si="787"/>
        <v>-32440576.640146714</v>
      </c>
    </row>
    <row r="993" spans="1:19" ht="15.75" customHeight="1" x14ac:dyDescent="0.3">
      <c r="A993" s="37">
        <v>81176</v>
      </c>
      <c r="B993" s="409">
        <f t="shared" ref="B993:C993" si="1004">($A993-B$9)/365.25</f>
        <v>140.36960985626283</v>
      </c>
      <c r="C993" s="409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3525.4531757812501</v>
      </c>
      <c r="H993" s="25">
        <f>IF(B993&lt;62,0,'Combined Retirement'!$I$14)</f>
        <v>2192</v>
      </c>
      <c r="I993" s="25">
        <f>IF(C993&lt;62,0,'Combined Retirement'!$I$13)</f>
        <v>2420</v>
      </c>
      <c r="J993" s="25">
        <f t="shared" si="783"/>
        <v>7863.2184191855868</v>
      </c>
      <c r="K993" s="25">
        <f t="shared" si="784"/>
        <v>20282.026119384056</v>
      </c>
      <c r="L993" s="25"/>
      <c r="N993" s="25">
        <f>'Combined Retirement'!$C$18/12</f>
        <v>39153.069999999992</v>
      </c>
      <c r="O993" s="25">
        <f t="shared" si="785"/>
        <v>11007.82546143035</v>
      </c>
      <c r="P993" s="25">
        <f t="shared" si="786"/>
        <v>28145.244538569641</v>
      </c>
      <c r="Q993" s="25">
        <f t="array" aca="1" ref="Q993" ca="1">INDEX('Isaac 401k'!L:L,MATCH('Retirement Calculator'!A993,'Isaac 401k'!N:N,0),0)</f>
        <v>-9292927.5804434549</v>
      </c>
      <c r="R993" s="25">
        <f t="array" aca="1" ref="R993" ca="1">INDEX('Lorri 401b'!L:L,MATCH('Retirement Calculator'!A993,'Lorri 401b'!N:N,0),0)</f>
        <v>-23311080.645428017</v>
      </c>
      <c r="S993" s="25">
        <f t="shared" ca="1" si="787"/>
        <v>-32604008.225871474</v>
      </c>
    </row>
    <row r="994" spans="1:19" ht="15.75" customHeight="1" x14ac:dyDescent="0.3">
      <c r="A994" s="37">
        <v>81206</v>
      </c>
      <c r="B994" s="409">
        <f t="shared" ref="B994:C994" si="1005">($A994-B$9)/365.25</f>
        <v>140.4517453798768</v>
      </c>
      <c r="C994" s="409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3525.4531757812501</v>
      </c>
      <c r="H994" s="25">
        <f>IF(B994&lt;62,0,'Combined Retirement'!$I$14)</f>
        <v>2192</v>
      </c>
      <c r="I994" s="25">
        <f>IF(C994&lt;62,0,'Combined Retirement'!$I$13)</f>
        <v>2420</v>
      </c>
      <c r="J994" s="25">
        <f t="shared" si="783"/>
        <v>7863.2184191855868</v>
      </c>
      <c r="K994" s="25">
        <f t="shared" si="784"/>
        <v>20282.026119384056</v>
      </c>
      <c r="L994" s="25"/>
      <c r="N994" s="25">
        <f>'Combined Retirement'!$C$18/12</f>
        <v>39153.069999999992</v>
      </c>
      <c r="O994" s="25">
        <f t="shared" si="785"/>
        <v>11007.82546143035</v>
      </c>
      <c r="P994" s="25">
        <f t="shared" si="786"/>
        <v>28145.244538569641</v>
      </c>
      <c r="Q994" s="25">
        <f t="array" aca="1" ref="Q994" ca="1">INDEX('Isaac 401k'!L:L,MATCH('Retirement Calculator'!A994,'Isaac 401k'!N:N,0),0)</f>
        <v>-9339544.0938579012</v>
      </c>
      <c r="R994" s="25">
        <f t="array" aca="1" ref="R994" ca="1">INDEX('Lorri 401b'!L:L,MATCH('Retirement Calculator'!A994,'Lorri 401b'!N:N,0),0)</f>
        <v>-23428576.682678849</v>
      </c>
      <c r="S994" s="25">
        <f t="shared" ca="1" si="787"/>
        <v>-32768120.776536748</v>
      </c>
    </row>
    <row r="995" spans="1:19" ht="15.75" customHeight="1" x14ac:dyDescent="0.3">
      <c r="A995" s="37">
        <v>81237</v>
      </c>
      <c r="B995" s="409">
        <f t="shared" ref="B995:C995" si="1006">($A995-B$9)/365.25</f>
        <v>140.5366187542779</v>
      </c>
      <c r="C995" s="409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3525.4531757812501</v>
      </c>
      <c r="H995" s="25">
        <f>IF(B995&lt;62,0,'Combined Retirement'!$I$14)</f>
        <v>2192</v>
      </c>
      <c r="I995" s="25">
        <f>IF(C995&lt;62,0,'Combined Retirement'!$I$13)</f>
        <v>2420</v>
      </c>
      <c r="J995" s="25">
        <f t="shared" si="783"/>
        <v>7863.2184191855868</v>
      </c>
      <c r="K995" s="25">
        <f t="shared" si="784"/>
        <v>20282.026119384056</v>
      </c>
      <c r="L995" s="25"/>
      <c r="N995" s="25">
        <f>'Combined Retirement'!$C$18/12</f>
        <v>39153.069999999992</v>
      </c>
      <c r="O995" s="25">
        <f t="shared" si="785"/>
        <v>11007.82546143035</v>
      </c>
      <c r="P995" s="25">
        <f t="shared" si="786"/>
        <v>28145.244538569641</v>
      </c>
      <c r="Q995" s="25">
        <f t="array" aca="1" ref="Q995" ca="1">INDEX('Isaac 401k'!L:L,MATCH('Retirement Calculator'!A995,'Isaac 401k'!N:N,0),0)</f>
        <v>-9386354.8427449074</v>
      </c>
      <c r="R995" s="25">
        <f t="array" aca="1" ref="R995" ca="1">INDEX('Lorri 401b'!L:L,MATCH('Retirement Calculator'!A995,'Lorri 401b'!N:N,0),0)</f>
        <v>-23546562.286751561</v>
      </c>
      <c r="S995" s="25">
        <f t="shared" ca="1" si="787"/>
        <v>-32932917.12949647</v>
      </c>
    </row>
    <row r="996" spans="1:19" ht="15.75" customHeight="1" x14ac:dyDescent="0.3">
      <c r="A996" s="37">
        <v>81267</v>
      </c>
      <c r="B996" s="409">
        <f t="shared" ref="B996:C996" si="1007">($A996-B$9)/365.25</f>
        <v>140.61875427789187</v>
      </c>
      <c r="C996" s="409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3525.4531757812501</v>
      </c>
      <c r="H996" s="25">
        <f>IF(B996&lt;62,0,'Combined Retirement'!$I$14)</f>
        <v>2192</v>
      </c>
      <c r="I996" s="25">
        <f>IF(C996&lt;62,0,'Combined Retirement'!$I$13)</f>
        <v>2420</v>
      </c>
      <c r="J996" s="25">
        <f t="shared" si="783"/>
        <v>7863.2184191855868</v>
      </c>
      <c r="K996" s="25">
        <f t="shared" si="784"/>
        <v>20282.026119384056</v>
      </c>
      <c r="L996" s="25"/>
      <c r="N996" s="25">
        <f>'Combined Retirement'!$C$18/12</f>
        <v>39153.069999999992</v>
      </c>
      <c r="O996" s="25">
        <f t="shared" si="785"/>
        <v>11007.82546143035</v>
      </c>
      <c r="P996" s="25">
        <f t="shared" si="786"/>
        <v>28145.244538569641</v>
      </c>
      <c r="Q996" s="25">
        <f t="array" aca="1" ref="Q996" ca="1">INDEX('Isaac 401k'!L:L,MATCH('Retirement Calculator'!A996,'Isaac 401k'!N:N,0),0)</f>
        <v>-9433360.6364189424</v>
      </c>
      <c r="R996" s="25">
        <f t="array" aca="1" ref="R996" ca="1">INDEX('Lorri 401b'!L:L,MATCH('Retirement Calculator'!A996,'Lorri 401b'!N:N,0),0)</f>
        <v>-23665039.497507907</v>
      </c>
      <c r="S996" s="25">
        <f t="shared" ca="1" si="787"/>
        <v>-33098400.13392685</v>
      </c>
    </row>
    <row r="997" spans="1:19" ht="15.75" customHeight="1" x14ac:dyDescent="0.3">
      <c r="A997" s="37">
        <v>81298</v>
      </c>
      <c r="B997" s="409">
        <f t="shared" ref="B997:C997" si="1008">($A997-B$9)/365.25</f>
        <v>140.70362765229294</v>
      </c>
      <c r="C997" s="409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3525.4531757812501</v>
      </c>
      <c r="H997" s="25">
        <f>IF(B997&lt;62,0,'Combined Retirement'!$I$14)</f>
        <v>2192</v>
      </c>
      <c r="I997" s="25">
        <f>IF(C997&lt;62,0,'Combined Retirement'!$I$13)</f>
        <v>2420</v>
      </c>
      <c r="J997" s="25">
        <f t="shared" si="783"/>
        <v>7863.2184191855868</v>
      </c>
      <c r="K997" s="25">
        <f t="shared" si="784"/>
        <v>20282.026119384056</v>
      </c>
      <c r="L997" s="25"/>
      <c r="N997" s="25">
        <f>'Combined Retirement'!$C$18/12</f>
        <v>39153.069999999992</v>
      </c>
      <c r="O997" s="25">
        <f t="shared" si="785"/>
        <v>11007.82546143035</v>
      </c>
      <c r="P997" s="25">
        <f t="shared" si="786"/>
        <v>28145.244538569641</v>
      </c>
      <c r="Q997" s="25">
        <f t="array" aca="1" ref="Q997" ca="1">INDEX('Isaac 401k'!L:L,MATCH('Retirement Calculator'!A997,'Isaac 401k'!N:N,0),0)</f>
        <v>-9480562.287566619</v>
      </c>
      <c r="R997" s="25">
        <f t="array" aca="1" ref="R997" ca="1">INDEX('Lorri 401b'!L:L,MATCH('Retirement Calculator'!A997,'Lorri 401b'!N:N,0),0)</f>
        <v>-23784010.363309074</v>
      </c>
      <c r="S997" s="25">
        <f t="shared" ca="1" si="787"/>
        <v>-33264572.650875695</v>
      </c>
    </row>
    <row r="998" spans="1:19" ht="15.75" customHeight="1" x14ac:dyDescent="0.3">
      <c r="A998" s="37">
        <v>81329</v>
      </c>
      <c r="B998" s="409">
        <f t="shared" ref="B998:C998" si="1009">($A998-B$9)/365.25</f>
        <v>140.78850102669404</v>
      </c>
      <c r="C998" s="409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3525.4531757812501</v>
      </c>
      <c r="H998" s="25">
        <f>IF(B998&lt;62,0,'Combined Retirement'!$I$14)</f>
        <v>2192</v>
      </c>
      <c r="I998" s="25">
        <f>IF(C998&lt;62,0,'Combined Retirement'!$I$13)</f>
        <v>2420</v>
      </c>
      <c r="J998" s="25">
        <f t="shared" si="783"/>
        <v>7863.2184191855868</v>
      </c>
      <c r="K998" s="25">
        <f t="shared" si="784"/>
        <v>20282.026119384056</v>
      </c>
      <c r="L998" s="25"/>
      <c r="N998" s="25">
        <f>'Combined Retirement'!$C$18/12</f>
        <v>39153.069999999992</v>
      </c>
      <c r="O998" s="25">
        <f t="shared" si="785"/>
        <v>11007.82546143035</v>
      </c>
      <c r="P998" s="25">
        <f t="shared" si="786"/>
        <v>28145.244538569641</v>
      </c>
      <c r="Q998" s="25">
        <f t="array" aca="1" ref="Q998" ca="1">INDEX('Isaac 401k'!L:L,MATCH('Retirement Calculator'!A998,'Isaac 401k'!N:N,0),0)</f>
        <v>-9527960.612260744</v>
      </c>
      <c r="R998" s="25">
        <f t="array" aca="1" ref="R998" ca="1">INDEX('Lorri 401b'!L:L,MATCH('Retirement Calculator'!A998,'Lorri 401b'!N:N,0),0)</f>
        <v>-23903476.941051077</v>
      </c>
      <c r="S998" s="25">
        <f t="shared" ca="1" si="787"/>
        <v>-33431437.553311821</v>
      </c>
    </row>
    <row r="999" spans="1:19" ht="15.75" customHeight="1" x14ac:dyDescent="0.3">
      <c r="A999" s="37">
        <v>81359</v>
      </c>
      <c r="B999" s="409">
        <f t="shared" ref="B999:C999" si="1010">($A999-B$9)/365.25</f>
        <v>140.87063655030801</v>
      </c>
      <c r="C999" s="409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3525.4531757812501</v>
      </c>
      <c r="H999" s="25">
        <f>IF(B999&lt;62,0,'Combined Retirement'!$I$14)</f>
        <v>2192</v>
      </c>
      <c r="I999" s="25">
        <f>IF(C999&lt;62,0,'Combined Retirement'!$I$13)</f>
        <v>2420</v>
      </c>
      <c r="J999" s="25">
        <f t="shared" si="783"/>
        <v>7863.2184191855868</v>
      </c>
      <c r="K999" s="25">
        <f t="shared" si="784"/>
        <v>20282.026119384056</v>
      </c>
      <c r="L999" s="25"/>
      <c r="N999" s="25">
        <f>'Combined Retirement'!$C$18/12</f>
        <v>39153.069999999992</v>
      </c>
      <c r="O999" s="25">
        <f t="shared" si="785"/>
        <v>11007.82546143035</v>
      </c>
      <c r="P999" s="25">
        <f t="shared" si="786"/>
        <v>28145.244538569641</v>
      </c>
      <c r="Q999" s="25">
        <f t="array" aca="1" ref="Q999" ca="1">INDEX('Isaac 401k'!L:L,MATCH('Retirement Calculator'!A999,'Isaac 401k'!N:N,0),0)</f>
        <v>-9575556.4299744293</v>
      </c>
      <c r="R999" s="25">
        <f t="array" aca="1" ref="R999" ca="1">INDEX('Lorri 401b'!L:L,MATCH('Retirement Calculator'!A999,'Lorri 401b'!N:N,0),0)</f>
        <v>-24023441.296200339</v>
      </c>
      <c r="S999" s="25">
        <f t="shared" ca="1" si="787"/>
        <v>-33598997.726174772</v>
      </c>
    </row>
    <row r="1000" spans="1:19" ht="15.75" customHeight="1" x14ac:dyDescent="0.3">
      <c r="A1000" s="37">
        <v>81390</v>
      </c>
      <c r="B1000" s="409">
        <f t="shared" ref="B1000:C1000" si="1011">($A1000-B$9)/365.25</f>
        <v>140.95550992470911</v>
      </c>
      <c r="C1000" s="409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3525.4531757812501</v>
      </c>
      <c r="H1000" s="25">
        <f>IF(B1000&lt;62,0,'Combined Retirement'!$I$14)</f>
        <v>2192</v>
      </c>
      <c r="I1000" s="25">
        <f>IF(C1000&lt;62,0,'Combined Retirement'!$I$13)</f>
        <v>2420</v>
      </c>
      <c r="J1000" s="25">
        <f t="shared" si="783"/>
        <v>7863.2184191855868</v>
      </c>
      <c r="K1000" s="25">
        <f t="shared" si="784"/>
        <v>20282.026119384056</v>
      </c>
      <c r="L1000" s="25"/>
      <c r="N1000" s="25">
        <f>'Combined Retirement'!$C$18/12</f>
        <v>39153.069999999992</v>
      </c>
      <c r="O1000" s="25">
        <f t="shared" si="785"/>
        <v>11007.82546143035</v>
      </c>
      <c r="P1000" s="25">
        <f t="shared" si="786"/>
        <v>28145.244538569641</v>
      </c>
      <c r="Q1000" s="25">
        <f t="array" aca="1" ref="Q1000" ca="1">INDEX('Isaac 401k'!L:L,MATCH('Retirement Calculator'!A1000,'Isaac 401k'!N:N,0),0)</f>
        <v>-9623350.563595254</v>
      </c>
      <c r="R1000" s="25">
        <f t="array" aca="1" ref="R1000" ca="1">INDEX('Lorri 401b'!L:L,MATCH('Retirement Calculator'!A1000,'Lorri 401b'!N:N,0),0)</f>
        <v>-24143905.502829388</v>
      </c>
      <c r="S1000" s="25">
        <f t="shared" ca="1" si="787"/>
        <v>-33767256.066424638</v>
      </c>
    </row>
    <row r="1001" spans="1:19" ht="15.75" customHeight="1" x14ac:dyDescent="0.3">
      <c r="A1001" s="37">
        <v>81420</v>
      </c>
      <c r="B1001" s="409">
        <f t="shared" ref="B1001:C1001" si="1012">($A1001-B$9)/365.25</f>
        <v>141.03764544832308</v>
      </c>
      <c r="C1001" s="409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3525.4531757812501</v>
      </c>
      <c r="H1001" s="25">
        <f>IF(B1001&lt;62,0,'Combined Retirement'!$I$14)</f>
        <v>2192</v>
      </c>
      <c r="I1001" s="25">
        <f>IF(C1001&lt;62,0,'Combined Retirement'!$I$13)</f>
        <v>2420</v>
      </c>
      <c r="J1001" s="25">
        <f t="shared" si="783"/>
        <v>7863.2184191855868</v>
      </c>
      <c r="K1001" s="25">
        <f t="shared" si="784"/>
        <v>20282.026119384056</v>
      </c>
      <c r="L1001" s="25"/>
      <c r="N1001" s="25">
        <f>'Combined Retirement'!$C$18/12</f>
        <v>39153.069999999992</v>
      </c>
      <c r="O1001" s="25">
        <f t="shared" si="785"/>
        <v>11007.82546143035</v>
      </c>
      <c r="P1001" s="25">
        <f t="shared" si="786"/>
        <v>28145.244538569641</v>
      </c>
      <c r="Q1001" s="25">
        <f t="array" aca="1" ref="Q1001" ca="1">INDEX('Isaac 401k'!L:L,MATCH('Retirement Calculator'!A1001,'Isaac 401k'!N:N,0),0)</f>
        <v>-9671343.8394394983</v>
      </c>
      <c r="R1001" s="25">
        <f t="array" aca="1" ref="R1001" ca="1">INDEX('Lorri 401b'!L:L,MATCH('Retirement Calculator'!A1001,'Lorri 401b'!N:N,0),0)</f>
        <v>-24264871.643652726</v>
      </c>
      <c r="S1001" s="25">
        <f t="shared" ca="1" si="787"/>
        <v>-33936215.483092226</v>
      </c>
    </row>
    <row r="1002" spans="1:19" ht="15.75" customHeight="1" x14ac:dyDescent="0.3">
      <c r="A1002" s="37">
        <v>81451</v>
      </c>
      <c r="B1002" s="409">
        <f t="shared" ref="B1002:C1002" si="1013">($A1002-B$9)/365.25</f>
        <v>141.12251882272417</v>
      </c>
      <c r="C1002" s="409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3525.4531757812501</v>
      </c>
      <c r="H1002" s="25">
        <f>IF(B1002&lt;62,0,'Combined Retirement'!$I$14)</f>
        <v>2192</v>
      </c>
      <c r="I1002" s="25">
        <f>IF(C1002&lt;62,0,'Combined Retirement'!$I$13)</f>
        <v>2420</v>
      </c>
      <c r="J1002" s="25">
        <f t="shared" si="783"/>
        <v>7863.2184191855868</v>
      </c>
      <c r="K1002" s="25">
        <f t="shared" si="784"/>
        <v>20282.026119384056</v>
      </c>
      <c r="L1002" s="25"/>
      <c r="N1002" s="25">
        <f>'Combined Retirement'!$C$18/12</f>
        <v>39153.069999999992</v>
      </c>
      <c r="O1002" s="25">
        <f t="shared" si="785"/>
        <v>11007.82546143035</v>
      </c>
      <c r="P1002" s="25">
        <f t="shared" si="786"/>
        <v>28145.244538569641</v>
      </c>
      <c r="Q1002" s="25">
        <f t="array" aca="1" ref="Q1002" ca="1">INDEX('Isaac 401k'!L:L,MATCH('Retirement Calculator'!A1002,'Isaac 401k'!N:N,0),0)</f>
        <v>-9719537.0872664284</v>
      </c>
      <c r="R1002" s="25">
        <f t="array" aca="1" ref="R1002" ca="1">INDEX('Lorri 401b'!L:L,MATCH('Retirement Calculator'!A1002,'Lorri 401b'!N:N,0),0)</f>
        <v>-24386341.810062829</v>
      </c>
      <c r="S1002" s="25">
        <f t="shared" ca="1" si="787"/>
        <v>-34105878.897329256</v>
      </c>
    </row>
    <row r="1003" spans="1:19" ht="15.75" customHeight="1" x14ac:dyDescent="0.3">
      <c r="A1003" s="37">
        <v>81482</v>
      </c>
      <c r="B1003" s="409">
        <f t="shared" ref="B1003:C1003" si="1014">($A1003-B$9)/365.25</f>
        <v>141.20739219712524</v>
      </c>
      <c r="C1003" s="409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3525.4531757812501</v>
      </c>
      <c r="H1003" s="25">
        <f>IF(B1003&lt;62,0,'Combined Retirement'!$I$14)</f>
        <v>2192</v>
      </c>
      <c r="I1003" s="25">
        <f>IF(C1003&lt;62,0,'Combined Retirement'!$I$13)</f>
        <v>2420</v>
      </c>
      <c r="J1003" s="25">
        <f t="shared" si="783"/>
        <v>7863.2184191855868</v>
      </c>
      <c r="K1003" s="25">
        <f t="shared" si="784"/>
        <v>20282.026119384056</v>
      </c>
      <c r="L1003" s="25"/>
      <c r="N1003" s="25">
        <f>'Combined Retirement'!$C$18/12</f>
        <v>39153.069999999992</v>
      </c>
      <c r="O1003" s="25">
        <f t="shared" si="785"/>
        <v>11007.82546143035</v>
      </c>
      <c r="P1003" s="25">
        <f t="shared" si="786"/>
        <v>28145.244538569641</v>
      </c>
      <c r="Q1003" s="25">
        <f t="array" aca="1" ref="Q1003" ca="1">INDEX('Isaac 401k'!L:L,MATCH('Retirement Calculator'!A1003,'Isaac 401k'!N:N,0),0)</f>
        <v>-9767931.1402926371</v>
      </c>
      <c r="R1003" s="25">
        <f t="array" aca="1" ref="R1003" ca="1">INDEX('Lorri 401b'!L:L,MATCH('Retirement Calculator'!A1003,'Lorri 401b'!N:N,0),0)</f>
        <v>-24508318.102166306</v>
      </c>
      <c r="S1003" s="25">
        <f t="shared" ca="1" si="787"/>
        <v>-34276249.24245894</v>
      </c>
    </row>
    <row r="1004" spans="1:19" ht="15.75" customHeight="1" x14ac:dyDescent="0.3">
      <c r="A1004" s="37">
        <v>81510</v>
      </c>
      <c r="B1004" s="409">
        <f t="shared" ref="B1004:C1004" si="1015">($A1004-B$9)/365.25</f>
        <v>141.28405201916496</v>
      </c>
      <c r="C1004" s="409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3525.4531757812501</v>
      </c>
      <c r="H1004" s="25">
        <f>IF(B1004&lt;62,0,'Combined Retirement'!$I$14)</f>
        <v>2192</v>
      </c>
      <c r="I1004" s="25">
        <f>IF(C1004&lt;62,0,'Combined Retirement'!$I$13)</f>
        <v>2420</v>
      </c>
      <c r="J1004" s="25">
        <f t="shared" si="783"/>
        <v>7863.2184191855868</v>
      </c>
      <c r="K1004" s="25">
        <f t="shared" si="784"/>
        <v>20282.026119384056</v>
      </c>
      <c r="L1004" s="25"/>
      <c r="N1004" s="25">
        <f>'Combined Retirement'!$C$18/12</f>
        <v>39153.069999999992</v>
      </c>
      <c r="O1004" s="25">
        <f t="shared" si="785"/>
        <v>11007.82546143035</v>
      </c>
      <c r="P1004" s="25">
        <f t="shared" si="786"/>
        <v>28145.244538569641</v>
      </c>
      <c r="Q1004" s="25">
        <f t="array" aca="1" ref="Q1004" ca="1">INDEX('Isaac 401k'!L:L,MATCH('Retirement Calculator'!A1004,'Isaac 401k'!N:N,0),0)</f>
        <v>-9816526.8352064546</v>
      </c>
      <c r="R1004" s="25">
        <f t="array" aca="1" ref="R1004" ca="1">INDEX('Lorri 401b'!L:L,MATCH('Retirement Calculator'!A1004,'Lorri 401b'!N:N,0),0)</f>
        <v>-24630802.628820214</v>
      </c>
      <c r="S1004" s="25">
        <f t="shared" ca="1" si="787"/>
        <v>-34447329.464026667</v>
      </c>
    </row>
    <row r="1005" spans="1:19" ht="15.75" customHeight="1" x14ac:dyDescent="0.3">
      <c r="A1005" s="37">
        <v>81541</v>
      </c>
      <c r="B1005" s="409">
        <f t="shared" ref="B1005:C1005" si="1016">($A1005-B$9)/365.25</f>
        <v>141.36892539356606</v>
      </c>
      <c r="C1005" s="409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3525.4531757812501</v>
      </c>
      <c r="H1005" s="25">
        <f>IF(B1005&lt;62,0,'Combined Retirement'!$I$14)</f>
        <v>2192</v>
      </c>
      <c r="I1005" s="25">
        <f>IF(C1005&lt;62,0,'Combined Retirement'!$I$13)</f>
        <v>2420</v>
      </c>
      <c r="J1005" s="25">
        <f t="shared" si="783"/>
        <v>7863.2184191855868</v>
      </c>
      <c r="K1005" s="25">
        <f t="shared" si="784"/>
        <v>20282.026119384056</v>
      </c>
      <c r="L1005" s="25"/>
      <c r="N1005" s="25">
        <f>'Combined Retirement'!$C$18/12</f>
        <v>39153.069999999992</v>
      </c>
      <c r="O1005" s="25">
        <f t="shared" si="785"/>
        <v>11007.82546143035</v>
      </c>
      <c r="P1005" s="25">
        <f t="shared" si="786"/>
        <v>28145.244538569641</v>
      </c>
      <c r="Q1005" s="25">
        <f t="array" aca="1" ref="Q1005" ca="1">INDEX('Isaac 401k'!L:L,MATCH('Retirement Calculator'!A1005,'Isaac 401k'!N:N,0),0)</f>
        <v>-9865325.0121824127</v>
      </c>
      <c r="R1005" s="25">
        <f t="array" aca="1" ref="R1005" ca="1">INDEX('Lorri 401b'!L:L,MATCH('Retirement Calculator'!A1005,'Lorri 401b'!N:N,0),0)</f>
        <v>-24753797.507668514</v>
      </c>
      <c r="S1005" s="25">
        <f t="shared" ca="1" si="787"/>
        <v>-34619122.519850925</v>
      </c>
    </row>
    <row r="1006" spans="1:19" ht="15.75" customHeight="1" x14ac:dyDescent="0.3">
      <c r="A1006" s="37">
        <v>81571</v>
      </c>
      <c r="B1006" s="409">
        <f t="shared" ref="B1006:C1006" si="1017">($A1006-B$9)/365.25</f>
        <v>141.45106091718</v>
      </c>
      <c r="C1006" s="409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3525.4531757812501</v>
      </c>
      <c r="H1006" s="25">
        <f>IF(B1006&lt;62,0,'Combined Retirement'!$I$14)</f>
        <v>2192</v>
      </c>
      <c r="I1006" s="25">
        <f>IF(C1006&lt;62,0,'Combined Retirement'!$I$13)</f>
        <v>2420</v>
      </c>
      <c r="J1006" s="25">
        <f t="shared" si="783"/>
        <v>7863.2184191855868</v>
      </c>
      <c r="K1006" s="25">
        <f t="shared" si="784"/>
        <v>20282.026119384056</v>
      </c>
      <c r="L1006" s="25"/>
      <c r="N1006" s="25">
        <f>'Combined Retirement'!$C$18/12</f>
        <v>39153.069999999992</v>
      </c>
      <c r="O1006" s="25">
        <f t="shared" si="785"/>
        <v>11007.82546143035</v>
      </c>
      <c r="P1006" s="25">
        <f t="shared" si="786"/>
        <v>28145.244538569641</v>
      </c>
      <c r="Q1006" s="25">
        <f t="array" aca="1" ref="Q1006" ca="1">INDEX('Isaac 401k'!L:L,MATCH('Retirement Calculator'!A1006,'Isaac 401k'!N:N,0),0)</f>
        <v>-9914326.5148957707</v>
      </c>
      <c r="R1006" s="25">
        <f t="array" aca="1" ref="R1006" ca="1">INDEX('Lorri 401b'!L:L,MATCH('Retirement Calculator'!A1006,'Lorri 401b'!N:N,0),0)</f>
        <v>-24877304.865178682</v>
      </c>
      <c r="S1006" s="25">
        <f t="shared" ca="1" si="787"/>
        <v>-34791631.380074456</v>
      </c>
    </row>
    <row r="1007" spans="1:19" ht="15.75" customHeight="1" x14ac:dyDescent="0.3">
      <c r="A1007" s="37">
        <v>81602</v>
      </c>
      <c r="B1007" s="409">
        <f t="shared" ref="B1007:C1007" si="1018">($A1007-B$9)/365.25</f>
        <v>141.5359342915811</v>
      </c>
      <c r="C1007" s="409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3525.4531757812501</v>
      </c>
      <c r="H1007" s="25">
        <f>IF(B1007&lt;62,0,'Combined Retirement'!$I$14)</f>
        <v>2192</v>
      </c>
      <c r="I1007" s="25">
        <f>IF(C1007&lt;62,0,'Combined Retirement'!$I$13)</f>
        <v>2420</v>
      </c>
      <c r="J1007" s="25">
        <f t="shared" si="783"/>
        <v>7863.2184191855868</v>
      </c>
      <c r="K1007" s="25">
        <f t="shared" si="784"/>
        <v>20282.026119384056</v>
      </c>
      <c r="L1007" s="25"/>
      <c r="N1007" s="25">
        <f>'Combined Retirement'!$C$18/12</f>
        <v>39153.069999999992</v>
      </c>
      <c r="O1007" s="25">
        <f t="shared" si="785"/>
        <v>11007.82546143035</v>
      </c>
      <c r="P1007" s="25">
        <f t="shared" si="786"/>
        <v>28145.244538569641</v>
      </c>
      <c r="Q1007" s="25">
        <f t="array" aca="1" ref="Q1007" ca="1">INDEX('Isaac 401k'!L:L,MATCH('Retirement Calculator'!A1007,'Isaac 401k'!N:N,0),0)</f>
        <v>-9963532.1905371007</v>
      </c>
      <c r="R1007" s="25">
        <f t="array" aca="1" ref="R1007" ca="1">INDEX('Lorri 401b'!L:L,MATCH('Retirement Calculator'!A1007,'Lorri 401b'!N:N,0),0)</f>
        <v>-25001326.836678475</v>
      </c>
      <c r="S1007" s="25">
        <f t="shared" ca="1" si="787"/>
        <v>-34964859.027215578</v>
      </c>
    </row>
    <row r="1008" spans="1:19" ht="15.75" customHeight="1" x14ac:dyDescent="0.3">
      <c r="A1008" s="37">
        <v>81632</v>
      </c>
      <c r="B1008" s="409">
        <f t="shared" ref="B1008:C1008" si="1019">($A1008-B$9)/365.25</f>
        <v>141.61806981519507</v>
      </c>
      <c r="C1008" s="409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3525.4531757812501</v>
      </c>
      <c r="H1008" s="25">
        <f>IF(B1008&lt;62,0,'Combined Retirement'!$I$14)</f>
        <v>2192</v>
      </c>
      <c r="I1008" s="25">
        <f>IF(C1008&lt;62,0,'Combined Retirement'!$I$13)</f>
        <v>2420</v>
      </c>
      <c r="J1008" s="25">
        <f t="shared" si="783"/>
        <v>7863.2184191855868</v>
      </c>
      <c r="K1008" s="25">
        <f t="shared" si="784"/>
        <v>20282.026119384056</v>
      </c>
      <c r="L1008" s="25"/>
      <c r="N1008" s="25">
        <f>'Combined Retirement'!$C$18/12</f>
        <v>39153.069999999992</v>
      </c>
      <c r="O1008" s="25">
        <f t="shared" si="785"/>
        <v>11007.82546143035</v>
      </c>
      <c r="P1008" s="25">
        <f t="shared" si="786"/>
        <v>28145.244538569641</v>
      </c>
      <c r="Q1008" s="25">
        <f t="array" aca="1" ref="Q1008" ca="1">INDEX('Isaac 401k'!L:L,MATCH('Retirement Calculator'!A1008,'Isaac 401k'!N:N,0),0)</f>
        <v>-10012942.889826937</v>
      </c>
      <c r="R1008" s="25">
        <f t="array" aca="1" ref="R1008" ca="1">INDEX('Lorri 401b'!L:L,MATCH('Retirement Calculator'!A1008,'Lorri 401b'!N:N,0),0)</f>
        <v>-25125865.56639285</v>
      </c>
      <c r="S1008" s="25">
        <f t="shared" ca="1" si="787"/>
        <v>-35138808.456219785</v>
      </c>
    </row>
    <row r="1009" spans="1:19" ht="15.75" customHeight="1" x14ac:dyDescent="0.3">
      <c r="A1009" s="37">
        <v>81663</v>
      </c>
      <c r="B1009" s="409">
        <f t="shared" ref="B1009:C1009" si="1020">($A1009-B$9)/365.25</f>
        <v>141.70294318959617</v>
      </c>
      <c r="C1009" s="409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3525.4531757812501</v>
      </c>
      <c r="H1009" s="25">
        <f>IF(B1009&lt;62,0,'Combined Retirement'!$I$14)</f>
        <v>2192</v>
      </c>
      <c r="I1009" s="25">
        <f>IF(C1009&lt;62,0,'Combined Retirement'!$I$13)</f>
        <v>2420</v>
      </c>
      <c r="J1009" s="25">
        <f t="shared" si="783"/>
        <v>7863.2184191855868</v>
      </c>
      <c r="K1009" s="25">
        <f t="shared" si="784"/>
        <v>20282.026119384056</v>
      </c>
      <c r="L1009" s="25"/>
      <c r="N1009" s="25">
        <f>'Combined Retirement'!$C$18/12</f>
        <v>39153.069999999992</v>
      </c>
      <c r="O1009" s="25">
        <f t="shared" si="785"/>
        <v>11007.82546143035</v>
      </c>
      <c r="P1009" s="25">
        <f t="shared" si="786"/>
        <v>28145.244538569641</v>
      </c>
      <c r="Q1009" s="25">
        <f t="array" aca="1" ref="Q1009" ca="1">INDEX('Isaac 401k'!L:L,MATCH('Retirement Calculator'!A1009,'Isaac 401k'!N:N,0),0)</f>
        <v>-10062559.467030481</v>
      </c>
      <c r="R1009" s="25">
        <f t="array" aca="1" ref="R1009" ca="1">INDEX('Lorri 401b'!L:L,MATCH('Retirement Calculator'!A1009,'Lorri 401b'!N:N,0),0)</f>
        <v>-25250923.207481038</v>
      </c>
      <c r="S1009" s="25">
        <f t="shared" ca="1" si="787"/>
        <v>-35313482.674511522</v>
      </c>
    </row>
    <row r="1010" spans="1:19" ht="15.75" customHeight="1" x14ac:dyDescent="0.3">
      <c r="A1010" s="37">
        <v>81694</v>
      </c>
      <c r="B1010" s="409">
        <f t="shared" ref="B1010:C1010" si="1021">($A1010-B$9)/365.25</f>
        <v>141.78781656399727</v>
      </c>
      <c r="C1010" s="409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3525.4531757812501</v>
      </c>
      <c r="H1010" s="25">
        <f>IF(B1010&lt;62,0,'Combined Retirement'!$I$14)</f>
        <v>2192</v>
      </c>
      <c r="I1010" s="25">
        <f>IF(C1010&lt;62,0,'Combined Retirement'!$I$13)</f>
        <v>2420</v>
      </c>
      <c r="J1010" s="25">
        <f t="shared" si="783"/>
        <v>7863.2184191855868</v>
      </c>
      <c r="K1010" s="25">
        <f t="shared" si="784"/>
        <v>20282.026119384056</v>
      </c>
      <c r="L1010" s="25"/>
      <c r="N1010" s="25">
        <f>'Combined Retirement'!$C$18/12</f>
        <v>39153.069999999992</v>
      </c>
      <c r="O1010" s="25">
        <f t="shared" si="785"/>
        <v>11007.82546143035</v>
      </c>
      <c r="P1010" s="25">
        <f t="shared" si="786"/>
        <v>28145.244538569641</v>
      </c>
      <c r="Q1010" s="25">
        <f t="array" aca="1" ref="Q1010" ca="1">INDEX('Isaac 401k'!L:L,MATCH('Retirement Calculator'!A1010,'Isaac 401k'!N:N,0),0)</f>
        <v>-10112382.779972373</v>
      </c>
      <c r="R1010" s="25">
        <f t="array" aca="1" ref="R1010" ca="1">INDEX('Lorri 401b'!L:L,MATCH('Retirement Calculator'!A1010,'Lorri 401b'!N:N,0),0)</f>
        <v>-25376501.922073759</v>
      </c>
      <c r="S1010" s="25">
        <f t="shared" ca="1" si="787"/>
        <v>-35488884.702046134</v>
      </c>
    </row>
    <row r="1011" spans="1:19" ht="15.75" customHeight="1" x14ac:dyDescent="0.3">
      <c r="A1011" s="37">
        <v>81724</v>
      </c>
      <c r="B1011" s="409">
        <f t="shared" ref="B1011:C1011" si="1022">($A1011-B$9)/365.25</f>
        <v>141.86995208761124</v>
      </c>
      <c r="C1011" s="409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3525.4531757812501</v>
      </c>
      <c r="H1011" s="25">
        <f>IF(B1011&lt;62,0,'Combined Retirement'!$I$14)</f>
        <v>2192</v>
      </c>
      <c r="I1011" s="25">
        <f>IF(C1011&lt;62,0,'Combined Retirement'!$I$13)</f>
        <v>2420</v>
      </c>
      <c r="J1011" s="25">
        <f t="shared" si="783"/>
        <v>7863.2184191855868</v>
      </c>
      <c r="K1011" s="25">
        <f t="shared" si="784"/>
        <v>20282.026119384056</v>
      </c>
      <c r="L1011" s="25"/>
      <c r="N1011" s="25">
        <f>'Combined Retirement'!$C$18/12</f>
        <v>39153.069999999992</v>
      </c>
      <c r="O1011" s="25">
        <f t="shared" si="785"/>
        <v>11007.82546143035</v>
      </c>
      <c r="P1011" s="25">
        <f t="shared" si="786"/>
        <v>28145.244538569641</v>
      </c>
      <c r="Q1011" s="25">
        <f t="array" aca="1" ref="Q1011" ca="1">INDEX('Isaac 401k'!L:L,MATCH('Retirement Calculator'!A1011,'Isaac 401k'!N:N,0),0)</f>
        <v>-10162413.690051522</v>
      </c>
      <c r="R1011" s="25">
        <f t="array" aca="1" ref="R1011" ca="1">INDEX('Lorri 401b'!L:L,MATCH('Retirement Calculator'!A1011,'Lorri 401b'!N:N,0),0)</f>
        <v>-25502603.881310616</v>
      </c>
      <c r="S1011" s="25">
        <f t="shared" ca="1" si="787"/>
        <v>-35665017.571362138</v>
      </c>
    </row>
    <row r="1012" spans="1:19" ht="15.75" customHeight="1" x14ac:dyDescent="0.3">
      <c r="A1012" s="37">
        <v>81755</v>
      </c>
      <c r="B1012" s="409">
        <f t="shared" ref="B1012:C1012" si="1023">($A1012-B$9)/365.25</f>
        <v>141.95482546201231</v>
      </c>
      <c r="C1012" s="409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3525.4531757812501</v>
      </c>
      <c r="H1012" s="25">
        <f>IF(B1012&lt;62,0,'Combined Retirement'!$I$14)</f>
        <v>2192</v>
      </c>
      <c r="I1012" s="25">
        <f>IF(C1012&lt;62,0,'Combined Retirement'!$I$13)</f>
        <v>2420</v>
      </c>
      <c r="J1012" s="25">
        <f t="shared" si="783"/>
        <v>7863.2184191855868</v>
      </c>
      <c r="K1012" s="25">
        <f t="shared" si="784"/>
        <v>20282.026119384056</v>
      </c>
      <c r="L1012" s="25"/>
      <c r="N1012" s="25">
        <f>'Combined Retirement'!$C$18/12</f>
        <v>39153.069999999992</v>
      </c>
      <c r="O1012" s="25">
        <f t="shared" si="785"/>
        <v>11007.82546143035</v>
      </c>
      <c r="P1012" s="25">
        <f t="shared" si="786"/>
        <v>28145.244538569641</v>
      </c>
      <c r="Q1012" s="25">
        <f t="array" aca="1" ref="Q1012" ca="1">INDEX('Isaac 401k'!L:L,MATCH('Retirement Calculator'!A1012,'Isaac 401k'!N:N,0),0)</f>
        <v>-10212653.062256001</v>
      </c>
      <c r="R1012" s="25">
        <f t="array" aca="1" ref="R1012" ca="1">INDEX('Lorri 401b'!L:L,MATCH('Retirement Calculator'!A1012,'Lorri 401b'!N:N,0),0)</f>
        <v>-25629231.265377626</v>
      </c>
      <c r="S1012" s="25">
        <f t="shared" ca="1" si="787"/>
        <v>-35841884.327633627</v>
      </c>
    </row>
    <row r="1013" spans="1:19" ht="15.75" customHeight="1" x14ac:dyDescent="0.3">
      <c r="A1013" s="37">
        <v>81785</v>
      </c>
      <c r="B1013" s="409">
        <f t="shared" ref="B1013:C1013" si="1024">($A1013-B$9)/365.25</f>
        <v>142.03696098562628</v>
      </c>
      <c r="C1013" s="409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3525.4531757812501</v>
      </c>
      <c r="H1013" s="25">
        <f>IF(B1013&lt;62,0,'Combined Retirement'!$I$14)</f>
        <v>2192</v>
      </c>
      <c r="I1013" s="25">
        <f>IF(C1013&lt;62,0,'Combined Retirement'!$I$13)</f>
        <v>2420</v>
      </c>
      <c r="J1013" s="25">
        <f t="shared" si="783"/>
        <v>7863.2184191855868</v>
      </c>
      <c r="K1013" s="25">
        <f t="shared" si="784"/>
        <v>20282.026119384056</v>
      </c>
      <c r="L1013" s="25"/>
      <c r="N1013" s="25">
        <f>'Combined Retirement'!$C$18/12</f>
        <v>39153.069999999992</v>
      </c>
      <c r="O1013" s="25">
        <f t="shared" si="785"/>
        <v>11007.82546143035</v>
      </c>
      <c r="P1013" s="25">
        <f t="shared" si="786"/>
        <v>28145.244538569641</v>
      </c>
      <c r="Q1013" s="25">
        <f t="array" aca="1" ref="Q1013" ca="1">INDEX('Isaac 401k'!L:L,MATCH('Retirement Calculator'!A1013,'Isaac 401k'!N:N,0),0)</f>
        <v>-10263101.765177999</v>
      </c>
      <c r="R1013" s="25">
        <f t="array" aca="1" ref="R1013" ca="1">INDEX('Lorri 401b'!L:L,MATCH('Retirement Calculator'!A1013,'Lorri 401b'!N:N,0),0)</f>
        <v>-25756386.263544913</v>
      </c>
      <c r="S1013" s="25">
        <f t="shared" ca="1" si="787"/>
        <v>-36019488.028722912</v>
      </c>
    </row>
    <row r="1014" spans="1:19" ht="15.75" customHeight="1" x14ac:dyDescent="0.3">
      <c r="A1014" s="37">
        <v>81816</v>
      </c>
      <c r="B1014" s="409">
        <f t="shared" ref="B1014:C1014" si="1025">($A1014-B$9)/365.25</f>
        <v>142.12183436002738</v>
      </c>
      <c r="C1014" s="409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3525.4531757812501</v>
      </c>
      <c r="H1014" s="25">
        <f>IF(B1014&lt;62,0,'Combined Retirement'!$I$14)</f>
        <v>2192</v>
      </c>
      <c r="I1014" s="25">
        <f>IF(C1014&lt;62,0,'Combined Retirement'!$I$13)</f>
        <v>2420</v>
      </c>
      <c r="J1014" s="25">
        <f t="shared" si="783"/>
        <v>7863.2184191855868</v>
      </c>
      <c r="K1014" s="25">
        <f t="shared" si="784"/>
        <v>20282.026119384056</v>
      </c>
      <c r="L1014" s="25"/>
      <c r="N1014" s="25">
        <f>'Combined Retirement'!$C$18/12</f>
        <v>39153.069999999992</v>
      </c>
      <c r="O1014" s="25">
        <f t="shared" si="785"/>
        <v>11007.82546143035</v>
      </c>
      <c r="P1014" s="25">
        <f t="shared" si="786"/>
        <v>28145.244538569641</v>
      </c>
      <c r="Q1014" s="25">
        <f t="array" aca="1" ref="Q1014" ca="1">INDEX('Isaac 401k'!L:L,MATCH('Retirement Calculator'!A1014,'Isaac 401k'!N:N,0),0)</f>
        <v>-10313760.671028839</v>
      </c>
      <c r="R1014" s="25">
        <f t="array" aca="1" ref="R1014" ca="1">INDEX('Lorri 401b'!L:L,MATCH('Retirement Calculator'!A1014,'Lorri 401b'!N:N,0),0)</f>
        <v>-25884071.074204568</v>
      </c>
      <c r="S1014" s="25">
        <f t="shared" ca="1" si="787"/>
        <v>-36197831.745233409</v>
      </c>
    </row>
    <row r="1015" spans="1:19" ht="15.75" customHeight="1" x14ac:dyDescent="0.3">
      <c r="A1015" s="37">
        <v>81847</v>
      </c>
      <c r="B1015" s="409">
        <f t="shared" ref="B1015:C1015" si="1026">($A1015-B$9)/365.25</f>
        <v>142.20670773442848</v>
      </c>
      <c r="C1015" s="409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3525.4531757812501</v>
      </c>
      <c r="H1015" s="25">
        <f>IF(B1015&lt;62,0,'Combined Retirement'!$I$14)</f>
        <v>2192</v>
      </c>
      <c r="I1015" s="25">
        <f>IF(C1015&lt;62,0,'Combined Retirement'!$I$13)</f>
        <v>2420</v>
      </c>
      <c r="J1015" s="25">
        <f t="shared" si="783"/>
        <v>7863.2184191855868</v>
      </c>
      <c r="K1015" s="25">
        <f t="shared" si="784"/>
        <v>20282.026119384056</v>
      </c>
      <c r="L1015" s="25"/>
      <c r="N1015" s="25">
        <f>'Combined Retirement'!$C$18/12</f>
        <v>39153.069999999992</v>
      </c>
      <c r="O1015" s="25">
        <f t="shared" si="785"/>
        <v>11007.82546143035</v>
      </c>
      <c r="P1015" s="25">
        <f t="shared" si="786"/>
        <v>28145.244538569641</v>
      </c>
      <c r="Q1015" s="25">
        <f t="array" aca="1" ref="Q1015" ca="1">INDEX('Isaac 401k'!L:L,MATCH('Retirement Calculator'!A1015,'Isaac 401k'!N:N,0),0)</f>
        <v>-10364630.655654058</v>
      </c>
      <c r="R1015" s="25">
        <f t="array" aca="1" ref="R1015" ca="1">INDEX('Lorri 401b'!L:L,MATCH('Retirement Calculator'!A1015,'Lorri 401b'!N:N,0),0)</f>
        <v>-26012287.904908635</v>
      </c>
      <c r="S1015" s="25">
        <f t="shared" ca="1" si="787"/>
        <v>-36376918.560562693</v>
      </c>
    </row>
    <row r="1016" spans="1:19" ht="15.75" customHeight="1" x14ac:dyDescent="0.3">
      <c r="A1016" s="37">
        <v>81876</v>
      </c>
      <c r="B1016" s="409">
        <f t="shared" ref="B1016:C1016" si="1027">($A1016-B$9)/365.25</f>
        <v>142.28610540725529</v>
      </c>
      <c r="C1016" s="409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3525.4531757812501</v>
      </c>
      <c r="H1016" s="25">
        <f>IF(B1016&lt;62,0,'Combined Retirement'!$I$14)</f>
        <v>2192</v>
      </c>
      <c r="I1016" s="25">
        <f>IF(C1016&lt;62,0,'Combined Retirement'!$I$13)</f>
        <v>2420</v>
      </c>
      <c r="J1016" s="25">
        <f t="shared" si="783"/>
        <v>7863.2184191855868</v>
      </c>
      <c r="K1016" s="25">
        <f t="shared" si="784"/>
        <v>20282.026119384056</v>
      </c>
      <c r="L1016" s="25"/>
      <c r="N1016" s="25">
        <f>'Combined Retirement'!$C$18/12</f>
        <v>39153.069999999992</v>
      </c>
      <c r="O1016" s="25">
        <f t="shared" si="785"/>
        <v>11007.82546143035</v>
      </c>
      <c r="P1016" s="25">
        <f t="shared" si="786"/>
        <v>28145.244538569641</v>
      </c>
      <c r="Q1016" s="25">
        <f t="array" aca="1" ref="Q1016" ca="1">INDEX('Isaac 401k'!L:L,MATCH('Retirement Calculator'!A1016,'Isaac 401k'!N:N,0),0)</f>
        <v>-10415712.598548548</v>
      </c>
      <c r="R1016" s="25">
        <f t="array" aca="1" ref="R1016" ca="1">INDEX('Lorri 401b'!L:L,MATCH('Retirement Calculator'!A1016,'Lorri 401b'!N:N,0),0)</f>
        <v>-26141038.972407304</v>
      </c>
      <c r="S1016" s="25">
        <f t="shared" ca="1" si="787"/>
        <v>-36556751.57095585</v>
      </c>
    </row>
    <row r="1017" spans="1:19" ht="15.75" customHeight="1" x14ac:dyDescent="0.3">
      <c r="A1017" s="37">
        <v>81907</v>
      </c>
      <c r="B1017" s="409">
        <f t="shared" ref="B1017:C1017" si="1028">($A1017-B$9)/365.25</f>
        <v>142.37097878165639</v>
      </c>
      <c r="C1017" s="409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3525.4531757812501</v>
      </c>
      <c r="H1017" s="25">
        <f>IF(B1017&lt;62,0,'Combined Retirement'!$I$14)</f>
        <v>2192</v>
      </c>
      <c r="I1017" s="25">
        <f>IF(C1017&lt;62,0,'Combined Retirement'!$I$13)</f>
        <v>2420</v>
      </c>
      <c r="J1017" s="25">
        <f t="shared" si="783"/>
        <v>7863.2184191855868</v>
      </c>
      <c r="K1017" s="25">
        <f t="shared" si="784"/>
        <v>20282.026119384056</v>
      </c>
      <c r="L1017" s="25"/>
      <c r="N1017" s="25">
        <f>'Combined Retirement'!$C$18/12</f>
        <v>39153.069999999992</v>
      </c>
      <c r="O1017" s="25">
        <f t="shared" si="785"/>
        <v>11007.82546143035</v>
      </c>
      <c r="P1017" s="25">
        <f t="shared" si="786"/>
        <v>28145.244538569641</v>
      </c>
      <c r="Q1017" s="25">
        <f t="array" aca="1" ref="Q1017" ca="1">INDEX('Isaac 401k'!L:L,MATCH('Retirement Calculator'!A1017,'Isaac 401k'!N:N,0),0)</f>
        <v>-10467007.382871766</v>
      </c>
      <c r="R1017" s="25">
        <f t="array" aca="1" ref="R1017" ca="1">INDEX('Lorri 401b'!L:L,MATCH('Retirement Calculator'!A1017,'Lorri 401b'!N:N,0),0)</f>
        <v>-26270326.502687216</v>
      </c>
      <c r="S1017" s="25">
        <f t="shared" ca="1" si="787"/>
        <v>-36737333.885558978</v>
      </c>
    </row>
    <row r="1018" spans="1:19" ht="15.75" customHeight="1" x14ac:dyDescent="0.3">
      <c r="A1018" s="37">
        <v>81937</v>
      </c>
      <c r="B1018" s="409">
        <f t="shared" ref="B1018:C1018" si="1029">($A1018-B$9)/365.25</f>
        <v>142.45311430527036</v>
      </c>
      <c r="C1018" s="409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3525.4531757812501</v>
      </c>
      <c r="H1018" s="25">
        <f>IF(B1018&lt;62,0,'Combined Retirement'!$I$14)</f>
        <v>2192</v>
      </c>
      <c r="I1018" s="25">
        <f>IF(C1018&lt;62,0,'Combined Retirement'!$I$13)</f>
        <v>2420</v>
      </c>
      <c r="J1018" s="25">
        <f t="shared" si="783"/>
        <v>7863.2184191855868</v>
      </c>
      <c r="K1018" s="25">
        <f t="shared" si="784"/>
        <v>20282.026119384056</v>
      </c>
      <c r="L1018" s="25"/>
      <c r="N1018" s="25">
        <f>'Combined Retirement'!$C$18/12</f>
        <v>39153.069999999992</v>
      </c>
      <c r="O1018" s="25">
        <f t="shared" si="785"/>
        <v>11007.82546143035</v>
      </c>
      <c r="P1018" s="25">
        <f t="shared" si="786"/>
        <v>28145.244538569641</v>
      </c>
      <c r="Q1018" s="25">
        <f t="array" aca="1" ref="Q1018" ca="1">INDEX('Isaac 401k'!L:L,MATCH('Retirement Calculator'!A1018,'Isaac 401k'!N:N,0),0)</f>
        <v>-10518515.895462995</v>
      </c>
      <c r="R1018" s="25">
        <f t="array" aca="1" ref="R1018" ca="1">INDEX('Lorri 401b'!L:L,MATCH('Retirement Calculator'!A1018,'Lorri 401b'!N:N,0),0)</f>
        <v>-26400152.73100996</v>
      </c>
      <c r="S1018" s="25">
        <f t="shared" ca="1" si="787"/>
        <v>-36918668.626472957</v>
      </c>
    </row>
    <row r="1019" spans="1:19" ht="15.75" customHeight="1" x14ac:dyDescent="0.3">
      <c r="A1019" s="37">
        <v>81968</v>
      </c>
      <c r="B1019" s="409">
        <f t="shared" ref="B1019:C1019" si="1030">($A1019-B$9)/365.25</f>
        <v>142.53798767967146</v>
      </c>
      <c r="C1019" s="409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3525.4531757812501</v>
      </c>
      <c r="H1019" s="25">
        <f>IF(B1019&lt;62,0,'Combined Retirement'!$I$14)</f>
        <v>2192</v>
      </c>
      <c r="I1019" s="25">
        <f>IF(C1019&lt;62,0,'Combined Retirement'!$I$13)</f>
        <v>2420</v>
      </c>
      <c r="J1019" s="25">
        <f t="shared" si="783"/>
        <v>7863.2184191855868</v>
      </c>
      <c r="K1019" s="25">
        <f t="shared" si="784"/>
        <v>20282.026119384056</v>
      </c>
      <c r="L1019" s="25"/>
      <c r="N1019" s="25">
        <f>'Combined Retirement'!$C$18/12</f>
        <v>39153.069999999992</v>
      </c>
      <c r="O1019" s="25">
        <f t="shared" si="785"/>
        <v>11007.82546143035</v>
      </c>
      <c r="P1019" s="25">
        <f t="shared" si="786"/>
        <v>28145.244538569641</v>
      </c>
      <c r="Q1019" s="25">
        <f t="array" aca="1" ref="Q1019" ca="1">INDEX('Isaac 401k'!L:L,MATCH('Retirement Calculator'!A1019,'Isaac 401k'!N:N,0),0)</f>
        <v>-10570239.026856689</v>
      </c>
      <c r="R1019" s="25">
        <f t="array" aca="1" ref="R1019" ca="1">INDEX('Lorri 401b'!L:L,MATCH('Retirement Calculator'!A1019,'Lorri 401b'!N:N,0),0)</f>
        <v>-26530519.901950717</v>
      </c>
      <c r="S1019" s="25">
        <f t="shared" ca="1" si="787"/>
        <v>-37100758.928807408</v>
      </c>
    </row>
    <row r="1020" spans="1:19" ht="15.75" customHeight="1" x14ac:dyDescent="0.3">
      <c r="A1020" s="37">
        <v>81998</v>
      </c>
      <c r="B1020" s="409">
        <f t="shared" ref="B1020:C1020" si="1031">($A1020-B$9)/365.25</f>
        <v>142.62012320328543</v>
      </c>
      <c r="C1020" s="409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3525.4531757812501</v>
      </c>
      <c r="H1020" s="25">
        <f>IF(B1020&lt;62,0,'Combined Retirement'!$I$14)</f>
        <v>2192</v>
      </c>
      <c r="I1020" s="25">
        <f>IF(C1020&lt;62,0,'Combined Retirement'!$I$13)</f>
        <v>2420</v>
      </c>
      <c r="J1020" s="25">
        <f t="shared" si="783"/>
        <v>7863.2184191855868</v>
      </c>
      <c r="K1020" s="25">
        <f t="shared" si="784"/>
        <v>20282.026119384056</v>
      </c>
      <c r="L1020" s="25"/>
      <c r="N1020" s="25">
        <f>'Combined Retirement'!$C$18/12</f>
        <v>39153.069999999992</v>
      </c>
      <c r="O1020" s="25">
        <f t="shared" si="785"/>
        <v>11007.82546143035</v>
      </c>
      <c r="P1020" s="25">
        <f t="shared" si="786"/>
        <v>28145.244538569641</v>
      </c>
      <c r="Q1020" s="25">
        <f t="array" aca="1" ref="Q1020" ca="1">INDEX('Isaac 401k'!L:L,MATCH('Retirement Calculator'!A1020,'Isaac 401k'!N:N,0),0)</f>
        <v>-10622177.671297856</v>
      </c>
      <c r="R1020" s="25">
        <f t="array" aca="1" ref="R1020" ca="1">INDEX('Lorri 401b'!L:L,MATCH('Retirement Calculator'!A1020,'Lorri 401b'!N:N,0),0)</f>
        <v>-26661430.26943706</v>
      </c>
      <c r="S1020" s="25">
        <f t="shared" ca="1" si="787"/>
        <v>-37283607.940734915</v>
      </c>
    </row>
    <row r="1021" spans="1:19" ht="15.75" customHeight="1" x14ac:dyDescent="0.3">
      <c r="A1021" s="37">
        <v>82029</v>
      </c>
      <c r="B1021" s="409">
        <f t="shared" ref="B1021:C1021" si="1032">($A1021-B$9)/365.25</f>
        <v>142.70499657768653</v>
      </c>
      <c r="C1021" s="409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3525.4531757812501</v>
      </c>
      <c r="H1021" s="25">
        <f>IF(B1021&lt;62,0,'Combined Retirement'!$I$14)</f>
        <v>2192</v>
      </c>
      <c r="I1021" s="25">
        <f>IF(C1021&lt;62,0,'Combined Retirement'!$I$13)</f>
        <v>2420</v>
      </c>
      <c r="J1021" s="25">
        <f t="shared" si="783"/>
        <v>7863.2184191855868</v>
      </c>
      <c r="K1021" s="25">
        <f t="shared" si="784"/>
        <v>20282.026119384056</v>
      </c>
      <c r="L1021" s="25"/>
      <c r="N1021" s="25">
        <f>'Combined Retirement'!$C$18/12</f>
        <v>39153.069999999992</v>
      </c>
      <c r="O1021" s="25">
        <f t="shared" si="785"/>
        <v>11007.82546143035</v>
      </c>
      <c r="P1021" s="25">
        <f t="shared" si="786"/>
        <v>28145.244538569641</v>
      </c>
      <c r="Q1021" s="25">
        <f t="array" aca="1" ref="Q1021" ca="1">INDEX('Isaac 401k'!L:L,MATCH('Retirement Calculator'!A1021,'Isaac 401k'!N:N,0),0)</f>
        <v>-10674332.726757528</v>
      </c>
      <c r="R1021" s="25">
        <f t="array" aca="1" ref="R1021" ca="1">INDEX('Lorri 401b'!L:L,MATCH('Retirement Calculator'!A1021,'Lorri 401b'!N:N,0),0)</f>
        <v>-26792886.09678793</v>
      </c>
      <c r="S1021" s="25">
        <f t="shared" ca="1" si="787"/>
        <v>-37467218.823545456</v>
      </c>
    </row>
    <row r="1022" spans="1:19" ht="15.75" customHeight="1" x14ac:dyDescent="0.3">
      <c r="A1022" s="37">
        <v>82060</v>
      </c>
      <c r="B1022" s="409">
        <f t="shared" ref="B1022:C1022" si="1033">($A1022-B$9)/365.25</f>
        <v>142.7898699520876</v>
      </c>
      <c r="C1022" s="409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3525.4531757812501</v>
      </c>
      <c r="H1022" s="25">
        <f>IF(B1022&lt;62,0,'Combined Retirement'!$I$14)</f>
        <v>2192</v>
      </c>
      <c r="I1022" s="25">
        <f>IF(C1022&lt;62,0,'Combined Retirement'!$I$13)</f>
        <v>2420</v>
      </c>
      <c r="J1022" s="25">
        <f t="shared" si="783"/>
        <v>7863.2184191855868</v>
      </c>
      <c r="K1022" s="25">
        <f t="shared" si="784"/>
        <v>20282.026119384056</v>
      </c>
      <c r="L1022" s="25"/>
      <c r="N1022" s="25">
        <f>'Combined Retirement'!$C$18/12</f>
        <v>39153.069999999992</v>
      </c>
      <c r="O1022" s="25">
        <f t="shared" si="785"/>
        <v>11007.82546143035</v>
      </c>
      <c r="P1022" s="25">
        <f t="shared" si="786"/>
        <v>28145.244538569641</v>
      </c>
      <c r="Q1022" s="25">
        <f t="array" aca="1" ref="Q1022" ca="1">INDEX('Isaac 401k'!L:L,MATCH('Retirement Calculator'!A1022,'Isaac 401k'!N:N,0),0)</f>
        <v>-10726705.094948282</v>
      </c>
      <c r="R1022" s="25">
        <f t="array" aca="1" ref="R1022" ca="1">INDEX('Lorri 401b'!L:L,MATCH('Retirement Calculator'!A1022,'Lorri 401b'!N:N,0),0)</f>
        <v>-26924889.656752761</v>
      </c>
      <c r="S1022" s="25">
        <f t="shared" ca="1" si="787"/>
        <v>-37651594.751701042</v>
      </c>
    </row>
    <row r="1023" spans="1:19" ht="15.75" customHeight="1" x14ac:dyDescent="0.3">
      <c r="A1023" s="37">
        <v>82090</v>
      </c>
      <c r="B1023" s="409">
        <f t="shared" ref="B1023:C1023" si="1034">($A1023-B$9)/365.25</f>
        <v>142.87200547570157</v>
      </c>
      <c r="C1023" s="409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3525.4531757812501</v>
      </c>
      <c r="H1023" s="25">
        <f>IF(B1023&lt;62,0,'Combined Retirement'!$I$14)</f>
        <v>2192</v>
      </c>
      <c r="I1023" s="25">
        <f>IF(C1023&lt;62,0,'Combined Retirement'!$I$13)</f>
        <v>2420</v>
      </c>
      <c r="J1023" s="25">
        <f t="shared" si="783"/>
        <v>7863.2184191855868</v>
      </c>
      <c r="K1023" s="25">
        <f t="shared" si="784"/>
        <v>20282.026119384056</v>
      </c>
      <c r="L1023" s="25"/>
      <c r="N1023" s="25">
        <f>'Combined Retirement'!$C$18/12</f>
        <v>39153.069999999992</v>
      </c>
      <c r="O1023" s="25">
        <f t="shared" si="785"/>
        <v>11007.82546143035</v>
      </c>
      <c r="P1023" s="25">
        <f t="shared" si="786"/>
        <v>28145.244538569641</v>
      </c>
      <c r="Q1023" s="25">
        <f t="array" aca="1" ref="Q1023" ca="1">INDEX('Isaac 401k'!L:L,MATCH('Retirement Calculator'!A1023,'Isaac 401k'!N:N,0),0)</f>
        <v>-10779295.681339832</v>
      </c>
      <c r="R1023" s="25">
        <f t="array" aca="1" ref="R1023" ca="1">INDEX('Lorri 401b'!L:L,MATCH('Retirement Calculator'!A1023,'Lorri 401b'!N:N,0),0)</f>
        <v>-27057443.231550779</v>
      </c>
      <c r="S1023" s="25">
        <f t="shared" ca="1" si="787"/>
        <v>-37836738.912890613</v>
      </c>
    </row>
    <row r="1024" spans="1:19" ht="15.75" customHeight="1" x14ac:dyDescent="0.3">
      <c r="A1024" s="37">
        <v>82121</v>
      </c>
      <c r="B1024" s="409">
        <f t="shared" ref="B1024:C1024" si="1035">($A1024-B$9)/365.25</f>
        <v>142.95687885010267</v>
      </c>
      <c r="C1024" s="409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3525.4531757812501</v>
      </c>
      <c r="H1024" s="25">
        <f>IF(B1024&lt;62,0,'Combined Retirement'!$I$14)</f>
        <v>2192</v>
      </c>
      <c r="I1024" s="25">
        <f>IF(C1024&lt;62,0,'Combined Retirement'!$I$13)</f>
        <v>2420</v>
      </c>
      <c r="J1024" s="25">
        <f t="shared" si="783"/>
        <v>7863.2184191855868</v>
      </c>
      <c r="K1024" s="25">
        <f t="shared" si="784"/>
        <v>20282.026119384056</v>
      </c>
      <c r="L1024" s="25"/>
      <c r="N1024" s="25">
        <f>'Combined Retirement'!$C$18/12</f>
        <v>39153.069999999992</v>
      </c>
      <c r="O1024" s="25">
        <f t="shared" si="785"/>
        <v>11007.82546143035</v>
      </c>
      <c r="P1024" s="25">
        <f t="shared" si="786"/>
        <v>28145.244538569641</v>
      </c>
      <c r="Q1024" s="25">
        <f t="array" aca="1" ref="Q1024" ca="1">INDEX('Isaac 401k'!L:L,MATCH('Retirement Calculator'!A1024,'Isaac 401k'!N:N,0),0)</f>
        <v>-10832105.39517468</v>
      </c>
      <c r="R1024" s="25">
        <f t="array" aca="1" ref="R1024" ca="1">INDEX('Lorri 401b'!L:L,MATCH('Retirement Calculator'!A1024,'Lorri 401b'!N:N,0),0)</f>
        <v>-27190549.112910457</v>
      </c>
      <c r="S1024" s="25">
        <f t="shared" ca="1" si="787"/>
        <v>-38022654.508085139</v>
      </c>
    </row>
    <row r="1025" spans="1:19" ht="15.75" customHeight="1" x14ac:dyDescent="0.3">
      <c r="A1025" s="37">
        <v>82151</v>
      </c>
      <c r="B1025" s="409">
        <f t="shared" ref="B1025:C1025" si="1036">($A1025-B$9)/365.25</f>
        <v>143.03901437371664</v>
      </c>
      <c r="C1025" s="409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3525.4531757812501</v>
      </c>
      <c r="H1025" s="25">
        <f>IF(B1025&lt;62,0,'Combined Retirement'!$I$14)</f>
        <v>2192</v>
      </c>
      <c r="I1025" s="25">
        <f>IF(C1025&lt;62,0,'Combined Retirement'!$I$13)</f>
        <v>2420</v>
      </c>
      <c r="J1025" s="25">
        <f t="shared" si="783"/>
        <v>7863.2184191855868</v>
      </c>
      <c r="K1025" s="25">
        <f t="shared" si="784"/>
        <v>20282.026119384056</v>
      </c>
      <c r="L1025" s="25"/>
      <c r="N1025" s="25">
        <f>'Combined Retirement'!$C$18/12</f>
        <v>39153.069999999992</v>
      </c>
      <c r="O1025" s="25">
        <f t="shared" si="785"/>
        <v>11007.82546143035</v>
      </c>
      <c r="P1025" s="25">
        <f t="shared" si="786"/>
        <v>28145.244538569641</v>
      </c>
      <c r="Q1025" s="25">
        <f t="array" aca="1" ref="Q1025" ca="1">INDEX('Isaac 401k'!L:L,MATCH('Retirement Calculator'!A1025,'Isaac 401k'!N:N,0),0)</f>
        <v>-10885135.149483839</v>
      </c>
      <c r="R1025" s="25">
        <f t="array" aca="1" ref="R1025" ca="1">INDEX('Lorri 401b'!L:L,MATCH('Retirement Calculator'!A1025,'Lorri 401b'!N:N,0),0)</f>
        <v>-27324209.602109134</v>
      </c>
      <c r="S1025" s="25">
        <f t="shared" ca="1" si="787"/>
        <v>-38209344.751592971</v>
      </c>
    </row>
    <row r="1026" spans="1:19" ht="15.75" customHeight="1" x14ac:dyDescent="0.3">
      <c r="A1026" s="37">
        <v>82182</v>
      </c>
      <c r="B1026" s="409">
        <f t="shared" ref="B1026:C1026" si="1037">($A1026-B$9)/365.25</f>
        <v>143.12388774811774</v>
      </c>
      <c r="C1026" s="409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3525.4531757812501</v>
      </c>
      <c r="H1026" s="25">
        <f>IF(B1026&lt;62,0,'Combined Retirement'!$I$14)</f>
        <v>2192</v>
      </c>
      <c r="I1026" s="25">
        <f>IF(C1026&lt;62,0,'Combined Retirement'!$I$13)</f>
        <v>2420</v>
      </c>
      <c r="J1026" s="25">
        <f t="shared" si="783"/>
        <v>7863.2184191855868</v>
      </c>
      <c r="K1026" s="25">
        <f t="shared" si="784"/>
        <v>20282.026119384056</v>
      </c>
      <c r="L1026" s="25"/>
      <c r="N1026" s="25">
        <f>'Combined Retirement'!$C$18/12</f>
        <v>39153.069999999992</v>
      </c>
      <c r="O1026" s="25">
        <f t="shared" si="785"/>
        <v>11007.82546143035</v>
      </c>
      <c r="P1026" s="25">
        <f t="shared" si="786"/>
        <v>28145.244538569641</v>
      </c>
      <c r="Q1026" s="25">
        <f t="array" aca="1" ref="Q1026" ca="1">INDEX('Isaac 401k'!L:L,MATCH('Retirement Calculator'!A1026,'Isaac 401k'!N:N,0),0)</f>
        <v>-10938385.86110262</v>
      </c>
      <c r="R1026" s="25">
        <f t="array" aca="1" ref="R1026" ca="1">INDEX('Lorri 401b'!L:L,MATCH('Retirement Calculator'!A1026,'Lorri 401b'!N:N,0),0)</f>
        <v>-27458427.010012805</v>
      </c>
      <c r="S1026" s="25">
        <f t="shared" ca="1" si="787"/>
        <v>-38396812.871115424</v>
      </c>
    </row>
    <row r="1027" spans="1:19" ht="15.75" customHeight="1" x14ac:dyDescent="0.3">
      <c r="A1027" s="37">
        <v>82213</v>
      </c>
      <c r="B1027" s="409">
        <f t="shared" ref="B1027:C1027" si="1038">($A1027-B$9)/365.25</f>
        <v>143.20876112251884</v>
      </c>
      <c r="C1027" s="409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3525.4531757812501</v>
      </c>
      <c r="H1027" s="25">
        <f>IF(B1027&lt;62,0,'Combined Retirement'!$I$14)</f>
        <v>2192</v>
      </c>
      <c r="I1027" s="25">
        <f>IF(C1027&lt;62,0,'Combined Retirement'!$I$13)</f>
        <v>2420</v>
      </c>
      <c r="J1027" s="25">
        <f t="shared" si="783"/>
        <v>7863.2184191855868</v>
      </c>
      <c r="K1027" s="25">
        <f t="shared" si="784"/>
        <v>20282.026119384056</v>
      </c>
      <c r="L1027" s="25"/>
      <c r="N1027" s="25">
        <f>'Combined Retirement'!$C$18/12</f>
        <v>39153.069999999992</v>
      </c>
      <c r="O1027" s="25">
        <f t="shared" si="785"/>
        <v>11007.82546143035</v>
      </c>
      <c r="P1027" s="25">
        <f t="shared" si="786"/>
        <v>28145.244538569641</v>
      </c>
      <c r="Q1027" s="25">
        <f t="array" aca="1" ref="Q1027" ca="1">INDEX('Isaac 401k'!L:L,MATCH('Retirement Calculator'!A1027,'Isaac 401k'!N:N,0),0)</f>
        <v>-10991858.450686479</v>
      </c>
      <c r="R1027" s="25">
        <f t="array" aca="1" ref="R1027" ca="1">INDEX('Lorri 401b'!L:L,MATCH('Retirement Calculator'!A1027,'Lorri 401b'!N:N,0),0)</f>
        <v>-27593203.657116074</v>
      </c>
      <c r="S1027" s="25">
        <f t="shared" ca="1" si="787"/>
        <v>-38585062.107802555</v>
      </c>
    </row>
    <row r="1028" spans="1:19" ht="15.75" customHeight="1" x14ac:dyDescent="0.3">
      <c r="A1028" s="37">
        <v>82241</v>
      </c>
      <c r="B1028" s="409">
        <f t="shared" ref="B1028:C1028" si="1039">($A1028-B$9)/365.25</f>
        <v>143.28542094455852</v>
      </c>
      <c r="C1028" s="409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3525.4531757812501</v>
      </c>
      <c r="H1028" s="25">
        <f>IF(B1028&lt;62,0,'Combined Retirement'!$I$14)</f>
        <v>2192</v>
      </c>
      <c r="I1028" s="25">
        <f>IF(C1028&lt;62,0,'Combined Retirement'!$I$13)</f>
        <v>2420</v>
      </c>
      <c r="J1028" s="25">
        <f t="shared" si="783"/>
        <v>7863.2184191855868</v>
      </c>
      <c r="K1028" s="25">
        <f t="shared" si="784"/>
        <v>20282.026119384056</v>
      </c>
      <c r="L1028" s="25"/>
      <c r="N1028" s="25">
        <f>'Combined Retirement'!$C$18/12</f>
        <v>39153.069999999992</v>
      </c>
      <c r="O1028" s="25">
        <f t="shared" si="785"/>
        <v>11007.82546143035</v>
      </c>
      <c r="P1028" s="25">
        <f t="shared" si="786"/>
        <v>28145.244538569641</v>
      </c>
      <c r="Q1028" s="25">
        <f t="array" aca="1" ref="Q1028" ca="1">INDEX('Isaac 401k'!L:L,MATCH('Retirement Calculator'!A1028,'Isaac 401k'!N:N,0),0)</f>
        <v>-11045553.842726938</v>
      </c>
      <c r="R1028" s="25">
        <f t="array" aca="1" ref="R1028" ca="1">INDEX('Lorri 401b'!L:L,MATCH('Retirement Calculator'!A1028,'Lorri 401b'!N:N,0),0)</f>
        <v>-27728541.873582274</v>
      </c>
      <c r="S1028" s="25">
        <f t="shared" ca="1" si="787"/>
        <v>-38774095.716309212</v>
      </c>
    </row>
    <row r="1029" spans="1:19" ht="15.75" customHeight="1" x14ac:dyDescent="0.3">
      <c r="A1029" s="37">
        <v>82272</v>
      </c>
      <c r="B1029" s="409">
        <f t="shared" ref="B1029:C1029" si="1040">($A1029-B$9)/365.25</f>
        <v>143.37029431895962</v>
      </c>
      <c r="C1029" s="409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3525.4531757812501</v>
      </c>
      <c r="H1029" s="25">
        <f>IF(B1029&lt;62,0,'Combined Retirement'!$I$14)</f>
        <v>2192</v>
      </c>
      <c r="I1029" s="25">
        <f>IF(C1029&lt;62,0,'Combined Retirement'!$I$13)</f>
        <v>2420</v>
      </c>
      <c r="J1029" s="25">
        <f t="shared" si="783"/>
        <v>7863.2184191855868</v>
      </c>
      <c r="K1029" s="25">
        <f t="shared" si="784"/>
        <v>20282.026119384056</v>
      </c>
      <c r="L1029" s="25"/>
      <c r="N1029" s="25">
        <f>'Combined Retirement'!$C$18/12</f>
        <v>39153.069999999992</v>
      </c>
      <c r="O1029" s="25">
        <f t="shared" si="785"/>
        <v>11007.82546143035</v>
      </c>
      <c r="P1029" s="25">
        <f t="shared" si="786"/>
        <v>28145.244538569641</v>
      </c>
      <c r="Q1029" s="25">
        <f t="array" aca="1" ref="Q1029" ca="1">INDEX('Isaac 401k'!L:L,MATCH('Retirement Calculator'!A1029,'Isaac 401k'!N:N,0),0)</f>
        <v>-11099472.965567565</v>
      </c>
      <c r="R1029" s="25">
        <f t="array" aca="1" ref="R1029" ca="1">INDEX('Lorri 401b'!L:L,MATCH('Retirement Calculator'!A1029,'Lorri 401b'!N:N,0),0)</f>
        <v>-27864443.99928375</v>
      </c>
      <c r="S1029" s="25">
        <f t="shared" ca="1" si="787"/>
        <v>-38963916.964851312</v>
      </c>
    </row>
    <row r="1030" spans="1:19" ht="15.75" customHeight="1" x14ac:dyDescent="0.3">
      <c r="A1030" s="37">
        <v>82302</v>
      </c>
      <c r="B1030" s="409">
        <f t="shared" ref="B1030:C1030" si="1041">($A1030-B$9)/365.25</f>
        <v>143.45242984257359</v>
      </c>
      <c r="C1030" s="409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3525.4531757812501</v>
      </c>
      <c r="H1030" s="25">
        <f>IF(B1030&lt;62,0,'Combined Retirement'!$I$14)</f>
        <v>2192</v>
      </c>
      <c r="I1030" s="25">
        <f>IF(C1030&lt;62,0,'Combined Retirement'!$I$13)</f>
        <v>2420</v>
      </c>
      <c r="J1030" s="25">
        <f t="shared" si="783"/>
        <v>7863.2184191855868</v>
      </c>
      <c r="K1030" s="25">
        <f t="shared" si="784"/>
        <v>20282.026119384056</v>
      </c>
      <c r="L1030" s="25"/>
      <c r="N1030" s="25">
        <f>'Combined Retirement'!$C$18/12</f>
        <v>39153.069999999992</v>
      </c>
      <c r="O1030" s="25">
        <f t="shared" si="785"/>
        <v>11007.82546143035</v>
      </c>
      <c r="P1030" s="25">
        <f t="shared" si="786"/>
        <v>28145.244538569641</v>
      </c>
      <c r="Q1030" s="25">
        <f t="array" aca="1" ref="Q1030" ca="1">INDEX('Isaac 401k'!L:L,MATCH('Retirement Calculator'!A1030,'Isaac 401k'!N:N,0),0)</f>
        <v>-11153616.751420029</v>
      </c>
      <c r="R1030" s="25">
        <f t="array" aca="1" ref="R1030" ca="1">INDEX('Lorri 401b'!L:L,MATCH('Retirement Calculator'!A1030,'Lorri 401b'!N:N,0),0)</f>
        <v>-28000912.383842316</v>
      </c>
      <c r="S1030" s="25">
        <f t="shared" ca="1" si="787"/>
        <v>-39154529.13526234</v>
      </c>
    </row>
    <row r="1031" spans="1:19" ht="15.75" customHeight="1" x14ac:dyDescent="0.3">
      <c r="A1031" s="37">
        <v>82333</v>
      </c>
      <c r="B1031" s="409">
        <f t="shared" ref="B1031:C1031" si="1042">($A1031-B$9)/365.25</f>
        <v>143.53730321697466</v>
      </c>
      <c r="C1031" s="409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3525.4531757812501</v>
      </c>
      <c r="H1031" s="25">
        <f>IF(B1031&lt;62,0,'Combined Retirement'!$I$14)</f>
        <v>2192</v>
      </c>
      <c r="I1031" s="25">
        <f>IF(C1031&lt;62,0,'Combined Retirement'!$I$13)</f>
        <v>2420</v>
      </c>
      <c r="J1031" s="25">
        <f t="shared" ref="J1031:J1171" si="1043">IF(C1031&lt;59.5,P1031,P1031*$J$7)</f>
        <v>7863.2184191855868</v>
      </c>
      <c r="K1031" s="25">
        <f t="shared" ref="K1031:K1171" si="1044">IF(C1031&lt;59.5,0,IF(C1031&lt;$B$7,0,P1031*$K$7))</f>
        <v>20282.026119384056</v>
      </c>
      <c r="L1031" s="25"/>
      <c r="N1031" s="25">
        <f>'Combined Retirement'!$C$18/12</f>
        <v>39153.069999999992</v>
      </c>
      <c r="O1031" s="25">
        <f t="shared" ref="O1031:O1171" si="1045">SUM(E1031:I1031)</f>
        <v>11007.82546143035</v>
      </c>
      <c r="P1031" s="25">
        <f t="shared" ref="P1031:P1171" si="1046">N1031-O1031</f>
        <v>28145.244538569641</v>
      </c>
      <c r="Q1031" s="25">
        <f t="array" aca="1" ref="Q1031" ca="1">INDEX('Isaac 401k'!L:L,MATCH('Retirement Calculator'!A1031,'Isaac 401k'!N:N,0),0)</f>
        <v>-11207986.136380211</v>
      </c>
      <c r="R1031" s="25">
        <f t="array" aca="1" ref="R1031" ca="1">INDEX('Lorri 401b'!L:L,MATCH('Retirement Calculator'!A1031,'Lorri 401b'!N:N,0),0)</f>
        <v>-28137949.386669874</v>
      </c>
      <c r="S1031" s="25">
        <f t="shared" ref="S1031:S1171" ca="1" si="1047">SUM(Q1031:R1031)</f>
        <v>-39345935.523050085</v>
      </c>
    </row>
    <row r="1032" spans="1:19" ht="15.75" customHeight="1" x14ac:dyDescent="0.3">
      <c r="A1032" s="37">
        <v>82363</v>
      </c>
      <c r="B1032" s="409">
        <f t="shared" ref="B1032:C1032" si="1048">($A1032-B$9)/365.25</f>
        <v>143.61943874058863</v>
      </c>
      <c r="C1032" s="409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3525.4531757812501</v>
      </c>
      <c r="H1032" s="25">
        <f>IF(B1032&lt;62,0,'Combined Retirement'!$I$14)</f>
        <v>2192</v>
      </c>
      <c r="I1032" s="25">
        <f>IF(C1032&lt;62,0,'Combined Retirement'!$I$13)</f>
        <v>2420</v>
      </c>
      <c r="J1032" s="25">
        <f t="shared" si="1043"/>
        <v>7863.2184191855868</v>
      </c>
      <c r="K1032" s="25">
        <f t="shared" si="1044"/>
        <v>20282.026119384056</v>
      </c>
      <c r="L1032" s="25"/>
      <c r="N1032" s="25">
        <f>'Combined Retirement'!$C$18/12</f>
        <v>39153.069999999992</v>
      </c>
      <c r="O1032" s="25">
        <f t="shared" si="1045"/>
        <v>11007.82546143035</v>
      </c>
      <c r="P1032" s="25">
        <f t="shared" si="1046"/>
        <v>28145.244538569641</v>
      </c>
      <c r="Q1032" s="25">
        <f t="array" aca="1" ref="Q1032" ca="1">INDEX('Isaac 401k'!L:L,MATCH('Retirement Calculator'!A1032,'Isaac 401k'!N:N,0),0)</f>
        <v>-11262582.060444392</v>
      </c>
      <c r="R1032" s="25">
        <f t="array" aca="1" ref="R1032" ca="1">INDEX('Lorri 401b'!L:L,MATCH('Retirement Calculator'!A1032,'Lorri 401b'!N:N,0),0)</f>
        <v>-28275557.377009213</v>
      </c>
      <c r="S1032" s="25">
        <f t="shared" ca="1" si="1047"/>
        <v>-39538139.437453605</v>
      </c>
    </row>
    <row r="1033" spans="1:19" ht="15.75" customHeight="1" x14ac:dyDescent="0.3">
      <c r="A1033" s="37">
        <v>82394</v>
      </c>
      <c r="B1033" s="409">
        <f t="shared" ref="B1033:C1033" si="1049">($A1033-B$9)/365.25</f>
        <v>143.70431211498973</v>
      </c>
      <c r="C1033" s="409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3525.4531757812501</v>
      </c>
      <c r="H1033" s="25">
        <f>IF(B1033&lt;62,0,'Combined Retirement'!$I$14)</f>
        <v>2192</v>
      </c>
      <c r="I1033" s="25">
        <f>IF(C1033&lt;62,0,'Combined Retirement'!$I$13)</f>
        <v>2420</v>
      </c>
      <c r="J1033" s="25">
        <f t="shared" si="1043"/>
        <v>7863.2184191855868</v>
      </c>
      <c r="K1033" s="25">
        <f t="shared" si="1044"/>
        <v>20282.026119384056</v>
      </c>
      <c r="L1033" s="25"/>
      <c r="N1033" s="25">
        <f>'Combined Retirement'!$C$18/12</f>
        <v>39153.069999999992</v>
      </c>
      <c r="O1033" s="25">
        <f t="shared" si="1045"/>
        <v>11007.82546143035</v>
      </c>
      <c r="P1033" s="25">
        <f t="shared" si="1046"/>
        <v>28145.244538569641</v>
      </c>
      <c r="Q1033" s="25">
        <f t="array" aca="1" ref="Q1033" ca="1">INDEX('Isaac 401k'!L:L,MATCH('Retirement Calculator'!A1033,'Isaac 401k'!N:N,0),0)</f>
        <v>-11317405.467525508</v>
      </c>
      <c r="R1033" s="25">
        <f t="array" aca="1" ref="R1033" ca="1">INDEX('Lorri 401b'!L:L,MATCH('Retirement Calculator'!A1033,'Lorri 401b'!N:N,0),0)</f>
        <v>-28413738.733974967</v>
      </c>
      <c r="S1033" s="25">
        <f t="shared" ca="1" si="1047"/>
        <v>-39731144.201500475</v>
      </c>
    </row>
    <row r="1034" spans="1:19" ht="15.75" customHeight="1" x14ac:dyDescent="0.3">
      <c r="A1034" s="37">
        <v>82425</v>
      </c>
      <c r="B1034" s="409">
        <f t="shared" ref="B1034:C1034" si="1050">($A1034-B$9)/365.25</f>
        <v>143.78918548939083</v>
      </c>
      <c r="C1034" s="409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3525.4531757812501</v>
      </c>
      <c r="H1034" s="25">
        <f>IF(B1034&lt;62,0,'Combined Retirement'!$I$14)</f>
        <v>2192</v>
      </c>
      <c r="I1034" s="25">
        <f>IF(C1034&lt;62,0,'Combined Retirement'!$I$13)</f>
        <v>2420</v>
      </c>
      <c r="J1034" s="25">
        <f t="shared" si="1043"/>
        <v>7863.2184191855868</v>
      </c>
      <c r="K1034" s="25">
        <f t="shared" si="1044"/>
        <v>20282.026119384056</v>
      </c>
      <c r="L1034" s="25"/>
      <c r="N1034" s="25">
        <f>'Combined Retirement'!$C$18/12</f>
        <v>39153.069999999992</v>
      </c>
      <c r="O1034" s="25">
        <f t="shared" si="1045"/>
        <v>11007.82546143035</v>
      </c>
      <c r="P1034" s="25">
        <f t="shared" si="1046"/>
        <v>28145.244538569641</v>
      </c>
      <c r="Q1034" s="25">
        <f t="array" aca="1" ref="Q1034" ca="1">INDEX('Isaac 401k'!L:L,MATCH('Retirement Calculator'!A1034,'Isaac 401k'!N:N,0),0)</f>
        <v>-11372457.305469463</v>
      </c>
      <c r="R1034" s="25">
        <f t="array" aca="1" ref="R1034" ca="1">INDEX('Lorri 401b'!L:L,MATCH('Retirement Calculator'!A1034,'Lorri 401b'!N:N,0),0)</f>
        <v>-28552495.846594743</v>
      </c>
      <c r="S1034" s="25">
        <f t="shared" ca="1" si="1047"/>
        <v>-39924953.152064204</v>
      </c>
    </row>
    <row r="1035" spans="1:19" ht="15.75" customHeight="1" x14ac:dyDescent="0.3">
      <c r="A1035" s="37">
        <v>82455</v>
      </c>
      <c r="B1035" s="409">
        <f t="shared" ref="B1035:C1035" si="1051">($A1035-B$9)/365.25</f>
        <v>143.8713210130048</v>
      </c>
      <c r="C1035" s="409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3525.4531757812501</v>
      </c>
      <c r="H1035" s="25">
        <f>IF(B1035&lt;62,0,'Combined Retirement'!$I$14)</f>
        <v>2192</v>
      </c>
      <c r="I1035" s="25">
        <f>IF(C1035&lt;62,0,'Combined Retirement'!$I$13)</f>
        <v>2420</v>
      </c>
      <c r="J1035" s="25">
        <f t="shared" si="1043"/>
        <v>7863.2184191855868</v>
      </c>
      <c r="K1035" s="25">
        <f t="shared" si="1044"/>
        <v>20282.026119384056</v>
      </c>
      <c r="L1035" s="25"/>
      <c r="N1035" s="25">
        <f>'Combined Retirement'!$C$18/12</f>
        <v>39153.069999999992</v>
      </c>
      <c r="O1035" s="25">
        <f t="shared" si="1045"/>
        <v>11007.82546143035</v>
      </c>
      <c r="P1035" s="25">
        <f t="shared" si="1046"/>
        <v>28145.244538569641</v>
      </c>
      <c r="Q1035" s="25">
        <f t="array" aca="1" ref="Q1035" ca="1">INDEX('Isaac 401k'!L:L,MATCH('Retirement Calculator'!A1035,'Isaac 401k'!N:N,0),0)</f>
        <v>-11427738.526071517</v>
      </c>
      <c r="R1035" s="25">
        <f t="array" aca="1" ref="R1035" ca="1">INDEX('Lorri 401b'!L:L,MATCH('Retirement Calculator'!A1035,'Lorri 401b'!N:N,0),0)</f>
        <v>-28691831.113850437</v>
      </c>
      <c r="S1035" s="25">
        <f t="shared" ca="1" si="1047"/>
        <v>-40119569.639921956</v>
      </c>
    </row>
    <row r="1036" spans="1:19" ht="15.75" customHeight="1" x14ac:dyDescent="0.3">
      <c r="A1036" s="37">
        <v>82486</v>
      </c>
      <c r="B1036" s="409">
        <f t="shared" ref="B1036:C1036" si="1052">($A1036-B$9)/365.25</f>
        <v>143.95619438740587</v>
      </c>
      <c r="C1036" s="409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3525.4531757812501</v>
      </c>
      <c r="H1036" s="25">
        <f>IF(B1036&lt;62,0,'Combined Retirement'!$I$14)</f>
        <v>2192</v>
      </c>
      <c r="I1036" s="25">
        <f>IF(C1036&lt;62,0,'Combined Retirement'!$I$13)</f>
        <v>2420</v>
      </c>
      <c r="J1036" s="25">
        <f t="shared" si="1043"/>
        <v>7863.2184191855868</v>
      </c>
      <c r="K1036" s="25">
        <f t="shared" si="1044"/>
        <v>20282.026119384056</v>
      </c>
      <c r="L1036" s="25"/>
      <c r="N1036" s="25">
        <f>'Combined Retirement'!$C$18/12</f>
        <v>39153.069999999992</v>
      </c>
      <c r="O1036" s="25">
        <f t="shared" si="1045"/>
        <v>11007.82546143035</v>
      </c>
      <c r="P1036" s="25">
        <f t="shared" si="1046"/>
        <v>28145.244538569641</v>
      </c>
      <c r="Q1036" s="25">
        <f t="array" aca="1" ref="Q1036" ca="1">INDEX('Isaac 401k'!L:L,MATCH('Retirement Calculator'!A1036,'Isaac 401k'!N:N,0),0)</f>
        <v>-11483250.085092746</v>
      </c>
      <c r="R1036" s="25">
        <f t="array" aca="1" ref="R1036" ca="1">INDEX('Lorri 401b'!L:L,MATCH('Retirement Calculator'!A1036,'Lorri 401b'!N:N,0),0)</f>
        <v>-28831746.944719695</v>
      </c>
      <c r="S1036" s="25">
        <f t="shared" ca="1" si="1047"/>
        <v>-40314997.02981244</v>
      </c>
    </row>
    <row r="1037" spans="1:19" ht="15.75" customHeight="1" x14ac:dyDescent="0.3">
      <c r="A1037" s="37">
        <v>82516</v>
      </c>
      <c r="B1037" s="409">
        <f t="shared" ref="B1037:C1037" si="1053">($A1037-B$9)/365.25</f>
        <v>144.03832991101984</v>
      </c>
      <c r="C1037" s="409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3525.4531757812501</v>
      </c>
      <c r="H1037" s="25">
        <f>IF(B1037&lt;62,0,'Combined Retirement'!$I$14)</f>
        <v>2192</v>
      </c>
      <c r="I1037" s="25">
        <f>IF(C1037&lt;62,0,'Combined Retirement'!$I$13)</f>
        <v>2420</v>
      </c>
      <c r="J1037" s="25">
        <f t="shared" si="1043"/>
        <v>7863.2184191855868</v>
      </c>
      <c r="K1037" s="25">
        <f t="shared" si="1044"/>
        <v>20282.026119384056</v>
      </c>
      <c r="L1037" s="25"/>
      <c r="N1037" s="25">
        <f>'Combined Retirement'!$C$18/12</f>
        <v>39153.069999999992</v>
      </c>
      <c r="O1037" s="25">
        <f t="shared" si="1045"/>
        <v>11007.82546143035</v>
      </c>
      <c r="P1037" s="25">
        <f t="shared" si="1046"/>
        <v>28145.244538569641</v>
      </c>
      <c r="Q1037" s="25">
        <f t="array" aca="1" ref="Q1037" ca="1">INDEX('Isaac 401k'!L:L,MATCH('Retirement Calculator'!A1037,'Isaac 401k'!N:N,0),0)</f>
        <v>-11538992.942276563</v>
      </c>
      <c r="R1037" s="25">
        <f t="array" aca="1" ref="R1037" ca="1">INDEX('Lorri 401b'!L:L,MATCH('Retirement Calculator'!A1037,'Lorri 401b'!N:N,0),0)</f>
        <v>-28972245.758217577</v>
      </c>
      <c r="S1037" s="25">
        <f t="shared" ca="1" si="1047"/>
        <v>-40511238.70049414</v>
      </c>
    </row>
    <row r="1038" spans="1:19" ht="15.75" customHeight="1" x14ac:dyDescent="0.3">
      <c r="A1038" s="37">
        <v>82547</v>
      </c>
      <c r="B1038" s="409">
        <f t="shared" ref="B1038:C1038" si="1054">($A1038-B$9)/365.25</f>
        <v>144.12320328542094</v>
      </c>
      <c r="C1038" s="409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3525.4531757812501</v>
      </c>
      <c r="H1038" s="25">
        <f>IF(B1038&lt;62,0,'Combined Retirement'!$I$14)</f>
        <v>2192</v>
      </c>
      <c r="I1038" s="25">
        <f>IF(C1038&lt;62,0,'Combined Retirement'!$I$13)</f>
        <v>2420</v>
      </c>
      <c r="J1038" s="25">
        <f t="shared" si="1043"/>
        <v>7863.2184191855868</v>
      </c>
      <c r="K1038" s="25">
        <f t="shared" si="1044"/>
        <v>20282.026119384056</v>
      </c>
      <c r="L1038" s="25"/>
      <c r="N1038" s="25">
        <f>'Combined Retirement'!$C$18/12</f>
        <v>39153.069999999992</v>
      </c>
      <c r="O1038" s="25">
        <f t="shared" si="1045"/>
        <v>11007.82546143035</v>
      </c>
      <c r="P1038" s="25">
        <f t="shared" si="1046"/>
        <v>28145.244538569641</v>
      </c>
      <c r="Q1038" s="25">
        <f t="array" aca="1" ref="Q1038" ca="1">INDEX('Isaac 401k'!L:L,MATCH('Retirement Calculator'!A1038,'Isaac 401k'!N:N,0),0)</f>
        <v>-11594968.061365314</v>
      </c>
      <c r="R1038" s="25">
        <f t="array" aca="1" ref="R1038" ca="1">INDEX('Lorri 401b'!L:L,MATCH('Retirement Calculator'!A1038,'Lorri 401b'!N:N,0),0)</f>
        <v>-29113329.983438365</v>
      </c>
      <c r="S1038" s="25">
        <f t="shared" ca="1" si="1047"/>
        <v>-40708298.044803679</v>
      </c>
    </row>
    <row r="1039" spans="1:19" ht="15.75" customHeight="1" x14ac:dyDescent="0.3">
      <c r="A1039" s="37">
        <v>82578</v>
      </c>
      <c r="B1039" s="409">
        <f t="shared" ref="B1039:C1039" si="1055">($A1039-B$9)/365.25</f>
        <v>144.20807665982204</v>
      </c>
      <c r="C1039" s="409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3525.4531757812501</v>
      </c>
      <c r="H1039" s="25">
        <f>IF(B1039&lt;62,0,'Combined Retirement'!$I$14)</f>
        <v>2192</v>
      </c>
      <c r="I1039" s="25">
        <f>IF(C1039&lt;62,0,'Combined Retirement'!$I$13)</f>
        <v>2420</v>
      </c>
      <c r="J1039" s="25">
        <f t="shared" si="1043"/>
        <v>7863.2184191855868</v>
      </c>
      <c r="K1039" s="25">
        <f t="shared" si="1044"/>
        <v>20282.026119384056</v>
      </c>
      <c r="L1039" s="25"/>
      <c r="N1039" s="25">
        <f>'Combined Retirement'!$C$18/12</f>
        <v>39153.069999999992</v>
      </c>
      <c r="O1039" s="25">
        <f t="shared" si="1045"/>
        <v>11007.82546143035</v>
      </c>
      <c r="P1039" s="25">
        <f t="shared" si="1046"/>
        <v>28145.244538569641</v>
      </c>
      <c r="Q1039" s="25">
        <f t="array" aca="1" ref="Q1039" ca="1">INDEX('Isaac 401k'!L:L,MATCH('Retirement Calculator'!A1039,'Isaac 401k'!N:N,0),0)</f>
        <v>-11651176.410116933</v>
      </c>
      <c r="R1039" s="25">
        <f t="array" aca="1" ref="R1039" ca="1">INDEX('Lorri 401b'!L:L,MATCH('Retirement Calculator'!A1039,'Lorri 401b'!N:N,0),0)</f>
        <v>-29255002.059597574</v>
      </c>
      <c r="S1039" s="25">
        <f t="shared" ca="1" si="1047"/>
        <v>-40906178.469714507</v>
      </c>
    </row>
    <row r="1040" spans="1:19" ht="15.75" customHeight="1" x14ac:dyDescent="0.3">
      <c r="A1040" s="37">
        <v>82606</v>
      </c>
      <c r="B1040" s="409">
        <f t="shared" ref="B1040:C1040" si="1056">($A1040-B$9)/365.25</f>
        <v>144.28473648186173</v>
      </c>
      <c r="C1040" s="409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3525.4531757812501</v>
      </c>
      <c r="H1040" s="25">
        <f>IF(B1040&lt;62,0,'Combined Retirement'!$I$14)</f>
        <v>2192</v>
      </c>
      <c r="I1040" s="25">
        <f>IF(C1040&lt;62,0,'Combined Retirement'!$I$13)</f>
        <v>2420</v>
      </c>
      <c r="J1040" s="25">
        <f t="shared" si="1043"/>
        <v>7863.2184191855868</v>
      </c>
      <c r="K1040" s="25">
        <f t="shared" si="1044"/>
        <v>20282.026119384056</v>
      </c>
      <c r="L1040" s="25"/>
      <c r="N1040" s="25">
        <f>'Combined Retirement'!$C$18/12</f>
        <v>39153.069999999992</v>
      </c>
      <c r="O1040" s="25">
        <f t="shared" si="1045"/>
        <v>11007.82546143035</v>
      </c>
      <c r="P1040" s="25">
        <f t="shared" si="1046"/>
        <v>28145.244538569641</v>
      </c>
      <c r="Q1040" s="25">
        <f t="array" aca="1" ref="Q1040" ca="1">INDEX('Isaac 401k'!L:L,MATCH('Retirement Calculator'!A1040,'Isaac 401k'!N:N,0),0)</f>
        <v>-11707618.960321685</v>
      </c>
      <c r="R1040" s="25">
        <f t="array" aca="1" ref="R1040" ca="1">INDEX('Lorri 401b'!L:L,MATCH('Retirement Calculator'!A1040,'Lorri 401b'!N:N,0),0)</f>
        <v>-29397264.436074112</v>
      </c>
      <c r="S1040" s="25">
        <f t="shared" ca="1" si="1047"/>
        <v>-41104883.396395795</v>
      </c>
    </row>
    <row r="1041" spans="1:19" ht="15.75" customHeight="1" x14ac:dyDescent="0.3">
      <c r="A1041" s="37">
        <v>82637</v>
      </c>
      <c r="B1041" s="409">
        <f t="shared" ref="B1041:C1041" si="1057">($A1041-B$9)/365.25</f>
        <v>144.36960985626283</v>
      </c>
      <c r="C1041" s="409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3525.4531757812501</v>
      </c>
      <c r="H1041" s="25">
        <f>IF(B1041&lt;62,0,'Combined Retirement'!$I$14)</f>
        <v>2192</v>
      </c>
      <c r="I1041" s="25">
        <f>IF(C1041&lt;62,0,'Combined Retirement'!$I$13)</f>
        <v>2420</v>
      </c>
      <c r="J1041" s="25">
        <f t="shared" si="1043"/>
        <v>7863.2184191855868</v>
      </c>
      <c r="K1041" s="25">
        <f t="shared" si="1044"/>
        <v>20282.026119384056</v>
      </c>
      <c r="L1041" s="25"/>
      <c r="N1041" s="25">
        <f>'Combined Retirement'!$C$18/12</f>
        <v>39153.069999999992</v>
      </c>
      <c r="O1041" s="25">
        <f t="shared" si="1045"/>
        <v>11007.82546143035</v>
      </c>
      <c r="P1041" s="25">
        <f t="shared" si="1046"/>
        <v>28145.244538569641</v>
      </c>
      <c r="Q1041" s="25">
        <f t="array" aca="1" ref="Q1041" ca="1">INDEX('Isaac 401k'!L:L,MATCH('Retirement Calculator'!A1041,'Isaac 401k'!N:N,0),0)</f>
        <v>-11764296.687818957</v>
      </c>
      <c r="R1041" s="25">
        <f t="array" aca="1" ref="R1041" ca="1">INDEX('Lorri 401b'!L:L,MATCH('Retirement Calculator'!A1041,'Lorri 401b'!N:N,0),0)</f>
        <v>-29540119.572452635</v>
      </c>
      <c r="S1041" s="25">
        <f t="shared" ca="1" si="1047"/>
        <v>-41304416.260271594</v>
      </c>
    </row>
    <row r="1042" spans="1:19" ht="15.75" customHeight="1" x14ac:dyDescent="0.3">
      <c r="A1042" s="37">
        <v>82667</v>
      </c>
      <c r="B1042" s="409">
        <f t="shared" ref="B1042:C1042" si="1058">($A1042-B$9)/365.25</f>
        <v>144.4517453798768</v>
      </c>
      <c r="C1042" s="409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3525.4531757812501</v>
      </c>
      <c r="H1042" s="25">
        <f>IF(B1042&lt;62,0,'Combined Retirement'!$I$14)</f>
        <v>2192</v>
      </c>
      <c r="I1042" s="25">
        <f>IF(C1042&lt;62,0,'Combined Retirement'!$I$13)</f>
        <v>2420</v>
      </c>
      <c r="J1042" s="25">
        <f t="shared" si="1043"/>
        <v>7863.2184191855868</v>
      </c>
      <c r="K1042" s="25">
        <f t="shared" si="1044"/>
        <v>20282.026119384056</v>
      </c>
      <c r="L1042" s="25"/>
      <c r="N1042" s="25">
        <f>'Combined Retirement'!$C$18/12</f>
        <v>39153.069999999992</v>
      </c>
      <c r="O1042" s="25">
        <f t="shared" si="1045"/>
        <v>11007.82546143035</v>
      </c>
      <c r="P1042" s="25">
        <f t="shared" si="1046"/>
        <v>28145.244538569641</v>
      </c>
      <c r="Q1042" s="25">
        <f t="array" aca="1" ref="Q1042" ca="1">INDEX('Isaac 401k'!L:L,MATCH('Retirement Calculator'!A1042,'Isaac 401k'!N:N,0),0)</f>
        <v>-11821210.572514135</v>
      </c>
      <c r="R1042" s="25">
        <f t="array" aca="1" ref="R1042" ca="1">INDEX('Lorri 401b'!L:L,MATCH('Retirement Calculator'!A1042,'Lorri 401b'!N:N,0),0)</f>
        <v>-29683569.93856607</v>
      </c>
      <c r="S1042" s="25">
        <f t="shared" ca="1" si="1047"/>
        <v>-41504780.511080205</v>
      </c>
    </row>
    <row r="1043" spans="1:19" ht="15.75" customHeight="1" x14ac:dyDescent="0.3">
      <c r="A1043" s="37">
        <v>82698</v>
      </c>
      <c r="B1043" s="409">
        <f t="shared" ref="B1043:C1043" si="1059">($A1043-B$9)/365.25</f>
        <v>144.5366187542779</v>
      </c>
      <c r="C1043" s="409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3525.4531757812501</v>
      </c>
      <c r="H1043" s="25">
        <f>IF(B1043&lt;62,0,'Combined Retirement'!$I$14)</f>
        <v>2192</v>
      </c>
      <c r="I1043" s="25">
        <f>IF(C1043&lt;62,0,'Combined Retirement'!$I$13)</f>
        <v>2420</v>
      </c>
      <c r="J1043" s="25">
        <f t="shared" si="1043"/>
        <v>7863.2184191855868</v>
      </c>
      <c r="K1043" s="25">
        <f t="shared" si="1044"/>
        <v>20282.026119384056</v>
      </c>
      <c r="L1043" s="25"/>
      <c r="N1043" s="25">
        <f>'Combined Retirement'!$C$18/12</f>
        <v>39153.069999999992</v>
      </c>
      <c r="O1043" s="25">
        <f t="shared" si="1045"/>
        <v>11007.82546143035</v>
      </c>
      <c r="P1043" s="25">
        <f t="shared" si="1046"/>
        <v>28145.244538569641</v>
      </c>
      <c r="Q1043" s="25">
        <f t="array" aca="1" ref="Q1043" ca="1">INDEX('Isaac 401k'!L:L,MATCH('Retirement Calculator'!A1043,'Isaac 401k'!N:N,0),0)</f>
        <v>-11878361.598395543</v>
      </c>
      <c r="R1043" s="25">
        <f t="array" aca="1" ref="R1043" ca="1">INDEX('Lorri 401b'!L:L,MATCH('Retirement Calculator'!A1043,'Lorri 401b'!N:N,0),0)</f>
        <v>-29827618.01453831</v>
      </c>
      <c r="S1043" s="25">
        <f t="shared" ca="1" si="1047"/>
        <v>-41705979.612933852</v>
      </c>
    </row>
    <row r="1044" spans="1:19" ht="15.75" customHeight="1" x14ac:dyDescent="0.3">
      <c r="A1044" s="37">
        <v>82728</v>
      </c>
      <c r="B1044" s="409">
        <f t="shared" ref="B1044:C1044" si="1060">($A1044-B$9)/365.25</f>
        <v>144.61875427789187</v>
      </c>
      <c r="C1044" s="409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3525.4531757812501</v>
      </c>
      <c r="H1044" s="25">
        <f>IF(B1044&lt;62,0,'Combined Retirement'!$I$14)</f>
        <v>2192</v>
      </c>
      <c r="I1044" s="25">
        <f>IF(C1044&lt;62,0,'Combined Retirement'!$I$13)</f>
        <v>2420</v>
      </c>
      <c r="J1044" s="25">
        <f t="shared" si="1043"/>
        <v>7863.2184191855868</v>
      </c>
      <c r="K1044" s="25">
        <f t="shared" si="1044"/>
        <v>20282.026119384056</v>
      </c>
      <c r="L1044" s="25"/>
      <c r="N1044" s="25">
        <f>'Combined Retirement'!$C$18/12</f>
        <v>39153.069999999992</v>
      </c>
      <c r="O1044" s="25">
        <f t="shared" si="1045"/>
        <v>11007.82546143035</v>
      </c>
      <c r="P1044" s="25">
        <f t="shared" si="1046"/>
        <v>28145.244538569641</v>
      </c>
      <c r="Q1044" s="25">
        <f t="array" aca="1" ref="Q1044" ca="1">INDEX('Isaac 401k'!L:L,MATCH('Retirement Calculator'!A1044,'Isaac 401k'!N:N,0),0)</f>
        <v>-11935750.753551455</v>
      </c>
      <c r="R1044" s="25">
        <f t="array" aca="1" ref="R1044" ca="1">INDEX('Lorri 401b'!L:L,MATCH('Retirement Calculator'!A1044,'Lorri 401b'!N:N,0),0)</f>
        <v>-29972266.290827103</v>
      </c>
      <c r="S1044" s="25">
        <f t="shared" ca="1" si="1047"/>
        <v>-41908017.044378556</v>
      </c>
    </row>
    <row r="1045" spans="1:19" ht="15.75" customHeight="1" x14ac:dyDescent="0.3">
      <c r="A1045" s="37">
        <v>82759</v>
      </c>
      <c r="B1045" s="409">
        <f t="shared" ref="B1045:C1045" si="1061">($A1045-B$9)/365.25</f>
        <v>144.70362765229294</v>
      </c>
      <c r="C1045" s="409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3525.4531757812501</v>
      </c>
      <c r="H1045" s="25">
        <f>IF(B1045&lt;62,0,'Combined Retirement'!$I$14)</f>
        <v>2192</v>
      </c>
      <c r="I1045" s="25">
        <f>IF(C1045&lt;62,0,'Combined Retirement'!$I$13)</f>
        <v>2420</v>
      </c>
      <c r="J1045" s="25">
        <f t="shared" si="1043"/>
        <v>7863.2184191855868</v>
      </c>
      <c r="K1045" s="25">
        <f t="shared" si="1044"/>
        <v>20282.026119384056</v>
      </c>
      <c r="L1045" s="25"/>
      <c r="N1045" s="25">
        <f>'Combined Retirement'!$C$18/12</f>
        <v>39153.069999999992</v>
      </c>
      <c r="O1045" s="25">
        <f t="shared" si="1045"/>
        <v>11007.82546143035</v>
      </c>
      <c r="P1045" s="25">
        <f t="shared" si="1046"/>
        <v>28145.244538569641</v>
      </c>
      <c r="Q1045" s="25">
        <f t="array" aca="1" ref="Q1045" ca="1">INDEX('Isaac 401k'!L:L,MATCH('Retirement Calculator'!A1045,'Isaac 401k'!N:N,0),0)</f>
        <v>-11993379.030187184</v>
      </c>
      <c r="R1045" s="25">
        <f t="array" aca="1" ref="R1045" ca="1">INDEX('Lorri 401b'!L:L,MATCH('Retirement Calculator'!A1045,'Lorri 401b'!N:N,0),0)</f>
        <v>-30117517.268267099</v>
      </c>
      <c r="S1045" s="25">
        <f t="shared" ca="1" si="1047"/>
        <v>-42110896.298454285</v>
      </c>
    </row>
    <row r="1046" spans="1:19" ht="15.75" customHeight="1" x14ac:dyDescent="0.3">
      <c r="A1046" s="37">
        <v>82790</v>
      </c>
      <c r="B1046" s="409">
        <f t="shared" ref="B1046:C1046" si="1062">($A1046-B$9)/365.25</f>
        <v>144.78850102669404</v>
      </c>
      <c r="C1046" s="409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3525.4531757812501</v>
      </c>
      <c r="H1046" s="25">
        <f>IF(B1046&lt;62,0,'Combined Retirement'!$I$14)</f>
        <v>2192</v>
      </c>
      <c r="I1046" s="25">
        <f>IF(C1046&lt;62,0,'Combined Retirement'!$I$13)</f>
        <v>2420</v>
      </c>
      <c r="J1046" s="25">
        <f t="shared" si="1043"/>
        <v>7863.2184191855868</v>
      </c>
      <c r="K1046" s="25">
        <f t="shared" si="1044"/>
        <v>20282.026119384056</v>
      </c>
      <c r="L1046" s="25"/>
      <c r="N1046" s="25">
        <f>'Combined Retirement'!$C$18/12</f>
        <v>39153.069999999992</v>
      </c>
      <c r="O1046" s="25">
        <f t="shared" si="1045"/>
        <v>11007.82546143035</v>
      </c>
      <c r="P1046" s="25">
        <f t="shared" si="1046"/>
        <v>28145.244538569641</v>
      </c>
      <c r="Q1046" s="25">
        <f t="array" aca="1" ref="Q1046" ca="1">INDEX('Isaac 401k'!L:L,MATCH('Retirement Calculator'!A1046,'Isaac 401k'!N:N,0),0)</f>
        <v>-12051247.424642229</v>
      </c>
      <c r="R1046" s="25">
        <f t="array" aca="1" ref="R1046" ca="1">INDEX('Lorri 401b'!L:L,MATCH('Retirement Calculator'!A1046,'Lorri 401b'!N:N,0),0)</f>
        <v>-30263373.458113093</v>
      </c>
      <c r="S1046" s="25">
        <f t="shared" ca="1" si="1047"/>
        <v>-42314620.882755324</v>
      </c>
    </row>
    <row r="1047" spans="1:19" ht="15.75" customHeight="1" x14ac:dyDescent="0.3">
      <c r="A1047" s="37">
        <v>82820</v>
      </c>
      <c r="B1047" s="409">
        <f t="shared" ref="B1047:C1047" si="1063">($A1047-B$9)/365.25</f>
        <v>144.87063655030801</v>
      </c>
      <c r="C1047" s="409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3525.4531757812501</v>
      </c>
      <c r="H1047" s="25">
        <f>IF(B1047&lt;62,0,'Combined Retirement'!$I$14)</f>
        <v>2192</v>
      </c>
      <c r="I1047" s="25">
        <f>IF(C1047&lt;62,0,'Combined Retirement'!$I$13)</f>
        <v>2420</v>
      </c>
      <c r="J1047" s="25">
        <f t="shared" si="1043"/>
        <v>7863.2184191855868</v>
      </c>
      <c r="K1047" s="25">
        <f t="shared" si="1044"/>
        <v>20282.026119384056</v>
      </c>
      <c r="L1047" s="25"/>
      <c r="N1047" s="25">
        <f>'Combined Retirement'!$C$18/12</f>
        <v>39153.069999999992</v>
      </c>
      <c r="O1047" s="25">
        <f t="shared" si="1045"/>
        <v>11007.82546143035</v>
      </c>
      <c r="P1047" s="25">
        <f t="shared" si="1046"/>
        <v>28145.244538569641</v>
      </c>
      <c r="Q1047" s="25">
        <f t="array" aca="1" ref="Q1047" ca="1">INDEX('Isaac 401k'!L:L,MATCH('Retirement Calculator'!A1047,'Isaac 401k'!N:N,0),0)</f>
        <v>-12109356.937407503</v>
      </c>
      <c r="R1047" s="25">
        <f t="array" aca="1" ref="R1047" ca="1">INDEX('Lorri 401b'!L:L,MATCH('Retirement Calculator'!A1047,'Lorri 401b'!N:N,0),0)</f>
        <v>-30409837.382083446</v>
      </c>
      <c r="S1047" s="25">
        <f t="shared" ca="1" si="1047"/>
        <v>-42519194.319490947</v>
      </c>
    </row>
    <row r="1048" spans="1:19" ht="15.75" customHeight="1" x14ac:dyDescent="0.3">
      <c r="A1048" s="37">
        <v>82851</v>
      </c>
      <c r="B1048" s="409">
        <f t="shared" ref="B1048:C1048" si="1064">($A1048-B$9)/365.25</f>
        <v>144.95550992470911</v>
      </c>
      <c r="C1048" s="409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3525.4531757812501</v>
      </c>
      <c r="H1048" s="25">
        <f>IF(B1048&lt;62,0,'Combined Retirement'!$I$14)</f>
        <v>2192</v>
      </c>
      <c r="I1048" s="25">
        <f>IF(C1048&lt;62,0,'Combined Retirement'!$I$13)</f>
        <v>2420</v>
      </c>
      <c r="J1048" s="25">
        <f t="shared" si="1043"/>
        <v>7863.2184191855868</v>
      </c>
      <c r="K1048" s="25">
        <f t="shared" si="1044"/>
        <v>20282.026119384056</v>
      </c>
      <c r="L1048" s="25"/>
      <c r="N1048" s="25">
        <f>'Combined Retirement'!$C$18/12</f>
        <v>39153.069999999992</v>
      </c>
      <c r="O1048" s="25">
        <f t="shared" si="1045"/>
        <v>11007.82546143035</v>
      </c>
      <c r="P1048" s="25">
        <f t="shared" si="1046"/>
        <v>28145.244538569641</v>
      </c>
      <c r="Q1048" s="25">
        <f t="array" aca="1" ref="Q1048" ca="1">INDEX('Isaac 401k'!L:L,MATCH('Retirement Calculator'!A1048,'Isaac 401k'!N:N,0),0)</f>
        <v>-12167708.573142633</v>
      </c>
      <c r="R1048" s="25">
        <f t="array" aca="1" ref="R1048" ca="1">INDEX('Lorri 401b'!L:L,MATCH('Retirement Calculator'!A1048,'Lorri 401b'!N:N,0),0)</f>
        <v>-30556911.572403677</v>
      </c>
      <c r="S1048" s="25">
        <f t="shared" ca="1" si="1047"/>
        <v>-42724620.14554631</v>
      </c>
    </row>
    <row r="1049" spans="1:19" ht="15.75" customHeight="1" x14ac:dyDescent="0.3">
      <c r="A1049" s="37">
        <v>82881</v>
      </c>
      <c r="B1049" s="409">
        <f t="shared" ref="B1049:C1049" si="1065">($A1049-B$9)/365.25</f>
        <v>145.03764544832308</v>
      </c>
      <c r="C1049" s="409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3525.4531757812501</v>
      </c>
      <c r="H1049" s="25">
        <f>IF(B1049&lt;62,0,'Combined Retirement'!$I$14)</f>
        <v>2192</v>
      </c>
      <c r="I1049" s="25">
        <f>IF(C1049&lt;62,0,'Combined Retirement'!$I$13)</f>
        <v>2420</v>
      </c>
      <c r="J1049" s="25">
        <f t="shared" si="1043"/>
        <v>7863.2184191855868</v>
      </c>
      <c r="K1049" s="25">
        <f t="shared" si="1044"/>
        <v>20282.026119384056</v>
      </c>
      <c r="L1049" s="25"/>
      <c r="N1049" s="25">
        <f>'Combined Retirement'!$C$18/12</f>
        <v>39153.069999999992</v>
      </c>
      <c r="O1049" s="25">
        <f t="shared" si="1045"/>
        <v>11007.82546143035</v>
      </c>
      <c r="P1049" s="25">
        <f t="shared" si="1046"/>
        <v>28145.244538569641</v>
      </c>
      <c r="Q1049" s="25">
        <f t="array" aca="1" ref="Q1049" ca="1">INDEX('Isaac 401k'!L:L,MATCH('Retirement Calculator'!A1049,'Isaac 401k'!N:N,0),0)</f>
        <v>-12226303.340693325</v>
      </c>
      <c r="R1049" s="25">
        <f t="array" aca="1" ref="R1049" ca="1">INDEX('Lorri 401b'!L:L,MATCH('Retirement Calculator'!A1049,'Lorri 401b'!N:N,0),0)</f>
        <v>-30704598.57185024</v>
      </c>
      <c r="S1049" s="25">
        <f t="shared" ca="1" si="1047"/>
        <v>-42930901.912543565</v>
      </c>
    </row>
    <row r="1050" spans="1:19" ht="15.75" customHeight="1" x14ac:dyDescent="0.3">
      <c r="A1050" s="37">
        <v>82912</v>
      </c>
      <c r="B1050" s="409">
        <f t="shared" ref="B1050:C1050" si="1066">($A1050-B$9)/365.25</f>
        <v>145.12251882272417</v>
      </c>
      <c r="C1050" s="409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3525.4531757812501</v>
      </c>
      <c r="H1050" s="25">
        <f>IF(B1050&lt;62,0,'Combined Retirement'!$I$14)</f>
        <v>2192</v>
      </c>
      <c r="I1050" s="25">
        <f>IF(C1050&lt;62,0,'Combined Retirement'!$I$13)</f>
        <v>2420</v>
      </c>
      <c r="J1050" s="25">
        <f t="shared" si="1043"/>
        <v>7863.2184191855868</v>
      </c>
      <c r="K1050" s="25">
        <f t="shared" si="1044"/>
        <v>20282.026119384056</v>
      </c>
      <c r="L1050" s="25"/>
      <c r="N1050" s="25">
        <f>'Combined Retirement'!$C$18/12</f>
        <v>39153.069999999992</v>
      </c>
      <c r="O1050" s="25">
        <f t="shared" si="1045"/>
        <v>11007.82546143035</v>
      </c>
      <c r="P1050" s="25">
        <f t="shared" si="1046"/>
        <v>28145.244538569641</v>
      </c>
      <c r="Q1050" s="25">
        <f t="array" aca="1" ref="Q1050" ca="1">INDEX('Isaac 401k'!L:L,MATCH('Retirement Calculator'!A1050,'Isaac 401k'!N:N,0),0)</f>
        <v>-12285142.253108812</v>
      </c>
      <c r="R1050" s="25">
        <f t="array" aca="1" ref="R1050" ca="1">INDEX('Lorri 401b'!L:L,MATCH('Retirement Calculator'!A1050,'Lorri 401b'!N:N,0),0)</f>
        <v>-30852900.933794498</v>
      </c>
      <c r="S1050" s="25">
        <f t="shared" ca="1" si="1047"/>
        <v>-43138043.186903313</v>
      </c>
    </row>
    <row r="1051" spans="1:19" ht="15.75" customHeight="1" x14ac:dyDescent="0.3">
      <c r="A1051" s="37">
        <v>82943</v>
      </c>
      <c r="B1051" s="409">
        <f t="shared" ref="B1051:C1051" si="1067">($A1051-B$9)/365.25</f>
        <v>145.20739219712524</v>
      </c>
      <c r="C1051" s="409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3525.4531757812501</v>
      </c>
      <c r="H1051" s="25">
        <f>IF(B1051&lt;62,0,'Combined Retirement'!$I$14)</f>
        <v>2192</v>
      </c>
      <c r="I1051" s="25">
        <f>IF(C1051&lt;62,0,'Combined Retirement'!$I$13)</f>
        <v>2420</v>
      </c>
      <c r="J1051" s="25">
        <f t="shared" si="1043"/>
        <v>7863.2184191855868</v>
      </c>
      <c r="K1051" s="25">
        <f t="shared" si="1044"/>
        <v>20282.026119384056</v>
      </c>
      <c r="L1051" s="25"/>
      <c r="N1051" s="25">
        <f>'Combined Retirement'!$C$18/12</f>
        <v>39153.069999999992</v>
      </c>
      <c r="O1051" s="25">
        <f t="shared" si="1045"/>
        <v>11007.82546143035</v>
      </c>
      <c r="P1051" s="25">
        <f t="shared" si="1046"/>
        <v>28145.244538569641</v>
      </c>
      <c r="Q1051" s="25">
        <f t="array" aca="1" ref="Q1051" ca="1">INDEX('Isaac 401k'!L:L,MATCH('Retirement Calculator'!A1051,'Isaac 401k'!N:N,0),0)</f>
        <v>-12344226.327659365</v>
      </c>
      <c r="R1051" s="25">
        <f t="array" aca="1" ref="R1051" ca="1">INDEX('Lorri 401b'!L:L,MATCH('Retirement Calculator'!A1051,'Lorri 401b'!N:N,0),0)</f>
        <v>-31001821.222246859</v>
      </c>
      <c r="S1051" s="25">
        <f t="shared" ca="1" si="1047"/>
        <v>-43346047.549906224</v>
      </c>
    </row>
    <row r="1052" spans="1:19" ht="15.75" customHeight="1" x14ac:dyDescent="0.3">
      <c r="A1052" s="37">
        <v>82971</v>
      </c>
      <c r="B1052" s="409">
        <f t="shared" ref="B1052:C1052" si="1068">($A1052-B$9)/365.25</f>
        <v>145.28405201916496</v>
      </c>
      <c r="C1052" s="409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3525.4531757812501</v>
      </c>
      <c r="H1052" s="25">
        <f>IF(B1052&lt;62,0,'Combined Retirement'!$I$14)</f>
        <v>2192</v>
      </c>
      <c r="I1052" s="25">
        <f>IF(C1052&lt;62,0,'Combined Retirement'!$I$13)</f>
        <v>2420</v>
      </c>
      <c r="J1052" s="25">
        <f t="shared" si="1043"/>
        <v>7863.2184191855868</v>
      </c>
      <c r="K1052" s="25">
        <f t="shared" si="1044"/>
        <v>20282.026119384056</v>
      </c>
      <c r="L1052" s="25"/>
      <c r="N1052" s="25">
        <f>'Combined Retirement'!$C$18/12</f>
        <v>39153.069999999992</v>
      </c>
      <c r="O1052" s="25">
        <f t="shared" si="1045"/>
        <v>11007.82546143035</v>
      </c>
      <c r="P1052" s="25">
        <f t="shared" si="1046"/>
        <v>28145.244538569641</v>
      </c>
      <c r="Q1052" s="25">
        <f t="array" aca="1" ref="Q1052" ca="1">INDEX('Isaac 401k'!L:L,MATCH('Retirement Calculator'!A1052,'Isaac 401k'!N:N,0),0)</f>
        <v>-12403556.585853877</v>
      </c>
      <c r="R1052" s="25">
        <f t="array" aca="1" ref="R1052" ca="1">INDEX('Lorri 401b'!L:L,MATCH('Retirement Calculator'!A1052,'Lorri 401b'!N:N,0),0)</f>
        <v>-31151362.011901103</v>
      </c>
      <c r="S1052" s="25">
        <f t="shared" ca="1" si="1047"/>
        <v>-43554918.597754978</v>
      </c>
    </row>
    <row r="1053" spans="1:19" ht="15.75" customHeight="1" x14ac:dyDescent="0.3">
      <c r="A1053" s="37">
        <v>83002</v>
      </c>
      <c r="B1053" s="409">
        <f t="shared" ref="B1053:C1053" si="1069">($A1053-B$9)/365.25</f>
        <v>145.36892539356606</v>
      </c>
      <c r="C1053" s="409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3525.4531757812501</v>
      </c>
      <c r="H1053" s="25">
        <f>IF(B1053&lt;62,0,'Combined Retirement'!$I$14)</f>
        <v>2192</v>
      </c>
      <c r="I1053" s="25">
        <f>IF(C1053&lt;62,0,'Combined Retirement'!$I$13)</f>
        <v>2420</v>
      </c>
      <c r="J1053" s="25">
        <f t="shared" si="1043"/>
        <v>7863.2184191855868</v>
      </c>
      <c r="K1053" s="25">
        <f t="shared" si="1044"/>
        <v>20282.026119384056</v>
      </c>
      <c r="L1053" s="25"/>
      <c r="N1053" s="25">
        <f>'Combined Retirement'!$C$18/12</f>
        <v>39153.069999999992</v>
      </c>
      <c r="O1053" s="25">
        <f t="shared" si="1045"/>
        <v>11007.82546143035</v>
      </c>
      <c r="P1053" s="25">
        <f t="shared" si="1046"/>
        <v>28145.244538569641</v>
      </c>
      <c r="Q1053" s="25">
        <f t="array" aca="1" ref="Q1053" ca="1">INDEX('Isaac 401k'!L:L,MATCH('Retirement Calculator'!A1053,'Isaac 401k'!N:N,0),0)</f>
        <v>-12463134.053457532</v>
      </c>
      <c r="R1053" s="25">
        <f t="array" aca="1" ref="R1053" ca="1">INDEX('Lorri 401b'!L:L,MATCH('Retirement Calculator'!A1053,'Lorri 401b'!N:N,0),0)</f>
        <v>-31301525.888178907</v>
      </c>
      <c r="S1053" s="25">
        <f t="shared" ca="1" si="1047"/>
        <v>-43764659.941636443</v>
      </c>
    </row>
    <row r="1054" spans="1:19" ht="15.75" customHeight="1" x14ac:dyDescent="0.3">
      <c r="A1054" s="37">
        <v>83032</v>
      </c>
      <c r="B1054" s="409">
        <f t="shared" ref="B1054:C1054" si="1070">($A1054-B$9)/365.25</f>
        <v>145.45106091718</v>
      </c>
      <c r="C1054" s="409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3525.4531757812501</v>
      </c>
      <c r="H1054" s="25">
        <f>IF(B1054&lt;62,0,'Combined Retirement'!$I$14)</f>
        <v>2192</v>
      </c>
      <c r="I1054" s="25">
        <f>IF(C1054&lt;62,0,'Combined Retirement'!$I$13)</f>
        <v>2420</v>
      </c>
      <c r="J1054" s="25">
        <f t="shared" si="1043"/>
        <v>7863.2184191855868</v>
      </c>
      <c r="K1054" s="25">
        <f t="shared" si="1044"/>
        <v>20282.026119384056</v>
      </c>
      <c r="L1054" s="25"/>
      <c r="N1054" s="25">
        <f>'Combined Retirement'!$C$18/12</f>
        <v>39153.069999999992</v>
      </c>
      <c r="O1054" s="25">
        <f t="shared" si="1045"/>
        <v>11007.82546143035</v>
      </c>
      <c r="P1054" s="25">
        <f t="shared" si="1046"/>
        <v>28145.244538569641</v>
      </c>
      <c r="Q1054" s="25">
        <f t="array" aca="1" ref="Q1054" ca="1">INDEX('Isaac 401k'!L:L,MATCH('Retirement Calculator'!A1054,'Isaac 401k'!N:N,0),0)</f>
        <v>-12522959.760509538</v>
      </c>
      <c r="R1054" s="25">
        <f t="array" aca="1" ref="R1054" ca="1">INDEX('Lorri 401b'!L:L,MATCH('Retirement Calculator'!A1054,'Lorri 401b'!N:N,0),0)</f>
        <v>-31452315.447274536</v>
      </c>
      <c r="S1054" s="25">
        <f t="shared" ca="1" si="1047"/>
        <v>-43975275.207784072</v>
      </c>
    </row>
    <row r="1055" spans="1:19" ht="15.75" customHeight="1" x14ac:dyDescent="0.3">
      <c r="A1055" s="37">
        <v>83063</v>
      </c>
      <c r="B1055" s="409">
        <f t="shared" ref="B1055:C1055" si="1071">($A1055-B$9)/365.25</f>
        <v>145.5359342915811</v>
      </c>
      <c r="C1055" s="409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3525.4531757812501</v>
      </c>
      <c r="H1055" s="25">
        <f>IF(B1055&lt;62,0,'Combined Retirement'!$I$14)</f>
        <v>2192</v>
      </c>
      <c r="I1055" s="25">
        <f>IF(C1055&lt;62,0,'Combined Retirement'!$I$13)</f>
        <v>2420</v>
      </c>
      <c r="J1055" s="25">
        <f t="shared" si="1043"/>
        <v>7863.2184191855868</v>
      </c>
      <c r="K1055" s="25">
        <f t="shared" si="1044"/>
        <v>20282.026119384056</v>
      </c>
      <c r="L1055" s="25"/>
      <c r="N1055" s="25">
        <f>'Combined Retirement'!$C$18/12</f>
        <v>39153.069999999992</v>
      </c>
      <c r="O1055" s="25">
        <f t="shared" si="1045"/>
        <v>11007.82546143035</v>
      </c>
      <c r="P1055" s="25">
        <f t="shared" si="1046"/>
        <v>28145.244538569641</v>
      </c>
      <c r="Q1055" s="25">
        <f t="array" aca="1" ref="Q1055" ca="1">INDEX('Isaac 401k'!L:L,MATCH('Retirement Calculator'!A1055,'Isaac 401k'!N:N,0),0)</f>
        <v>-12583034.741340926</v>
      </c>
      <c r="R1055" s="25">
        <f t="array" aca="1" ref="R1055" ca="1">INDEX('Lorri 401b'!L:L,MATCH('Retirement Calculator'!A1055,'Lorri 401b'!N:N,0),0)</f>
        <v>-31603733.296199728</v>
      </c>
      <c r="S1055" s="25">
        <f t="shared" ca="1" si="1047"/>
        <v>-44186768.037540652</v>
      </c>
    </row>
    <row r="1056" spans="1:19" ht="15.75" customHeight="1" x14ac:dyDescent="0.3">
      <c r="A1056" s="37">
        <v>83093</v>
      </c>
      <c r="B1056" s="409">
        <f t="shared" ref="B1056:C1056" si="1072">($A1056-B$9)/365.25</f>
        <v>145.61806981519507</v>
      </c>
      <c r="C1056" s="409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3525.4531757812501</v>
      </c>
      <c r="H1056" s="25">
        <f>IF(B1056&lt;62,0,'Combined Retirement'!$I$14)</f>
        <v>2192</v>
      </c>
      <c r="I1056" s="25">
        <f>IF(C1056&lt;62,0,'Combined Retirement'!$I$13)</f>
        <v>2420</v>
      </c>
      <c r="J1056" s="25">
        <f t="shared" si="1043"/>
        <v>7863.2184191855868</v>
      </c>
      <c r="K1056" s="25">
        <f t="shared" si="1044"/>
        <v>20282.026119384056</v>
      </c>
      <c r="L1056" s="25"/>
      <c r="N1056" s="25">
        <f>'Combined Retirement'!$C$18/12</f>
        <v>39153.069999999992</v>
      </c>
      <c r="O1056" s="25">
        <f t="shared" si="1045"/>
        <v>11007.82546143035</v>
      </c>
      <c r="P1056" s="25">
        <f t="shared" si="1046"/>
        <v>28145.244538569641</v>
      </c>
      <c r="Q1056" s="25">
        <f t="array" aca="1" ref="Q1056" ca="1">INDEX('Isaac 401k'!L:L,MATCH('Retirement Calculator'!A1056,'Isaac 401k'!N:N,0),0)</f>
        <v>-12643360.034592444</v>
      </c>
      <c r="R1056" s="25">
        <f t="array" aca="1" ref="R1056" ca="1">INDEX('Lorri 401b'!L:L,MATCH('Retirement Calculator'!A1056,'Lorri 401b'!N:N,0),0)</f>
        <v>-31755782.052828774</v>
      </c>
      <c r="S1056" s="25">
        <f t="shared" ca="1" si="1047"/>
        <v>-44399142.087421216</v>
      </c>
    </row>
    <row r="1057" spans="1:19" ht="15.75" customHeight="1" x14ac:dyDescent="0.3">
      <c r="A1057" s="37">
        <v>83124</v>
      </c>
      <c r="B1057" s="409">
        <f t="shared" ref="B1057:C1057" si="1073">($A1057-B$9)/365.25</f>
        <v>145.70294318959617</v>
      </c>
      <c r="C1057" s="409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3525.4531757812501</v>
      </c>
      <c r="H1057" s="25">
        <f>IF(B1057&lt;62,0,'Combined Retirement'!$I$14)</f>
        <v>2192</v>
      </c>
      <c r="I1057" s="25">
        <f>IF(C1057&lt;62,0,'Combined Retirement'!$I$13)</f>
        <v>2420</v>
      </c>
      <c r="J1057" s="25">
        <f t="shared" si="1043"/>
        <v>7863.2184191855868</v>
      </c>
      <c r="K1057" s="25">
        <f t="shared" si="1044"/>
        <v>20282.026119384056</v>
      </c>
      <c r="L1057" s="25"/>
      <c r="N1057" s="25">
        <f>'Combined Retirement'!$C$18/12</f>
        <v>39153.069999999992</v>
      </c>
      <c r="O1057" s="25">
        <f t="shared" si="1045"/>
        <v>11007.82546143035</v>
      </c>
      <c r="P1057" s="25">
        <f t="shared" si="1046"/>
        <v>28145.244538569641</v>
      </c>
      <c r="Q1057" s="25">
        <f t="array" aca="1" ref="Q1057" ca="1">INDEX('Isaac 401k'!L:L,MATCH('Retirement Calculator'!A1057,'Isaac 401k'!N:N,0),0)</f>
        <v>-12703936.68323251</v>
      </c>
      <c r="R1057" s="25">
        <f t="array" aca="1" ref="R1057" ca="1">INDEX('Lorri 401b'!L:L,MATCH('Retirement Calculator'!A1057,'Lorri 401b'!N:N,0),0)</f>
        <v>-31908464.345943775</v>
      </c>
      <c r="S1057" s="25">
        <f t="shared" ca="1" si="1047"/>
        <v>-44612401.029176287</v>
      </c>
    </row>
    <row r="1058" spans="1:19" ht="15.75" customHeight="1" x14ac:dyDescent="0.3">
      <c r="A1058" s="37">
        <v>83155</v>
      </c>
      <c r="B1058" s="409">
        <f t="shared" ref="B1058:C1058" si="1074">($A1058-B$9)/365.25</f>
        <v>145.78781656399727</v>
      </c>
      <c r="C1058" s="409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3525.4531757812501</v>
      </c>
      <c r="H1058" s="25">
        <f>IF(B1058&lt;62,0,'Combined Retirement'!$I$14)</f>
        <v>2192</v>
      </c>
      <c r="I1058" s="25">
        <f>IF(C1058&lt;62,0,'Combined Retirement'!$I$13)</f>
        <v>2420</v>
      </c>
      <c r="J1058" s="25">
        <f t="shared" si="1043"/>
        <v>7863.2184191855868</v>
      </c>
      <c r="K1058" s="25">
        <f t="shared" si="1044"/>
        <v>20282.026119384056</v>
      </c>
      <c r="L1058" s="25"/>
      <c r="N1058" s="25">
        <f>'Combined Retirement'!$C$18/12</f>
        <v>39153.069999999992</v>
      </c>
      <c r="O1058" s="25">
        <f t="shared" si="1045"/>
        <v>11007.82546143035</v>
      </c>
      <c r="P1058" s="25">
        <f t="shared" si="1046"/>
        <v>28145.244538569641</v>
      </c>
      <c r="Q1058" s="25">
        <f t="array" aca="1" ref="Q1058" ca="1">INDEX('Isaac 401k'!L:L,MATCH('Retirement Calculator'!A1058,'Isaac 401k'!N:N,0),0)</f>
        <v>-12764765.734575244</v>
      </c>
      <c r="R1058" s="25">
        <f t="array" aca="1" ref="R1058" ca="1">INDEX('Lorri 401b'!L:L,MATCH('Retirement Calculator'!A1058,'Lorri 401b'!N:N,0),0)</f>
        <v>-32061782.815280091</v>
      </c>
      <c r="S1058" s="25">
        <f t="shared" ca="1" si="1047"/>
        <v>-44826548.549855337</v>
      </c>
    </row>
    <row r="1059" spans="1:19" ht="15.75" customHeight="1" x14ac:dyDescent="0.3">
      <c r="A1059" s="37">
        <v>83185</v>
      </c>
      <c r="B1059" s="409">
        <f t="shared" ref="B1059:C1059" si="1075">($A1059-B$9)/365.25</f>
        <v>145.86995208761124</v>
      </c>
      <c r="C1059" s="409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3525.4531757812501</v>
      </c>
      <c r="H1059" s="25">
        <f>IF(B1059&lt;62,0,'Combined Retirement'!$I$14)</f>
        <v>2192</v>
      </c>
      <c r="I1059" s="25">
        <f>IF(C1059&lt;62,0,'Combined Retirement'!$I$13)</f>
        <v>2420</v>
      </c>
      <c r="J1059" s="25">
        <f t="shared" si="1043"/>
        <v>7863.2184191855868</v>
      </c>
      <c r="K1059" s="25">
        <f t="shared" si="1044"/>
        <v>20282.026119384056</v>
      </c>
      <c r="L1059" s="25"/>
      <c r="N1059" s="25">
        <f>'Combined Retirement'!$C$18/12</f>
        <v>39153.069999999992</v>
      </c>
      <c r="O1059" s="25">
        <f t="shared" si="1045"/>
        <v>11007.82546143035</v>
      </c>
      <c r="P1059" s="25">
        <f t="shared" si="1046"/>
        <v>28145.244538569641</v>
      </c>
      <c r="Q1059" s="25">
        <f t="array" aca="1" ref="Q1059" ca="1">INDEX('Isaac 401k'!L:L,MATCH('Retirement Calculator'!A1059,'Isaac 401k'!N:N,0),0)</f>
        <v>-12825848.240298573</v>
      </c>
      <c r="R1059" s="25">
        <f t="array" aca="1" ref="R1059" ca="1">INDEX('Lorri 401b'!L:L,MATCH('Retirement Calculator'!A1059,'Lorri 401b'!N:N,0),0)</f>
        <v>-32215740.111571975</v>
      </c>
      <c r="S1059" s="25">
        <f t="shared" ca="1" si="1047"/>
        <v>-45041588.351870552</v>
      </c>
    </row>
    <row r="1060" spans="1:19" ht="15.75" customHeight="1" x14ac:dyDescent="0.3">
      <c r="A1060" s="37">
        <v>83216</v>
      </c>
      <c r="B1060" s="409">
        <f t="shared" ref="B1060:C1060" si="1076">($A1060-B$9)/365.25</f>
        <v>145.95482546201231</v>
      </c>
      <c r="C1060" s="409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3525.4531757812501</v>
      </c>
      <c r="H1060" s="25">
        <f>IF(B1060&lt;62,0,'Combined Retirement'!$I$14)</f>
        <v>2192</v>
      </c>
      <c r="I1060" s="25">
        <f>IF(C1060&lt;62,0,'Combined Retirement'!$I$13)</f>
        <v>2420</v>
      </c>
      <c r="J1060" s="25">
        <f t="shared" si="1043"/>
        <v>7863.2184191855868</v>
      </c>
      <c r="K1060" s="25">
        <f t="shared" si="1044"/>
        <v>20282.026119384056</v>
      </c>
      <c r="L1060" s="25"/>
      <c r="N1060" s="25">
        <f>'Combined Retirement'!$C$18/12</f>
        <v>39153.069999999992</v>
      </c>
      <c r="O1060" s="25">
        <f t="shared" si="1045"/>
        <v>11007.82546143035</v>
      </c>
      <c r="P1060" s="25">
        <f t="shared" si="1046"/>
        <v>28145.244538569641</v>
      </c>
      <c r="Q1060" s="25">
        <f t="array" aca="1" ref="Q1060" ca="1">INDEX('Isaac 401k'!L:L,MATCH('Retirement Calculator'!A1060,'Isaac 401k'!N:N,0),0)</f>
        <v>-12887185.256462416</v>
      </c>
      <c r="R1060" s="25">
        <f t="array" aca="1" ref="R1060" ca="1">INDEX('Lorri 401b'!L:L,MATCH('Retirement Calculator'!A1060,'Lorri 401b'!N:N,0),0)</f>
        <v>-32370338.896598406</v>
      </c>
      <c r="S1060" s="25">
        <f t="shared" ca="1" si="1047"/>
        <v>-45257524.153060824</v>
      </c>
    </row>
    <row r="1061" spans="1:19" ht="15.75" customHeight="1" x14ac:dyDescent="0.3">
      <c r="A1061" s="37">
        <v>83246</v>
      </c>
      <c r="B1061" s="409">
        <f t="shared" ref="B1061:C1061" si="1077">($A1061-B$9)/365.25</f>
        <v>146.03696098562628</v>
      </c>
      <c r="C1061" s="409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3525.4531757812501</v>
      </c>
      <c r="H1061" s="25">
        <f>IF(B1061&lt;62,0,'Combined Retirement'!$I$14)</f>
        <v>2192</v>
      </c>
      <c r="I1061" s="25">
        <f>IF(C1061&lt;62,0,'Combined Retirement'!$I$13)</f>
        <v>2420</v>
      </c>
      <c r="J1061" s="25">
        <f t="shared" si="1043"/>
        <v>7863.2184191855868</v>
      </c>
      <c r="K1061" s="25">
        <f t="shared" si="1044"/>
        <v>20282.026119384056</v>
      </c>
      <c r="L1061" s="25"/>
      <c r="N1061" s="25">
        <f>'Combined Retirement'!$C$18/12</f>
        <v>39153.069999999992</v>
      </c>
      <c r="O1061" s="25">
        <f t="shared" si="1045"/>
        <v>11007.82546143035</v>
      </c>
      <c r="P1061" s="25">
        <f t="shared" si="1046"/>
        <v>28145.244538569641</v>
      </c>
      <c r="Q1061" s="25">
        <f t="array" aca="1" ref="Q1061" ca="1">INDEX('Isaac 401k'!L:L,MATCH('Retirement Calculator'!A1061,'Isaac 401k'!N:N,0),0)</f>
        <v>-12948777.843526941</v>
      </c>
      <c r="R1061" s="25">
        <f t="array" aca="1" ref="R1061" ca="1">INDEX('Lorri 401b'!L:L,MATCH('Retirement Calculator'!A1061,'Lorri 401b'!N:N,0),0)</f>
        <v>-32525581.843229115</v>
      </c>
      <c r="S1061" s="25">
        <f t="shared" ca="1" si="1047"/>
        <v>-45474359.68675606</v>
      </c>
    </row>
    <row r="1062" spans="1:19" ht="15.75" customHeight="1" x14ac:dyDescent="0.3">
      <c r="A1062" s="37">
        <v>83277</v>
      </c>
      <c r="B1062" s="409">
        <f t="shared" ref="B1062:C1062" si="1078">($A1062-B$9)/365.25</f>
        <v>146.12183436002738</v>
      </c>
      <c r="C1062" s="409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3525.4531757812501</v>
      </c>
      <c r="H1062" s="25">
        <f>IF(B1062&lt;62,0,'Combined Retirement'!$I$14)</f>
        <v>2192</v>
      </c>
      <c r="I1062" s="25">
        <f>IF(C1062&lt;62,0,'Combined Retirement'!$I$13)</f>
        <v>2420</v>
      </c>
      <c r="J1062" s="25">
        <f t="shared" si="1043"/>
        <v>7863.2184191855868</v>
      </c>
      <c r="K1062" s="25">
        <f t="shared" si="1044"/>
        <v>20282.026119384056</v>
      </c>
      <c r="L1062" s="25"/>
      <c r="N1062" s="25">
        <f>'Combined Retirement'!$C$18/12</f>
        <v>39153.069999999992</v>
      </c>
      <c r="O1062" s="25">
        <f t="shared" si="1045"/>
        <v>11007.82546143035</v>
      </c>
      <c r="P1062" s="25">
        <f t="shared" si="1046"/>
        <v>28145.244538569641</v>
      </c>
      <c r="Q1062" s="25">
        <f t="array" aca="1" ref="Q1062" ca="1">INDEX('Isaac 401k'!L:L,MATCH('Retirement Calculator'!A1062,'Isaac 401k'!N:N,0),0)</f>
        <v>-13010627.066370901</v>
      </c>
      <c r="R1062" s="25">
        <f t="array" aca="1" ref="R1062" ca="1">INDEX('Lorri 401b'!L:L,MATCH('Retirement Calculator'!A1062,'Lorri 401b'!N:N,0),0)</f>
        <v>-32681471.635470785</v>
      </c>
      <c r="S1062" s="25">
        <f t="shared" ca="1" si="1047"/>
        <v>-45692098.701841682</v>
      </c>
    </row>
    <row r="1063" spans="1:19" ht="15.75" customHeight="1" x14ac:dyDescent="0.3">
      <c r="A1063" s="37">
        <v>83308</v>
      </c>
      <c r="B1063" s="409">
        <f t="shared" ref="B1063:C1063" si="1079">($A1063-B$9)/365.25</f>
        <v>146.20670773442848</v>
      </c>
      <c r="C1063" s="409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3525.4531757812501</v>
      </c>
      <c r="H1063" s="25">
        <f>IF(B1063&lt;62,0,'Combined Retirement'!$I$14)</f>
        <v>2192</v>
      </c>
      <c r="I1063" s="25">
        <f>IF(C1063&lt;62,0,'Combined Retirement'!$I$13)</f>
        <v>2420</v>
      </c>
      <c r="J1063" s="25">
        <f t="shared" si="1043"/>
        <v>7863.2184191855868</v>
      </c>
      <c r="K1063" s="25">
        <f t="shared" si="1044"/>
        <v>20282.026119384056</v>
      </c>
      <c r="L1063" s="25"/>
      <c r="N1063" s="25">
        <f>'Combined Retirement'!$C$18/12</f>
        <v>39153.069999999992</v>
      </c>
      <c r="O1063" s="25">
        <f t="shared" si="1045"/>
        <v>11007.82546143035</v>
      </c>
      <c r="P1063" s="25">
        <f t="shared" si="1046"/>
        <v>28145.244538569641</v>
      </c>
      <c r="Q1063" s="25">
        <f t="array" aca="1" ref="Q1063" ca="1">INDEX('Isaac 401k'!L:L,MATCH('Retirement Calculator'!A1063,'Isaac 401k'!N:N,0),0)</f>
        <v>-13072733.994310044</v>
      </c>
      <c r="R1063" s="25">
        <f t="array" aca="1" ref="R1063" ca="1">INDEX('Lorri 401b'!L:L,MATCH('Retirement Calculator'!A1063,'Lorri 401b'!N:N,0),0)</f>
        <v>-32838010.968513463</v>
      </c>
      <c r="S1063" s="25">
        <f t="shared" ca="1" si="1047"/>
        <v>-45910744.96282351</v>
      </c>
    </row>
    <row r="1064" spans="1:19" ht="15.75" customHeight="1" x14ac:dyDescent="0.3">
      <c r="A1064" s="37">
        <v>83337</v>
      </c>
      <c r="B1064" s="409">
        <f t="shared" ref="B1064:C1064" si="1080">($A1064-B$9)/365.25</f>
        <v>146.28610540725529</v>
      </c>
      <c r="C1064" s="409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3525.4531757812501</v>
      </c>
      <c r="H1064" s="25">
        <f>IF(B1064&lt;62,0,'Combined Retirement'!$I$14)</f>
        <v>2192</v>
      </c>
      <c r="I1064" s="25">
        <f>IF(C1064&lt;62,0,'Combined Retirement'!$I$13)</f>
        <v>2420</v>
      </c>
      <c r="J1064" s="25">
        <f t="shared" si="1043"/>
        <v>7863.2184191855868</v>
      </c>
      <c r="K1064" s="25">
        <f t="shared" si="1044"/>
        <v>20282.026119384056</v>
      </c>
      <c r="L1064" s="25"/>
      <c r="N1064" s="25">
        <f>'Combined Retirement'!$C$18/12</f>
        <v>39153.069999999992</v>
      </c>
      <c r="O1064" s="25">
        <f t="shared" si="1045"/>
        <v>11007.82546143035</v>
      </c>
      <c r="P1064" s="25">
        <f t="shared" si="1046"/>
        <v>28145.244538569641</v>
      </c>
      <c r="Q1064" s="25">
        <f t="array" aca="1" ref="Q1064" ca="1">INDEX('Isaac 401k'!L:L,MATCH('Retirement Calculator'!A1064,'Isaac 401k'!N:N,0),0)</f>
        <v>-13135099.701115601</v>
      </c>
      <c r="R1064" s="25">
        <f t="array" aca="1" ref="R1064" ca="1">INDEX('Lorri 401b'!L:L,MATCH('Retirement Calculator'!A1064,'Lorri 401b'!N:N,0),0)</f>
        <v>-32995202.548777152</v>
      </c>
      <c r="S1064" s="25">
        <f t="shared" ca="1" si="1047"/>
        <v>-46130302.249892756</v>
      </c>
    </row>
    <row r="1065" spans="1:19" ht="15.75" customHeight="1" x14ac:dyDescent="0.3">
      <c r="A1065" s="37">
        <v>83368</v>
      </c>
      <c r="B1065" s="409">
        <f t="shared" ref="B1065:C1065" si="1081">($A1065-B$9)/365.25</f>
        <v>146.37097878165639</v>
      </c>
      <c r="C1065" s="409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3525.4531757812501</v>
      </c>
      <c r="H1065" s="25">
        <f>IF(B1065&lt;62,0,'Combined Retirement'!$I$14)</f>
        <v>2192</v>
      </c>
      <c r="I1065" s="25">
        <f>IF(C1065&lt;62,0,'Combined Retirement'!$I$13)</f>
        <v>2420</v>
      </c>
      <c r="J1065" s="25">
        <f t="shared" si="1043"/>
        <v>7863.2184191855868</v>
      </c>
      <c r="K1065" s="25">
        <f t="shared" si="1044"/>
        <v>20282.026119384056</v>
      </c>
      <c r="L1065" s="25"/>
      <c r="N1065" s="25">
        <f>'Combined Retirement'!$C$18/12</f>
        <v>39153.069999999992</v>
      </c>
      <c r="O1065" s="25">
        <f t="shared" si="1045"/>
        <v>11007.82546143035</v>
      </c>
      <c r="P1065" s="25">
        <f t="shared" si="1046"/>
        <v>28145.244538569641</v>
      </c>
      <c r="Q1065" s="25">
        <f t="array" aca="1" ref="Q1065" ca="1">INDEX('Isaac 401k'!L:L,MATCH('Retirement Calculator'!A1065,'Isaac 401k'!N:N,0),0)</f>
        <v>-13197725.265032846</v>
      </c>
      <c r="R1065" s="25">
        <f t="array" aca="1" ref="R1065" ca="1">INDEX('Lorri 401b'!L:L,MATCH('Retirement Calculator'!A1065,'Lorri 401b'!N:N,0),0)</f>
        <v>-33153049.093958605</v>
      </c>
      <c r="S1065" s="25">
        <f t="shared" ca="1" si="1047"/>
        <v>-46350774.358991452</v>
      </c>
    </row>
    <row r="1066" spans="1:19" ht="15.75" customHeight="1" x14ac:dyDescent="0.3">
      <c r="A1066" s="37">
        <v>83398</v>
      </c>
      <c r="B1066" s="409">
        <f t="shared" ref="B1066:C1066" si="1082">($A1066-B$9)/365.25</f>
        <v>146.45311430527036</v>
      </c>
      <c r="C1066" s="409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3525.4531757812501</v>
      </c>
      <c r="H1066" s="25">
        <f>IF(B1066&lt;62,0,'Combined Retirement'!$I$14)</f>
        <v>2192</v>
      </c>
      <c r="I1066" s="25">
        <f>IF(C1066&lt;62,0,'Combined Retirement'!$I$13)</f>
        <v>2420</v>
      </c>
      <c r="J1066" s="25">
        <f t="shared" si="1043"/>
        <v>7863.2184191855868</v>
      </c>
      <c r="K1066" s="25">
        <f t="shared" si="1044"/>
        <v>20282.026119384056</v>
      </c>
      <c r="L1066" s="25"/>
      <c r="N1066" s="25">
        <f>'Combined Retirement'!$C$18/12</f>
        <v>39153.069999999992</v>
      </c>
      <c r="O1066" s="25">
        <f t="shared" si="1045"/>
        <v>11007.82546143035</v>
      </c>
      <c r="P1066" s="25">
        <f t="shared" si="1046"/>
        <v>28145.244538569641</v>
      </c>
      <c r="Q1066" s="25">
        <f t="array" aca="1" ref="Q1066" ca="1">INDEX('Isaac 401k'!L:L,MATCH('Retirement Calculator'!A1066,'Isaac 401k'!N:N,0),0)</f>
        <v>-13260611.768799748</v>
      </c>
      <c r="R1066" s="25">
        <f t="array" aca="1" ref="R1066" ca="1">INDEX('Lorri 401b'!L:L,MATCH('Retirement Calculator'!A1066,'Lorri 401b'!N:N,0),0)</f>
        <v>-33311553.333078314</v>
      </c>
      <c r="S1066" s="25">
        <f t="shared" ca="1" si="1047"/>
        <v>-46572165.101878062</v>
      </c>
    </row>
    <row r="1067" spans="1:19" ht="15.75" customHeight="1" x14ac:dyDescent="0.3">
      <c r="A1067" s="37">
        <v>83429</v>
      </c>
      <c r="B1067" s="409">
        <f t="shared" ref="B1067:C1067" si="1083">($A1067-B$9)/365.25</f>
        <v>146.53798767967146</v>
      </c>
      <c r="C1067" s="409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3525.4531757812501</v>
      </c>
      <c r="H1067" s="25">
        <f>IF(B1067&lt;62,0,'Combined Retirement'!$I$14)</f>
        <v>2192</v>
      </c>
      <c r="I1067" s="25">
        <f>IF(C1067&lt;62,0,'Combined Retirement'!$I$13)</f>
        <v>2420</v>
      </c>
      <c r="J1067" s="25">
        <f t="shared" si="1043"/>
        <v>7863.2184191855868</v>
      </c>
      <c r="K1067" s="25">
        <f t="shared" si="1044"/>
        <v>20282.026119384056</v>
      </c>
      <c r="L1067" s="25"/>
      <c r="N1067" s="25">
        <f>'Combined Retirement'!$C$18/12</f>
        <v>39153.069999999992</v>
      </c>
      <c r="O1067" s="25">
        <f t="shared" si="1045"/>
        <v>11007.82546143035</v>
      </c>
      <c r="P1067" s="25">
        <f t="shared" si="1046"/>
        <v>28145.244538569641</v>
      </c>
      <c r="Q1067" s="25">
        <f t="array" aca="1" ref="Q1067" ca="1">INDEX('Isaac 401k'!L:L,MATCH('Retirement Calculator'!A1067,'Isaac 401k'!N:N,0),0)</f>
        <v>-13323760.299665678</v>
      </c>
      <c r="R1067" s="25">
        <f t="array" aca="1" ref="R1067" ca="1">INDEX('Lorri 401b'!L:L,MATCH('Retirement Calculator'!A1067,'Lorri 401b'!N:N,0),0)</f>
        <v>-33470718.006527688</v>
      </c>
      <c r="S1067" s="25">
        <f t="shared" ca="1" si="1047"/>
        <v>-46794478.306193367</v>
      </c>
    </row>
    <row r="1068" spans="1:19" ht="15.75" customHeight="1" x14ac:dyDescent="0.3">
      <c r="A1068" s="37">
        <v>83459</v>
      </c>
      <c r="B1068" s="409">
        <f t="shared" ref="B1068:C1068" si="1084">($A1068-B$9)/365.25</f>
        <v>146.62012320328543</v>
      </c>
      <c r="C1068" s="409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3525.4531757812501</v>
      </c>
      <c r="H1068" s="25">
        <f>IF(B1068&lt;62,0,'Combined Retirement'!$I$14)</f>
        <v>2192</v>
      </c>
      <c r="I1068" s="25">
        <f>IF(C1068&lt;62,0,'Combined Retirement'!$I$13)</f>
        <v>2420</v>
      </c>
      <c r="J1068" s="25">
        <f t="shared" si="1043"/>
        <v>7863.2184191855868</v>
      </c>
      <c r="K1068" s="25">
        <f t="shared" si="1044"/>
        <v>20282.026119384056</v>
      </c>
      <c r="L1068" s="25"/>
      <c r="N1068" s="25">
        <f>'Combined Retirement'!$C$18/12</f>
        <v>39153.069999999992</v>
      </c>
      <c r="O1068" s="25">
        <f t="shared" si="1045"/>
        <v>11007.82546143035</v>
      </c>
      <c r="P1068" s="25">
        <f t="shared" si="1046"/>
        <v>28145.244538569641</v>
      </c>
      <c r="Q1068" s="25">
        <f t="array" aca="1" ref="Q1068" ca="1">INDEX('Isaac 401k'!L:L,MATCH('Retirement Calculator'!A1068,'Isaac 401k'!N:N,0),0)</f>
        <v>-13387171.949410217</v>
      </c>
      <c r="R1068" s="25">
        <f t="array" aca="1" ref="R1068" ca="1">INDEX('Lorri 401b'!L:L,MATCH('Retirement Calculator'!A1068,'Lorri 401b'!N:N,0),0)</f>
        <v>-33630545.866116434</v>
      </c>
      <c r="S1068" s="25">
        <f t="shared" ca="1" si="1047"/>
        <v>-47017717.815526649</v>
      </c>
    </row>
    <row r="1069" spans="1:19" ht="15.75" customHeight="1" x14ac:dyDescent="0.3">
      <c r="A1069" s="37">
        <v>83490</v>
      </c>
      <c r="B1069" s="409">
        <f t="shared" ref="B1069:C1069" si="1085">($A1069-B$9)/365.25</f>
        <v>146.70499657768653</v>
      </c>
      <c r="C1069" s="409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3525.4531757812501</v>
      </c>
      <c r="H1069" s="25">
        <f>IF(B1069&lt;62,0,'Combined Retirement'!$I$14)</f>
        <v>2192</v>
      </c>
      <c r="I1069" s="25">
        <f>IF(C1069&lt;62,0,'Combined Retirement'!$I$13)</f>
        <v>2420</v>
      </c>
      <c r="J1069" s="25">
        <f t="shared" si="1043"/>
        <v>7863.2184191855868</v>
      </c>
      <c r="K1069" s="25">
        <f t="shared" si="1044"/>
        <v>20282.026119384056</v>
      </c>
      <c r="L1069" s="25"/>
      <c r="N1069" s="25">
        <f>'Combined Retirement'!$C$18/12</f>
        <v>39153.069999999992</v>
      </c>
      <c r="O1069" s="25">
        <f t="shared" si="1045"/>
        <v>11007.82546143035</v>
      </c>
      <c r="P1069" s="25">
        <f t="shared" si="1046"/>
        <v>28145.244538569641</v>
      </c>
      <c r="Q1069" s="25">
        <f t="array" aca="1" ref="Q1069" ca="1">INDEX('Isaac 401k'!L:L,MATCH('Retirement Calculator'!A1069,'Isaac 401k'!N:N,0),0)</f>
        <v>-13450847.814362025</v>
      </c>
      <c r="R1069" s="25">
        <f t="array" aca="1" ref="R1069" ca="1">INDEX('Lorri 401b'!L:L,MATCH('Retirement Calculator'!A1069,'Lorri 401b'!N:N,0),0)</f>
        <v>-33791039.67512013</v>
      </c>
      <c r="S1069" s="25">
        <f t="shared" ca="1" si="1047"/>
        <v>-47241887.489482157</v>
      </c>
    </row>
    <row r="1070" spans="1:19" ht="15.75" customHeight="1" x14ac:dyDescent="0.3">
      <c r="A1070" s="37">
        <v>83521</v>
      </c>
      <c r="B1070" s="409">
        <f t="shared" ref="B1070:C1070" si="1086">($A1070-B$9)/365.25</f>
        <v>146.7898699520876</v>
      </c>
      <c r="C1070" s="409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3525.4531757812501</v>
      </c>
      <c r="H1070" s="25">
        <f>IF(B1070&lt;62,0,'Combined Retirement'!$I$14)</f>
        <v>2192</v>
      </c>
      <c r="I1070" s="25">
        <f>IF(C1070&lt;62,0,'Combined Retirement'!$I$13)</f>
        <v>2420</v>
      </c>
      <c r="J1070" s="25">
        <f t="shared" si="1043"/>
        <v>7863.2184191855868</v>
      </c>
      <c r="K1070" s="25">
        <f t="shared" si="1044"/>
        <v>20282.026119384056</v>
      </c>
      <c r="L1070" s="25"/>
      <c r="N1070" s="25">
        <f>'Combined Retirement'!$C$18/12</f>
        <v>39153.069999999992</v>
      </c>
      <c r="O1070" s="25">
        <f t="shared" si="1045"/>
        <v>11007.82546143035</v>
      </c>
      <c r="P1070" s="25">
        <f t="shared" si="1046"/>
        <v>28145.244538569641</v>
      </c>
      <c r="Q1070" s="25">
        <f t="array" aca="1" ref="Q1070" ca="1">INDEX('Isaac 401k'!L:L,MATCH('Retirement Calculator'!A1070,'Isaac 401k'!N:N,0),0)</f>
        <v>-13514788.995417798</v>
      </c>
      <c r="R1070" s="25">
        <f t="array" aca="1" ref="R1070" ca="1">INDEX('Lorri 401b'!L:L,MATCH('Retirement Calculator'!A1070,'Lorri 401b'!N:N,0),0)</f>
        <v>-33952202.208328009</v>
      </c>
      <c r="S1070" s="25">
        <f t="shared" ca="1" si="1047"/>
        <v>-47466991.203745805</v>
      </c>
    </row>
    <row r="1071" spans="1:19" ht="15.75" customHeight="1" x14ac:dyDescent="0.3">
      <c r="A1071" s="37">
        <v>83551</v>
      </c>
      <c r="B1071" s="409">
        <f t="shared" ref="B1071:C1071" si="1087">($A1071-B$9)/365.25</f>
        <v>146.87200547570157</v>
      </c>
      <c r="C1071" s="409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3525.4531757812501</v>
      </c>
      <c r="H1071" s="25">
        <f>IF(B1071&lt;62,0,'Combined Retirement'!$I$14)</f>
        <v>2192</v>
      </c>
      <c r="I1071" s="25">
        <f>IF(C1071&lt;62,0,'Combined Retirement'!$I$13)</f>
        <v>2420</v>
      </c>
      <c r="J1071" s="25">
        <f t="shared" si="1043"/>
        <v>7863.2184191855868</v>
      </c>
      <c r="K1071" s="25">
        <f t="shared" si="1044"/>
        <v>20282.026119384056</v>
      </c>
      <c r="L1071" s="25"/>
      <c r="N1071" s="25">
        <f>'Combined Retirement'!$C$18/12</f>
        <v>39153.069999999992</v>
      </c>
      <c r="O1071" s="25">
        <f t="shared" si="1045"/>
        <v>11007.82546143035</v>
      </c>
      <c r="P1071" s="25">
        <f t="shared" si="1046"/>
        <v>28145.244538569641</v>
      </c>
      <c r="Q1071" s="25">
        <f t="array" aca="1" ref="Q1071" ca="1">INDEX('Isaac 401k'!L:L,MATCH('Retirement Calculator'!A1071,'Isaac 401k'!N:N,0),0)</f>
        <v>-13578996.598061305</v>
      </c>
      <c r="R1071" s="25">
        <f t="array" aca="1" ref="R1071" ca="1">INDEX('Lorri 401b'!L:L,MATCH('Retirement Calculator'!A1071,'Lorri 401b'!N:N,0),0)</f>
        <v>-34114036.252090923</v>
      </c>
      <c r="S1071" s="25">
        <f t="shared" ca="1" si="1047"/>
        <v>-47693032.850152224</v>
      </c>
    </row>
    <row r="1072" spans="1:19" ht="15.75" customHeight="1" x14ac:dyDescent="0.3">
      <c r="A1072" s="37">
        <v>83582</v>
      </c>
      <c r="B1072" s="409">
        <f t="shared" ref="B1072:C1072" si="1088">($A1072-B$9)/365.25</f>
        <v>146.95687885010267</v>
      </c>
      <c r="C1072" s="409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3525.4531757812501</v>
      </c>
      <c r="H1072" s="25">
        <f>IF(B1072&lt;62,0,'Combined Retirement'!$I$14)</f>
        <v>2192</v>
      </c>
      <c r="I1072" s="25">
        <f>IF(C1072&lt;62,0,'Combined Retirement'!$I$13)</f>
        <v>2420</v>
      </c>
      <c r="J1072" s="25">
        <f t="shared" si="1043"/>
        <v>7863.2184191855868</v>
      </c>
      <c r="K1072" s="25">
        <f t="shared" si="1044"/>
        <v>20282.026119384056</v>
      </c>
      <c r="L1072" s="25"/>
      <c r="N1072" s="25">
        <f>'Combined Retirement'!$C$18/12</f>
        <v>39153.069999999992</v>
      </c>
      <c r="O1072" s="25">
        <f t="shared" si="1045"/>
        <v>11007.82546143035</v>
      </c>
      <c r="P1072" s="25">
        <f t="shared" si="1046"/>
        <v>28145.244538569641</v>
      </c>
      <c r="Q1072" s="25">
        <f t="array" aca="1" ref="Q1072" ca="1">INDEX('Isaac 401k'!L:L,MATCH('Retirement Calculator'!A1072,'Isaac 401k'!N:N,0),0)</f>
        <v>-13643471.732382491</v>
      </c>
      <c r="R1072" s="25">
        <f t="array" aca="1" ref="R1072" ca="1">INDEX('Lorri 401b'!L:L,MATCH('Retirement Calculator'!A1072,'Lorri 401b'!N:N,0),0)</f>
        <v>-34276544.604369514</v>
      </c>
      <c r="S1072" s="25">
        <f t="shared" ca="1" si="1047"/>
        <v>-47920016.336752005</v>
      </c>
    </row>
    <row r="1073" spans="1:19" ht="15.75" customHeight="1" x14ac:dyDescent="0.3">
      <c r="A1073" s="37">
        <v>83612</v>
      </c>
      <c r="B1073" s="409">
        <f t="shared" ref="B1073:C1073" si="1089">($A1073-B$9)/365.25</f>
        <v>147.03901437371664</v>
      </c>
      <c r="C1073" s="409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3525.4531757812501</v>
      </c>
      <c r="H1073" s="25">
        <f>IF(B1073&lt;62,0,'Combined Retirement'!$I$14)</f>
        <v>2192</v>
      </c>
      <c r="I1073" s="25">
        <f>IF(C1073&lt;62,0,'Combined Retirement'!$I$13)</f>
        <v>2420</v>
      </c>
      <c r="J1073" s="25">
        <f t="shared" si="1043"/>
        <v>7863.2184191855868</v>
      </c>
      <c r="K1073" s="25">
        <f t="shared" si="1044"/>
        <v>20282.026119384056</v>
      </c>
      <c r="L1073" s="25"/>
      <c r="N1073" s="25">
        <f>'Combined Retirement'!$C$18/12</f>
        <v>39153.069999999992</v>
      </c>
      <c r="O1073" s="25">
        <f t="shared" si="1045"/>
        <v>11007.82546143035</v>
      </c>
      <c r="P1073" s="25">
        <f t="shared" si="1046"/>
        <v>28145.244538569641</v>
      </c>
      <c r="Q1073" s="25">
        <f t="array" aca="1" ref="Q1073" ca="1">INDEX('Isaac 401k'!L:L,MATCH('Retirement Calculator'!A1073,'Isaac 401k'!N:N,0),0)</f>
        <v>-13708215.513096683</v>
      </c>
      <c r="R1073" s="25">
        <f t="array" aca="1" ref="R1073" ca="1">INDEX('Lorri 401b'!L:L,MATCH('Retirement Calculator'!A1073,'Lorri 401b'!N:N,0),0)</f>
        <v>-34439730.074782595</v>
      </c>
      <c r="S1073" s="25">
        <f t="shared" ca="1" si="1047"/>
        <v>-48147945.587879278</v>
      </c>
    </row>
    <row r="1074" spans="1:19" ht="15.75" customHeight="1" x14ac:dyDescent="0.3">
      <c r="A1074" s="37">
        <v>83643</v>
      </c>
      <c r="B1074" s="409">
        <f t="shared" ref="B1074:C1074" si="1090">($A1074-B$9)/365.25</f>
        <v>147.12388774811774</v>
      </c>
      <c r="C1074" s="409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3525.4531757812501</v>
      </c>
      <c r="H1074" s="25">
        <f>IF(B1074&lt;62,0,'Combined Retirement'!$I$14)</f>
        <v>2192</v>
      </c>
      <c r="I1074" s="25">
        <f>IF(C1074&lt;62,0,'Combined Retirement'!$I$13)</f>
        <v>2420</v>
      </c>
      <c r="J1074" s="25">
        <f t="shared" si="1043"/>
        <v>7863.2184191855868</v>
      </c>
      <c r="K1074" s="25">
        <f t="shared" si="1044"/>
        <v>20282.026119384056</v>
      </c>
      <c r="L1074" s="25"/>
      <c r="N1074" s="25">
        <f>'Combined Retirement'!$C$18/12</f>
        <v>39153.069999999992</v>
      </c>
      <c r="O1074" s="25">
        <f t="shared" si="1045"/>
        <v>11007.82546143035</v>
      </c>
      <c r="P1074" s="25">
        <f t="shared" si="1046"/>
        <v>28145.244538569641</v>
      </c>
      <c r="Q1074" s="25">
        <f t="array" aca="1" ref="Q1074" ca="1">INDEX('Isaac 401k'!L:L,MATCH('Retirement Calculator'!A1074,'Isaac 401k'!N:N,0),0)</f>
        <v>-13773229.059563851</v>
      </c>
      <c r="R1074" s="25">
        <f t="array" aca="1" ref="R1074" ca="1">INDEX('Lorri 401b'!L:L,MATCH('Retirement Calculator'!A1074,'Lorri 401b'!N:N,0),0)</f>
        <v>-34603595.484655738</v>
      </c>
      <c r="S1074" s="25">
        <f t="shared" ca="1" si="1047"/>
        <v>-48376824.544219591</v>
      </c>
    </row>
    <row r="1075" spans="1:19" ht="15.75" customHeight="1" x14ac:dyDescent="0.3">
      <c r="A1075" s="37">
        <v>83674</v>
      </c>
      <c r="B1075" s="409">
        <f t="shared" ref="B1075:C1075" si="1091">($A1075-B$9)/365.25</f>
        <v>147.20876112251884</v>
      </c>
      <c r="C1075" s="409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3525.4531757812501</v>
      </c>
      <c r="H1075" s="25">
        <f>IF(B1075&lt;62,0,'Combined Retirement'!$I$14)</f>
        <v>2192</v>
      </c>
      <c r="I1075" s="25">
        <f>IF(C1075&lt;62,0,'Combined Retirement'!$I$13)</f>
        <v>2420</v>
      </c>
      <c r="J1075" s="25">
        <f t="shared" si="1043"/>
        <v>7863.2184191855868</v>
      </c>
      <c r="K1075" s="25">
        <f t="shared" si="1044"/>
        <v>20282.026119384056</v>
      </c>
      <c r="L1075" s="25"/>
      <c r="N1075" s="25">
        <f>'Combined Retirement'!$C$18/12</f>
        <v>39153.069999999992</v>
      </c>
      <c r="O1075" s="25">
        <f t="shared" si="1045"/>
        <v>11007.82546143035</v>
      </c>
      <c r="P1075" s="25">
        <f t="shared" si="1046"/>
        <v>28145.244538569641</v>
      </c>
      <c r="Q1075" s="25">
        <f t="array" aca="1" ref="Q1075" ca="1">INDEX('Isaac 401k'!L:L,MATCH('Retirement Calculator'!A1075,'Isaac 401k'!N:N,0),0)</f>
        <v>-13838513.495807964</v>
      </c>
      <c r="R1075" s="25">
        <f t="array" aca="1" ref="R1075" ca="1">INDEX('Lorri 401b'!L:L,MATCH('Retirement Calculator'!A1075,'Lorri 401b'!N:N,0),0)</f>
        <v>-34768143.667070016</v>
      </c>
      <c r="S1075" s="25">
        <f t="shared" ca="1" si="1047"/>
        <v>-48606657.162877977</v>
      </c>
    </row>
    <row r="1076" spans="1:19" ht="15.75" customHeight="1" x14ac:dyDescent="0.3">
      <c r="A1076" s="37">
        <v>83702</v>
      </c>
      <c r="B1076" s="409">
        <f t="shared" ref="B1076:C1076" si="1092">($A1076-B$9)/365.25</f>
        <v>147.28542094455852</v>
      </c>
      <c r="C1076" s="409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3525.4531757812501</v>
      </c>
      <c r="H1076" s="25">
        <f>IF(B1076&lt;62,0,'Combined Retirement'!$I$14)</f>
        <v>2192</v>
      </c>
      <c r="I1076" s="25">
        <f>IF(C1076&lt;62,0,'Combined Retirement'!$I$13)</f>
        <v>2420</v>
      </c>
      <c r="J1076" s="25">
        <f t="shared" si="1043"/>
        <v>7863.2184191855868</v>
      </c>
      <c r="K1076" s="25">
        <f t="shared" si="1044"/>
        <v>20282.026119384056</v>
      </c>
      <c r="L1076" s="25"/>
      <c r="N1076" s="25">
        <f>'Combined Retirement'!$C$18/12</f>
        <v>39153.069999999992</v>
      </c>
      <c r="O1076" s="25">
        <f t="shared" si="1045"/>
        <v>11007.82546143035</v>
      </c>
      <c r="P1076" s="25">
        <f t="shared" si="1046"/>
        <v>28145.244538569641</v>
      </c>
      <c r="Q1076" s="25">
        <f t="array" aca="1" ref="Q1076" ca="1">INDEX('Isaac 401k'!L:L,MATCH('Retirement Calculator'!A1076,'Isaac 401k'!N:N,0),0)</f>
        <v>-13904069.95053643</v>
      </c>
      <c r="R1076" s="25">
        <f t="array" aca="1" ref="R1076" ca="1">INDEX('Lorri 401b'!L:L,MATCH('Retirement Calculator'!A1076,'Lorri 401b'!N:N,0),0)</f>
        <v>-34933377.466911018</v>
      </c>
      <c r="S1076" s="25">
        <f t="shared" ca="1" si="1047"/>
        <v>-48837447.417447448</v>
      </c>
    </row>
    <row r="1077" spans="1:19" ht="15.75" customHeight="1" x14ac:dyDescent="0.3">
      <c r="A1077" s="37">
        <v>83733</v>
      </c>
      <c r="B1077" s="409">
        <f t="shared" ref="B1077:C1077" si="1093">($A1077-B$9)/365.25</f>
        <v>147.37029431895962</v>
      </c>
      <c r="C1077" s="409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3525.4531757812501</v>
      </c>
      <c r="H1077" s="25">
        <f>IF(B1077&lt;62,0,'Combined Retirement'!$I$14)</f>
        <v>2192</v>
      </c>
      <c r="I1077" s="25">
        <f>IF(C1077&lt;62,0,'Combined Retirement'!$I$13)</f>
        <v>2420</v>
      </c>
      <c r="J1077" s="25">
        <f t="shared" si="1043"/>
        <v>7863.2184191855868</v>
      </c>
      <c r="K1077" s="25">
        <f t="shared" si="1044"/>
        <v>20282.026119384056</v>
      </c>
      <c r="L1077" s="25"/>
      <c r="N1077" s="25">
        <f>'Combined Retirement'!$C$18/12</f>
        <v>39153.069999999992</v>
      </c>
      <c r="O1077" s="25">
        <f t="shared" si="1045"/>
        <v>11007.82546143035</v>
      </c>
      <c r="P1077" s="25">
        <f t="shared" si="1046"/>
        <v>28145.244538569641</v>
      </c>
      <c r="Q1077" s="25">
        <f t="array" aca="1" ref="Q1077" ca="1">INDEX('Isaac 401k'!L:L,MATCH('Retirement Calculator'!A1077,'Isaac 401k'!N:N,0),0)</f>
        <v>-13969899.557159597</v>
      </c>
      <c r="R1077" s="25">
        <f t="array" aca="1" ref="R1077" ca="1">INDEX('Lorri 401b'!L:L,MATCH('Retirement Calculator'!A1077,'Lorri 401b'!N:N,0),0)</f>
        <v>-35099299.740918025</v>
      </c>
      <c r="S1077" s="25">
        <f t="shared" ca="1" si="1047"/>
        <v>-49069199.298077621</v>
      </c>
    </row>
    <row r="1078" spans="1:19" ht="15.75" customHeight="1" x14ac:dyDescent="0.3">
      <c r="A1078" s="37">
        <v>83763</v>
      </c>
      <c r="B1078" s="409">
        <f t="shared" ref="B1078:C1078" si="1094">($A1078-B$9)/365.25</f>
        <v>147.45242984257359</v>
      </c>
      <c r="C1078" s="409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3525.4531757812501</v>
      </c>
      <c r="H1078" s="25">
        <f>IF(B1078&lt;62,0,'Combined Retirement'!$I$14)</f>
        <v>2192</v>
      </c>
      <c r="I1078" s="25">
        <f>IF(C1078&lt;62,0,'Combined Retirement'!$I$13)</f>
        <v>2420</v>
      </c>
      <c r="J1078" s="25">
        <f t="shared" si="1043"/>
        <v>7863.2184191855868</v>
      </c>
      <c r="K1078" s="25">
        <f t="shared" si="1044"/>
        <v>20282.026119384056</v>
      </c>
      <c r="L1078" s="25"/>
      <c r="N1078" s="25">
        <f>'Combined Retirement'!$C$18/12</f>
        <v>39153.069999999992</v>
      </c>
      <c r="O1078" s="25">
        <f t="shared" si="1045"/>
        <v>11007.82546143035</v>
      </c>
      <c r="P1078" s="25">
        <f t="shared" si="1046"/>
        <v>28145.244538569641</v>
      </c>
      <c r="Q1078" s="25">
        <f t="array" aca="1" ref="Q1078" ca="1">INDEX('Isaac 401k'!L:L,MATCH('Retirement Calculator'!A1078,'Isaac 401k'!N:N,0),0)</f>
        <v>-14036003.45381036</v>
      </c>
      <c r="R1078" s="25">
        <f t="array" aca="1" ref="R1078" ca="1">INDEX('Lorri 401b'!L:L,MATCH('Retirement Calculator'!A1078,'Lorri 401b'!N:N,0),0)</f>
        <v>-35265913.357733399</v>
      </c>
      <c r="S1078" s="25">
        <f t="shared" ca="1" si="1047"/>
        <v>-49301916.811543763</v>
      </c>
    </row>
    <row r="1079" spans="1:19" ht="15.75" customHeight="1" x14ac:dyDescent="0.3">
      <c r="A1079" s="37">
        <v>83794</v>
      </c>
      <c r="B1079" s="409">
        <f t="shared" ref="B1079:C1079" si="1095">($A1079-B$9)/365.25</f>
        <v>147.53730321697466</v>
      </c>
      <c r="C1079" s="409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3525.4531757812501</v>
      </c>
      <c r="H1079" s="25">
        <f>IF(B1079&lt;62,0,'Combined Retirement'!$I$14)</f>
        <v>2192</v>
      </c>
      <c r="I1079" s="25">
        <f>IF(C1079&lt;62,0,'Combined Retirement'!$I$13)</f>
        <v>2420</v>
      </c>
      <c r="J1079" s="25">
        <f t="shared" si="1043"/>
        <v>7863.2184191855868</v>
      </c>
      <c r="K1079" s="25">
        <f t="shared" si="1044"/>
        <v>20282.026119384056</v>
      </c>
      <c r="L1079" s="25"/>
      <c r="N1079" s="25">
        <f>'Combined Retirement'!$C$18/12</f>
        <v>39153.069999999992</v>
      </c>
      <c r="O1079" s="25">
        <f t="shared" si="1045"/>
        <v>11007.82546143035</v>
      </c>
      <c r="P1079" s="25">
        <f t="shared" si="1046"/>
        <v>28145.244538569641</v>
      </c>
      <c r="Q1079" s="25">
        <f t="array" aca="1" ref="Q1079" ca="1">INDEX('Isaac 401k'!L:L,MATCH('Retirement Calculator'!A1079,'Isaac 401k'!N:N,0),0)</f>
        <v>-14102382.783363836</v>
      </c>
      <c r="R1079" s="25">
        <f t="array" aca="1" ref="R1079" ca="1">INDEX('Lorri 401b'!L:L,MATCH('Retirement Calculator'!A1079,'Lorri 401b'!N:N,0),0)</f>
        <v>-35433221.197952166</v>
      </c>
      <c r="S1079" s="25">
        <f t="shared" ca="1" si="1047"/>
        <v>-49535603.981316</v>
      </c>
    </row>
    <row r="1080" spans="1:19" ht="15.75" customHeight="1" x14ac:dyDescent="0.3">
      <c r="A1080" s="37">
        <v>83824</v>
      </c>
      <c r="B1080" s="409">
        <f t="shared" ref="B1080:C1080" si="1096">($A1080-B$9)/365.25</f>
        <v>147.61943874058863</v>
      </c>
      <c r="C1080" s="409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3525.4531757812501</v>
      </c>
      <c r="H1080" s="25">
        <f>IF(B1080&lt;62,0,'Combined Retirement'!$I$14)</f>
        <v>2192</v>
      </c>
      <c r="I1080" s="25">
        <f>IF(C1080&lt;62,0,'Combined Retirement'!$I$13)</f>
        <v>2420</v>
      </c>
      <c r="J1080" s="25">
        <f t="shared" si="1043"/>
        <v>7863.2184191855868</v>
      </c>
      <c r="K1080" s="25">
        <f t="shared" si="1044"/>
        <v>20282.026119384056</v>
      </c>
      <c r="L1080" s="25"/>
      <c r="N1080" s="25">
        <f>'Combined Retirement'!$C$18/12</f>
        <v>39153.069999999992</v>
      </c>
      <c r="O1080" s="25">
        <f t="shared" si="1045"/>
        <v>11007.82546143035</v>
      </c>
      <c r="P1080" s="25">
        <f t="shared" si="1046"/>
        <v>28145.244538569641</v>
      </c>
      <c r="Q1080" s="25">
        <f t="array" aca="1" ref="Q1080" ca="1">INDEX('Isaac 401k'!L:L,MATCH('Retirement Calculator'!A1080,'Isaac 401k'!N:N,0),0)</f>
        <v>-14169038.693457117</v>
      </c>
      <c r="R1080" s="25">
        <f t="array" aca="1" ref="R1080" ca="1">INDEX('Lorri 401b'!L:L,MATCH('Retirement Calculator'!A1080,'Lorri 401b'!N:N,0),0)</f>
        <v>-35601226.154171847</v>
      </c>
      <c r="S1080" s="25">
        <f t="shared" ca="1" si="1047"/>
        <v>-49770264.847628966</v>
      </c>
    </row>
    <row r="1081" spans="1:19" ht="15.75" customHeight="1" x14ac:dyDescent="0.3">
      <c r="A1081" s="37">
        <v>83855</v>
      </c>
      <c r="B1081" s="409">
        <f t="shared" ref="B1081:C1081" si="1097">($A1081-B$9)/365.25</f>
        <v>147.70431211498973</v>
      </c>
      <c r="C1081" s="409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3525.4531757812501</v>
      </c>
      <c r="H1081" s="25">
        <f>IF(B1081&lt;62,0,'Combined Retirement'!$I$14)</f>
        <v>2192</v>
      </c>
      <c r="I1081" s="25">
        <f>IF(C1081&lt;62,0,'Combined Retirement'!$I$13)</f>
        <v>2420</v>
      </c>
      <c r="J1081" s="25">
        <f t="shared" si="1043"/>
        <v>7863.2184191855868</v>
      </c>
      <c r="K1081" s="25">
        <f t="shared" si="1044"/>
        <v>20282.026119384056</v>
      </c>
      <c r="L1081" s="25"/>
      <c r="N1081" s="25">
        <f>'Combined Retirement'!$C$18/12</f>
        <v>39153.069999999992</v>
      </c>
      <c r="O1081" s="25">
        <f t="shared" si="1045"/>
        <v>11007.82546143035</v>
      </c>
      <c r="P1081" s="25">
        <f t="shared" si="1046"/>
        <v>28145.244538569641</v>
      </c>
      <c r="Q1081" s="25">
        <f t="array" aca="1" ref="Q1081" ca="1">INDEX('Isaac 401k'!L:L,MATCH('Retirement Calculator'!A1081,'Isaac 401k'!N:N,0),0)</f>
        <v>-14235972.33650912</v>
      </c>
      <c r="R1081" s="25">
        <f t="array" aca="1" ref="R1081" ca="1">INDEX('Lorri 401b'!L:L,MATCH('Retirement Calculator'!A1081,'Lorri 401b'!N:N,0),0)</f>
        <v>-35769931.131042443</v>
      </c>
      <c r="S1081" s="25">
        <f t="shared" ca="1" si="1047"/>
        <v>-50005903.467551559</v>
      </c>
    </row>
    <row r="1082" spans="1:19" ht="15.75" customHeight="1" x14ac:dyDescent="0.3">
      <c r="A1082" s="37">
        <v>83886</v>
      </c>
      <c r="B1082" s="409">
        <f t="shared" ref="B1082:C1082" si="1098">($A1082-B$9)/365.25</f>
        <v>147.78918548939083</v>
      </c>
      <c r="C1082" s="409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3525.4531757812501</v>
      </c>
      <c r="H1082" s="25">
        <f>IF(B1082&lt;62,0,'Combined Retirement'!$I$14)</f>
        <v>2192</v>
      </c>
      <c r="I1082" s="25">
        <f>IF(C1082&lt;62,0,'Combined Retirement'!$I$13)</f>
        <v>2420</v>
      </c>
      <c r="J1082" s="25">
        <f t="shared" si="1043"/>
        <v>7863.2184191855868</v>
      </c>
      <c r="K1082" s="25">
        <f t="shared" si="1044"/>
        <v>20282.026119384056</v>
      </c>
      <c r="L1082" s="25"/>
      <c r="N1082" s="25">
        <f>'Combined Retirement'!$C$18/12</f>
        <v>39153.069999999992</v>
      </c>
      <c r="O1082" s="25">
        <f t="shared" si="1045"/>
        <v>11007.82546143035</v>
      </c>
      <c r="P1082" s="25">
        <f t="shared" si="1046"/>
        <v>28145.244538569641</v>
      </c>
      <c r="Q1082" s="25">
        <f t="array" aca="1" ref="Q1082" ca="1">INDEX('Isaac 401k'!L:L,MATCH('Retirement Calculator'!A1082,'Isaac 401k'!N:N,0),0)</f>
        <v>-14303184.869740507</v>
      </c>
      <c r="R1082" s="25">
        <f t="array" aca="1" ref="R1082" ca="1">INDEX('Lorri 401b'!L:L,MATCH('Retirement Calculator'!A1082,'Lorri 401b'!N:N,0),0)</f>
        <v>-35939339.045316666</v>
      </c>
      <c r="S1082" s="25">
        <f t="shared" ca="1" si="1047"/>
        <v>-50242523.915057175</v>
      </c>
    </row>
    <row r="1083" spans="1:19" ht="15.75" customHeight="1" x14ac:dyDescent="0.3">
      <c r="A1083" s="37">
        <v>83916</v>
      </c>
      <c r="B1083" s="409">
        <f t="shared" ref="B1083:C1083" si="1099">($A1083-B$9)/365.25</f>
        <v>147.8713210130048</v>
      </c>
      <c r="C1083" s="409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3525.4531757812501</v>
      </c>
      <c r="H1083" s="25">
        <f>IF(B1083&lt;62,0,'Combined Retirement'!$I$14)</f>
        <v>2192</v>
      </c>
      <c r="I1083" s="25">
        <f>IF(C1083&lt;62,0,'Combined Retirement'!$I$13)</f>
        <v>2420</v>
      </c>
      <c r="J1083" s="25">
        <f t="shared" si="1043"/>
        <v>7863.2184191855868</v>
      </c>
      <c r="K1083" s="25">
        <f t="shared" si="1044"/>
        <v>20282.026119384056</v>
      </c>
      <c r="L1083" s="25"/>
      <c r="N1083" s="25">
        <f>'Combined Retirement'!$C$18/12</f>
        <v>39153.069999999992</v>
      </c>
      <c r="O1083" s="25">
        <f t="shared" si="1045"/>
        <v>11007.82546143035</v>
      </c>
      <c r="P1083" s="25">
        <f t="shared" si="1046"/>
        <v>28145.244538569641</v>
      </c>
      <c r="Q1083" s="25">
        <f t="array" aca="1" ref="Q1083" ca="1">INDEX('Isaac 401k'!L:L,MATCH('Retirement Calculator'!A1083,'Isaac 401k'!N:N,0),0)</f>
        <v>-14370677.455193691</v>
      </c>
      <c r="R1083" s="25">
        <f t="array" aca="1" ref="R1083" ca="1">INDEX('Lorri 401b'!L:L,MATCH('Retirement Calculator'!A1083,'Lorri 401b'!N:N,0),0)</f>
        <v>-36109452.825900361</v>
      </c>
      <c r="S1083" s="25">
        <f t="shared" ca="1" si="1047"/>
        <v>-50480130.281094052</v>
      </c>
    </row>
    <row r="1084" spans="1:19" ht="15.75" customHeight="1" x14ac:dyDescent="0.3">
      <c r="A1084" s="37">
        <v>83947</v>
      </c>
      <c r="B1084" s="409">
        <f t="shared" ref="B1084:C1084" si="1100">($A1084-B$9)/365.25</f>
        <v>147.95619438740587</v>
      </c>
      <c r="C1084" s="409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3525.4531757812501</v>
      </c>
      <c r="H1084" s="25">
        <f>IF(B1084&lt;62,0,'Combined Retirement'!$I$14)</f>
        <v>2192</v>
      </c>
      <c r="I1084" s="25">
        <f>IF(C1084&lt;62,0,'Combined Retirement'!$I$13)</f>
        <v>2420</v>
      </c>
      <c r="J1084" s="25">
        <f t="shared" si="1043"/>
        <v>7863.2184191855868</v>
      </c>
      <c r="K1084" s="25">
        <f t="shared" si="1044"/>
        <v>20282.026119384056</v>
      </c>
      <c r="L1084" s="25"/>
      <c r="N1084" s="25">
        <f>'Combined Retirement'!$C$18/12</f>
        <v>39153.069999999992</v>
      </c>
      <c r="O1084" s="25">
        <f t="shared" si="1045"/>
        <v>11007.82546143035</v>
      </c>
      <c r="P1084" s="25">
        <f t="shared" si="1046"/>
        <v>28145.244538569641</v>
      </c>
      <c r="Q1084" s="25">
        <f t="array" aca="1" ref="Q1084" ca="1">INDEX('Isaac 401k'!L:L,MATCH('Retirement Calculator'!A1084,'Isaac 401k'!N:N,0),0)</f>
        <v>-14438451.259752929</v>
      </c>
      <c r="R1084" s="25">
        <f t="array" aca="1" ref="R1084" ca="1">INDEX('Lorri 401b'!L:L,MATCH('Retirement Calculator'!A1084,'Lorri 401b'!N:N,0),0)</f>
        <v>-36280275.413903154</v>
      </c>
      <c r="S1084" s="25">
        <f t="shared" ca="1" si="1047"/>
        <v>-50718726.673656084</v>
      </c>
    </row>
    <row r="1085" spans="1:19" ht="15.75" customHeight="1" x14ac:dyDescent="0.3">
      <c r="A1085" s="37">
        <v>83977</v>
      </c>
      <c r="B1085" s="409">
        <f t="shared" ref="B1085:C1085" si="1101">($A1085-B$9)/365.25</f>
        <v>148.03832991101984</v>
      </c>
      <c r="C1085" s="409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3525.4531757812501</v>
      </c>
      <c r="H1085" s="25">
        <f>IF(B1085&lt;62,0,'Combined Retirement'!$I$14)</f>
        <v>2192</v>
      </c>
      <c r="I1085" s="25">
        <f>IF(C1085&lt;62,0,'Combined Retirement'!$I$13)</f>
        <v>2420</v>
      </c>
      <c r="J1085" s="25">
        <f t="shared" si="1043"/>
        <v>7863.2184191855868</v>
      </c>
      <c r="K1085" s="25">
        <f t="shared" si="1044"/>
        <v>20282.026119384056</v>
      </c>
      <c r="L1085" s="25"/>
      <c r="N1085" s="25">
        <f>'Combined Retirement'!$C$18/12</f>
        <v>39153.069999999992</v>
      </c>
      <c r="O1085" s="25">
        <f t="shared" si="1045"/>
        <v>11007.82546143035</v>
      </c>
      <c r="P1085" s="25">
        <f t="shared" si="1046"/>
        <v>28145.244538569641</v>
      </c>
      <c r="Q1085" s="25">
        <f t="array" aca="1" ref="Q1085" ca="1">INDEX('Isaac 401k'!L:L,MATCH('Retirement Calculator'!A1085,'Isaac 401k'!N:N,0),0)</f>
        <v>-14506507.455164498</v>
      </c>
      <c r="R1085" s="25">
        <f t="array" aca="1" ref="R1085" ca="1">INDEX('Lorri 401b'!L:L,MATCH('Retirement Calculator'!A1085,'Lorri 401b'!N:N,0),0)</f>
        <v>-36451809.7626893</v>
      </c>
      <c r="S1085" s="25">
        <f t="shared" ca="1" si="1047"/>
        <v>-50958317.217853799</v>
      </c>
    </row>
    <row r="1086" spans="1:19" ht="15.75" customHeight="1" x14ac:dyDescent="0.3">
      <c r="A1086" s="37">
        <v>84008</v>
      </c>
      <c r="B1086" s="409">
        <f t="shared" ref="B1086:C1086" si="1102">($A1086-B$9)/365.25</f>
        <v>148.12320328542094</v>
      </c>
      <c r="C1086" s="409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3525.4531757812501</v>
      </c>
      <c r="H1086" s="25">
        <f>IF(B1086&lt;62,0,'Combined Retirement'!$I$14)</f>
        <v>2192</v>
      </c>
      <c r="I1086" s="25">
        <f>IF(C1086&lt;62,0,'Combined Retirement'!$I$13)</f>
        <v>2420</v>
      </c>
      <c r="J1086" s="25">
        <f t="shared" si="1043"/>
        <v>7863.2184191855868</v>
      </c>
      <c r="K1086" s="25">
        <f t="shared" si="1044"/>
        <v>20282.026119384056</v>
      </c>
      <c r="L1086" s="25"/>
      <c r="N1086" s="25">
        <f>'Combined Retirement'!$C$18/12</f>
        <v>39153.069999999992</v>
      </c>
      <c r="O1086" s="25">
        <f t="shared" si="1045"/>
        <v>11007.82546143035</v>
      </c>
      <c r="P1086" s="25">
        <f t="shared" si="1046"/>
        <v>28145.244538569641</v>
      </c>
      <c r="Q1086" s="25">
        <f t="array" aca="1" ref="Q1086" ca="1">INDEX('Isaac 401k'!L:L,MATCH('Retirement Calculator'!A1086,'Isaac 401k'!N:N,0),0)</f>
        <v>-14574847.218056949</v>
      </c>
      <c r="R1086" s="25">
        <f t="array" aca="1" ref="R1086" ca="1">INDEX('Lorri 401b'!L:L,MATCH('Retirement Calculator'!A1086,'Lorri 401b'!N:N,0),0)</f>
        <v>-36624058.83792872</v>
      </c>
      <c r="S1086" s="25">
        <f t="shared" ca="1" si="1047"/>
        <v>-51198906.055985667</v>
      </c>
    </row>
    <row r="1087" spans="1:19" ht="15.75" customHeight="1" x14ac:dyDescent="0.3">
      <c r="A1087" s="37">
        <v>84039</v>
      </c>
      <c r="B1087" s="409">
        <f t="shared" ref="B1087:C1087" si="1103">($A1087-B$9)/365.25</f>
        <v>148.20807665982204</v>
      </c>
      <c r="C1087" s="409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3525.4531757812501</v>
      </c>
      <c r="H1087" s="25">
        <f>IF(B1087&lt;62,0,'Combined Retirement'!$I$14)</f>
        <v>2192</v>
      </c>
      <c r="I1087" s="25">
        <f>IF(C1087&lt;62,0,'Combined Retirement'!$I$13)</f>
        <v>2420</v>
      </c>
      <c r="J1087" s="25">
        <f t="shared" si="1043"/>
        <v>7863.2184191855868</v>
      </c>
      <c r="K1087" s="25">
        <f t="shared" si="1044"/>
        <v>20282.026119384056</v>
      </c>
      <c r="L1087" s="25"/>
      <c r="N1087" s="25">
        <f>'Combined Retirement'!$C$18/12</f>
        <v>39153.069999999992</v>
      </c>
      <c r="O1087" s="25">
        <f t="shared" si="1045"/>
        <v>11007.82546143035</v>
      </c>
      <c r="P1087" s="25">
        <f t="shared" si="1046"/>
        <v>28145.244538569641</v>
      </c>
      <c r="Q1087" s="25">
        <f t="array" aca="1" ref="Q1087" ca="1">INDEX('Isaac 401k'!L:L,MATCH('Retirement Calculator'!A1087,'Isaac 401k'!N:N,0),0)</f>
        <v>-14643471.729961451</v>
      </c>
      <c r="R1087" s="25">
        <f t="array" aca="1" ref="R1087" ca="1">INDEX('Lorri 401b'!L:L,MATCH('Retirement Calculator'!A1087,'Lorri 401b'!N:N,0),0)</f>
        <v>-36797025.617648304</v>
      </c>
      <c r="S1087" s="25">
        <f t="shared" ca="1" si="1047"/>
        <v>-51440497.347609758</v>
      </c>
    </row>
    <row r="1088" spans="1:19" ht="15.75" customHeight="1" x14ac:dyDescent="0.3">
      <c r="A1088" s="37">
        <v>84067</v>
      </c>
      <c r="B1088" s="409">
        <f t="shared" ref="B1088:C1088" si="1104">($A1088-B$9)/365.25</f>
        <v>148.28473648186173</v>
      </c>
      <c r="C1088" s="409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3525.4531757812501</v>
      </c>
      <c r="H1088" s="25">
        <f>IF(B1088&lt;62,0,'Combined Retirement'!$I$14)</f>
        <v>2192</v>
      </c>
      <c r="I1088" s="25">
        <f>IF(C1088&lt;62,0,'Combined Retirement'!$I$13)</f>
        <v>2420</v>
      </c>
      <c r="J1088" s="25">
        <f t="shared" si="1043"/>
        <v>7863.2184191855868</v>
      </c>
      <c r="K1088" s="25">
        <f t="shared" si="1044"/>
        <v>20282.026119384056</v>
      </c>
      <c r="L1088" s="25"/>
      <c r="N1088" s="25">
        <f>'Combined Retirement'!$C$18/12</f>
        <v>39153.069999999992</v>
      </c>
      <c r="O1088" s="25">
        <f t="shared" si="1045"/>
        <v>11007.82546143035</v>
      </c>
      <c r="P1088" s="25">
        <f t="shared" si="1046"/>
        <v>28145.244538569641</v>
      </c>
      <c r="Q1088" s="25">
        <f t="array" aca="1" ref="Q1088" ca="1">INDEX('Isaac 401k'!L:L,MATCH('Retirement Calculator'!A1088,'Isaac 401k'!N:N,0),0)</f>
        <v>-14712382.177332222</v>
      </c>
      <c r="R1088" s="25">
        <f t="array" aca="1" ref="R1088" ca="1">INDEX('Lorri 401b'!L:L,MATCH('Retirement Calculator'!A1088,'Lorri 401b'!N:N,0),0)</f>
        <v>-36970713.092283383</v>
      </c>
      <c r="S1088" s="25">
        <f t="shared" ca="1" si="1047"/>
        <v>-51683095.269615605</v>
      </c>
    </row>
    <row r="1089" spans="1:19" ht="15.75" customHeight="1" x14ac:dyDescent="0.3">
      <c r="A1089" s="37">
        <v>84098</v>
      </c>
      <c r="B1089" s="409">
        <f t="shared" ref="B1089:C1089" si="1105">($A1089-B$9)/365.25</f>
        <v>148.36960985626283</v>
      </c>
      <c r="C1089" s="409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3525.4531757812501</v>
      </c>
      <c r="H1089" s="25">
        <f>IF(B1089&lt;62,0,'Combined Retirement'!$I$14)</f>
        <v>2192</v>
      </c>
      <c r="I1089" s="25">
        <f>IF(C1089&lt;62,0,'Combined Retirement'!$I$13)</f>
        <v>2420</v>
      </c>
      <c r="J1089" s="25">
        <f t="shared" si="1043"/>
        <v>7863.2184191855868</v>
      </c>
      <c r="K1089" s="25">
        <f t="shared" si="1044"/>
        <v>20282.026119384056</v>
      </c>
      <c r="L1089" s="25"/>
      <c r="N1089" s="25">
        <f>'Combined Retirement'!$C$18/12</f>
        <v>39153.069999999992</v>
      </c>
      <c r="O1089" s="25">
        <f t="shared" si="1045"/>
        <v>11007.82546143035</v>
      </c>
      <c r="P1089" s="25">
        <f t="shared" si="1046"/>
        <v>28145.244538569641</v>
      </c>
      <c r="Q1089" s="25">
        <f t="array" aca="1" ref="Q1089" ca="1">INDEX('Isaac 401k'!L:L,MATCH('Retirement Calculator'!A1089,'Isaac 401k'!N:N,0),0)</f>
        <v>-14781579.751567038</v>
      </c>
      <c r="R1089" s="25">
        <f t="array" aca="1" ref="R1089" ca="1">INDEX('Lorri 401b'!L:L,MATCH('Retirement Calculator'!A1089,'Lorri 401b'!N:N,0),0)</f>
        <v>-37145124.26472944</v>
      </c>
      <c r="S1089" s="25">
        <f t="shared" ca="1" si="1047"/>
        <v>-51926704.016296476</v>
      </c>
    </row>
    <row r="1090" spans="1:19" ht="15.75" customHeight="1" x14ac:dyDescent="0.3">
      <c r="A1090" s="37">
        <v>84128</v>
      </c>
      <c r="B1090" s="409">
        <f t="shared" ref="B1090:C1090" si="1106">($A1090-B$9)/365.25</f>
        <v>148.4517453798768</v>
      </c>
      <c r="C1090" s="409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3525.4531757812501</v>
      </c>
      <c r="H1090" s="25">
        <f>IF(B1090&lt;62,0,'Combined Retirement'!$I$14)</f>
        <v>2192</v>
      </c>
      <c r="I1090" s="25">
        <f>IF(C1090&lt;62,0,'Combined Retirement'!$I$13)</f>
        <v>2420</v>
      </c>
      <c r="J1090" s="25">
        <f t="shared" si="1043"/>
        <v>7863.2184191855868</v>
      </c>
      <c r="K1090" s="25">
        <f t="shared" si="1044"/>
        <v>20282.026119384056</v>
      </c>
      <c r="L1090" s="25"/>
      <c r="N1090" s="25">
        <f>'Combined Retirement'!$C$18/12</f>
        <v>39153.069999999992</v>
      </c>
      <c r="O1090" s="25">
        <f t="shared" si="1045"/>
        <v>11007.82546143035</v>
      </c>
      <c r="P1090" s="25">
        <f t="shared" si="1046"/>
        <v>28145.244538569641</v>
      </c>
      <c r="Q1090" s="25">
        <f t="array" aca="1" ref="Q1090" ca="1">INDEX('Isaac 401k'!L:L,MATCH('Retirement Calculator'!A1090,'Isaac 401k'!N:N,0),0)</f>
        <v>-14851065.649027832</v>
      </c>
      <c r="R1090" s="25">
        <f t="array" aca="1" ref="R1090" ca="1">INDEX('Lorri 401b'!L:L,MATCH('Retirement Calculator'!A1090,'Lorri 401b'!N:N,0),0)</f>
        <v>-37320262.150394022</v>
      </c>
      <c r="S1090" s="25">
        <f t="shared" ca="1" si="1047"/>
        <v>-52171327.799421854</v>
      </c>
    </row>
    <row r="1091" spans="1:19" ht="15.75" customHeight="1" x14ac:dyDescent="0.3">
      <c r="A1091" s="37">
        <v>84159</v>
      </c>
      <c r="B1091" s="409">
        <f t="shared" ref="B1091:C1091" si="1107">($A1091-B$9)/365.25</f>
        <v>148.5366187542779</v>
      </c>
      <c r="C1091" s="409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3525.4531757812501</v>
      </c>
      <c r="H1091" s="25">
        <f>IF(B1091&lt;62,0,'Combined Retirement'!$I$14)</f>
        <v>2192</v>
      </c>
      <c r="I1091" s="25">
        <f>IF(C1091&lt;62,0,'Combined Retirement'!$I$13)</f>
        <v>2420</v>
      </c>
      <c r="J1091" s="25">
        <f t="shared" si="1043"/>
        <v>7863.2184191855868</v>
      </c>
      <c r="K1091" s="25">
        <f t="shared" si="1044"/>
        <v>20282.026119384056</v>
      </c>
      <c r="L1091" s="25"/>
      <c r="N1091" s="25">
        <f>'Combined Retirement'!$C$18/12</f>
        <v>39153.069999999992</v>
      </c>
      <c r="O1091" s="25">
        <f t="shared" si="1045"/>
        <v>11007.82546143035</v>
      </c>
      <c r="P1091" s="25">
        <f t="shared" si="1046"/>
        <v>28145.244538569641</v>
      </c>
      <c r="Q1091" s="25">
        <f t="array" aca="1" ref="Q1091" ca="1">INDEX('Isaac 401k'!L:L,MATCH('Retirement Calculator'!A1091,'Isaac 401k'!N:N,0),0)</f>
        <v>-14920841.07106138</v>
      </c>
      <c r="R1091" s="25">
        <f t="array" aca="1" ref="R1091" ca="1">INDEX('Lorri 401b'!L:L,MATCH('Retirement Calculator'!A1091,'Lorri 401b'!N:N,0),0)</f>
        <v>-37496129.777248874</v>
      </c>
      <c r="S1091" s="25">
        <f t="shared" ca="1" si="1047"/>
        <v>-52416970.848310255</v>
      </c>
    </row>
    <row r="1092" spans="1:19" ht="15.75" customHeight="1" x14ac:dyDescent="0.3">
      <c r="A1092" s="37">
        <v>84189</v>
      </c>
      <c r="B1092" s="409">
        <f t="shared" ref="B1092:C1092" si="1108">($A1092-B$9)/365.25</f>
        <v>148.61875427789187</v>
      </c>
      <c r="C1092" s="409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3525.4531757812501</v>
      </c>
      <c r="H1092" s="25">
        <f>IF(B1092&lt;62,0,'Combined Retirement'!$I$14)</f>
        <v>2192</v>
      </c>
      <c r="I1092" s="25">
        <f>IF(C1092&lt;62,0,'Combined Retirement'!$I$13)</f>
        <v>2420</v>
      </c>
      <c r="J1092" s="25">
        <f t="shared" si="1043"/>
        <v>7863.2184191855868</v>
      </c>
      <c r="K1092" s="25">
        <f t="shared" si="1044"/>
        <v>20282.026119384056</v>
      </c>
      <c r="L1092" s="25"/>
      <c r="N1092" s="25">
        <f>'Combined Retirement'!$C$18/12</f>
        <v>39153.069999999992</v>
      </c>
      <c r="O1092" s="25">
        <f t="shared" si="1045"/>
        <v>11007.82546143035</v>
      </c>
      <c r="P1092" s="25">
        <f t="shared" si="1046"/>
        <v>28145.244538569641</v>
      </c>
      <c r="Q1092" s="25">
        <f t="array" aca="1" ref="Q1092" ca="1">INDEX('Isaac 401k'!L:L,MATCH('Retirement Calculator'!A1092,'Isaac 401k'!N:N,0),0)</f>
        <v>-14990907.224020068</v>
      </c>
      <c r="R1092" s="25">
        <f t="array" aca="1" ref="R1092" ca="1">INDEX('Lorri 401b'!L:L,MATCH('Retirement Calculator'!A1092,'Lorri 401b'!N:N,0),0)</f>
        <v>-37672730.185882293</v>
      </c>
      <c r="S1092" s="25">
        <f t="shared" ca="1" si="1047"/>
        <v>-52663637.409902364</v>
      </c>
    </row>
    <row r="1093" spans="1:19" ht="15.75" customHeight="1" x14ac:dyDescent="0.3">
      <c r="A1093" s="37">
        <v>84220</v>
      </c>
      <c r="B1093" s="409">
        <f t="shared" ref="B1093:C1093" si="1109">($A1093-B$9)/365.25</f>
        <v>148.70362765229294</v>
      </c>
      <c r="C1093" s="409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3525.4531757812501</v>
      </c>
      <c r="H1093" s="25">
        <f>IF(B1093&lt;62,0,'Combined Retirement'!$I$14)</f>
        <v>2192</v>
      </c>
      <c r="I1093" s="25">
        <f>IF(C1093&lt;62,0,'Combined Retirement'!$I$13)</f>
        <v>2420</v>
      </c>
      <c r="J1093" s="25">
        <f t="shared" si="1043"/>
        <v>7863.2184191855868</v>
      </c>
      <c r="K1093" s="25">
        <f t="shared" si="1044"/>
        <v>20282.026119384056</v>
      </c>
      <c r="L1093" s="25"/>
      <c r="N1093" s="25">
        <f>'Combined Retirement'!$C$18/12</f>
        <v>39153.069999999992</v>
      </c>
      <c r="O1093" s="25">
        <f t="shared" si="1045"/>
        <v>11007.82546143035</v>
      </c>
      <c r="P1093" s="25">
        <f t="shared" si="1046"/>
        <v>28145.244538569641</v>
      </c>
      <c r="Q1093" s="25">
        <f t="array" aca="1" ref="Q1093" ca="1">INDEX('Isaac 401k'!L:L,MATCH('Retirement Calculator'!A1093,'Isaac 401k'!N:N,0),0)</f>
        <v>-15061265.31928275</v>
      </c>
      <c r="R1093" s="25">
        <f t="array" aca="1" ref="R1093" ca="1">INDEX('Lorri 401b'!L:L,MATCH('Retirement Calculator'!A1093,'Lorri 401b'!N:N,0),0)</f>
        <v>-37850066.429551683</v>
      </c>
      <c r="S1093" s="25">
        <f t="shared" ca="1" si="1047"/>
        <v>-52911331.748834431</v>
      </c>
    </row>
    <row r="1094" spans="1:19" ht="15.75" customHeight="1" x14ac:dyDescent="0.3">
      <c r="A1094" s="37">
        <v>84251</v>
      </c>
      <c r="B1094" s="409">
        <f t="shared" ref="B1094:C1094" si="1110">($A1094-B$9)/365.25</f>
        <v>148.78850102669404</v>
      </c>
      <c r="C1094" s="409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3525.4531757812501</v>
      </c>
      <c r="H1094" s="25">
        <f>IF(B1094&lt;62,0,'Combined Retirement'!$I$14)</f>
        <v>2192</v>
      </c>
      <c r="I1094" s="25">
        <f>IF(C1094&lt;62,0,'Combined Retirement'!$I$13)</f>
        <v>2420</v>
      </c>
      <c r="J1094" s="25">
        <f t="shared" si="1043"/>
        <v>7863.2184191855868</v>
      </c>
      <c r="K1094" s="25">
        <f t="shared" si="1044"/>
        <v>20282.026119384056</v>
      </c>
      <c r="L1094" s="25"/>
      <c r="N1094" s="25">
        <f>'Combined Retirement'!$C$18/12</f>
        <v>39153.069999999992</v>
      </c>
      <c r="O1094" s="25">
        <f t="shared" si="1045"/>
        <v>11007.82546143035</v>
      </c>
      <c r="P1094" s="25">
        <f t="shared" si="1046"/>
        <v>28145.244538569641</v>
      </c>
      <c r="Q1094" s="25">
        <f t="array" aca="1" ref="Q1094" ca="1">INDEX('Isaac 401k'!L:L,MATCH('Retirement Calculator'!A1094,'Isaac 401k'!N:N,0),0)</f>
        <v>-15131916.573275693</v>
      </c>
      <c r="R1094" s="25">
        <f t="array" aca="1" ref="R1094" ca="1">INDEX('Lorri 401b'!L:L,MATCH('Retirement Calculator'!A1094,'Lorri 401b'!N:N,0),0)</f>
        <v>-38028141.574236363</v>
      </c>
      <c r="S1094" s="25">
        <f t="shared" ca="1" si="1047"/>
        <v>-53160058.147512056</v>
      </c>
    </row>
    <row r="1095" spans="1:19" ht="15.75" customHeight="1" x14ac:dyDescent="0.3">
      <c r="A1095" s="37">
        <v>84281</v>
      </c>
      <c r="B1095" s="409">
        <f t="shared" ref="B1095:C1095" si="1111">($A1095-B$9)/365.25</f>
        <v>148.87063655030801</v>
      </c>
      <c r="C1095" s="409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3525.4531757812501</v>
      </c>
      <c r="H1095" s="25">
        <f>IF(B1095&lt;62,0,'Combined Retirement'!$I$14)</f>
        <v>2192</v>
      </c>
      <c r="I1095" s="25">
        <f>IF(C1095&lt;62,0,'Combined Retirement'!$I$13)</f>
        <v>2420</v>
      </c>
      <c r="J1095" s="25">
        <f t="shared" si="1043"/>
        <v>7863.2184191855868</v>
      </c>
      <c r="K1095" s="25">
        <f t="shared" si="1044"/>
        <v>20282.026119384056</v>
      </c>
      <c r="L1095" s="25"/>
      <c r="N1095" s="25">
        <f>'Combined Retirement'!$C$18/12</f>
        <v>39153.069999999992</v>
      </c>
      <c r="O1095" s="25">
        <f t="shared" si="1045"/>
        <v>11007.82546143035</v>
      </c>
      <c r="P1095" s="25">
        <f t="shared" si="1046"/>
        <v>28145.244538569641</v>
      </c>
      <c r="Q1095" s="25">
        <f t="array" aca="1" ref="Q1095" ca="1">INDEX('Isaac 401k'!L:L,MATCH('Retirement Calculator'!A1095,'Isaac 401k'!N:N,0),0)</f>
        <v>-15202862.207493607</v>
      </c>
      <c r="R1095" s="25">
        <f t="array" aca="1" ref="R1095" ca="1">INDEX('Lorri 401b'!L:L,MATCH('Retirement Calculator'!A1095,'Lorri 401b'!N:N,0),0)</f>
        <v>-38206958.698690563</v>
      </c>
      <c r="S1095" s="25">
        <f t="shared" ca="1" si="1047"/>
        <v>-53409820.906184167</v>
      </c>
    </row>
    <row r="1096" spans="1:19" ht="15.75" customHeight="1" x14ac:dyDescent="0.3">
      <c r="A1096" s="37">
        <v>84312</v>
      </c>
      <c r="B1096" s="409">
        <f t="shared" ref="B1096:C1096" si="1112">($A1096-B$9)/365.25</f>
        <v>148.95550992470911</v>
      </c>
      <c r="C1096" s="409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3525.4531757812501</v>
      </c>
      <c r="H1096" s="25">
        <f>IF(B1096&lt;62,0,'Combined Retirement'!$I$14)</f>
        <v>2192</v>
      </c>
      <c r="I1096" s="25">
        <f>IF(C1096&lt;62,0,'Combined Retirement'!$I$13)</f>
        <v>2420</v>
      </c>
      <c r="J1096" s="25">
        <f t="shared" si="1043"/>
        <v>7863.2184191855868</v>
      </c>
      <c r="K1096" s="25">
        <f t="shared" si="1044"/>
        <v>20282.026119384056</v>
      </c>
      <c r="L1096" s="25"/>
      <c r="N1096" s="25">
        <f>'Combined Retirement'!$C$18/12</f>
        <v>39153.069999999992</v>
      </c>
      <c r="O1096" s="25">
        <f t="shared" si="1045"/>
        <v>11007.82546143035</v>
      </c>
      <c r="P1096" s="25">
        <f t="shared" si="1046"/>
        <v>28145.244538569641</v>
      </c>
      <c r="Q1096" s="25">
        <f t="array" aca="1" ref="Q1096" ca="1">INDEX('Isaac 401k'!L:L,MATCH('Retirement Calculator'!A1096,'Isaac 401k'!N:N,0),0)</f>
        <v>-15274103.448520761</v>
      </c>
      <c r="R1096" s="25">
        <f t="array" aca="1" ref="R1096" ca="1">INDEX('Lorri 401b'!L:L,MATCH('Retirement Calculator'!A1096,'Lorri 401b'!N:N,0),0)</f>
        <v>-38386520.89449665</v>
      </c>
      <c r="S1096" s="25">
        <f t="shared" ca="1" si="1047"/>
        <v>-53660624.343017414</v>
      </c>
    </row>
    <row r="1097" spans="1:19" ht="15.75" customHeight="1" x14ac:dyDescent="0.3">
      <c r="A1097" s="37">
        <v>84342</v>
      </c>
      <c r="B1097" s="409">
        <f t="shared" ref="B1097:C1097" si="1113">($A1097-B$9)/365.25</f>
        <v>149.03764544832308</v>
      </c>
      <c r="C1097" s="409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3525.4531757812501</v>
      </c>
      <c r="H1097" s="25">
        <f>IF(B1097&lt;62,0,'Combined Retirement'!$I$14)</f>
        <v>2192</v>
      </c>
      <c r="I1097" s="25">
        <f>IF(C1097&lt;62,0,'Combined Retirement'!$I$13)</f>
        <v>2420</v>
      </c>
      <c r="J1097" s="25">
        <f t="shared" si="1043"/>
        <v>7863.2184191855868</v>
      </c>
      <c r="K1097" s="25">
        <f t="shared" si="1044"/>
        <v>20282.026119384056</v>
      </c>
      <c r="L1097" s="25"/>
      <c r="N1097" s="25">
        <f>'Combined Retirement'!$C$18/12</f>
        <v>39153.069999999992</v>
      </c>
      <c r="O1097" s="25">
        <f t="shared" si="1045"/>
        <v>11007.82546143035</v>
      </c>
      <c r="P1097" s="25">
        <f t="shared" si="1046"/>
        <v>28145.244538569641</v>
      </c>
      <c r="Q1097" s="25">
        <f t="array" aca="1" ref="Q1097" ca="1">INDEX('Isaac 401k'!L:L,MATCH('Retirement Calculator'!A1097,'Isaac 401k'!N:N,0),0)</f>
        <v>-15345641.528052196</v>
      </c>
      <c r="R1097" s="25">
        <f t="array" aca="1" ref="R1097" ca="1">INDEX('Lorri 401b'!L:L,MATCH('Retirement Calculator'!A1097,'Lorri 401b'!N:N,0),0)</f>
        <v>-38566831.266118601</v>
      </c>
      <c r="S1097" s="25">
        <f t="shared" ca="1" si="1047"/>
        <v>-53912472.794170797</v>
      </c>
    </row>
    <row r="1098" spans="1:19" ht="15.75" customHeight="1" x14ac:dyDescent="0.3">
      <c r="A1098" s="37">
        <v>84373</v>
      </c>
      <c r="B1098" s="409">
        <f t="shared" ref="B1098:C1098" si="1114">($A1098-B$9)/365.25</f>
        <v>149.12251882272417</v>
      </c>
      <c r="C1098" s="409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3525.4531757812501</v>
      </c>
      <c r="H1098" s="25">
        <f>IF(B1098&lt;62,0,'Combined Retirement'!$I$14)</f>
        <v>2192</v>
      </c>
      <c r="I1098" s="25">
        <f>IF(C1098&lt;62,0,'Combined Retirement'!$I$13)</f>
        <v>2420</v>
      </c>
      <c r="J1098" s="25">
        <f t="shared" si="1043"/>
        <v>7863.2184191855868</v>
      </c>
      <c r="K1098" s="25">
        <f t="shared" si="1044"/>
        <v>20282.026119384056</v>
      </c>
      <c r="L1098" s="25"/>
      <c r="N1098" s="25">
        <f>'Combined Retirement'!$C$18/12</f>
        <v>39153.069999999992</v>
      </c>
      <c r="O1098" s="25">
        <f t="shared" si="1045"/>
        <v>11007.82546143035</v>
      </c>
      <c r="P1098" s="25">
        <f t="shared" si="1046"/>
        <v>28145.244538569641</v>
      </c>
      <c r="Q1098" s="25">
        <f t="array" aca="1" ref="Q1098" ca="1">INDEX('Isaac 401k'!L:L,MATCH('Retirement Calculator'!A1098,'Isaac 401k'!N:N,0),0)</f>
        <v>-15417477.682915011</v>
      </c>
      <c r="R1098" s="25">
        <f t="array" aca="1" ref="R1098" ca="1">INDEX('Lorri 401b'!L:L,MATCH('Retirement Calculator'!A1098,'Lorri 401b'!N:N,0),0)</f>
        <v>-38747892.930955641</v>
      </c>
      <c r="S1098" s="25">
        <f t="shared" ca="1" si="1047"/>
        <v>-54165370.613870651</v>
      </c>
    </row>
    <row r="1099" spans="1:19" ht="15.75" customHeight="1" x14ac:dyDescent="0.3">
      <c r="A1099" s="37">
        <v>84404</v>
      </c>
      <c r="B1099" s="409">
        <f t="shared" ref="B1099:C1099" si="1115">($A1099-B$9)/365.25</f>
        <v>149.20739219712524</v>
      </c>
      <c r="C1099" s="409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3525.4531757812501</v>
      </c>
      <c r="H1099" s="25">
        <f>IF(B1099&lt;62,0,'Combined Retirement'!$I$14)</f>
        <v>2192</v>
      </c>
      <c r="I1099" s="25">
        <f>IF(C1099&lt;62,0,'Combined Retirement'!$I$13)</f>
        <v>2420</v>
      </c>
      <c r="J1099" s="25">
        <f t="shared" si="1043"/>
        <v>7863.2184191855868</v>
      </c>
      <c r="K1099" s="25">
        <f t="shared" si="1044"/>
        <v>20282.026119384056</v>
      </c>
      <c r="L1099" s="25"/>
      <c r="N1099" s="25">
        <f>'Combined Retirement'!$C$18/12</f>
        <v>39153.069999999992</v>
      </c>
      <c r="O1099" s="25">
        <f t="shared" si="1045"/>
        <v>11007.82546143035</v>
      </c>
      <c r="P1099" s="25">
        <f t="shared" si="1046"/>
        <v>28145.244538569641</v>
      </c>
      <c r="Q1099" s="25">
        <f t="array" aca="1" ref="Q1099" ca="1">INDEX('Isaac 401k'!L:L,MATCH('Retirement Calculator'!A1099,'Isaac 401k'!N:N,0),0)</f>
        <v>-15489613.155089755</v>
      </c>
      <c r="R1099" s="25">
        <f t="array" aca="1" ref="R1099" ca="1">INDEX('Lorri 401b'!L:L,MATCH('Retirement Calculator'!A1099,'Lorri 401b'!N:N,0),0)</f>
        <v>-38929709.019396171</v>
      </c>
      <c r="S1099" s="25">
        <f t="shared" ca="1" si="1047"/>
        <v>-54419322.174485922</v>
      </c>
    </row>
    <row r="1100" spans="1:19" ht="15.75" customHeight="1" x14ac:dyDescent="0.3">
      <c r="A1100" s="37">
        <v>84432</v>
      </c>
      <c r="B1100" s="409">
        <f t="shared" ref="B1100:C1100" si="1116">($A1100-B$9)/365.25</f>
        <v>149.28405201916496</v>
      </c>
      <c r="C1100" s="409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3525.4531757812501</v>
      </c>
      <c r="H1100" s="25">
        <f>IF(B1100&lt;62,0,'Combined Retirement'!$I$14)</f>
        <v>2192</v>
      </c>
      <c r="I1100" s="25">
        <f>IF(C1100&lt;62,0,'Combined Retirement'!$I$13)</f>
        <v>2420</v>
      </c>
      <c r="J1100" s="25">
        <f t="shared" si="1043"/>
        <v>7863.2184191855868</v>
      </c>
      <c r="K1100" s="25">
        <f t="shared" si="1044"/>
        <v>20282.026119384056</v>
      </c>
      <c r="L1100" s="25"/>
      <c r="N1100" s="25">
        <f>'Combined Retirement'!$C$18/12</f>
        <v>39153.069999999992</v>
      </c>
      <c r="O1100" s="25">
        <f t="shared" si="1045"/>
        <v>11007.82546143035</v>
      </c>
      <c r="P1100" s="25">
        <f t="shared" si="1046"/>
        <v>28145.244538569641</v>
      </c>
      <c r="Q1100" s="25">
        <f t="array" aca="1" ref="Q1100" ca="1">INDEX('Isaac 401k'!L:L,MATCH('Retirement Calculator'!A1100,'Isaac 401k'!N:N,0),0)</f>
        <v>-15562049.191731893</v>
      </c>
      <c r="R1100" s="25">
        <f t="array" aca="1" ref="R1100" ca="1">INDEX('Lorri 401b'!L:L,MATCH('Retirement Calculator'!A1100,'Lorri 401b'!N:N,0),0)</f>
        <v>-39112282.674871869</v>
      </c>
      <c r="S1100" s="25">
        <f t="shared" ca="1" si="1047"/>
        <v>-54674331.866603762</v>
      </c>
    </row>
    <row r="1101" spans="1:19" ht="15.75" customHeight="1" x14ac:dyDescent="0.3">
      <c r="A1101" s="37">
        <v>84463</v>
      </c>
      <c r="B1101" s="409">
        <f t="shared" ref="B1101:C1101" si="1117">($A1101-B$9)/365.25</f>
        <v>149.36892539356606</v>
      </c>
      <c r="C1101" s="409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3525.4531757812501</v>
      </c>
      <c r="H1101" s="25">
        <f>IF(B1101&lt;62,0,'Combined Retirement'!$I$14)</f>
        <v>2192</v>
      </c>
      <c r="I1101" s="25">
        <f>IF(C1101&lt;62,0,'Combined Retirement'!$I$13)</f>
        <v>2420</v>
      </c>
      <c r="J1101" s="25">
        <f t="shared" si="1043"/>
        <v>7863.2184191855868</v>
      </c>
      <c r="K1101" s="25">
        <f t="shared" si="1044"/>
        <v>20282.026119384056</v>
      </c>
      <c r="L1101" s="25"/>
      <c r="N1101" s="25">
        <f>'Combined Retirement'!$C$18/12</f>
        <v>39153.069999999992</v>
      </c>
      <c r="O1101" s="25">
        <f t="shared" si="1045"/>
        <v>11007.82546143035</v>
      </c>
      <c r="P1101" s="25">
        <f t="shared" si="1046"/>
        <v>28145.244538569641</v>
      </c>
      <c r="Q1101" s="25">
        <f t="array" aca="1" ref="Q1101" ca="1">INDEX('Isaac 401k'!L:L,MATCH('Retirement Calculator'!A1101,'Isaac 401k'!N:N,0),0)</f>
        <v>-15634787.045193374</v>
      </c>
      <c r="R1101" s="25">
        <f t="array" aca="1" ref="R1101" ca="1">INDEX('Lorri 401b'!L:L,MATCH('Retirement Calculator'!A1101,'Lorri 401b'!N:N,0),0)</f>
        <v>-39295617.053912051</v>
      </c>
      <c r="S1101" s="25">
        <f t="shared" ca="1" si="1047"/>
        <v>-54930404.099105425</v>
      </c>
    </row>
    <row r="1102" spans="1:19" ht="15.75" customHeight="1" x14ac:dyDescent="0.3">
      <c r="A1102" s="37">
        <v>84493</v>
      </c>
      <c r="B1102" s="409">
        <f t="shared" ref="B1102:C1102" si="1118">($A1102-B$9)/365.25</f>
        <v>149.45106091718</v>
      </c>
      <c r="C1102" s="409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3525.4531757812501</v>
      </c>
      <c r="H1102" s="25">
        <f>IF(B1102&lt;62,0,'Combined Retirement'!$I$14)</f>
        <v>2192</v>
      </c>
      <c r="I1102" s="25">
        <f>IF(C1102&lt;62,0,'Combined Retirement'!$I$13)</f>
        <v>2420</v>
      </c>
      <c r="J1102" s="25">
        <f t="shared" si="1043"/>
        <v>7863.2184191855868</v>
      </c>
      <c r="K1102" s="25">
        <f t="shared" si="1044"/>
        <v>20282.026119384056</v>
      </c>
      <c r="L1102" s="25"/>
      <c r="N1102" s="25">
        <f>'Combined Retirement'!$C$18/12</f>
        <v>39153.069999999992</v>
      </c>
      <c r="O1102" s="25">
        <f t="shared" si="1045"/>
        <v>11007.82546143035</v>
      </c>
      <c r="P1102" s="25">
        <f t="shared" si="1046"/>
        <v>28145.244538569641</v>
      </c>
      <c r="Q1102" s="25">
        <f t="array" aca="1" ref="Q1102" ca="1">INDEX('Isaac 401k'!L:L,MATCH('Retirement Calculator'!A1102,'Isaac 401k'!N:N,0),0)</f>
        <v>-15707827.973044278</v>
      </c>
      <c r="R1102" s="25">
        <f t="array" aca="1" ref="R1102" ca="1">INDEX('Lorri 401b'!L:L,MATCH('Retirement Calculator'!A1102,'Lorri 401b'!N:N,0),0)</f>
        <v>-39479715.326198228</v>
      </c>
      <c r="S1102" s="25">
        <f t="shared" ca="1" si="1047"/>
        <v>-55187543.299242504</v>
      </c>
    </row>
    <row r="1103" spans="1:19" ht="15.75" customHeight="1" x14ac:dyDescent="0.3">
      <c r="A1103" s="37">
        <v>84524</v>
      </c>
      <c r="B1103" s="409">
        <f t="shared" ref="B1103:C1103" si="1119">($A1103-B$9)/365.25</f>
        <v>149.5359342915811</v>
      </c>
      <c r="C1103" s="409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3525.4531757812501</v>
      </c>
      <c r="H1103" s="25">
        <f>IF(B1103&lt;62,0,'Combined Retirement'!$I$14)</f>
        <v>2192</v>
      </c>
      <c r="I1103" s="25">
        <f>IF(C1103&lt;62,0,'Combined Retirement'!$I$13)</f>
        <v>2420</v>
      </c>
      <c r="J1103" s="25">
        <f t="shared" si="1043"/>
        <v>7863.2184191855868</v>
      </c>
      <c r="K1103" s="25">
        <f t="shared" si="1044"/>
        <v>20282.026119384056</v>
      </c>
      <c r="L1103" s="25"/>
      <c r="N1103" s="25">
        <f>'Combined Retirement'!$C$18/12</f>
        <v>39153.069999999992</v>
      </c>
      <c r="O1103" s="25">
        <f t="shared" si="1045"/>
        <v>11007.82546143035</v>
      </c>
      <c r="P1103" s="25">
        <f t="shared" si="1046"/>
        <v>28145.244538569641</v>
      </c>
      <c r="Q1103" s="25">
        <f t="array" aca="1" ref="Q1103" ca="1">INDEX('Isaac 401k'!L:L,MATCH('Retirement Calculator'!A1103,'Isaac 401k'!N:N,0),0)</f>
        <v>-15781173.238094561</v>
      </c>
      <c r="R1103" s="25">
        <f t="array" aca="1" ref="R1103" ca="1">INDEX('Lorri 401b'!L:L,MATCH('Retirement Calculator'!A1103,'Lorri 401b'!N:N,0),0)</f>
        <v>-39664580.67461893</v>
      </c>
      <c r="S1103" s="25">
        <f t="shared" ca="1" si="1047"/>
        <v>-55445753.91271349</v>
      </c>
    </row>
    <row r="1104" spans="1:19" ht="15.75" customHeight="1" x14ac:dyDescent="0.3">
      <c r="A1104" s="37">
        <v>84554</v>
      </c>
      <c r="B1104" s="409">
        <f t="shared" ref="B1104:C1104" si="1120">($A1104-B$9)/365.25</f>
        <v>149.61806981519507</v>
      </c>
      <c r="C1104" s="409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3525.4531757812501</v>
      </c>
      <c r="H1104" s="25">
        <f>IF(B1104&lt;62,0,'Combined Retirement'!$I$14)</f>
        <v>2192</v>
      </c>
      <c r="I1104" s="25">
        <f>IF(C1104&lt;62,0,'Combined Retirement'!$I$13)</f>
        <v>2420</v>
      </c>
      <c r="J1104" s="25">
        <f t="shared" si="1043"/>
        <v>7863.2184191855868</v>
      </c>
      <c r="K1104" s="25">
        <f t="shared" si="1044"/>
        <v>20282.026119384056</v>
      </c>
      <c r="L1104" s="25"/>
      <c r="N1104" s="25">
        <f>'Combined Retirement'!$C$18/12</f>
        <v>39153.069999999992</v>
      </c>
      <c r="O1104" s="25">
        <f t="shared" si="1045"/>
        <v>11007.82546143035</v>
      </c>
      <c r="P1104" s="25">
        <f t="shared" si="1046"/>
        <v>28145.244538569641</v>
      </c>
      <c r="Q1104" s="25">
        <f t="array" aca="1" ref="Q1104" ca="1">INDEX('Isaac 401k'!L:L,MATCH('Retirement Calculator'!A1104,'Isaac 401k'!N:N,0),0)</f>
        <v>-15854824.108415887</v>
      </c>
      <c r="R1104" s="25">
        <f t="array" aca="1" ref="R1104" ca="1">INDEX('Lorri 401b'!L:L,MATCH('Retirement Calculator'!A1104,'Lorri 401b'!N:N,0),0)</f>
        <v>-39850216.29532472</v>
      </c>
      <c r="S1104" s="25">
        <f t="shared" ca="1" si="1047"/>
        <v>-55705040.403740607</v>
      </c>
    </row>
    <row r="1105" spans="1:19" ht="15.75" customHeight="1" x14ac:dyDescent="0.3">
      <c r="A1105" s="37">
        <v>84585</v>
      </c>
      <c r="B1105" s="409">
        <f t="shared" ref="B1105:C1105" si="1121">($A1105-B$9)/365.25</f>
        <v>149.70294318959617</v>
      </c>
      <c r="C1105" s="409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3525.4531757812501</v>
      </c>
      <c r="H1105" s="25">
        <f>IF(B1105&lt;62,0,'Combined Retirement'!$I$14)</f>
        <v>2192</v>
      </c>
      <c r="I1105" s="25">
        <f>IF(C1105&lt;62,0,'Combined Retirement'!$I$13)</f>
        <v>2420</v>
      </c>
      <c r="J1105" s="25">
        <f t="shared" si="1043"/>
        <v>7863.2184191855868</v>
      </c>
      <c r="K1105" s="25">
        <f t="shared" si="1044"/>
        <v>20282.026119384056</v>
      </c>
      <c r="L1105" s="25"/>
      <c r="N1105" s="25">
        <f>'Combined Retirement'!$C$18/12</f>
        <v>39153.069999999992</v>
      </c>
      <c r="O1105" s="25">
        <f t="shared" si="1045"/>
        <v>11007.82546143035</v>
      </c>
      <c r="P1105" s="25">
        <f t="shared" si="1046"/>
        <v>28145.244538569641</v>
      </c>
      <c r="Q1105" s="25">
        <f t="array" aca="1" ref="Q1105" ca="1">INDEX('Isaac 401k'!L:L,MATCH('Retirement Calculator'!A1105,'Isaac 401k'!N:N,0),0)</f>
        <v>-15928781.857363552</v>
      </c>
      <c r="R1105" s="25">
        <f t="array" aca="1" ref="R1105" ca="1">INDEX('Lorri 401b'!L:L,MATCH('Retirement Calculator'!A1105,'Lorri 401b'!N:N,0),0)</f>
        <v>-40036625.397783451</v>
      </c>
      <c r="S1105" s="25">
        <f t="shared" ca="1" si="1047"/>
        <v>-55965407.255147003</v>
      </c>
    </row>
    <row r="1106" spans="1:19" ht="15.75" customHeight="1" x14ac:dyDescent="0.3">
      <c r="A1106" s="37">
        <v>84616</v>
      </c>
      <c r="B1106" s="409">
        <f t="shared" ref="B1106:C1106" si="1122">($A1106-B$9)/365.25</f>
        <v>149.78781656399727</v>
      </c>
      <c r="C1106" s="409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3525.4531757812501</v>
      </c>
      <c r="H1106" s="25">
        <f>IF(B1106&lt;62,0,'Combined Retirement'!$I$14)</f>
        <v>2192</v>
      </c>
      <c r="I1106" s="25">
        <f>IF(C1106&lt;62,0,'Combined Retirement'!$I$13)</f>
        <v>2420</v>
      </c>
      <c r="J1106" s="25">
        <f t="shared" si="1043"/>
        <v>7863.2184191855868</v>
      </c>
      <c r="K1106" s="25">
        <f t="shared" si="1044"/>
        <v>20282.026119384056</v>
      </c>
      <c r="L1106" s="25"/>
      <c r="N1106" s="25">
        <f>'Combined Retirement'!$C$18/12</f>
        <v>39153.069999999992</v>
      </c>
      <c r="O1106" s="25">
        <f t="shared" si="1045"/>
        <v>11007.82546143035</v>
      </c>
      <c r="P1106" s="25">
        <f t="shared" si="1046"/>
        <v>28145.244538569641</v>
      </c>
      <c r="Q1106" s="25">
        <f t="array" aca="1" ref="Q1106" ca="1">INDEX('Isaac 401k'!L:L,MATCH('Retirement Calculator'!A1106,'Isaac 401k'!N:N,0),0)</f>
        <v>-16003047.763598498</v>
      </c>
      <c r="R1106" s="25">
        <f t="array" aca="1" ref="R1106" ca="1">INDEX('Lorri 401b'!L:L,MATCH('Retirement Calculator'!A1106,'Lorri 401b'!N:N,0),0)</f>
        <v>-40223811.204835758</v>
      </c>
      <c r="S1106" s="25">
        <f t="shared" ca="1" si="1047"/>
        <v>-56226858.968434259</v>
      </c>
    </row>
    <row r="1107" spans="1:19" ht="15.75" customHeight="1" x14ac:dyDescent="0.3">
      <c r="A1107" s="37">
        <v>84646</v>
      </c>
      <c r="B1107" s="409">
        <f t="shared" ref="B1107:C1107" si="1123">($A1107-B$9)/365.25</f>
        <v>149.86995208761124</v>
      </c>
      <c r="C1107" s="409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3525.4531757812501</v>
      </c>
      <c r="H1107" s="25">
        <f>IF(B1107&lt;62,0,'Combined Retirement'!$I$14)</f>
        <v>2192</v>
      </c>
      <c r="I1107" s="25">
        <f>IF(C1107&lt;62,0,'Combined Retirement'!$I$13)</f>
        <v>2420</v>
      </c>
      <c r="J1107" s="25">
        <f t="shared" si="1043"/>
        <v>7863.2184191855868</v>
      </c>
      <c r="K1107" s="25">
        <f t="shared" si="1044"/>
        <v>20282.026119384056</v>
      </c>
      <c r="L1107" s="25"/>
      <c r="N1107" s="25">
        <f>'Combined Retirement'!$C$18/12</f>
        <v>39153.069999999992</v>
      </c>
      <c r="O1107" s="25">
        <f t="shared" si="1045"/>
        <v>11007.82546143035</v>
      </c>
      <c r="P1107" s="25">
        <f t="shared" si="1046"/>
        <v>28145.244538569641</v>
      </c>
      <c r="Q1107" s="25">
        <f t="array" aca="1" ref="Q1107" ca="1">INDEX('Isaac 401k'!L:L,MATCH('Retirement Calculator'!A1107,'Isaac 401k'!N:N,0),0)</f>
        <v>-16077623.111109423</v>
      </c>
      <c r="R1107" s="25">
        <f t="array" aca="1" ref="R1107" ca="1">INDEX('Lorri 401b'!L:L,MATCH('Retirement Calculator'!A1107,'Lorri 401b'!N:N,0),0)</f>
        <v>-40411776.952750787</v>
      </c>
      <c r="S1107" s="25">
        <f t="shared" ca="1" si="1047"/>
        <v>-56489400.063860208</v>
      </c>
    </row>
    <row r="1108" spans="1:19" ht="15.75" customHeight="1" x14ac:dyDescent="0.3">
      <c r="A1108" s="37">
        <v>84677</v>
      </c>
      <c r="B1108" s="409">
        <f t="shared" ref="B1108:C1108" si="1124">($A1108-B$9)/365.25</f>
        <v>149.95482546201231</v>
      </c>
      <c r="C1108" s="409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3525.4531757812501</v>
      </c>
      <c r="H1108" s="25">
        <f>IF(B1108&lt;62,0,'Combined Retirement'!$I$14)</f>
        <v>2192</v>
      </c>
      <c r="I1108" s="25">
        <f>IF(C1108&lt;62,0,'Combined Retirement'!$I$13)</f>
        <v>2420</v>
      </c>
      <c r="J1108" s="25">
        <f t="shared" si="1043"/>
        <v>7863.2184191855868</v>
      </c>
      <c r="K1108" s="25">
        <f t="shared" si="1044"/>
        <v>20282.026119384056</v>
      </c>
      <c r="L1108" s="25"/>
      <c r="N1108" s="25">
        <f>'Combined Retirement'!$C$18/12</f>
        <v>39153.069999999992</v>
      </c>
      <c r="O1108" s="25">
        <f t="shared" si="1045"/>
        <v>11007.82546143035</v>
      </c>
      <c r="P1108" s="25">
        <f t="shared" si="1046"/>
        <v>28145.244538569641</v>
      </c>
      <c r="Q1108" s="25">
        <f t="array" aca="1" ref="Q1108" ca="1">INDEX('Isaac 401k'!L:L,MATCH('Retirement Calculator'!A1108,'Isaac 401k'!N:N,0),0)</f>
        <v>-16152509.189234976</v>
      </c>
      <c r="R1108" s="25">
        <f t="array" aca="1" ref="R1108" ca="1">INDEX('Lorri 401b'!L:L,MATCH('Retirement Calculator'!A1108,'Lorri 401b'!N:N,0),0)</f>
        <v>-40600525.891282126</v>
      </c>
      <c r="S1108" s="25">
        <f t="shared" ca="1" si="1047"/>
        <v>-56753035.080517098</v>
      </c>
    </row>
    <row r="1109" spans="1:19" ht="15.75" customHeight="1" x14ac:dyDescent="0.3">
      <c r="A1109" s="37">
        <v>84707</v>
      </c>
      <c r="B1109" s="409">
        <f t="shared" ref="B1109:C1109" si="1125">($A1109-B$9)/365.25</f>
        <v>150.03696098562628</v>
      </c>
      <c r="C1109" s="409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3525.4531757812501</v>
      </c>
      <c r="H1109" s="25">
        <f>IF(B1109&lt;62,0,'Combined Retirement'!$I$14)</f>
        <v>2192</v>
      </c>
      <c r="I1109" s="25">
        <f>IF(C1109&lt;62,0,'Combined Retirement'!$I$13)</f>
        <v>2420</v>
      </c>
      <c r="J1109" s="25">
        <f t="shared" si="1043"/>
        <v>7863.2184191855868</v>
      </c>
      <c r="K1109" s="25">
        <f t="shared" si="1044"/>
        <v>20282.026119384056</v>
      </c>
      <c r="L1109" s="25"/>
      <c r="N1109" s="25">
        <f>'Combined Retirement'!$C$18/12</f>
        <v>39153.069999999992</v>
      </c>
      <c r="O1109" s="25">
        <f t="shared" si="1045"/>
        <v>11007.82546143035</v>
      </c>
      <c r="P1109" s="25">
        <f t="shared" si="1046"/>
        <v>28145.244538569641</v>
      </c>
      <c r="Q1109" s="25">
        <f t="array" aca="1" ref="Q1109" ca="1">INDEX('Isaac 401k'!L:L,MATCH('Retirement Calculator'!A1109,'Isaac 401k'!N:N,0),0)</f>
        <v>-16227707.292686053</v>
      </c>
      <c r="R1109" s="25">
        <f t="array" aca="1" ref="R1109" ca="1">INDEX('Lorri 401b'!L:L,MATCH('Retirement Calculator'!A1109,'Lorri 401b'!N:N,0),0)</f>
        <v>-40790061.283724017</v>
      </c>
      <c r="S1109" s="25">
        <f t="shared" ca="1" si="1047"/>
        <v>-57017768.57641007</v>
      </c>
    </row>
    <row r="1110" spans="1:19" ht="15.75" customHeight="1" x14ac:dyDescent="0.3">
      <c r="A1110" s="37">
        <v>84738</v>
      </c>
      <c r="B1110" s="409">
        <f t="shared" ref="B1110:C1110" si="1126">($A1110-B$9)/365.25</f>
        <v>150.12183436002738</v>
      </c>
      <c r="C1110" s="409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3525.4531757812501</v>
      </c>
      <c r="H1110" s="25">
        <f>IF(B1110&lt;62,0,'Combined Retirement'!$I$14)</f>
        <v>2192</v>
      </c>
      <c r="I1110" s="25">
        <f>IF(C1110&lt;62,0,'Combined Retirement'!$I$13)</f>
        <v>2420</v>
      </c>
      <c r="J1110" s="25">
        <f t="shared" si="1043"/>
        <v>7863.2184191855868</v>
      </c>
      <c r="K1110" s="25">
        <f t="shared" si="1044"/>
        <v>20282.026119384056</v>
      </c>
      <c r="L1110" s="25"/>
      <c r="N1110" s="25">
        <f>'Combined Retirement'!$C$18/12</f>
        <v>39153.069999999992</v>
      </c>
      <c r="O1110" s="25">
        <f t="shared" si="1045"/>
        <v>11007.82546143035</v>
      </c>
      <c r="P1110" s="25">
        <f t="shared" si="1046"/>
        <v>28145.244538569641</v>
      </c>
      <c r="Q1110" s="25">
        <f t="array" aca="1" ref="Q1110" ca="1">INDEX('Isaac 401k'!L:L,MATCH('Retirement Calculator'!A1110,'Isaac 401k'!N:N,0),0)</f>
        <v>-16303218.721568177</v>
      </c>
      <c r="R1110" s="25">
        <f t="array" aca="1" ref="R1110" ca="1">INDEX('Lorri 401b'!L:L,MATCH('Retirement Calculator'!A1110,'Lorri 401b'!N:N,0),0)</f>
        <v>-40980386.406967744</v>
      </c>
      <c r="S1110" s="25">
        <f t="shared" ca="1" si="1047"/>
        <v>-57283605.128535919</v>
      </c>
    </row>
    <row r="1111" spans="1:19" ht="15.75" customHeight="1" x14ac:dyDescent="0.3">
      <c r="A1111" s="37">
        <v>84769</v>
      </c>
      <c r="B1111" s="409">
        <f t="shared" ref="B1111:C1111" si="1127">($A1111-B$9)/365.25</f>
        <v>150.20670773442848</v>
      </c>
      <c r="C1111" s="409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3525.4531757812501</v>
      </c>
      <c r="H1111" s="25">
        <f>IF(B1111&lt;62,0,'Combined Retirement'!$I$14)</f>
        <v>2192</v>
      </c>
      <c r="I1111" s="25">
        <f>IF(C1111&lt;62,0,'Combined Retirement'!$I$13)</f>
        <v>2420</v>
      </c>
      <c r="J1111" s="25">
        <f t="shared" si="1043"/>
        <v>7863.2184191855868</v>
      </c>
      <c r="K1111" s="25">
        <f t="shared" si="1044"/>
        <v>20282.026119384056</v>
      </c>
      <c r="L1111" s="25"/>
      <c r="N1111" s="25">
        <f>'Combined Retirement'!$C$18/12</f>
        <v>39153.069999999992</v>
      </c>
      <c r="O1111" s="25">
        <f t="shared" si="1045"/>
        <v>11007.82546143035</v>
      </c>
      <c r="P1111" s="25">
        <f t="shared" si="1046"/>
        <v>28145.244538569641</v>
      </c>
      <c r="Q1111" s="25">
        <f t="array" aca="1" ref="Q1111" ca="1">INDEX('Isaac 401k'!L:L,MATCH('Retirement Calculator'!A1111,'Isaac 401k'!N:N,0),0)</f>
        <v>-16379044.781403976</v>
      </c>
      <c r="R1111" s="25">
        <f t="array" aca="1" ref="R1111" ca="1">INDEX('Lorri 401b'!L:L,MATCH('Retirement Calculator'!A1111,'Lorri 401b'!N:N,0),0)</f>
        <v>-41171504.551558323</v>
      </c>
      <c r="S1111" s="25">
        <f t="shared" ca="1" si="1047"/>
        <v>-57550549.332962297</v>
      </c>
    </row>
    <row r="1112" spans="1:19" ht="15.75" customHeight="1" x14ac:dyDescent="0.3">
      <c r="A1112" s="37">
        <v>84798</v>
      </c>
      <c r="B1112" s="409">
        <f t="shared" ref="B1112:C1112" si="1128">($A1112-B$9)/365.25</f>
        <v>150.28610540725529</v>
      </c>
      <c r="C1112" s="409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3525.4531757812501</v>
      </c>
      <c r="H1112" s="25">
        <f>IF(B1112&lt;62,0,'Combined Retirement'!$I$14)</f>
        <v>2192</v>
      </c>
      <c r="I1112" s="25">
        <f>IF(C1112&lt;62,0,'Combined Retirement'!$I$13)</f>
        <v>2420</v>
      </c>
      <c r="J1112" s="25">
        <f t="shared" si="1043"/>
        <v>7863.2184191855868</v>
      </c>
      <c r="K1112" s="25">
        <f t="shared" si="1044"/>
        <v>20282.026119384056</v>
      </c>
      <c r="L1112" s="25"/>
      <c r="N1112" s="25">
        <f>'Combined Retirement'!$C$18/12</f>
        <v>39153.069999999992</v>
      </c>
      <c r="O1112" s="25">
        <f t="shared" si="1045"/>
        <v>11007.82546143035</v>
      </c>
      <c r="P1112" s="25">
        <f t="shared" si="1046"/>
        <v>28145.244538569641</v>
      </c>
      <c r="Q1112" s="25">
        <f t="array" aca="1" ref="Q1112" ca="1">INDEX('Isaac 401k'!L:L,MATCH('Retirement Calculator'!A1112,'Isaac 401k'!N:N,0),0)</f>
        <v>-16455186.783155756</v>
      </c>
      <c r="R1112" s="25">
        <f t="array" aca="1" ref="R1112" ca="1">INDEX('Lorri 401b'!L:L,MATCH('Retirement Calculator'!A1112,'Lorri 401b'!N:N,0),0)</f>
        <v>-41363419.021751359</v>
      </c>
      <c r="S1112" s="25">
        <f t="shared" ca="1" si="1047"/>
        <v>-57818605.804907113</v>
      </c>
    </row>
    <row r="1113" spans="1:19" ht="15.75" customHeight="1" x14ac:dyDescent="0.3">
      <c r="A1113" s="37">
        <v>84829</v>
      </c>
      <c r="B1113" s="409">
        <f t="shared" ref="B1113:C1113" si="1129">($A1113-B$9)/365.25</f>
        <v>150.37097878165639</v>
      </c>
      <c r="C1113" s="409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3525.4531757812501</v>
      </c>
      <c r="H1113" s="25">
        <f>IF(B1113&lt;62,0,'Combined Retirement'!$I$14)</f>
        <v>2192</v>
      </c>
      <c r="I1113" s="25">
        <f>IF(C1113&lt;62,0,'Combined Retirement'!$I$13)</f>
        <v>2420</v>
      </c>
      <c r="J1113" s="25">
        <f t="shared" si="1043"/>
        <v>7863.2184191855868</v>
      </c>
      <c r="K1113" s="25">
        <f t="shared" si="1044"/>
        <v>20282.026119384056</v>
      </c>
      <c r="L1113" s="25"/>
      <c r="N1113" s="25">
        <f>'Combined Retirement'!$C$18/12</f>
        <v>39153.069999999992</v>
      </c>
      <c r="O1113" s="25">
        <f t="shared" si="1045"/>
        <v>11007.82546143035</v>
      </c>
      <c r="P1113" s="25">
        <f t="shared" si="1046"/>
        <v>28145.244538569641</v>
      </c>
      <c r="Q1113" s="25">
        <f t="array" aca="1" ref="Q1113" ca="1">INDEX('Isaac 401k'!L:L,MATCH('Retirement Calculator'!A1113,'Isaac 401k'!N:N,0),0)</f>
        <v>-16531646.043248169</v>
      </c>
      <c r="R1113" s="25">
        <f t="array" aca="1" ref="R1113" ca="1">INDEX('Lorri 401b'!L:L,MATCH('Retirement Calculator'!A1113,'Lorri 401b'!N:N,0),0)</f>
        <v>-41556133.135570198</v>
      </c>
      <c r="S1113" s="25">
        <f t="shared" ca="1" si="1047"/>
        <v>-58087779.178818367</v>
      </c>
    </row>
    <row r="1114" spans="1:19" ht="15.75" customHeight="1" x14ac:dyDescent="0.3">
      <c r="A1114" s="37">
        <v>84859</v>
      </c>
      <c r="B1114" s="409">
        <f t="shared" ref="B1114:C1114" si="1130">($A1114-B$9)/365.25</f>
        <v>150.45311430527036</v>
      </c>
      <c r="C1114" s="409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3525.4531757812501</v>
      </c>
      <c r="H1114" s="25">
        <f>IF(B1114&lt;62,0,'Combined Retirement'!$I$14)</f>
        <v>2192</v>
      </c>
      <c r="I1114" s="25">
        <f>IF(C1114&lt;62,0,'Combined Retirement'!$I$13)</f>
        <v>2420</v>
      </c>
      <c r="J1114" s="25">
        <f t="shared" si="1043"/>
        <v>7863.2184191855868</v>
      </c>
      <c r="K1114" s="25">
        <f t="shared" si="1044"/>
        <v>20282.026119384056</v>
      </c>
      <c r="L1114" s="25"/>
      <c r="N1114" s="25">
        <f>'Combined Retirement'!$C$18/12</f>
        <v>39153.069999999992</v>
      </c>
      <c r="O1114" s="25">
        <f t="shared" si="1045"/>
        <v>11007.82546143035</v>
      </c>
      <c r="P1114" s="25">
        <f t="shared" si="1046"/>
        <v>28145.244538569641</v>
      </c>
      <c r="Q1114" s="25">
        <f t="array" aca="1" ref="Q1114" ca="1">INDEX('Isaac 401k'!L:L,MATCH('Retirement Calculator'!A1114,'Isaac 401k'!N:N,0),0)</f>
        <v>-16608423.883590968</v>
      </c>
      <c r="R1114" s="25">
        <f t="array" aca="1" ref="R1114" ca="1">INDEX('Lorri 401b'!L:L,MATCH('Retirement Calculator'!A1114,'Lorri 401b'!N:N,0),0)</f>
        <v>-41749650.224863283</v>
      </c>
      <c r="S1114" s="25">
        <f t="shared" ca="1" si="1047"/>
        <v>-58358074.10845425</v>
      </c>
    </row>
    <row r="1115" spans="1:19" ht="15.75" customHeight="1" x14ac:dyDescent="0.3">
      <c r="A1115" s="37">
        <v>84890</v>
      </c>
      <c r="B1115" s="409">
        <f t="shared" ref="B1115:C1115" si="1131">($A1115-B$9)/365.25</f>
        <v>150.53798767967146</v>
      </c>
      <c r="C1115" s="409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3525.4531757812501</v>
      </c>
      <c r="H1115" s="25">
        <f>IF(B1115&lt;62,0,'Combined Retirement'!$I$14)</f>
        <v>2192</v>
      </c>
      <c r="I1115" s="25">
        <f>IF(C1115&lt;62,0,'Combined Retirement'!$I$13)</f>
        <v>2420</v>
      </c>
      <c r="J1115" s="25">
        <f t="shared" si="1043"/>
        <v>7863.2184191855868</v>
      </c>
      <c r="K1115" s="25">
        <f t="shared" si="1044"/>
        <v>20282.026119384056</v>
      </c>
      <c r="L1115" s="25"/>
      <c r="N1115" s="25">
        <f>'Combined Retirement'!$C$18/12</f>
        <v>39153.069999999992</v>
      </c>
      <c r="O1115" s="25">
        <f t="shared" si="1045"/>
        <v>11007.82546143035</v>
      </c>
      <c r="P1115" s="25">
        <f t="shared" si="1046"/>
        <v>28145.244538569641</v>
      </c>
      <c r="Q1115" s="25">
        <f t="array" aca="1" ref="Q1115" ca="1">INDEX('Isaac 401k'!L:L,MATCH('Retirement Calculator'!A1115,'Isaac 401k'!N:N,0),0)</f>
        <v>-16685521.631601863</v>
      </c>
      <c r="R1115" s="25">
        <f t="array" aca="1" ref="R1115" ca="1">INDEX('Lorri 401b'!L:L,MATCH('Retirement Calculator'!A1115,'Lorri 401b'!N:N,0),0)</f>
        <v>-41943973.635361761</v>
      </c>
      <c r="S1115" s="25">
        <f t="shared" ca="1" si="1047"/>
        <v>-58629495.266963623</v>
      </c>
    </row>
    <row r="1116" spans="1:19" ht="15.75" customHeight="1" x14ac:dyDescent="0.3">
      <c r="A1116" s="37">
        <v>84920</v>
      </c>
      <c r="B1116" s="409">
        <f t="shared" ref="B1116:C1116" si="1132">($A1116-B$9)/365.25</f>
        <v>150.62012320328543</v>
      </c>
      <c r="C1116" s="409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3525.4531757812501</v>
      </c>
      <c r="H1116" s="25">
        <f>IF(B1116&lt;62,0,'Combined Retirement'!$I$14)</f>
        <v>2192</v>
      </c>
      <c r="I1116" s="25">
        <f>IF(C1116&lt;62,0,'Combined Retirement'!$I$13)</f>
        <v>2420</v>
      </c>
      <c r="J1116" s="25">
        <f t="shared" si="1043"/>
        <v>7863.2184191855868</v>
      </c>
      <c r="K1116" s="25">
        <f t="shared" si="1044"/>
        <v>20282.026119384056</v>
      </c>
      <c r="L1116" s="25"/>
      <c r="N1116" s="25">
        <f>'Combined Retirement'!$C$18/12</f>
        <v>39153.069999999992</v>
      </c>
      <c r="O1116" s="25">
        <f t="shared" si="1045"/>
        <v>11007.82546143035</v>
      </c>
      <c r="P1116" s="25">
        <f t="shared" si="1046"/>
        <v>28145.244538569641</v>
      </c>
      <c r="Q1116" s="25">
        <f t="array" aca="1" ref="Q1116" ca="1">INDEX('Isaac 401k'!L:L,MATCH('Retirement Calculator'!A1116,'Isaac 401k'!N:N,0),0)</f>
        <v>-16762940.620229468</v>
      </c>
      <c r="R1116" s="25">
        <f t="array" aca="1" ref="R1116" ca="1">INDEX('Lorri 401b'!L:L,MATCH('Retirement Calculator'!A1116,'Lorri 401b'!N:N,0),0)</f>
        <v>-42139106.726737313</v>
      </c>
      <c r="S1116" s="25">
        <f t="shared" ca="1" si="1047"/>
        <v>-58902047.346966781</v>
      </c>
    </row>
    <row r="1117" spans="1:19" ht="15.75" customHeight="1" x14ac:dyDescent="0.3">
      <c r="A1117" s="37">
        <v>84951</v>
      </c>
      <c r="B1117" s="409">
        <f t="shared" ref="B1117:C1117" si="1133">($A1117-B$9)/365.25</f>
        <v>150.70499657768653</v>
      </c>
      <c r="C1117" s="409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3525.4531757812501</v>
      </c>
      <c r="H1117" s="25">
        <f>IF(B1117&lt;62,0,'Combined Retirement'!$I$14)</f>
        <v>2192</v>
      </c>
      <c r="I1117" s="25">
        <f>IF(C1117&lt;62,0,'Combined Retirement'!$I$13)</f>
        <v>2420</v>
      </c>
      <c r="J1117" s="25">
        <f t="shared" si="1043"/>
        <v>7863.2184191855868</v>
      </c>
      <c r="K1117" s="25">
        <f t="shared" si="1044"/>
        <v>20282.026119384056</v>
      </c>
      <c r="L1117" s="25"/>
      <c r="N1117" s="25">
        <f>'Combined Retirement'!$C$18/12</f>
        <v>39153.069999999992</v>
      </c>
      <c r="O1117" s="25">
        <f t="shared" si="1045"/>
        <v>11007.82546143035</v>
      </c>
      <c r="P1117" s="25">
        <f t="shared" si="1046"/>
        <v>28145.244538569641</v>
      </c>
      <c r="Q1117" s="25">
        <f t="array" aca="1" ref="Q1117" ca="1">INDEX('Isaac 401k'!L:L,MATCH('Retirement Calculator'!A1117,'Isaac 401k'!N:N,0),0)</f>
        <v>-16840682.187976357</v>
      </c>
      <c r="R1117" s="25">
        <f t="array" aca="1" ref="R1117" ca="1">INDEX('Lorri 401b'!L:L,MATCH('Retirement Calculator'!A1117,'Lorri 401b'!N:N,0),0)</f>
        <v>-42335052.872660264</v>
      </c>
      <c r="S1117" s="25">
        <f t="shared" ca="1" si="1047"/>
        <v>-59175735.060636625</v>
      </c>
    </row>
    <row r="1118" spans="1:19" ht="15.75" customHeight="1" x14ac:dyDescent="0.3">
      <c r="A1118" s="37">
        <v>84982</v>
      </c>
      <c r="B1118" s="409">
        <f t="shared" ref="B1118:C1118" si="1134">($A1118-B$9)/365.25</f>
        <v>150.7898699520876</v>
      </c>
      <c r="C1118" s="409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3525.4531757812501</v>
      </c>
      <c r="H1118" s="25">
        <f>IF(B1118&lt;62,0,'Combined Retirement'!$I$14)</f>
        <v>2192</v>
      </c>
      <c r="I1118" s="25">
        <f>IF(C1118&lt;62,0,'Combined Retirement'!$I$13)</f>
        <v>2420</v>
      </c>
      <c r="J1118" s="25">
        <f t="shared" si="1043"/>
        <v>7863.2184191855868</v>
      </c>
      <c r="K1118" s="25">
        <f t="shared" si="1044"/>
        <v>20282.026119384056</v>
      </c>
      <c r="L1118" s="25"/>
      <c r="N1118" s="25">
        <f>'Combined Retirement'!$C$18/12</f>
        <v>39153.069999999992</v>
      </c>
      <c r="O1118" s="25">
        <f t="shared" si="1045"/>
        <v>11007.82546143035</v>
      </c>
      <c r="P1118" s="25">
        <f t="shared" si="1046"/>
        <v>28145.244538569641</v>
      </c>
      <c r="Q1118" s="25">
        <f t="array" aca="1" ref="Q1118" ca="1">INDEX('Isaac 401k'!L:L,MATCH('Retirement Calculator'!A1118,'Isaac 401k'!N:N,0),0)</f>
        <v>-16918747.678922191</v>
      </c>
      <c r="R1118" s="25">
        <f t="array" aca="1" ref="R1118" ca="1">INDEX('Lorri 401b'!L:L,MATCH('Retirement Calculator'!A1118,'Lorri 401b'!N:N,0),0)</f>
        <v>-42531815.460857891</v>
      </c>
      <c r="S1118" s="25">
        <f t="shared" ca="1" si="1047"/>
        <v>-59450563.139780082</v>
      </c>
    </row>
    <row r="1119" spans="1:19" ht="15.75" customHeight="1" x14ac:dyDescent="0.3">
      <c r="A1119" s="37">
        <v>85012</v>
      </c>
      <c r="B1119" s="409">
        <f t="shared" ref="B1119:C1119" si="1135">($A1119-B$9)/365.25</f>
        <v>150.87200547570157</v>
      </c>
      <c r="C1119" s="409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3525.4531757812501</v>
      </c>
      <c r="H1119" s="25">
        <f>IF(B1119&lt;62,0,'Combined Retirement'!$I$14)</f>
        <v>2192</v>
      </c>
      <c r="I1119" s="25">
        <f>IF(C1119&lt;62,0,'Combined Retirement'!$I$13)</f>
        <v>2420</v>
      </c>
      <c r="J1119" s="25">
        <f t="shared" si="1043"/>
        <v>7863.2184191855868</v>
      </c>
      <c r="K1119" s="25">
        <f t="shared" si="1044"/>
        <v>20282.026119384056</v>
      </c>
      <c r="L1119" s="25"/>
      <c r="N1119" s="25">
        <f>'Combined Retirement'!$C$18/12</f>
        <v>39153.069999999992</v>
      </c>
      <c r="O1119" s="25">
        <f t="shared" si="1045"/>
        <v>11007.82546143035</v>
      </c>
      <c r="P1119" s="25">
        <f t="shared" si="1046"/>
        <v>28145.244538569641</v>
      </c>
      <c r="Q1119" s="25">
        <f t="array" aca="1" ref="Q1119" ca="1">INDEX('Isaac 401k'!L:L,MATCH('Retirement Calculator'!A1119,'Isaac 401k'!N:N,0),0)</f>
        <v>-16997138.442746967</v>
      </c>
      <c r="R1119" s="25">
        <f t="array" aca="1" ref="R1119" ca="1">INDEX('Lorri 401b'!L:L,MATCH('Retirement Calculator'!A1119,'Lorri 401b'!N:N,0),0)</f>
        <v>-42729397.893173009</v>
      </c>
      <c r="S1119" s="25">
        <f t="shared" ca="1" si="1047"/>
        <v>-59726536.335919976</v>
      </c>
    </row>
    <row r="1120" spans="1:19" ht="15.75" customHeight="1" x14ac:dyDescent="0.3">
      <c r="A1120" s="37">
        <v>85043</v>
      </c>
      <c r="B1120" s="409">
        <f t="shared" ref="B1120:C1120" si="1136">($A1120-B$9)/365.25</f>
        <v>150.95687885010267</v>
      </c>
      <c r="C1120" s="409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3525.4531757812501</v>
      </c>
      <c r="H1120" s="25">
        <f>IF(B1120&lt;62,0,'Combined Retirement'!$I$14)</f>
        <v>2192</v>
      </c>
      <c r="I1120" s="25">
        <f>IF(C1120&lt;62,0,'Combined Retirement'!$I$13)</f>
        <v>2420</v>
      </c>
      <c r="J1120" s="25">
        <f t="shared" si="1043"/>
        <v>7863.2184191855868</v>
      </c>
      <c r="K1120" s="25">
        <f t="shared" si="1044"/>
        <v>20282.026119384056</v>
      </c>
      <c r="L1120" s="25"/>
      <c r="N1120" s="25">
        <f>'Combined Retirement'!$C$18/12</f>
        <v>39153.069999999992</v>
      </c>
      <c r="O1120" s="25">
        <f t="shared" si="1045"/>
        <v>11007.82546143035</v>
      </c>
      <c r="P1120" s="25">
        <f t="shared" si="1046"/>
        <v>28145.244538569641</v>
      </c>
      <c r="Q1120" s="25">
        <f t="array" aca="1" ref="Q1120" ca="1">INDEX('Isaac 401k'!L:L,MATCH('Retirement Calculator'!A1120,'Isaac 401k'!N:N,0),0)</f>
        <v>-17075855.834754348</v>
      </c>
      <c r="R1120" s="25">
        <f t="array" aca="1" ref="R1120" ca="1">INDEX('Lorri 401b'!L:L,MATCH('Retirement Calculator'!A1120,'Lorri 401b'!N:N,0),0)</f>
        <v>-42927803.585622773</v>
      </c>
      <c r="S1120" s="25">
        <f t="shared" ca="1" si="1047"/>
        <v>-60003659.42037712</v>
      </c>
    </row>
    <row r="1121" spans="1:19" ht="15.75" customHeight="1" x14ac:dyDescent="0.3">
      <c r="A1121" s="37">
        <v>85073</v>
      </c>
      <c r="B1121" s="409">
        <f t="shared" ref="B1121:C1121" si="1137">($A1121-B$9)/365.25</f>
        <v>151.03901437371664</v>
      </c>
      <c r="C1121" s="409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3525.4531757812501</v>
      </c>
      <c r="H1121" s="25">
        <f>IF(B1121&lt;62,0,'Combined Retirement'!$I$14)</f>
        <v>2192</v>
      </c>
      <c r="I1121" s="25">
        <f>IF(C1121&lt;62,0,'Combined Retirement'!$I$13)</f>
        <v>2420</v>
      </c>
      <c r="J1121" s="25">
        <f t="shared" si="1043"/>
        <v>7863.2184191855868</v>
      </c>
      <c r="K1121" s="25">
        <f t="shared" si="1044"/>
        <v>20282.026119384056</v>
      </c>
      <c r="L1121" s="25"/>
      <c r="N1121" s="25">
        <f>'Combined Retirement'!$C$18/12</f>
        <v>39153.069999999992</v>
      </c>
      <c r="O1121" s="25">
        <f t="shared" si="1045"/>
        <v>11007.82546143035</v>
      </c>
      <c r="P1121" s="25">
        <f t="shared" si="1046"/>
        <v>28145.244538569641</v>
      </c>
      <c r="Q1121" s="25">
        <f t="array" aca="1" ref="Q1121" ca="1">INDEX('Isaac 401k'!L:L,MATCH('Retirement Calculator'!A1121,'Isaac 401k'!N:N,0),0)</f>
        <v>-17154901.21589509</v>
      </c>
      <c r="R1121" s="25">
        <f t="array" aca="1" ref="R1121" ca="1">INDEX('Lorri 401b'!L:L,MATCH('Retirement Calculator'!A1121,'Lorri 401b'!N:N,0),0)</f>
        <v>-43127035.968457744</v>
      </c>
      <c r="S1121" s="25">
        <f t="shared" ca="1" si="1047"/>
        <v>-60281937.18435283</v>
      </c>
    </row>
    <row r="1122" spans="1:19" ht="15.75" customHeight="1" x14ac:dyDescent="0.3">
      <c r="A1122" s="37">
        <v>85104</v>
      </c>
      <c r="B1122" s="409">
        <f t="shared" ref="B1122:C1122" si="1138">($A1122-B$9)/365.25</f>
        <v>151.12388774811774</v>
      </c>
      <c r="C1122" s="409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3525.4531757812501</v>
      </c>
      <c r="H1122" s="25">
        <f>IF(B1122&lt;62,0,'Combined Retirement'!$I$14)</f>
        <v>2192</v>
      </c>
      <c r="I1122" s="25">
        <f>IF(C1122&lt;62,0,'Combined Retirement'!$I$13)</f>
        <v>2420</v>
      </c>
      <c r="J1122" s="25">
        <f t="shared" si="1043"/>
        <v>7863.2184191855868</v>
      </c>
      <c r="K1122" s="25">
        <f t="shared" si="1044"/>
        <v>20282.026119384056</v>
      </c>
      <c r="L1122" s="25"/>
      <c r="N1122" s="25">
        <f>'Combined Retirement'!$C$18/12</f>
        <v>39153.069999999992</v>
      </c>
      <c r="O1122" s="25">
        <f t="shared" si="1045"/>
        <v>11007.82546143035</v>
      </c>
      <c r="P1122" s="25">
        <f t="shared" si="1046"/>
        <v>28145.244538569641</v>
      </c>
      <c r="Q1122" s="25">
        <f t="array" aca="1" ref="Q1122" ca="1">INDEX('Isaac 401k'!L:L,MATCH('Retirement Calculator'!A1122,'Isaac 401k'!N:N,0),0)</f>
        <v>-17234275.952790588</v>
      </c>
      <c r="R1122" s="25">
        <f t="array" aca="1" ref="R1122" ca="1">INDEX('Lorri 401b'!L:L,MATCH('Retirement Calculator'!A1122,'Lorri 401b'!N:N,0),0)</f>
        <v>-43327098.486221194</v>
      </c>
      <c r="S1122" s="25">
        <f t="shared" ca="1" si="1047"/>
        <v>-60561374.439011782</v>
      </c>
    </row>
    <row r="1123" spans="1:19" ht="15.75" customHeight="1" x14ac:dyDescent="0.3">
      <c r="A1123" s="37">
        <v>85135</v>
      </c>
      <c r="B1123" s="409">
        <f t="shared" ref="B1123:C1123" si="1139">($A1123-B$9)/365.25</f>
        <v>151.20876112251884</v>
      </c>
      <c r="C1123" s="409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3525.4531757812501</v>
      </c>
      <c r="H1123" s="25">
        <f>IF(B1123&lt;62,0,'Combined Retirement'!$I$14)</f>
        <v>2192</v>
      </c>
      <c r="I1123" s="25">
        <f>IF(C1123&lt;62,0,'Combined Retirement'!$I$13)</f>
        <v>2420</v>
      </c>
      <c r="J1123" s="25">
        <f t="shared" si="1043"/>
        <v>7863.2184191855868</v>
      </c>
      <c r="K1123" s="25">
        <f t="shared" si="1044"/>
        <v>20282.026119384056</v>
      </c>
      <c r="L1123" s="25"/>
      <c r="N1123" s="25">
        <f>'Combined Retirement'!$C$18/12</f>
        <v>39153.069999999992</v>
      </c>
      <c r="O1123" s="25">
        <f t="shared" si="1045"/>
        <v>11007.82546143035</v>
      </c>
      <c r="P1123" s="25">
        <f t="shared" si="1046"/>
        <v>28145.244538569641</v>
      </c>
      <c r="Q1123" s="25">
        <f t="array" aca="1" ref="Q1123" ca="1">INDEX('Isaac 401k'!L:L,MATCH('Retirement Calculator'!A1123,'Isaac 401k'!N:N,0),0)</f>
        <v>-17313981.417756483</v>
      </c>
      <c r="R1123" s="25">
        <f t="array" aca="1" ref="R1123" ca="1">INDEX('Lorri 401b'!L:L,MATCH('Retirement Calculator'!A1123,'Lorri 401b'!N:N,0),0)</f>
        <v>-43527994.597808659</v>
      </c>
      <c r="S1123" s="25">
        <f t="shared" ca="1" si="1047"/>
        <v>-60841976.015565142</v>
      </c>
    </row>
    <row r="1124" spans="1:19" ht="15.75" customHeight="1" x14ac:dyDescent="0.3">
      <c r="A1124" s="37">
        <v>85163</v>
      </c>
      <c r="B1124" s="409">
        <f t="shared" ref="B1124:C1124" si="1140">($A1124-B$9)/365.25</f>
        <v>151.28542094455852</v>
      </c>
      <c r="C1124" s="409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3525.4531757812501</v>
      </c>
      <c r="H1124" s="25">
        <f>IF(B1124&lt;62,0,'Combined Retirement'!$I$14)</f>
        <v>2192</v>
      </c>
      <c r="I1124" s="25">
        <f>IF(C1124&lt;62,0,'Combined Retirement'!$I$13)</f>
        <v>2420</v>
      </c>
      <c r="J1124" s="25">
        <f t="shared" si="1043"/>
        <v>7863.2184191855868</v>
      </c>
      <c r="K1124" s="25">
        <f t="shared" si="1044"/>
        <v>20282.026119384056</v>
      </c>
      <c r="L1124" s="25"/>
      <c r="N1124" s="25">
        <f>'Combined Retirement'!$C$18/12</f>
        <v>39153.069999999992</v>
      </c>
      <c r="O1124" s="25">
        <f t="shared" si="1045"/>
        <v>11007.82546143035</v>
      </c>
      <c r="P1124" s="25">
        <f t="shared" si="1046"/>
        <v>28145.244538569641</v>
      </c>
      <c r="Q1124" s="25">
        <f t="array" aca="1" ref="Q1124" ca="1">INDEX('Isaac 401k'!L:L,MATCH('Retirement Calculator'!A1124,'Isaac 401k'!N:N,0),0)</f>
        <v>-17394018.988826402</v>
      </c>
      <c r="R1124" s="25">
        <f t="array" aca="1" ref="R1124" ca="1">INDEX('Lorri 401b'!L:L,MATCH('Retirement Calculator'!A1124,'Lorri 401b'!N:N,0),0)</f>
        <v>-43729727.77652774</v>
      </c>
      <c r="S1124" s="25">
        <f t="shared" ca="1" si="1047"/>
        <v>-61123746.765354142</v>
      </c>
    </row>
    <row r="1125" spans="1:19" ht="15.75" customHeight="1" x14ac:dyDescent="0.3">
      <c r="A1125" s="37">
        <v>85194</v>
      </c>
      <c r="B1125" s="409">
        <f t="shared" ref="B1125:C1125" si="1141">($A1125-B$9)/365.25</f>
        <v>151.37029431895962</v>
      </c>
      <c r="C1125" s="409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3525.4531757812501</v>
      </c>
      <c r="H1125" s="25">
        <f>IF(B1125&lt;62,0,'Combined Retirement'!$I$14)</f>
        <v>2192</v>
      </c>
      <c r="I1125" s="25">
        <f>IF(C1125&lt;62,0,'Combined Retirement'!$I$13)</f>
        <v>2420</v>
      </c>
      <c r="J1125" s="25">
        <f t="shared" si="1043"/>
        <v>7863.2184191855868</v>
      </c>
      <c r="K1125" s="25">
        <f t="shared" si="1044"/>
        <v>20282.026119384056</v>
      </c>
      <c r="L1125" s="25"/>
      <c r="N1125" s="25">
        <f>'Combined Retirement'!$C$18/12</f>
        <v>39153.069999999992</v>
      </c>
      <c r="O1125" s="25">
        <f t="shared" si="1045"/>
        <v>11007.82546143035</v>
      </c>
      <c r="P1125" s="25">
        <f t="shared" si="1046"/>
        <v>28145.244538569641</v>
      </c>
      <c r="Q1125" s="25">
        <f t="array" aca="1" ref="Q1125" ca="1">INDEX('Isaac 401k'!L:L,MATCH('Retirement Calculator'!A1125,'Isaac 401k'!N:N,0),0)</f>
        <v>-17474390.049775779</v>
      </c>
      <c r="R1125" s="25">
        <f t="array" aca="1" ref="R1125" ca="1">INDEX('Lorri 401b'!L:L,MATCH('Retirement Calculator'!A1125,'Lorri 401b'!N:N,0),0)</f>
        <v>-43932301.510158151</v>
      </c>
      <c r="S1125" s="25">
        <f t="shared" ca="1" si="1047"/>
        <v>-61406691.559933931</v>
      </c>
    </row>
    <row r="1126" spans="1:19" ht="15.75" customHeight="1" x14ac:dyDescent="0.3">
      <c r="A1126" s="37">
        <v>85224</v>
      </c>
      <c r="B1126" s="409">
        <f t="shared" ref="B1126:C1126" si="1142">($A1126-B$9)/365.25</f>
        <v>151.45242984257359</v>
      </c>
      <c r="C1126" s="409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3525.4531757812501</v>
      </c>
      <c r="H1126" s="25">
        <f>IF(B1126&lt;62,0,'Combined Retirement'!$I$14)</f>
        <v>2192</v>
      </c>
      <c r="I1126" s="25">
        <f>IF(C1126&lt;62,0,'Combined Retirement'!$I$13)</f>
        <v>2420</v>
      </c>
      <c r="J1126" s="25">
        <f t="shared" si="1043"/>
        <v>7863.2184191855868</v>
      </c>
      <c r="K1126" s="25">
        <f t="shared" si="1044"/>
        <v>20282.026119384056</v>
      </c>
      <c r="L1126" s="25"/>
      <c r="N1126" s="25">
        <f>'Combined Retirement'!$C$18/12</f>
        <v>39153.069999999992</v>
      </c>
      <c r="O1126" s="25">
        <f t="shared" si="1045"/>
        <v>11007.82546143035</v>
      </c>
      <c r="P1126" s="25">
        <f t="shared" si="1046"/>
        <v>28145.244538569641</v>
      </c>
      <c r="Q1126" s="25">
        <f t="array" aca="1" ref="Q1126" ca="1">INDEX('Isaac 401k'!L:L,MATCH('Retirement Calculator'!A1126,'Isaac 401k'!N:N,0),0)</f>
        <v>-17555095.99014578</v>
      </c>
      <c r="R1126" s="25">
        <f t="array" aca="1" ref="R1126" ca="1">INDEX('Lorri 401b'!L:L,MATCH('Retirement Calculator'!A1126,'Lorri 401b'!N:N,0),0)</f>
        <v>-44135719.301012024</v>
      </c>
      <c r="S1126" s="25">
        <f t="shared" ca="1" si="1047"/>
        <v>-61690815.291157804</v>
      </c>
    </row>
    <row r="1127" spans="1:19" ht="15.75" customHeight="1" x14ac:dyDescent="0.3">
      <c r="A1127" s="37">
        <v>85255</v>
      </c>
      <c r="B1127" s="409">
        <f t="shared" ref="B1127:C1127" si="1143">($A1127-B$9)/365.25</f>
        <v>151.53730321697466</v>
      </c>
      <c r="C1127" s="409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3525.4531757812501</v>
      </c>
      <c r="H1127" s="25">
        <f>IF(B1127&lt;62,0,'Combined Retirement'!$I$14)</f>
        <v>2192</v>
      </c>
      <c r="I1127" s="25">
        <f>IF(C1127&lt;62,0,'Combined Retirement'!$I$13)</f>
        <v>2420</v>
      </c>
      <c r="J1127" s="25">
        <f t="shared" si="1043"/>
        <v>7863.2184191855868</v>
      </c>
      <c r="K1127" s="25">
        <f t="shared" si="1044"/>
        <v>20282.026119384056</v>
      </c>
      <c r="L1127" s="25"/>
      <c r="N1127" s="25">
        <f>'Combined Retirement'!$C$18/12</f>
        <v>39153.069999999992</v>
      </c>
      <c r="O1127" s="25">
        <f t="shared" si="1045"/>
        <v>11007.82546143035</v>
      </c>
      <c r="P1127" s="25">
        <f t="shared" si="1046"/>
        <v>28145.244538569641</v>
      </c>
      <c r="Q1127" s="25">
        <f t="array" aca="1" ref="Q1127" ca="1">INDEX('Isaac 401k'!L:L,MATCH('Retirement Calculator'!A1127,'Isaac 401k'!N:N,0),0)</f>
        <v>-17636138.205267321</v>
      </c>
      <c r="R1127" s="25">
        <f t="array" aca="1" ref="R1127" ca="1">INDEX('Lorri 401b'!L:L,MATCH('Retirement Calculator'!A1127,'Lorri 401b'!N:N,0),0)</f>
        <v>-44339984.66599445</v>
      </c>
      <c r="S1127" s="25">
        <f t="shared" ca="1" si="1047"/>
        <v>-61976122.871261775</v>
      </c>
    </row>
    <row r="1128" spans="1:19" ht="15.75" customHeight="1" x14ac:dyDescent="0.3">
      <c r="A1128" s="37">
        <v>85285</v>
      </c>
      <c r="B1128" s="409">
        <f t="shared" ref="B1128:C1128" si="1144">($A1128-B$9)/365.25</f>
        <v>151.61943874058863</v>
      </c>
      <c r="C1128" s="409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3525.4531757812501</v>
      </c>
      <c r="H1128" s="25">
        <f>IF(B1128&lt;62,0,'Combined Retirement'!$I$14)</f>
        <v>2192</v>
      </c>
      <c r="I1128" s="25">
        <f>IF(C1128&lt;62,0,'Combined Retirement'!$I$13)</f>
        <v>2420</v>
      </c>
      <c r="J1128" s="25">
        <f t="shared" si="1043"/>
        <v>7863.2184191855868</v>
      </c>
      <c r="K1128" s="25">
        <f t="shared" si="1044"/>
        <v>20282.026119384056</v>
      </c>
      <c r="L1128" s="25"/>
      <c r="N1128" s="25">
        <f>'Combined Retirement'!$C$18/12</f>
        <v>39153.069999999992</v>
      </c>
      <c r="O1128" s="25">
        <f t="shared" si="1045"/>
        <v>11007.82546143035</v>
      </c>
      <c r="P1128" s="25">
        <f t="shared" si="1046"/>
        <v>28145.244538569641</v>
      </c>
      <c r="Q1128" s="25">
        <f t="array" aca="1" ref="Q1128" ca="1">INDEX('Isaac 401k'!L:L,MATCH('Retirement Calculator'!A1128,'Isaac 401k'!N:N,0),0)</f>
        <v>-17717518.096285202</v>
      </c>
      <c r="R1128" s="25">
        <f t="array" aca="1" ref="R1128" ca="1">INDEX('Lorri 401b'!L:L,MATCH('Retirement Calculator'!A1128,'Lorri 401b'!N:N,0),0)</f>
        <v>-44545101.136664309</v>
      </c>
      <c r="S1128" s="25">
        <f t="shared" ca="1" si="1047"/>
        <v>-62262619.23294951</v>
      </c>
    </row>
    <row r="1129" spans="1:19" ht="15.75" customHeight="1" x14ac:dyDescent="0.3">
      <c r="A1129" s="37">
        <v>85316</v>
      </c>
      <c r="B1129" s="409">
        <f t="shared" ref="B1129:C1129" si="1145">($A1129-B$9)/365.25</f>
        <v>151.70431211498973</v>
      </c>
      <c r="C1129" s="409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3525.4531757812501</v>
      </c>
      <c r="H1129" s="25">
        <f>IF(B1129&lt;62,0,'Combined Retirement'!$I$14)</f>
        <v>2192</v>
      </c>
      <c r="I1129" s="25">
        <f>IF(C1129&lt;62,0,'Combined Retirement'!$I$13)</f>
        <v>2420</v>
      </c>
      <c r="J1129" s="25">
        <f t="shared" si="1043"/>
        <v>7863.2184191855868</v>
      </c>
      <c r="K1129" s="25">
        <f t="shared" si="1044"/>
        <v>20282.026119384056</v>
      </c>
      <c r="L1129" s="25"/>
      <c r="N1129" s="25">
        <f>'Combined Retirement'!$C$18/12</f>
        <v>39153.069999999992</v>
      </c>
      <c r="O1129" s="25">
        <f t="shared" si="1045"/>
        <v>11007.82546143035</v>
      </c>
      <c r="P1129" s="25">
        <f t="shared" si="1046"/>
        <v>28145.244538569641</v>
      </c>
      <c r="Q1129" s="25">
        <f t="array" aca="1" ref="Q1129" ca="1">INDEX('Isaac 401k'!L:L,MATCH('Retirement Calculator'!A1129,'Isaac 401k'!N:N,0),0)</f>
        <v>-17799237.070182323</v>
      </c>
      <c r="R1129" s="25">
        <f t="array" aca="1" ref="R1129" ca="1">INDEX('Lorri 401b'!L:L,MATCH('Retirement Calculator'!A1129,'Lorri 401b'!N:N,0),0)</f>
        <v>-44751072.259295292</v>
      </c>
      <c r="S1129" s="25">
        <f t="shared" ca="1" si="1047"/>
        <v>-62550309.329477616</v>
      </c>
    </row>
    <row r="1130" spans="1:19" ht="15.75" customHeight="1" x14ac:dyDescent="0.3">
      <c r="A1130" s="37">
        <v>85347</v>
      </c>
      <c r="B1130" s="409">
        <f t="shared" ref="B1130:C1130" si="1146">($A1130-B$9)/365.25</f>
        <v>151.78918548939083</v>
      </c>
      <c r="C1130" s="409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3525.4531757812501</v>
      </c>
      <c r="H1130" s="25">
        <f>IF(B1130&lt;62,0,'Combined Retirement'!$I$14)</f>
        <v>2192</v>
      </c>
      <c r="I1130" s="25">
        <f>IF(C1130&lt;62,0,'Combined Retirement'!$I$13)</f>
        <v>2420</v>
      </c>
      <c r="J1130" s="25">
        <f t="shared" si="1043"/>
        <v>7863.2184191855868</v>
      </c>
      <c r="K1130" s="25">
        <f t="shared" si="1044"/>
        <v>20282.026119384056</v>
      </c>
      <c r="L1130" s="25"/>
      <c r="N1130" s="25">
        <f>'Combined Retirement'!$C$18/12</f>
        <v>39153.069999999992</v>
      </c>
      <c r="O1130" s="25">
        <f t="shared" si="1045"/>
        <v>11007.82546143035</v>
      </c>
      <c r="P1130" s="25">
        <f t="shared" si="1046"/>
        <v>28145.244538569641</v>
      </c>
      <c r="Q1130" s="25">
        <f t="array" aca="1" ref="Q1130" ca="1">INDEX('Isaac 401k'!L:L,MATCH('Retirement Calculator'!A1130,'Isaac 401k'!N:N,0),0)</f>
        <v>-17881296.539804015</v>
      </c>
      <c r="R1130" s="25">
        <f t="array" aca="1" ref="R1130" ca="1">INDEX('Lorri 401b'!L:L,MATCH('Retirement Calculator'!A1130,'Lorri 401b'!N:N,0),0)</f>
        <v>-44957901.594937235</v>
      </c>
      <c r="S1130" s="25">
        <f t="shared" ca="1" si="1047"/>
        <v>-62839198.134741247</v>
      </c>
    </row>
    <row r="1131" spans="1:19" ht="15.75" customHeight="1" x14ac:dyDescent="0.3">
      <c r="A1131" s="37">
        <v>85377</v>
      </c>
      <c r="B1131" s="409">
        <f t="shared" ref="B1131:C1131" si="1147">($A1131-B$9)/365.25</f>
        <v>151.8713210130048</v>
      </c>
      <c r="C1131" s="409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3525.4531757812501</v>
      </c>
      <c r="H1131" s="25">
        <f>IF(B1131&lt;62,0,'Combined Retirement'!$I$14)</f>
        <v>2192</v>
      </c>
      <c r="I1131" s="25">
        <f>IF(C1131&lt;62,0,'Combined Retirement'!$I$13)</f>
        <v>2420</v>
      </c>
      <c r="J1131" s="25">
        <f t="shared" si="1043"/>
        <v>7863.2184191855868</v>
      </c>
      <c r="K1131" s="25">
        <f t="shared" si="1044"/>
        <v>20282.026119384056</v>
      </c>
      <c r="L1131" s="25"/>
      <c r="N1131" s="25">
        <f>'Combined Retirement'!$C$18/12</f>
        <v>39153.069999999992</v>
      </c>
      <c r="O1131" s="25">
        <f t="shared" si="1045"/>
        <v>11007.82546143035</v>
      </c>
      <c r="P1131" s="25">
        <f t="shared" si="1046"/>
        <v>28145.244538569641</v>
      </c>
      <c r="Q1131" s="25">
        <f t="array" aca="1" ref="Q1131" ca="1">INDEX('Isaac 401k'!L:L,MATCH('Retirement Calculator'!A1131,'Isaac 401k'!N:N,0),0)</f>
        <v>-17963697.923882466</v>
      </c>
      <c r="R1131" s="25">
        <f t="array" aca="1" ref="R1131" ca="1">INDEX('Lorri 401b'!L:L,MATCH('Retirement Calculator'!A1131,'Lorri 401b'!N:N,0),0)</f>
        <v>-45165592.719477683</v>
      </c>
      <c r="S1131" s="25">
        <f t="shared" ca="1" si="1047"/>
        <v>-63129290.643360153</v>
      </c>
    </row>
    <row r="1132" spans="1:19" ht="15.75" customHeight="1" x14ac:dyDescent="0.3">
      <c r="A1132" s="37">
        <v>85408</v>
      </c>
      <c r="B1132" s="409">
        <f t="shared" ref="B1132:C1132" si="1148">($A1132-B$9)/365.25</f>
        <v>151.95619438740587</v>
      </c>
      <c r="C1132" s="409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3525.4531757812501</v>
      </c>
      <c r="H1132" s="25">
        <f>IF(B1132&lt;62,0,'Combined Retirement'!$I$14)</f>
        <v>2192</v>
      </c>
      <c r="I1132" s="25">
        <f>IF(C1132&lt;62,0,'Combined Retirement'!$I$13)</f>
        <v>2420</v>
      </c>
      <c r="J1132" s="25">
        <f t="shared" si="1043"/>
        <v>7863.2184191855868</v>
      </c>
      <c r="K1132" s="25">
        <f t="shared" si="1044"/>
        <v>20282.026119384056</v>
      </c>
      <c r="L1132" s="25"/>
      <c r="N1132" s="25">
        <f>'Combined Retirement'!$C$18/12</f>
        <v>39153.069999999992</v>
      </c>
      <c r="O1132" s="25">
        <f t="shared" si="1045"/>
        <v>11007.82546143035</v>
      </c>
      <c r="P1132" s="25">
        <f t="shared" si="1046"/>
        <v>28145.244538569641</v>
      </c>
      <c r="Q1132" s="25">
        <f t="array" aca="1" ref="Q1132" ca="1">INDEX('Isaac 401k'!L:L,MATCH('Retirement Calculator'!A1132,'Isaac 401k'!N:N,0),0)</f>
        <v>-18046442.647061244</v>
      </c>
      <c r="R1132" s="25">
        <f t="array" aca="1" ref="R1132" ca="1">INDEX('Lorri 401b'!L:L,MATCH('Retirement Calculator'!A1132,'Lorri 401b'!N:N,0),0)</f>
        <v>-45374149.22370372</v>
      </c>
      <c r="S1132" s="25">
        <f t="shared" ca="1" si="1047"/>
        <v>-63420591.870764963</v>
      </c>
    </row>
    <row r="1133" spans="1:19" ht="15.75" customHeight="1" x14ac:dyDescent="0.3">
      <c r="A1133" s="37">
        <v>85438</v>
      </c>
      <c r="B1133" s="409">
        <f t="shared" ref="B1133:C1133" si="1149">($A1133-B$9)/365.25</f>
        <v>152.03832991101984</v>
      </c>
      <c r="C1133" s="409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3525.4531757812501</v>
      </c>
      <c r="H1133" s="25">
        <f>IF(B1133&lt;62,0,'Combined Retirement'!$I$14)</f>
        <v>2192</v>
      </c>
      <c r="I1133" s="25">
        <f>IF(C1133&lt;62,0,'Combined Retirement'!$I$13)</f>
        <v>2420</v>
      </c>
      <c r="J1133" s="25">
        <f t="shared" si="1043"/>
        <v>7863.2184191855868</v>
      </c>
      <c r="K1133" s="25">
        <f t="shared" si="1044"/>
        <v>20282.026119384056</v>
      </c>
      <c r="L1133" s="25"/>
      <c r="N1133" s="25">
        <f>'Combined Retirement'!$C$18/12</f>
        <v>39153.069999999992</v>
      </c>
      <c r="O1133" s="25">
        <f t="shared" si="1045"/>
        <v>11007.82546143035</v>
      </c>
      <c r="P1133" s="25">
        <f t="shared" si="1046"/>
        <v>28145.244538569641</v>
      </c>
      <c r="Q1133" s="25">
        <f t="array" aca="1" ref="Q1133" ca="1">INDEX('Isaac 401k'!L:L,MATCH('Retirement Calculator'!A1133,'Isaac 401k'!N:N,0),0)</f>
        <v>-18129532.139919933</v>
      </c>
      <c r="R1133" s="25">
        <f t="array" aca="1" ref="R1133" ca="1">INDEX('Lorri 401b'!L:L,MATCH('Retirement Calculator'!A1133,'Lorri 401b'!N:N,0),0)</f>
        <v>-45583574.713364027</v>
      </c>
      <c r="S1133" s="25">
        <f t="shared" ca="1" si="1047"/>
        <v>-63713106.853283957</v>
      </c>
    </row>
    <row r="1134" spans="1:19" ht="15.75" customHeight="1" x14ac:dyDescent="0.3">
      <c r="A1134" s="37">
        <v>85469</v>
      </c>
      <c r="B1134" s="409">
        <f t="shared" ref="B1134:C1134" si="1150">($A1134-B$9)/365.25</f>
        <v>152.12320328542094</v>
      </c>
      <c r="C1134" s="409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3525.4531757812501</v>
      </c>
      <c r="H1134" s="25">
        <f>IF(B1134&lt;62,0,'Combined Retirement'!$I$14)</f>
        <v>2192</v>
      </c>
      <c r="I1134" s="25">
        <f>IF(C1134&lt;62,0,'Combined Retirement'!$I$13)</f>
        <v>2420</v>
      </c>
      <c r="J1134" s="25">
        <f t="shared" si="1043"/>
        <v>7863.2184191855868</v>
      </c>
      <c r="K1134" s="25">
        <f t="shared" si="1044"/>
        <v>20282.026119384056</v>
      </c>
      <c r="L1134" s="25"/>
      <c r="N1134" s="25">
        <f>'Combined Retirement'!$C$18/12</f>
        <v>39153.069999999992</v>
      </c>
      <c r="O1134" s="25">
        <f t="shared" si="1045"/>
        <v>11007.82546143035</v>
      </c>
      <c r="P1134" s="25">
        <f t="shared" si="1046"/>
        <v>28145.244538569641</v>
      </c>
      <c r="Q1134" s="25">
        <f t="array" aca="1" ref="Q1134" ca="1">INDEX('Isaac 401k'!L:L,MATCH('Retirement Calculator'!A1134,'Isaac 401k'!N:N,0),0)</f>
        <v>-18212967.838998865</v>
      </c>
      <c r="R1134" s="25">
        <f t="array" aca="1" ref="R1134" ca="1">INDEX('Lorri 401b'!L:L,MATCH('Retirement Calculator'!A1134,'Lorri 401b'!N:N,0),0)</f>
        <v>-45793872.809231259</v>
      </c>
      <c r="S1134" s="25">
        <f t="shared" ca="1" si="1047"/>
        <v>-64006840.648230121</v>
      </c>
    </row>
    <row r="1135" spans="1:19" ht="15.75" customHeight="1" x14ac:dyDescent="0.3">
      <c r="A1135" s="37">
        <v>85500</v>
      </c>
      <c r="B1135" s="409">
        <f t="shared" ref="B1135:C1135" si="1151">($A1135-B$9)/365.25</f>
        <v>152.20807665982204</v>
      </c>
      <c r="C1135" s="409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3525.4531757812501</v>
      </c>
      <c r="H1135" s="25">
        <f>IF(B1135&lt;62,0,'Combined Retirement'!$I$14)</f>
        <v>2192</v>
      </c>
      <c r="I1135" s="25">
        <f>IF(C1135&lt;62,0,'Combined Retirement'!$I$13)</f>
        <v>2420</v>
      </c>
      <c r="J1135" s="25">
        <f t="shared" si="1043"/>
        <v>7863.2184191855868</v>
      </c>
      <c r="K1135" s="25">
        <f t="shared" si="1044"/>
        <v>20282.026119384056</v>
      </c>
      <c r="L1135" s="25"/>
      <c r="N1135" s="25">
        <f>'Combined Retirement'!$C$18/12</f>
        <v>39153.069999999992</v>
      </c>
      <c r="O1135" s="25">
        <f t="shared" si="1045"/>
        <v>11007.82546143035</v>
      </c>
      <c r="P1135" s="25">
        <f t="shared" si="1046"/>
        <v>28145.244538569641</v>
      </c>
      <c r="Q1135" s="25">
        <f t="array" aca="1" ref="Q1135" ca="1">INDEX('Isaac 401k'!L:L,MATCH('Retirement Calculator'!A1135,'Isaac 401k'!N:N,0),0)</f>
        <v>-18296751.18682396</v>
      </c>
      <c r="R1135" s="25">
        <f t="array" aca="1" ref="R1135" ca="1">INDEX('Lorri 401b'!L:L,MATCH('Retirement Calculator'!A1135,'Lorri 401b'!N:N,0),0)</f>
        <v>-46005047.147164598</v>
      </c>
      <c r="S1135" s="25">
        <f t="shared" ca="1" si="1047"/>
        <v>-64301798.333988562</v>
      </c>
    </row>
    <row r="1136" spans="1:19" ht="15.75" customHeight="1" x14ac:dyDescent="0.3">
      <c r="A1136" s="37">
        <v>85528</v>
      </c>
      <c r="B1136" s="409">
        <f t="shared" ref="B1136:C1136" si="1152">($A1136-B$9)/365.25</f>
        <v>152.28473648186173</v>
      </c>
      <c r="C1136" s="409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3525.4531757812501</v>
      </c>
      <c r="H1136" s="25">
        <f>IF(B1136&lt;62,0,'Combined Retirement'!$I$14)</f>
        <v>2192</v>
      </c>
      <c r="I1136" s="25">
        <f>IF(C1136&lt;62,0,'Combined Retirement'!$I$13)</f>
        <v>2420</v>
      </c>
      <c r="J1136" s="25">
        <f t="shared" si="1043"/>
        <v>7863.2184191855868</v>
      </c>
      <c r="K1136" s="25">
        <f t="shared" si="1044"/>
        <v>20282.026119384056</v>
      </c>
      <c r="L1136" s="25"/>
      <c r="N1136" s="25">
        <f>'Combined Retirement'!$C$18/12</f>
        <v>39153.069999999992</v>
      </c>
      <c r="O1136" s="25">
        <f t="shared" si="1045"/>
        <v>11007.82546143035</v>
      </c>
      <c r="P1136" s="25">
        <f t="shared" si="1046"/>
        <v>28145.244538569641</v>
      </c>
      <c r="Q1136" s="25">
        <f t="array" aca="1" ref="Q1136" ca="1">INDEX('Isaac 401k'!L:L,MATCH('Retirement Calculator'!A1136,'Isaac 401k'!N:N,0),0)</f>
        <v>-18380883.631931659</v>
      </c>
      <c r="R1136" s="25">
        <f t="array" aca="1" ref="R1136" ca="1">INDEX('Lorri 401b'!L:L,MATCH('Retirement Calculator'!A1136,'Lorri 401b'!N:N,0),0)</f>
        <v>-46217101.378172666</v>
      </c>
      <c r="S1136" s="25">
        <f t="shared" ca="1" si="1047"/>
        <v>-64597985.010104328</v>
      </c>
    </row>
    <row r="1137" spans="1:19" ht="15.75" customHeight="1" x14ac:dyDescent="0.3">
      <c r="A1137" s="37">
        <v>85559</v>
      </c>
      <c r="B1137" s="409">
        <f t="shared" ref="B1137:C1137" si="1153">($A1137-B$9)/365.25</f>
        <v>152.36960985626283</v>
      </c>
      <c r="C1137" s="409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3525.4531757812501</v>
      </c>
      <c r="H1137" s="25">
        <f>IF(B1137&lt;62,0,'Combined Retirement'!$I$14)</f>
        <v>2192</v>
      </c>
      <c r="I1137" s="25">
        <f>IF(C1137&lt;62,0,'Combined Retirement'!$I$13)</f>
        <v>2420</v>
      </c>
      <c r="J1137" s="25">
        <f t="shared" si="1043"/>
        <v>7863.2184191855868</v>
      </c>
      <c r="K1137" s="25">
        <f t="shared" si="1044"/>
        <v>20282.026119384056</v>
      </c>
      <c r="L1137" s="25"/>
      <c r="N1137" s="25">
        <f>'Combined Retirement'!$C$18/12</f>
        <v>39153.069999999992</v>
      </c>
      <c r="O1137" s="25">
        <f t="shared" si="1045"/>
        <v>11007.82546143035</v>
      </c>
      <c r="P1137" s="25">
        <f t="shared" si="1046"/>
        <v>28145.244538569641</v>
      </c>
      <c r="Q1137" s="25">
        <f t="array" aca="1" ref="Q1137" ca="1">INDEX('Isaac 401k'!L:L,MATCH('Retirement Calculator'!A1137,'Isaac 401k'!N:N,0),0)</f>
        <v>-18465366.628893975</v>
      </c>
      <c r="R1137" s="25">
        <f t="array" aca="1" ref="R1137" ca="1">INDEX('Lorri 401b'!L:L,MATCH('Retirement Calculator'!A1137,'Lorri 401b'!N:N,0),0)</f>
        <v>-46430039.168476596</v>
      </c>
      <c r="S1137" s="25">
        <f t="shared" ca="1" si="1047"/>
        <v>-64895405.797370568</v>
      </c>
    </row>
    <row r="1138" spans="1:19" ht="15.75" customHeight="1" x14ac:dyDescent="0.3">
      <c r="A1138" s="37">
        <v>85589</v>
      </c>
      <c r="B1138" s="409">
        <f t="shared" ref="B1138:C1138" si="1154">($A1138-B$9)/365.25</f>
        <v>152.4517453798768</v>
      </c>
      <c r="C1138" s="409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3525.4531757812501</v>
      </c>
      <c r="H1138" s="25">
        <f>IF(B1138&lt;62,0,'Combined Retirement'!$I$14)</f>
        <v>2192</v>
      </c>
      <c r="I1138" s="25">
        <f>IF(C1138&lt;62,0,'Combined Retirement'!$I$13)</f>
        <v>2420</v>
      </c>
      <c r="J1138" s="25">
        <f t="shared" si="1043"/>
        <v>7863.2184191855868</v>
      </c>
      <c r="K1138" s="25">
        <f t="shared" si="1044"/>
        <v>20282.026119384056</v>
      </c>
      <c r="L1138" s="25"/>
      <c r="N1138" s="25">
        <f>'Combined Retirement'!$C$18/12</f>
        <v>39153.069999999992</v>
      </c>
      <c r="O1138" s="25">
        <f t="shared" si="1045"/>
        <v>11007.82546143035</v>
      </c>
      <c r="P1138" s="25">
        <f t="shared" si="1046"/>
        <v>28145.244538569641</v>
      </c>
      <c r="Q1138" s="25">
        <f t="array" aca="1" ref="Q1138" ca="1">INDEX('Isaac 401k'!L:L,MATCH('Retirement Calculator'!A1138,'Isaac 401k'!N:N,0),0)</f>
        <v>-18550201.638343632</v>
      </c>
      <c r="R1138" s="25">
        <f t="array" aca="1" ref="R1138" ca="1">INDEX('Lorri 401b'!L:L,MATCH('Retirement Calculator'!A1138,'Lorri 401b'!N:N,0),0)</f>
        <v>-46643864.199573457</v>
      </c>
      <c r="S1138" s="25">
        <f t="shared" ca="1" si="1047"/>
        <v>-65194065.837917089</v>
      </c>
    </row>
    <row r="1139" spans="1:19" ht="15.75" customHeight="1" x14ac:dyDescent="0.3">
      <c r="A1139" s="37">
        <v>85620</v>
      </c>
      <c r="B1139" s="409">
        <f t="shared" ref="B1139:C1139" si="1155">($A1139-B$9)/365.25</f>
        <v>152.5366187542779</v>
      </c>
      <c r="C1139" s="409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3525.4531757812501</v>
      </c>
      <c r="H1139" s="25">
        <f>IF(B1139&lt;62,0,'Combined Retirement'!$I$14)</f>
        <v>2192</v>
      </c>
      <c r="I1139" s="25">
        <f>IF(C1139&lt;62,0,'Combined Retirement'!$I$13)</f>
        <v>2420</v>
      </c>
      <c r="J1139" s="25">
        <f t="shared" si="1043"/>
        <v>7863.2184191855868</v>
      </c>
      <c r="K1139" s="25">
        <f t="shared" si="1044"/>
        <v>20282.026119384056</v>
      </c>
      <c r="L1139" s="25"/>
      <c r="N1139" s="25">
        <f>'Combined Retirement'!$C$18/12</f>
        <v>39153.069999999992</v>
      </c>
      <c r="O1139" s="25">
        <f t="shared" si="1045"/>
        <v>11007.82546143035</v>
      </c>
      <c r="P1139" s="25">
        <f t="shared" si="1046"/>
        <v>28145.244538569641</v>
      </c>
      <c r="Q1139" s="25">
        <f t="array" aca="1" ref="Q1139" ca="1">INDEX('Isaac 401k'!L:L,MATCH('Retirement Calculator'!A1139,'Isaac 401k'!N:N,0),0)</f>
        <v>-18635390.12699933</v>
      </c>
      <c r="R1139" s="25">
        <f t="array" aca="1" ref="R1139" ca="1">INDEX('Lorri 401b'!L:L,MATCH('Retirement Calculator'!A1139,'Lorri 401b'!N:N,0),0)</f>
        <v>-46858580.168299891</v>
      </c>
      <c r="S1139" s="25">
        <f t="shared" ca="1" si="1047"/>
        <v>-65493970.295299217</v>
      </c>
    </row>
    <row r="1140" spans="1:19" ht="15.75" customHeight="1" x14ac:dyDescent="0.3">
      <c r="A1140" s="37">
        <v>85650</v>
      </c>
      <c r="B1140" s="409">
        <f t="shared" ref="B1140:C1140" si="1156">($A1140-B$9)/365.25</f>
        <v>152.61875427789187</v>
      </c>
      <c r="C1140" s="409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3525.4531757812501</v>
      </c>
      <c r="H1140" s="25">
        <f>IF(B1140&lt;62,0,'Combined Retirement'!$I$14)</f>
        <v>2192</v>
      </c>
      <c r="I1140" s="25">
        <f>IF(C1140&lt;62,0,'Combined Retirement'!$I$13)</f>
        <v>2420</v>
      </c>
      <c r="J1140" s="25">
        <f t="shared" si="1043"/>
        <v>7863.2184191855868</v>
      </c>
      <c r="K1140" s="25">
        <f t="shared" si="1044"/>
        <v>20282.026119384056</v>
      </c>
      <c r="L1140" s="25"/>
      <c r="N1140" s="25">
        <f>'Combined Retirement'!$C$18/12</f>
        <v>39153.069999999992</v>
      </c>
      <c r="O1140" s="25">
        <f t="shared" si="1045"/>
        <v>11007.82546143035</v>
      </c>
      <c r="P1140" s="25">
        <f t="shared" si="1046"/>
        <v>28145.244538569641</v>
      </c>
      <c r="Q1140" s="25">
        <f t="array" aca="1" ref="Q1140" ca="1">INDEX('Isaac 401k'!L:L,MATCH('Retirement Calculator'!A1140,'Isaac 401k'!N:N,0),0)</f>
        <v>-18720933.567691095</v>
      </c>
      <c r="R1140" s="25">
        <f t="array" aca="1" ref="R1140" ca="1">INDEX('Lorri 401b'!L:L,MATCH('Retirement Calculator'!A1140,'Lorri 401b'!N:N,0),0)</f>
        <v>-47074190.78689602</v>
      </c>
      <c r="S1140" s="25">
        <f t="shared" ca="1" si="1047"/>
        <v>-65795124.354587115</v>
      </c>
    </row>
    <row r="1141" spans="1:19" ht="15.75" customHeight="1" x14ac:dyDescent="0.3">
      <c r="A1141" s="37">
        <v>85681</v>
      </c>
      <c r="B1141" s="409">
        <f t="shared" ref="B1141:C1141" si="1157">($A1141-B$9)/365.25</f>
        <v>152.70362765229294</v>
      </c>
      <c r="C1141" s="409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3525.4531757812501</v>
      </c>
      <c r="H1141" s="25">
        <f>IF(B1141&lt;62,0,'Combined Retirement'!$I$14)</f>
        <v>2192</v>
      </c>
      <c r="I1141" s="25">
        <f>IF(C1141&lt;62,0,'Combined Retirement'!$I$13)</f>
        <v>2420</v>
      </c>
      <c r="J1141" s="25">
        <f t="shared" si="1043"/>
        <v>7863.2184191855868</v>
      </c>
      <c r="K1141" s="25">
        <f t="shared" si="1044"/>
        <v>20282.026119384056</v>
      </c>
      <c r="L1141" s="25"/>
      <c r="N1141" s="25">
        <f>'Combined Retirement'!$C$18/12</f>
        <v>39153.069999999992</v>
      </c>
      <c r="O1141" s="25">
        <f t="shared" si="1045"/>
        <v>11007.82546143035</v>
      </c>
      <c r="P1141" s="25">
        <f t="shared" si="1046"/>
        <v>28145.244538569641</v>
      </c>
      <c r="Q1141" s="25">
        <f t="array" aca="1" ref="Q1141" ca="1">INDEX('Isaac 401k'!L:L,MATCH('Retirement Calculator'!A1141,'Isaac 401k'!N:N,0),0)</f>
        <v>-18806833.439385742</v>
      </c>
      <c r="R1141" s="25">
        <f t="array" aca="1" ref="R1141" ca="1">INDEX('Lorri 401b'!L:L,MATCH('Retirement Calculator'!A1141,'Lorri 401b'!N:N,0),0)</f>
        <v>-47290699.783069633</v>
      </c>
      <c r="S1141" s="25">
        <f t="shared" ca="1" si="1047"/>
        <v>-66097533.222455375</v>
      </c>
    </row>
    <row r="1142" spans="1:19" ht="15.75" customHeight="1" x14ac:dyDescent="0.3">
      <c r="A1142" s="37">
        <v>85712</v>
      </c>
      <c r="B1142" s="409">
        <f t="shared" ref="B1142:C1142" si="1158">($A1142-B$9)/365.25</f>
        <v>152.78850102669404</v>
      </c>
      <c r="C1142" s="409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3525.4531757812501</v>
      </c>
      <c r="H1142" s="25">
        <f>IF(B1142&lt;62,0,'Combined Retirement'!$I$14)</f>
        <v>2192</v>
      </c>
      <c r="I1142" s="25">
        <f>IF(C1142&lt;62,0,'Combined Retirement'!$I$13)</f>
        <v>2420</v>
      </c>
      <c r="J1142" s="25">
        <f t="shared" si="1043"/>
        <v>7863.2184191855868</v>
      </c>
      <c r="K1142" s="25">
        <f t="shared" si="1044"/>
        <v>20282.026119384056</v>
      </c>
      <c r="L1142" s="25"/>
      <c r="N1142" s="25">
        <f>'Combined Retirement'!$C$18/12</f>
        <v>39153.069999999992</v>
      </c>
      <c r="O1142" s="25">
        <f t="shared" si="1045"/>
        <v>11007.82546143035</v>
      </c>
      <c r="P1142" s="25">
        <f t="shared" si="1046"/>
        <v>28145.244538569641</v>
      </c>
      <c r="Q1142" s="25">
        <f t="array" aca="1" ref="Q1142" ca="1">INDEX('Isaac 401k'!L:L,MATCH('Retirement Calculator'!A1142,'Isaac 401k'!N:N,0),0)</f>
        <v>-18893091.227212448</v>
      </c>
      <c r="R1142" s="25">
        <f t="array" aca="1" ref="R1142" ca="1">INDEX('Lorri 401b'!L:L,MATCH('Retirement Calculator'!A1142,'Lorri 401b'!N:N,0),0)</f>
        <v>-47508110.900060631</v>
      </c>
      <c r="S1142" s="25">
        <f t="shared" ca="1" si="1047"/>
        <v>-66401202.127273083</v>
      </c>
    </row>
    <row r="1143" spans="1:19" ht="15.75" customHeight="1" x14ac:dyDescent="0.3">
      <c r="A1143" s="37">
        <v>85742</v>
      </c>
      <c r="B1143" s="409">
        <f t="shared" ref="B1143:C1143" si="1159">($A1143-B$9)/365.25</f>
        <v>152.87063655030801</v>
      </c>
      <c r="C1143" s="409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3525.4531757812501</v>
      </c>
      <c r="H1143" s="25">
        <f>IF(B1143&lt;62,0,'Combined Retirement'!$I$14)</f>
        <v>2192</v>
      </c>
      <c r="I1143" s="25">
        <f>IF(C1143&lt;62,0,'Combined Retirement'!$I$13)</f>
        <v>2420</v>
      </c>
      <c r="J1143" s="25">
        <f t="shared" si="1043"/>
        <v>7863.2184191855868</v>
      </c>
      <c r="K1143" s="25">
        <f t="shared" si="1044"/>
        <v>20282.026119384056</v>
      </c>
      <c r="L1143" s="25"/>
      <c r="N1143" s="25">
        <f>'Combined Retirement'!$C$18/12</f>
        <v>39153.069999999992</v>
      </c>
      <c r="O1143" s="25">
        <f t="shared" si="1045"/>
        <v>11007.82546143035</v>
      </c>
      <c r="P1143" s="25">
        <f t="shared" si="1046"/>
        <v>28145.244538569641</v>
      </c>
      <c r="Q1143" s="25">
        <f t="array" aca="1" ref="Q1143" ca="1">INDEX('Isaac 401k'!L:L,MATCH('Retirement Calculator'!A1143,'Isaac 401k'!N:N,0),0)</f>
        <v>-18979708.422488432</v>
      </c>
      <c r="R1143" s="25">
        <f t="array" aca="1" ref="R1143" ca="1">INDEX('Lorri 401b'!L:L,MATCH('Retirement Calculator'!A1143,'Lorri 401b'!N:N,0),0)</f>
        <v>-47726427.896705762</v>
      </c>
      <c r="S1143" s="25">
        <f t="shared" ca="1" si="1047"/>
        <v>-66706136.319194198</v>
      </c>
    </row>
    <row r="1144" spans="1:19" ht="15.75" customHeight="1" x14ac:dyDescent="0.3">
      <c r="A1144" s="37">
        <v>85773</v>
      </c>
      <c r="B1144" s="409">
        <f t="shared" ref="B1144:C1144" si="1160">($A1144-B$9)/365.25</f>
        <v>152.95550992470911</v>
      </c>
      <c r="C1144" s="409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3525.4531757812501</v>
      </c>
      <c r="H1144" s="25">
        <f>IF(B1144&lt;62,0,'Combined Retirement'!$I$14)</f>
        <v>2192</v>
      </c>
      <c r="I1144" s="25">
        <f>IF(C1144&lt;62,0,'Combined Retirement'!$I$13)</f>
        <v>2420</v>
      </c>
      <c r="J1144" s="25">
        <f t="shared" si="1043"/>
        <v>7863.2184191855868</v>
      </c>
      <c r="K1144" s="25">
        <f t="shared" si="1044"/>
        <v>20282.026119384056</v>
      </c>
      <c r="L1144" s="25"/>
      <c r="N1144" s="25">
        <f>'Combined Retirement'!$C$18/12</f>
        <v>39153.069999999992</v>
      </c>
      <c r="O1144" s="25">
        <f t="shared" si="1045"/>
        <v>11007.82546143035</v>
      </c>
      <c r="P1144" s="25">
        <f t="shared" si="1046"/>
        <v>28145.244538569641</v>
      </c>
      <c r="Q1144" s="25">
        <f t="array" aca="1" ref="Q1144" ca="1">INDEX('Isaac 401k'!L:L,MATCH('Retirement Calculator'!A1144,'Isaac 401k'!N:N,0),0)</f>
        <v>-19066686.522744734</v>
      </c>
      <c r="R1144" s="25">
        <f t="array" aca="1" ref="R1144" ca="1">INDEX('Lorri 401b'!L:L,MATCH('Retirement Calculator'!A1144,'Lorri 401b'!N:N,0),0)</f>
        <v>-47945654.547503583</v>
      </c>
      <c r="S1144" s="25">
        <f t="shared" ca="1" si="1047"/>
        <v>-67012341.070248321</v>
      </c>
    </row>
    <row r="1145" spans="1:19" ht="15.75" customHeight="1" x14ac:dyDescent="0.3">
      <c r="A1145" s="37">
        <v>85803</v>
      </c>
      <c r="B1145" s="409">
        <f t="shared" ref="B1145:C1145" si="1161">($A1145-B$9)/365.25</f>
        <v>153.03764544832308</v>
      </c>
      <c r="C1145" s="409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3525.4531757812501</v>
      </c>
      <c r="H1145" s="25">
        <f>IF(B1145&lt;62,0,'Combined Retirement'!$I$14)</f>
        <v>2192</v>
      </c>
      <c r="I1145" s="25">
        <f>IF(C1145&lt;62,0,'Combined Retirement'!$I$13)</f>
        <v>2420</v>
      </c>
      <c r="J1145" s="25">
        <f t="shared" si="1043"/>
        <v>7863.2184191855868</v>
      </c>
      <c r="K1145" s="25">
        <f t="shared" si="1044"/>
        <v>20282.026119384056</v>
      </c>
      <c r="L1145" s="25"/>
      <c r="N1145" s="25">
        <f>'Combined Retirement'!$C$18/12</f>
        <v>39153.069999999992</v>
      </c>
      <c r="O1145" s="25">
        <f t="shared" si="1045"/>
        <v>11007.82546143035</v>
      </c>
      <c r="P1145" s="25">
        <f t="shared" si="1046"/>
        <v>28145.244538569641</v>
      </c>
      <c r="Q1145" s="25">
        <f t="array" aca="1" ref="Q1145" ca="1">INDEX('Isaac 401k'!L:L,MATCH('Retirement Calculator'!A1145,'Isaac 401k'!N:N,0),0)</f>
        <v>-19154027.031752102</v>
      </c>
      <c r="R1145" s="25">
        <f t="array" aca="1" ref="R1145" ca="1">INDEX('Lorri 401b'!L:L,MATCH('Retirement Calculator'!A1145,'Lorri 401b'!N:N,0),0)</f>
        <v>-48165794.642679729</v>
      </c>
      <c r="S1145" s="25">
        <f t="shared" ca="1" si="1047"/>
        <v>-67319821.674431831</v>
      </c>
    </row>
    <row r="1146" spans="1:19" ht="15.75" customHeight="1" x14ac:dyDescent="0.3">
      <c r="A1146" s="37">
        <v>85834</v>
      </c>
      <c r="B1146" s="409">
        <f t="shared" ref="B1146:C1146" si="1162">($A1146-B$9)/365.25</f>
        <v>153.12251882272417</v>
      </c>
      <c r="C1146" s="409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3525.4531757812501</v>
      </c>
      <c r="H1146" s="25">
        <f>IF(B1146&lt;62,0,'Combined Retirement'!$I$14)</f>
        <v>2192</v>
      </c>
      <c r="I1146" s="25">
        <f>IF(C1146&lt;62,0,'Combined Retirement'!$I$13)</f>
        <v>2420</v>
      </c>
      <c r="J1146" s="25">
        <f t="shared" si="1043"/>
        <v>7863.2184191855868</v>
      </c>
      <c r="K1146" s="25">
        <f t="shared" si="1044"/>
        <v>20282.026119384056</v>
      </c>
      <c r="L1146" s="25"/>
      <c r="N1146" s="25">
        <f>'Combined Retirement'!$C$18/12</f>
        <v>39153.069999999992</v>
      </c>
      <c r="O1146" s="25">
        <f t="shared" si="1045"/>
        <v>11007.82546143035</v>
      </c>
      <c r="P1146" s="25">
        <f t="shared" si="1046"/>
        <v>28145.244538569641</v>
      </c>
      <c r="Q1146" s="25">
        <f t="array" aca="1" ref="Q1146" ca="1">INDEX('Isaac 401k'!L:L,MATCH('Retirement Calculator'!A1146,'Isaac 401k'!N:N,0),0)</f>
        <v>-19241731.459547002</v>
      </c>
      <c r="R1146" s="25">
        <f t="array" aca="1" ref="R1146" ca="1">INDEX('Lorri 401b'!L:L,MATCH('Retirement Calculator'!A1146,'Lorri 401b'!N:N,0),0)</f>
        <v>-48386851.988252439</v>
      </c>
      <c r="S1146" s="25">
        <f t="shared" ca="1" si="1047"/>
        <v>-67628583.447799444</v>
      </c>
    </row>
    <row r="1147" spans="1:19" ht="15.75" customHeight="1" x14ac:dyDescent="0.3">
      <c r="A1147" s="37">
        <v>85865</v>
      </c>
      <c r="B1147" s="409">
        <f t="shared" ref="B1147:C1147" si="1163">($A1147-B$9)/365.25</f>
        <v>153.20739219712524</v>
      </c>
      <c r="C1147" s="409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3525.4531757812501</v>
      </c>
      <c r="H1147" s="25">
        <f>IF(B1147&lt;62,0,'Combined Retirement'!$I$14)</f>
        <v>2192</v>
      </c>
      <c r="I1147" s="25">
        <f>IF(C1147&lt;62,0,'Combined Retirement'!$I$13)</f>
        <v>2420</v>
      </c>
      <c r="J1147" s="25">
        <f t="shared" si="1043"/>
        <v>7863.2184191855868</v>
      </c>
      <c r="K1147" s="25">
        <f t="shared" si="1044"/>
        <v>20282.026119384056</v>
      </c>
      <c r="L1147" s="25"/>
      <c r="N1147" s="25">
        <f>'Combined Retirement'!$C$18/12</f>
        <v>39153.069999999992</v>
      </c>
      <c r="O1147" s="25">
        <f t="shared" si="1045"/>
        <v>11007.82546143035</v>
      </c>
      <c r="P1147" s="25">
        <f t="shared" si="1046"/>
        <v>28145.244538569641</v>
      </c>
      <c r="Q1147" s="25">
        <f t="array" aca="1" ref="Q1147" ca="1">INDEX('Isaac 401k'!L:L,MATCH('Retirement Calculator'!A1147,'Isaac 401k'!N:N,0),0)</f>
        <v>-19329801.322457716</v>
      </c>
      <c r="R1147" s="25">
        <f t="array" aca="1" ref="R1147" ca="1">INDEX('Lorri 401b'!L:L,MATCH('Retirement Calculator'!A1147,'Lorri 401b'!N:N,0),0)</f>
        <v>-48608830.406098366</v>
      </c>
      <c r="S1147" s="25">
        <f t="shared" ca="1" si="1047"/>
        <v>-67938631.728556082</v>
      </c>
    </row>
    <row r="1148" spans="1:19" ht="15.75" customHeight="1" x14ac:dyDescent="0.3">
      <c r="A1148" s="37">
        <v>85893</v>
      </c>
      <c r="B1148" s="409">
        <f t="shared" ref="B1148:C1148" si="1164">($A1148-B$9)/365.25</f>
        <v>153.28405201916496</v>
      </c>
      <c r="C1148" s="409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3525.4531757812501</v>
      </c>
      <c r="H1148" s="25">
        <f>IF(B1148&lt;62,0,'Combined Retirement'!$I$14)</f>
        <v>2192</v>
      </c>
      <c r="I1148" s="25">
        <f>IF(C1148&lt;62,0,'Combined Retirement'!$I$13)</f>
        <v>2420</v>
      </c>
      <c r="J1148" s="25">
        <f t="shared" si="1043"/>
        <v>7863.2184191855868</v>
      </c>
      <c r="K1148" s="25">
        <f t="shared" si="1044"/>
        <v>20282.026119384056</v>
      </c>
      <c r="L1148" s="25"/>
      <c r="N1148" s="25">
        <f>'Combined Retirement'!$C$18/12</f>
        <v>39153.069999999992</v>
      </c>
      <c r="O1148" s="25">
        <f t="shared" si="1045"/>
        <v>11007.82546143035</v>
      </c>
      <c r="P1148" s="25">
        <f t="shared" si="1046"/>
        <v>28145.244538569641</v>
      </c>
      <c r="Q1148" s="25">
        <f t="array" aca="1" ref="Q1148" ca="1">INDEX('Isaac 401k'!L:L,MATCH('Retirement Calculator'!A1148,'Isaac 401k'!N:N,0),0)</f>
        <v>-19418238.143130556</v>
      </c>
      <c r="R1148" s="25">
        <f t="array" aca="1" ref="R1148" ca="1">INDEX('Lorri 401b'!L:L,MATCH('Retirement Calculator'!A1148,'Lorri 401b'!N:N,0),0)</f>
        <v>-48831733.734018654</v>
      </c>
      <c r="S1148" s="25">
        <f t="shared" ca="1" si="1047"/>
        <v>-68249971.877149209</v>
      </c>
    </row>
    <row r="1149" spans="1:19" ht="15.75" customHeight="1" x14ac:dyDescent="0.3">
      <c r="A1149" s="37">
        <v>85924</v>
      </c>
      <c r="B1149" s="409">
        <f t="shared" ref="B1149:C1149" si="1165">($A1149-B$9)/365.25</f>
        <v>153.36892539356606</v>
      </c>
      <c r="C1149" s="409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3525.4531757812501</v>
      </c>
      <c r="H1149" s="25">
        <f>IF(B1149&lt;62,0,'Combined Retirement'!$I$14)</f>
        <v>2192</v>
      </c>
      <c r="I1149" s="25">
        <f>IF(C1149&lt;62,0,'Combined Retirement'!$I$13)</f>
        <v>2420</v>
      </c>
      <c r="J1149" s="25">
        <f t="shared" si="1043"/>
        <v>7863.2184191855868</v>
      </c>
      <c r="K1149" s="25">
        <f t="shared" si="1044"/>
        <v>20282.026119384056</v>
      </c>
      <c r="L1149" s="25"/>
      <c r="N1149" s="25">
        <f>'Combined Retirement'!$C$18/12</f>
        <v>39153.069999999992</v>
      </c>
      <c r="O1149" s="25">
        <f t="shared" si="1045"/>
        <v>11007.82546143035</v>
      </c>
      <c r="P1149" s="25">
        <f t="shared" si="1046"/>
        <v>28145.244538569641</v>
      </c>
      <c r="Q1149" s="25">
        <f t="array" aca="1" ref="Q1149" ca="1">INDEX('Isaac 401k'!L:L,MATCH('Retirement Calculator'!A1149,'Isaac 401k'!N:N,0),0)</f>
        <v>-19507043.4505562</v>
      </c>
      <c r="R1149" s="25">
        <f t="array" aca="1" ref="R1149" ca="1">INDEX('Lorri 401b'!L:L,MATCH('Retirement Calculator'!A1149,'Lorri 401b'!N:N,0),0)</f>
        <v>-49055565.825805277</v>
      </c>
      <c r="S1149" s="25">
        <f t="shared" ca="1" si="1047"/>
        <v>-68562609.27636148</v>
      </c>
    </row>
    <row r="1150" spans="1:19" ht="15.75" customHeight="1" x14ac:dyDescent="0.3">
      <c r="A1150" s="37">
        <v>85954</v>
      </c>
      <c r="B1150" s="409">
        <f t="shared" ref="B1150:C1150" si="1166">($A1150-B$9)/365.25</f>
        <v>153.45106091718</v>
      </c>
      <c r="C1150" s="409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3525.4531757812501</v>
      </c>
      <c r="H1150" s="25">
        <f>IF(B1150&lt;62,0,'Combined Retirement'!$I$14)</f>
        <v>2192</v>
      </c>
      <c r="I1150" s="25">
        <f>IF(C1150&lt;62,0,'Combined Retirement'!$I$13)</f>
        <v>2420</v>
      </c>
      <c r="J1150" s="25">
        <f t="shared" si="1043"/>
        <v>7863.2184191855868</v>
      </c>
      <c r="K1150" s="25">
        <f t="shared" si="1044"/>
        <v>20282.026119384056</v>
      </c>
      <c r="L1150" s="25"/>
      <c r="N1150" s="25">
        <f>'Combined Retirement'!$C$18/12</f>
        <v>39153.069999999992</v>
      </c>
      <c r="O1150" s="25">
        <f t="shared" si="1045"/>
        <v>11007.82546143035</v>
      </c>
      <c r="P1150" s="25">
        <f t="shared" si="1046"/>
        <v>28145.244538569641</v>
      </c>
      <c r="Q1150" s="25">
        <f t="array" aca="1" ref="Q1150" ca="1">INDEX('Isaac 401k'!L:L,MATCH('Retirement Calculator'!A1150,'Isaac 401k'!N:N,0),0)</f>
        <v>-19596218.780096117</v>
      </c>
      <c r="R1150" s="25">
        <f t="array" aca="1" ref="R1150" ca="1">INDEX('Lorri 401b'!L:L,MATCH('Retirement Calculator'!A1150,'Lorri 401b'!N:N,0),0)</f>
        <v>-49280330.551307678</v>
      </c>
      <c r="S1150" s="25">
        <f t="shared" ca="1" si="1047"/>
        <v>-68876549.331403792</v>
      </c>
    </row>
    <row r="1151" spans="1:19" ht="15.75" customHeight="1" x14ac:dyDescent="0.3">
      <c r="A1151" s="37">
        <v>85985</v>
      </c>
      <c r="B1151" s="409">
        <f t="shared" ref="B1151:C1151" si="1167">($A1151-B$9)/365.25</f>
        <v>153.5359342915811</v>
      </c>
      <c r="C1151" s="409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3525.4531757812501</v>
      </c>
      <c r="H1151" s="25">
        <f>IF(B1151&lt;62,0,'Combined Retirement'!$I$14)</f>
        <v>2192</v>
      </c>
      <c r="I1151" s="25">
        <f>IF(C1151&lt;62,0,'Combined Retirement'!$I$13)</f>
        <v>2420</v>
      </c>
      <c r="J1151" s="25">
        <f t="shared" si="1043"/>
        <v>7863.2184191855868</v>
      </c>
      <c r="K1151" s="25">
        <f t="shared" si="1044"/>
        <v>20282.026119384056</v>
      </c>
      <c r="L1151" s="25"/>
      <c r="N1151" s="25">
        <f>'Combined Retirement'!$C$18/12</f>
        <v>39153.069999999992</v>
      </c>
      <c r="O1151" s="25">
        <f t="shared" si="1045"/>
        <v>11007.82546143035</v>
      </c>
      <c r="P1151" s="25">
        <f t="shared" si="1046"/>
        <v>28145.244538569641</v>
      </c>
      <c r="Q1151" s="25">
        <f t="array" aca="1" ref="Q1151" ca="1">INDEX('Isaac 401k'!L:L,MATCH('Retirement Calculator'!A1151,'Isaac 401k'!N:N,0),0)</f>
        <v>-19685765.673509117</v>
      </c>
      <c r="R1151" s="25">
        <f t="array" aca="1" ref="R1151" ca="1">INDEX('Lorri 401b'!L:L,MATCH('Retirement Calculator'!A1151,'Lorri 401b'!N:N,0),0)</f>
        <v>-49506031.79649967</v>
      </c>
      <c r="S1151" s="25">
        <f t="shared" ca="1" si="1047"/>
        <v>-69191797.47000879</v>
      </c>
    </row>
    <row r="1152" spans="1:19" ht="15.75" customHeight="1" x14ac:dyDescent="0.3">
      <c r="A1152" s="37">
        <v>86015</v>
      </c>
      <c r="B1152" s="409">
        <f t="shared" ref="B1152:C1152" si="1168">($A1152-B$9)/365.25</f>
        <v>153.61806981519507</v>
      </c>
      <c r="C1152" s="409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3525.4531757812501</v>
      </c>
      <c r="H1152" s="25">
        <f>IF(B1152&lt;62,0,'Combined Retirement'!$I$14)</f>
        <v>2192</v>
      </c>
      <c r="I1152" s="25">
        <f>IF(C1152&lt;62,0,'Combined Retirement'!$I$13)</f>
        <v>2420</v>
      </c>
      <c r="J1152" s="25">
        <f t="shared" si="1043"/>
        <v>7863.2184191855868</v>
      </c>
      <c r="K1152" s="25">
        <f t="shared" si="1044"/>
        <v>20282.026119384056</v>
      </c>
      <c r="L1152" s="25"/>
      <c r="N1152" s="25">
        <f>'Combined Retirement'!$C$18/12</f>
        <v>39153.069999999992</v>
      </c>
      <c r="O1152" s="25">
        <f t="shared" si="1045"/>
        <v>11007.82546143035</v>
      </c>
      <c r="P1152" s="25">
        <f t="shared" si="1046"/>
        <v>28145.244538569641</v>
      </c>
      <c r="Q1152" s="25">
        <f t="array" aca="1" ref="Q1152" ca="1">INDEX('Isaac 401k'!L:L,MATCH('Retirement Calculator'!A1152,'Isaac 401k'!N:N,0),0)</f>
        <v>-19775685.678978004</v>
      </c>
      <c r="R1152" s="25">
        <f t="array" aca="1" ref="R1152" ca="1">INDEX('Lorri 401b'!L:L,MATCH('Retirement Calculator'!A1152,'Lorri 401b'!N:N,0),0)</f>
        <v>-49732673.463546634</v>
      </c>
      <c r="S1152" s="25">
        <f t="shared" ca="1" si="1047"/>
        <v>-69508359.14252463</v>
      </c>
    </row>
    <row r="1153" spans="1:19" ht="15.75" customHeight="1" x14ac:dyDescent="0.3">
      <c r="A1153" s="37">
        <v>86046</v>
      </c>
      <c r="B1153" s="409">
        <f t="shared" ref="B1153:C1153" si="1169">($A1153-B$9)/365.25</f>
        <v>153.70294318959617</v>
      </c>
      <c r="C1153" s="409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3525.4531757812501</v>
      </c>
      <c r="H1153" s="25">
        <f>IF(B1153&lt;62,0,'Combined Retirement'!$I$14)</f>
        <v>2192</v>
      </c>
      <c r="I1153" s="25">
        <f>IF(C1153&lt;62,0,'Combined Retirement'!$I$13)</f>
        <v>2420</v>
      </c>
      <c r="J1153" s="25">
        <f t="shared" si="1043"/>
        <v>7863.2184191855868</v>
      </c>
      <c r="K1153" s="25">
        <f t="shared" si="1044"/>
        <v>20282.026119384056</v>
      </c>
      <c r="L1153" s="25"/>
      <c r="N1153" s="25">
        <f>'Combined Retirement'!$C$18/12</f>
        <v>39153.069999999992</v>
      </c>
      <c r="O1153" s="25">
        <f t="shared" si="1045"/>
        <v>11007.82546143035</v>
      </c>
      <c r="P1153" s="25">
        <f t="shared" si="1046"/>
        <v>28145.244538569641</v>
      </c>
      <c r="Q1153" s="25">
        <f t="array" aca="1" ref="Q1153" ca="1">INDEX('Isaac 401k'!L:L,MATCH('Retirement Calculator'!A1153,'Isaac 401k'!N:N,0),0)</f>
        <v>-19865980.351136345</v>
      </c>
      <c r="R1153" s="25">
        <f t="array" aca="1" ref="R1153" ca="1">INDEX('Lorri 401b'!L:L,MATCH('Retirement Calculator'!A1153,'Lorri 401b'!N:N,0),0)</f>
        <v>-49960259.470872954</v>
      </c>
      <c r="S1153" s="25">
        <f t="shared" ca="1" si="1047"/>
        <v>-69826239.822009295</v>
      </c>
    </row>
    <row r="1154" spans="1:19" ht="15.75" customHeight="1" x14ac:dyDescent="0.3">
      <c r="A1154" s="37">
        <v>86077</v>
      </c>
      <c r="B1154" s="409">
        <f t="shared" ref="B1154:C1154" si="1170">($A1154-B$9)/365.25</f>
        <v>153.78781656399727</v>
      </c>
      <c r="C1154" s="409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3525.4531757812501</v>
      </c>
      <c r="H1154" s="25">
        <f>IF(B1154&lt;62,0,'Combined Retirement'!$I$14)</f>
        <v>2192</v>
      </c>
      <c r="I1154" s="25">
        <f>IF(C1154&lt;62,0,'Combined Retirement'!$I$13)</f>
        <v>2420</v>
      </c>
      <c r="J1154" s="25">
        <f t="shared" si="1043"/>
        <v>7863.2184191855868</v>
      </c>
      <c r="K1154" s="25">
        <f t="shared" si="1044"/>
        <v>20282.026119384056</v>
      </c>
      <c r="L1154" s="25"/>
      <c r="N1154" s="25">
        <f>'Combined Retirement'!$C$18/12</f>
        <v>39153.069999999992</v>
      </c>
      <c r="O1154" s="25">
        <f t="shared" si="1045"/>
        <v>11007.82546143035</v>
      </c>
      <c r="P1154" s="25">
        <f t="shared" si="1046"/>
        <v>28145.244538569641</v>
      </c>
      <c r="Q1154" s="25">
        <f t="array" aca="1" ref="Q1154" ca="1">INDEX('Isaac 401k'!L:L,MATCH('Retirement Calculator'!A1154,'Isaac 401k'!N:N,0),0)</f>
        <v>-19956651.251095347</v>
      </c>
      <c r="R1154" s="25">
        <f t="array" aca="1" ref="R1154" ca="1">INDEX('Lorri 401b'!L:L,MATCH('Retirement Calculator'!A1154,'Lorri 401b'!N:N,0),0)</f>
        <v>-50188793.753229804</v>
      </c>
      <c r="S1154" s="25">
        <f t="shared" ca="1" si="1047"/>
        <v>-70145445.004325151</v>
      </c>
    </row>
    <row r="1155" spans="1:19" ht="15.75" customHeight="1" x14ac:dyDescent="0.3">
      <c r="A1155" s="37">
        <v>86107</v>
      </c>
      <c r="B1155" s="409">
        <f t="shared" ref="B1155:C1155" si="1171">($A1155-B$9)/365.25</f>
        <v>153.86995208761124</v>
      </c>
      <c r="C1155" s="409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3525.4531757812501</v>
      </c>
      <c r="H1155" s="25">
        <f>IF(B1155&lt;62,0,'Combined Retirement'!$I$14)</f>
        <v>2192</v>
      </c>
      <c r="I1155" s="25">
        <f>IF(C1155&lt;62,0,'Combined Retirement'!$I$13)</f>
        <v>2420</v>
      </c>
      <c r="J1155" s="25">
        <f t="shared" si="1043"/>
        <v>7863.2184191855868</v>
      </c>
      <c r="K1155" s="25">
        <f t="shared" si="1044"/>
        <v>20282.026119384056</v>
      </c>
      <c r="L1155" s="25"/>
      <c r="N1155" s="25">
        <f>'Combined Retirement'!$C$18/12</f>
        <v>39153.069999999992</v>
      </c>
      <c r="O1155" s="25">
        <f t="shared" si="1045"/>
        <v>11007.82546143035</v>
      </c>
      <c r="P1155" s="25">
        <f t="shared" si="1046"/>
        <v>28145.244538569641</v>
      </c>
      <c r="Q1155" s="25">
        <f t="array" aca="1" ref="Q1155" ca="1">INDEX('Isaac 401k'!L:L,MATCH('Retirement Calculator'!A1155,'Isaac 401k'!N:N,0),0)</f>
        <v>-20047699.946470845</v>
      </c>
      <c r="R1155" s="25">
        <f t="array" aca="1" ref="R1155" ca="1">INDEX('Lorri 401b'!L:L,MATCH('Retirement Calculator'!A1155,'Lorri 401b'!N:N,0),0)</f>
        <v>-50418280.261763141</v>
      </c>
      <c r="S1155" s="25">
        <f t="shared" ca="1" si="1047"/>
        <v>-70465980.208233982</v>
      </c>
    </row>
    <row r="1156" spans="1:19" ht="15.75" customHeight="1" x14ac:dyDescent="0.3">
      <c r="A1156" s="37">
        <v>86138</v>
      </c>
      <c r="B1156" s="409">
        <f t="shared" ref="B1156:C1156" si="1172">($A1156-B$9)/365.25</f>
        <v>153.95482546201231</v>
      </c>
      <c r="C1156" s="409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3525.4531757812501</v>
      </c>
      <c r="H1156" s="25">
        <f>IF(B1156&lt;62,0,'Combined Retirement'!$I$14)</f>
        <v>2192</v>
      </c>
      <c r="I1156" s="25">
        <f>IF(C1156&lt;62,0,'Combined Retirement'!$I$13)</f>
        <v>2420</v>
      </c>
      <c r="J1156" s="25">
        <f t="shared" si="1043"/>
        <v>7863.2184191855868</v>
      </c>
      <c r="K1156" s="25">
        <f t="shared" si="1044"/>
        <v>20282.026119384056</v>
      </c>
      <c r="L1156" s="25"/>
      <c r="N1156" s="25">
        <f>'Combined Retirement'!$C$18/12</f>
        <v>39153.069999999992</v>
      </c>
      <c r="O1156" s="25">
        <f t="shared" si="1045"/>
        <v>11007.82546143035</v>
      </c>
      <c r="P1156" s="25">
        <f t="shared" si="1046"/>
        <v>28145.244538569641</v>
      </c>
      <c r="Q1156" s="25">
        <f t="array" aca="1" ref="Q1156" ca="1">INDEX('Isaac 401k'!L:L,MATCH('Retirement Calculator'!A1156,'Isaac 401k'!N:N,0),0)</f>
        <v>-20139128.011410408</v>
      </c>
      <c r="R1156" s="25">
        <f t="array" aca="1" ref="R1156" ca="1">INDEX('Lorri 401b'!L:L,MATCH('Retirement Calculator'!A1156,'Lorri 401b'!N:N,0),0)</f>
        <v>-50648722.964082032</v>
      </c>
      <c r="S1156" s="25">
        <f t="shared" ca="1" si="1047"/>
        <v>-70787850.975492448</v>
      </c>
    </row>
    <row r="1157" spans="1:19" ht="15.75" customHeight="1" x14ac:dyDescent="0.3">
      <c r="A1157" s="37">
        <v>86168</v>
      </c>
      <c r="B1157" s="409">
        <f t="shared" ref="B1157:C1157" si="1173">($A1157-B$9)/365.25</f>
        <v>154.03696098562628</v>
      </c>
      <c r="C1157" s="409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3525.4531757812501</v>
      </c>
      <c r="H1157" s="25">
        <f>IF(B1157&lt;62,0,'Combined Retirement'!$I$14)</f>
        <v>2192</v>
      </c>
      <c r="I1157" s="25">
        <f>IF(C1157&lt;62,0,'Combined Retirement'!$I$13)</f>
        <v>2420</v>
      </c>
      <c r="J1157" s="25">
        <f t="shared" si="1043"/>
        <v>7863.2184191855868</v>
      </c>
      <c r="K1157" s="25">
        <f t="shared" si="1044"/>
        <v>20282.026119384056</v>
      </c>
      <c r="L1157" s="25"/>
      <c r="N1157" s="25">
        <f>'Combined Retirement'!$C$18/12</f>
        <v>39153.069999999992</v>
      </c>
      <c r="O1157" s="25">
        <f t="shared" si="1045"/>
        <v>11007.82546143035</v>
      </c>
      <c r="P1157" s="25">
        <f t="shared" si="1046"/>
        <v>28145.244538569641</v>
      </c>
      <c r="Q1157" s="25">
        <f t="array" aca="1" ref="Q1157" ca="1">INDEX('Isaac 401k'!L:L,MATCH('Retirement Calculator'!A1157,'Isaac 401k'!N:N,0),0)</f>
        <v>-20230937.026620552</v>
      </c>
      <c r="R1157" s="25">
        <f t="array" aca="1" ref="R1157" ca="1">INDEX('Lorri 401b'!L:L,MATCH('Retirement Calculator'!A1157,'Lorri 401b'!N:N,0),0)</f>
        <v>-50880125.844327256</v>
      </c>
      <c r="S1157" s="25">
        <f t="shared" ca="1" si="1047"/>
        <v>-71111062.870947808</v>
      </c>
    </row>
    <row r="1158" spans="1:19" ht="15.75" customHeight="1" x14ac:dyDescent="0.3">
      <c r="A1158" s="37">
        <v>86199</v>
      </c>
      <c r="B1158" s="409">
        <f t="shared" ref="B1158:C1158" si="1174">($A1158-B$9)/365.25</f>
        <v>154.12183436002738</v>
      </c>
      <c r="C1158" s="409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3525.4531757812501</v>
      </c>
      <c r="H1158" s="25">
        <f>IF(B1158&lt;62,0,'Combined Retirement'!$I$14)</f>
        <v>2192</v>
      </c>
      <c r="I1158" s="25">
        <f>IF(C1158&lt;62,0,'Combined Retirement'!$I$13)</f>
        <v>2420</v>
      </c>
      <c r="J1158" s="25">
        <f t="shared" si="1043"/>
        <v>7863.2184191855868</v>
      </c>
      <c r="K1158" s="25">
        <f t="shared" si="1044"/>
        <v>20282.026119384056</v>
      </c>
      <c r="L1158" s="25"/>
      <c r="N1158" s="25">
        <f>'Combined Retirement'!$C$18/12</f>
        <v>39153.069999999992</v>
      </c>
      <c r="O1158" s="25">
        <f t="shared" si="1045"/>
        <v>11007.82546143035</v>
      </c>
      <c r="P1158" s="25">
        <f t="shared" si="1046"/>
        <v>28145.244538569641</v>
      </c>
      <c r="Q1158" s="25">
        <f t="array" aca="1" ref="Q1158" ca="1">INDEX('Isaac 401k'!L:L,MATCH('Retirement Calculator'!A1158,'Isaac 401k'!N:N,0),0)</f>
        <v>-20323128.579394072</v>
      </c>
      <c r="R1158" s="25">
        <f t="array" aca="1" ref="R1158" ca="1">INDEX('Lorri 401b'!L:L,MATCH('Retirement Calculator'!A1158,'Lorri 401b'!N:N,0),0)</f>
        <v>-51112492.903240167</v>
      </c>
      <c r="S1158" s="25">
        <f t="shared" ca="1" si="1047"/>
        <v>-71435621.482634246</v>
      </c>
    </row>
    <row r="1159" spans="1:19" ht="15.75" customHeight="1" x14ac:dyDescent="0.3">
      <c r="A1159" s="37">
        <v>86230</v>
      </c>
      <c r="B1159" s="409">
        <f t="shared" ref="B1159:C1159" si="1175">($A1159-B$9)/365.25</f>
        <v>154.20670773442848</v>
      </c>
      <c r="C1159" s="409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3525.4531757812501</v>
      </c>
      <c r="H1159" s="25">
        <f>IF(B1159&lt;62,0,'Combined Retirement'!$I$14)</f>
        <v>2192</v>
      </c>
      <c r="I1159" s="25">
        <f>IF(C1159&lt;62,0,'Combined Retirement'!$I$13)</f>
        <v>2420</v>
      </c>
      <c r="J1159" s="25">
        <f t="shared" si="1043"/>
        <v>7863.2184191855868</v>
      </c>
      <c r="K1159" s="25">
        <f t="shared" si="1044"/>
        <v>20282.026119384056</v>
      </c>
      <c r="L1159" s="25"/>
      <c r="N1159" s="25">
        <f>'Combined Retirement'!$C$18/12</f>
        <v>39153.069999999992</v>
      </c>
      <c r="O1159" s="25">
        <f t="shared" si="1045"/>
        <v>11007.82546143035</v>
      </c>
      <c r="P1159" s="25">
        <f t="shared" si="1046"/>
        <v>28145.244538569641</v>
      </c>
      <c r="Q1159" s="25">
        <f t="array" aca="1" ref="Q1159" ca="1">INDEX('Isaac 401k'!L:L,MATCH('Retirement Calculator'!A1159,'Isaac 401k'!N:N,0),0)</f>
        <v>-20415704.263637479</v>
      </c>
      <c r="R1159" s="25">
        <f t="array" aca="1" ref="R1159" ca="1">INDEX('Lorri 401b'!L:L,MATCH('Retirement Calculator'!A1159,'Lorri 401b'!N:N,0),0)</f>
        <v>-51345828.158231877</v>
      </c>
      <c r="S1159" s="25">
        <f t="shared" ca="1" si="1047"/>
        <v>-71761532.421869352</v>
      </c>
    </row>
    <row r="1160" spans="1:19" ht="15.75" customHeight="1" x14ac:dyDescent="0.3">
      <c r="A1160" s="37">
        <v>86259</v>
      </c>
      <c r="B1160" s="409">
        <f t="shared" ref="B1160:C1160" si="1176">($A1160-B$9)/365.25</f>
        <v>154.28610540725529</v>
      </c>
      <c r="C1160" s="409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3525.4531757812501</v>
      </c>
      <c r="H1160" s="25">
        <f>IF(B1160&lt;62,0,'Combined Retirement'!$I$14)</f>
        <v>2192</v>
      </c>
      <c r="I1160" s="25">
        <f>IF(C1160&lt;62,0,'Combined Retirement'!$I$13)</f>
        <v>2420</v>
      </c>
      <c r="J1160" s="25">
        <f t="shared" si="1043"/>
        <v>7863.2184191855868</v>
      </c>
      <c r="K1160" s="25">
        <f t="shared" si="1044"/>
        <v>20282.026119384056</v>
      </c>
      <c r="L1160" s="25"/>
      <c r="N1160" s="25">
        <f>'Combined Retirement'!$C$18/12</f>
        <v>39153.069999999992</v>
      </c>
      <c r="O1160" s="25">
        <f t="shared" si="1045"/>
        <v>11007.82546143035</v>
      </c>
      <c r="P1160" s="25">
        <f t="shared" si="1046"/>
        <v>28145.244538569641</v>
      </c>
      <c r="Q1160" s="25">
        <f t="array" aca="1" ref="Q1160" ca="1">INDEX('Isaac 401k'!L:L,MATCH('Retirement Calculator'!A1160,'Isaac 401k'!N:N,0),0)</f>
        <v>-20508665.679898567</v>
      </c>
      <c r="R1160" s="25">
        <f t="array" aca="1" ref="R1160" ca="1">INDEX('Lorri 401b'!L:L,MATCH('Retirement Calculator'!A1160,'Lorri 401b'!N:N,0),0)</f>
        <v>-51580135.643452719</v>
      </c>
      <c r="S1160" s="25">
        <f t="shared" ca="1" si="1047"/>
        <v>-72088801.323351294</v>
      </c>
    </row>
    <row r="1161" spans="1:19" ht="15.75" customHeight="1" x14ac:dyDescent="0.3">
      <c r="A1161" s="37">
        <v>86290</v>
      </c>
      <c r="B1161" s="409">
        <f t="shared" ref="B1161:C1161" si="1177">($A1161-B$9)/365.25</f>
        <v>154.37097878165639</v>
      </c>
      <c r="C1161" s="409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3525.4531757812501</v>
      </c>
      <c r="H1161" s="25">
        <f>IF(B1161&lt;62,0,'Combined Retirement'!$I$14)</f>
        <v>2192</v>
      </c>
      <c r="I1161" s="25">
        <f>IF(C1161&lt;62,0,'Combined Retirement'!$I$13)</f>
        <v>2420</v>
      </c>
      <c r="J1161" s="25">
        <f t="shared" si="1043"/>
        <v>7863.2184191855868</v>
      </c>
      <c r="K1161" s="25">
        <f t="shared" si="1044"/>
        <v>20282.026119384056</v>
      </c>
      <c r="L1161" s="25"/>
      <c r="N1161" s="25">
        <f>'Combined Retirement'!$C$18/12</f>
        <v>39153.069999999992</v>
      </c>
      <c r="O1161" s="25">
        <f t="shared" si="1045"/>
        <v>11007.82546143035</v>
      </c>
      <c r="P1161" s="25">
        <f t="shared" si="1046"/>
        <v>28145.244538569641</v>
      </c>
      <c r="Q1161" s="25">
        <f t="array" aca="1" ref="Q1161" ca="1">INDEX('Isaac 401k'!L:L,MATCH('Retirement Calculator'!A1161,'Isaac 401k'!N:N,0),0)</f>
        <v>-20602014.435394078</v>
      </c>
      <c r="R1161" s="25">
        <f t="array" aca="1" ref="R1161" ca="1">INDEX('Lorri 401b'!L:L,MATCH('Retirement Calculator'!A1161,'Lorri 401b'!N:N,0),0)</f>
        <v>-51815419.409861982</v>
      </c>
      <c r="S1161" s="25">
        <f t="shared" ca="1" si="1047"/>
        <v>-72417433.84525606</v>
      </c>
    </row>
    <row r="1162" spans="1:19" ht="15.75" customHeight="1" x14ac:dyDescent="0.3">
      <c r="A1162" s="37">
        <v>86320</v>
      </c>
      <c r="B1162" s="409">
        <f t="shared" ref="B1162:C1162" si="1178">($A1162-B$9)/365.25</f>
        <v>154.45311430527036</v>
      </c>
      <c r="C1162" s="409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3525.4531757812501</v>
      </c>
      <c r="H1162" s="25">
        <f>IF(B1162&lt;62,0,'Combined Retirement'!$I$14)</f>
        <v>2192</v>
      </c>
      <c r="I1162" s="25">
        <f>IF(C1162&lt;62,0,'Combined Retirement'!$I$13)</f>
        <v>2420</v>
      </c>
      <c r="J1162" s="25">
        <f t="shared" si="1043"/>
        <v>7863.2184191855868</v>
      </c>
      <c r="K1162" s="25">
        <f t="shared" si="1044"/>
        <v>20282.026119384056</v>
      </c>
      <c r="L1162" s="25"/>
      <c r="N1162" s="25">
        <f>'Combined Retirement'!$C$18/12</f>
        <v>39153.069999999992</v>
      </c>
      <c r="O1162" s="25">
        <f t="shared" si="1045"/>
        <v>11007.82546143035</v>
      </c>
      <c r="P1162" s="25">
        <f t="shared" si="1046"/>
        <v>28145.244538569641</v>
      </c>
      <c r="Q1162" s="25">
        <f t="array" aca="1" ref="Q1162" ca="1">INDEX('Isaac 401k'!L:L,MATCH('Retirement Calculator'!A1162,'Isaac 401k'!N:N,0),0)</f>
        <v>-20695752.144037489</v>
      </c>
      <c r="R1162" s="25">
        <f t="array" aca="1" ref="R1162" ca="1">INDEX('Lorri 401b'!L:L,MATCH('Retirement Calculator'!A1162,'Lorri 401b'!N:N,0),0)</f>
        <v>-52051683.525297955</v>
      </c>
      <c r="S1162" s="25">
        <f t="shared" ca="1" si="1047"/>
        <v>-72747435.66933544</v>
      </c>
    </row>
    <row r="1163" spans="1:19" ht="15.75" customHeight="1" x14ac:dyDescent="0.3">
      <c r="A1163" s="37">
        <v>86351</v>
      </c>
      <c r="B1163" s="409">
        <f t="shared" ref="B1163:C1163" si="1179">($A1163-B$9)/365.25</f>
        <v>154.53798767967146</v>
      </c>
      <c r="C1163" s="409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3525.4531757812501</v>
      </c>
      <c r="H1163" s="25">
        <f>IF(B1163&lt;62,0,'Combined Retirement'!$I$14)</f>
        <v>2192</v>
      </c>
      <c r="I1163" s="25">
        <f>IF(C1163&lt;62,0,'Combined Retirement'!$I$13)</f>
        <v>2420</v>
      </c>
      <c r="J1163" s="25">
        <f t="shared" si="1043"/>
        <v>7863.2184191855868</v>
      </c>
      <c r="K1163" s="25">
        <f t="shared" si="1044"/>
        <v>20282.026119384056</v>
      </c>
      <c r="L1163" s="25"/>
      <c r="N1163" s="25">
        <f>'Combined Retirement'!$C$18/12</f>
        <v>39153.069999999992</v>
      </c>
      <c r="O1163" s="25">
        <f t="shared" si="1045"/>
        <v>11007.82546143035</v>
      </c>
      <c r="P1163" s="25">
        <f t="shared" si="1046"/>
        <v>28145.244538569641</v>
      </c>
      <c r="Q1163" s="25">
        <f t="array" aca="1" ref="Q1163" ca="1">INDEX('Isaac 401k'!L:L,MATCH('Retirement Calculator'!A1163,'Isaac 401k'!N:N,0),0)</f>
        <v>-20789880.426466912</v>
      </c>
      <c r="R1163" s="25">
        <f t="array" aca="1" ref="R1163" ca="1">INDEX('Lorri 401b'!L:L,MATCH('Retirement Calculator'!A1163,'Lorri 401b'!N:N,0),0)</f>
        <v>-52288932.074548244</v>
      </c>
      <c r="S1163" s="25">
        <f t="shared" ca="1" si="1047"/>
        <v>-73078812.501015157</v>
      </c>
    </row>
    <row r="1164" spans="1:19" ht="15.75" customHeight="1" x14ac:dyDescent="0.3">
      <c r="A1164" s="37">
        <v>86381</v>
      </c>
      <c r="B1164" s="409">
        <f t="shared" ref="B1164:C1164" si="1180">($A1164-B$9)/365.25</f>
        <v>154.62012320328543</v>
      </c>
      <c r="C1164" s="409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3525.4531757812501</v>
      </c>
      <c r="H1164" s="25">
        <f>IF(B1164&lt;62,0,'Combined Retirement'!$I$14)</f>
        <v>2192</v>
      </c>
      <c r="I1164" s="25">
        <f>IF(C1164&lt;62,0,'Combined Retirement'!$I$13)</f>
        <v>2420</v>
      </c>
      <c r="J1164" s="25">
        <f t="shared" si="1043"/>
        <v>7863.2184191855868</v>
      </c>
      <c r="K1164" s="25">
        <f t="shared" si="1044"/>
        <v>20282.026119384056</v>
      </c>
      <c r="L1164" s="25"/>
      <c r="N1164" s="25">
        <f>'Combined Retirement'!$C$18/12</f>
        <v>39153.069999999992</v>
      </c>
      <c r="O1164" s="25">
        <f t="shared" si="1045"/>
        <v>11007.82546143035</v>
      </c>
      <c r="P1164" s="25">
        <f t="shared" si="1046"/>
        <v>28145.244538569641</v>
      </c>
      <c r="Q1164" s="25">
        <f t="array" aca="1" ref="Q1164" ca="1">INDEX('Isaac 401k'!L:L,MATCH('Retirement Calculator'!A1164,'Isaac 401k'!N:N,0),0)</f>
        <v>-20884400.910073124</v>
      </c>
      <c r="R1164" s="25">
        <f t="array" aca="1" ref="R1164" ca="1">INDEX('Lorri 401b'!L:L,MATCH('Retirement Calculator'!A1164,'Lorri 401b'!N:N,0),0)</f>
        <v>-52527169.159420408</v>
      </c>
      <c r="S1164" s="25">
        <f t="shared" ca="1" si="1047"/>
        <v>-73411570.069493532</v>
      </c>
    </row>
    <row r="1165" spans="1:19" ht="15.75" customHeight="1" x14ac:dyDescent="0.3">
      <c r="A1165" s="37">
        <v>86412</v>
      </c>
      <c r="B1165" s="409">
        <f t="shared" ref="B1165:C1165" si="1181">($A1165-B$9)/365.25</f>
        <v>154.70499657768653</v>
      </c>
      <c r="C1165" s="409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3525.4531757812501</v>
      </c>
      <c r="H1165" s="25">
        <f>IF(B1165&lt;62,0,'Combined Retirement'!$I$14)</f>
        <v>2192</v>
      </c>
      <c r="I1165" s="25">
        <f>IF(C1165&lt;62,0,'Combined Retirement'!$I$13)</f>
        <v>2420</v>
      </c>
      <c r="J1165" s="25">
        <f t="shared" si="1043"/>
        <v>7863.2184191855868</v>
      </c>
      <c r="K1165" s="25">
        <f t="shared" si="1044"/>
        <v>20282.026119384056</v>
      </c>
      <c r="L1165" s="25"/>
      <c r="N1165" s="25">
        <f>'Combined Retirement'!$C$18/12</f>
        <v>39153.069999999992</v>
      </c>
      <c r="O1165" s="25">
        <f t="shared" si="1045"/>
        <v>11007.82546143035</v>
      </c>
      <c r="P1165" s="25">
        <f t="shared" si="1046"/>
        <v>28145.244538569641</v>
      </c>
      <c r="Q1165" s="25">
        <f t="array" aca="1" ref="Q1165" ca="1">INDEX('Isaac 401k'!L:L,MATCH('Retirement Calculator'!A1165,'Isaac 401k'!N:N,0),0)</f>
        <v>-20979315.229027696</v>
      </c>
      <c r="R1165" s="25">
        <f t="array" aca="1" ref="R1165" ca="1">INDEX('Lorri 401b'!L:L,MATCH('Retirement Calculator'!A1165,'Lorri 401b'!N:N,0),0)</f>
        <v>-52766398.898812875</v>
      </c>
      <c r="S1165" s="25">
        <f t="shared" ca="1" si="1047"/>
        <v>-73745714.127840579</v>
      </c>
    </row>
    <row r="1166" spans="1:19" ht="15.75" customHeight="1" x14ac:dyDescent="0.3">
      <c r="A1166" s="37">
        <v>86443</v>
      </c>
      <c r="B1166" s="409">
        <f t="shared" ref="B1166:C1166" si="1182">($A1166-B$9)/365.25</f>
        <v>154.7898699520876</v>
      </c>
      <c r="C1166" s="409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3525.4531757812501</v>
      </c>
      <c r="H1166" s="25">
        <f>IF(B1166&lt;62,0,'Combined Retirement'!$I$14)</f>
        <v>2192</v>
      </c>
      <c r="I1166" s="25">
        <f>IF(C1166&lt;62,0,'Combined Retirement'!$I$13)</f>
        <v>2420</v>
      </c>
      <c r="J1166" s="25">
        <f t="shared" si="1043"/>
        <v>7863.2184191855868</v>
      </c>
      <c r="K1166" s="25">
        <f t="shared" si="1044"/>
        <v>20282.026119384056</v>
      </c>
      <c r="L1166" s="25"/>
      <c r="N1166" s="25">
        <f>'Combined Retirement'!$C$18/12</f>
        <v>39153.069999999992</v>
      </c>
      <c r="O1166" s="25">
        <f t="shared" si="1045"/>
        <v>11007.82546143035</v>
      </c>
      <c r="P1166" s="25">
        <f t="shared" si="1046"/>
        <v>28145.244538569641</v>
      </c>
      <c r="Q1166" s="25">
        <f t="array" aca="1" ref="Q1166" ca="1">INDEX('Isaac 401k'!L:L,MATCH('Retirement Calculator'!A1166,'Isaac 401k'!N:N,0),0)</f>
        <v>-21074625.024311244</v>
      </c>
      <c r="R1166" s="25">
        <f t="array" aca="1" ref="R1166" ca="1">INDEX('Lorri 401b'!L:L,MATCH('Retirement Calculator'!A1166,'Lorri 401b'!N:N,0),0)</f>
        <v>-53006625.428786144</v>
      </c>
      <c r="S1166" s="25">
        <f t="shared" ca="1" si="1047"/>
        <v>-74081250.453097388</v>
      </c>
    </row>
    <row r="1167" spans="1:19" ht="15.75" customHeight="1" x14ac:dyDescent="0.3">
      <c r="A1167" s="37">
        <v>86473</v>
      </c>
      <c r="B1167" s="409">
        <f t="shared" ref="B1167:C1167" si="1183">($A1167-B$9)/365.25</f>
        <v>154.87200547570157</v>
      </c>
      <c r="C1167" s="409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3525.4531757812501</v>
      </c>
      <c r="H1167" s="25">
        <f>IF(B1167&lt;62,0,'Combined Retirement'!$I$14)</f>
        <v>2192</v>
      </c>
      <c r="I1167" s="25">
        <f>IF(C1167&lt;62,0,'Combined Retirement'!$I$13)</f>
        <v>2420</v>
      </c>
      <c r="J1167" s="25">
        <f t="shared" si="1043"/>
        <v>7863.2184191855868</v>
      </c>
      <c r="K1167" s="25">
        <f t="shared" si="1044"/>
        <v>20282.026119384056</v>
      </c>
      <c r="L1167" s="25"/>
      <c r="N1167" s="25">
        <f>'Combined Retirement'!$C$18/12</f>
        <v>39153.069999999992</v>
      </c>
      <c r="O1167" s="25">
        <f t="shared" si="1045"/>
        <v>11007.82546143035</v>
      </c>
      <c r="P1167" s="25">
        <f t="shared" si="1046"/>
        <v>28145.244538569641</v>
      </c>
      <c r="Q1167" s="25">
        <f t="array" aca="1" ref="Q1167" ca="1">INDEX('Isaac 401k'!L:L,MATCH('Retirement Calculator'!A1167,'Isaac 401k'!N:N,0),0)</f>
        <v>-21170331.94374181</v>
      </c>
      <c r="R1167" s="25">
        <f t="array" aca="1" ref="R1167" ca="1">INDEX('Lorri 401b'!L:L,MATCH('Retirement Calculator'!A1167,'Lorri 401b'!N:N,0),0)</f>
        <v>-53247852.9026343</v>
      </c>
      <c r="S1167" s="25">
        <f t="shared" ca="1" si="1047"/>
        <v>-74418184.846376106</v>
      </c>
    </row>
    <row r="1168" spans="1:19" ht="15.75" customHeight="1" x14ac:dyDescent="0.3">
      <c r="A1168" s="37">
        <v>86504</v>
      </c>
      <c r="B1168" s="409">
        <f t="shared" ref="B1168:C1168" si="1184">($A1168-B$9)/365.25</f>
        <v>154.95687885010267</v>
      </c>
      <c r="C1168" s="409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3525.4531757812501</v>
      </c>
      <c r="H1168" s="25">
        <f>IF(B1168&lt;62,0,'Combined Retirement'!$I$14)</f>
        <v>2192</v>
      </c>
      <c r="I1168" s="25">
        <f>IF(C1168&lt;62,0,'Combined Retirement'!$I$13)</f>
        <v>2420</v>
      </c>
      <c r="J1168" s="25">
        <f t="shared" si="1043"/>
        <v>7863.2184191855868</v>
      </c>
      <c r="K1168" s="25">
        <f t="shared" si="1044"/>
        <v>20282.026119384056</v>
      </c>
      <c r="L1168" s="25"/>
      <c r="N1168" s="25">
        <f>'Combined Retirement'!$C$18/12</f>
        <v>39153.069999999992</v>
      </c>
      <c r="O1168" s="25">
        <f t="shared" si="1045"/>
        <v>11007.82546143035</v>
      </c>
      <c r="P1168" s="25">
        <f t="shared" si="1046"/>
        <v>28145.244538569641</v>
      </c>
      <c r="Q1168" s="25">
        <f t="array" aca="1" ref="Q1168" ca="1">INDEX('Isaac 401k'!L:L,MATCH('Retirement Calculator'!A1168,'Isaac 401k'!N:N,0),0)</f>
        <v>-21266437.642003335</v>
      </c>
      <c r="R1168" s="25">
        <f t="array" aca="1" ref="R1168" ca="1">INDEX('Lorri 401b'!L:L,MATCH('Retirement Calculator'!A1168,'Lorri 401b'!N:N,0),0)</f>
        <v>-53490085.490956821</v>
      </c>
      <c r="S1168" s="25">
        <f t="shared" ca="1" si="1047"/>
        <v>-74756523.132960156</v>
      </c>
    </row>
    <row r="1169" spans="1:19" ht="15.75" customHeight="1" x14ac:dyDescent="0.3">
      <c r="A1169" s="37">
        <v>86534</v>
      </c>
      <c r="B1169" s="409">
        <f t="shared" ref="B1169:C1169" si="1185">($A1169-B$9)/365.25</f>
        <v>155.03901437371664</v>
      </c>
      <c r="C1169" s="409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3525.4531757812501</v>
      </c>
      <c r="H1169" s="25">
        <f>IF(B1169&lt;62,0,'Combined Retirement'!$I$14)</f>
        <v>2192</v>
      </c>
      <c r="I1169" s="25">
        <f>IF(C1169&lt;62,0,'Combined Retirement'!$I$13)</f>
        <v>2420</v>
      </c>
      <c r="J1169" s="25">
        <f t="shared" si="1043"/>
        <v>7863.2184191855868</v>
      </c>
      <c r="K1169" s="25">
        <f t="shared" si="1044"/>
        <v>20282.026119384056</v>
      </c>
      <c r="L1169" s="25"/>
      <c r="N1169" s="25">
        <f>'Combined Retirement'!$C$18/12</f>
        <v>39153.069999999992</v>
      </c>
      <c r="O1169" s="25">
        <f t="shared" si="1045"/>
        <v>11007.82546143035</v>
      </c>
      <c r="P1169" s="25">
        <f t="shared" si="1046"/>
        <v>28145.244538569641</v>
      </c>
      <c r="Q1169" s="25">
        <f t="array" aca="1" ref="Q1169" ca="1">INDEX('Isaac 401k'!L:L,MATCH('Retirement Calculator'!A1169,'Isaac 401k'!N:N,0),0)</f>
        <v>-21362943.780674282</v>
      </c>
      <c r="R1169" s="25">
        <f t="array" aca="1" ref="R1169" ca="1">INDEX('Lorri 401b'!L:L,MATCH('Retirement Calculator'!A1169,'Lorri 401b'!N:N,0),0)</f>
        <v>-53733327.381730683</v>
      </c>
      <c r="S1169" s="25">
        <f t="shared" ca="1" si="1047"/>
        <v>-75096271.162404969</v>
      </c>
    </row>
    <row r="1170" spans="1:19" ht="15.75" customHeight="1" x14ac:dyDescent="0.3">
      <c r="A1170" s="37">
        <v>86565</v>
      </c>
      <c r="B1170" s="409">
        <f t="shared" ref="B1170:C1170" si="1186">($A1170-B$9)/365.25</f>
        <v>155.12388774811774</v>
      </c>
      <c r="C1170" s="409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3525.4531757812501</v>
      </c>
      <c r="H1170" s="25">
        <f>IF(B1170&lt;62,0,'Combined Retirement'!$I$14)</f>
        <v>2192</v>
      </c>
      <c r="I1170" s="25">
        <f>IF(C1170&lt;62,0,'Combined Retirement'!$I$13)</f>
        <v>2420</v>
      </c>
      <c r="J1170" s="25">
        <f t="shared" si="1043"/>
        <v>7863.2184191855868</v>
      </c>
      <c r="K1170" s="25">
        <f t="shared" si="1044"/>
        <v>20282.026119384056</v>
      </c>
      <c r="L1170" s="25"/>
      <c r="N1170" s="25">
        <f>'Combined Retirement'!$C$18/12</f>
        <v>39153.069999999992</v>
      </c>
      <c r="O1170" s="25">
        <f t="shared" si="1045"/>
        <v>11007.82546143035</v>
      </c>
      <c r="P1170" s="25">
        <f t="shared" si="1046"/>
        <v>28145.244538569641</v>
      </c>
      <c r="Q1170" s="25">
        <f t="array" aca="1" ref="Q1170" ca="1">INDEX('Isaac 401k'!L:L,MATCH('Retirement Calculator'!A1170,'Isaac 401k'!N:N,0),0)</f>
        <v>-21459852.02825636</v>
      </c>
      <c r="R1170" s="25">
        <f t="array" aca="1" ref="R1170" ca="1">INDEX('Lorri 401b'!L:L,MATCH('Retirement Calculator'!A1170,'Lorri 401b'!N:N,0),0)</f>
        <v>-53977582.780382775</v>
      </c>
      <c r="S1170" s="25">
        <f t="shared" ca="1" si="1047"/>
        <v>-75437434.808639139</v>
      </c>
    </row>
    <row r="1171" spans="1:19" ht="15.75" customHeight="1" x14ac:dyDescent="0.3">
      <c r="A1171" s="37">
        <v>86596</v>
      </c>
      <c r="B1171" s="409">
        <f t="shared" ref="B1171:C1171" si="1187">($A1171-B$9)/365.25</f>
        <v>155.20876112251884</v>
      </c>
      <c r="C1171" s="409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3525.4531757812501</v>
      </c>
      <c r="H1171" s="25">
        <f>IF(B1171&lt;62,0,'Combined Retirement'!$I$14)</f>
        <v>2192</v>
      </c>
      <c r="I1171" s="25">
        <f>IF(C1171&lt;62,0,'Combined Retirement'!$I$13)</f>
        <v>2420</v>
      </c>
      <c r="J1171" s="25">
        <f t="shared" si="1043"/>
        <v>7863.2184191855868</v>
      </c>
      <c r="K1171" s="25">
        <f t="shared" si="1044"/>
        <v>20282.026119384056</v>
      </c>
      <c r="L1171" s="25"/>
      <c r="N1171" s="25">
        <f>'Combined Retirement'!$C$18/12</f>
        <v>39153.069999999992</v>
      </c>
      <c r="O1171" s="25">
        <f t="shared" si="1045"/>
        <v>11007.82546143035</v>
      </c>
      <c r="P1171" s="25">
        <f t="shared" si="1046"/>
        <v>28145.244538569641</v>
      </c>
      <c r="Q1171" s="25">
        <f t="array" aca="1" ref="Q1171" ca="1">INDEX('Isaac 401k'!L:L,MATCH('Retirement Calculator'!A1171,'Isaac 401k'!N:N,0),0)</f>
        <v>-21557164.060203362</v>
      </c>
      <c r="R1171" s="25">
        <f t="array" aca="1" ref="R1171" ca="1">INDEX('Lorri 401b'!L:L,MATCH('Retirement Calculator'!A1171,'Lorri 401b'!N:N,0),0)</f>
        <v>-54222855.909862578</v>
      </c>
      <c r="S1171" s="25">
        <f t="shared" ca="1" si="1047"/>
        <v>-75780019.970065936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67" activePane="bottomLeft" state="frozen"/>
      <selection pane="bottomLeft" activeCell="B8" sqref="B8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304"/>
      <c r="B1" s="349" t="s">
        <v>606</v>
      </c>
      <c r="C1" s="349" t="s">
        <v>607</v>
      </c>
      <c r="D1" s="410" t="s">
        <v>608</v>
      </c>
      <c r="E1" s="410" t="s">
        <v>609</v>
      </c>
      <c r="F1" s="410" t="s">
        <v>610</v>
      </c>
      <c r="G1" s="410" t="s">
        <v>611</v>
      </c>
      <c r="H1" s="307"/>
      <c r="I1" s="307"/>
      <c r="J1" s="411"/>
      <c r="K1" s="411"/>
      <c r="L1" s="307"/>
      <c r="M1" s="307"/>
      <c r="N1" s="307"/>
      <c r="O1" s="411"/>
      <c r="P1" s="411"/>
      <c r="Q1" s="412">
        <f ca="1">(TODAY()-B18)/365</f>
        <v>15.882191780821918</v>
      </c>
      <c r="R1" s="411"/>
      <c r="S1" s="411"/>
      <c r="T1" s="411"/>
      <c r="U1" s="411"/>
      <c r="V1" s="412">
        <f ca="1">(TODAY()-B16)/365</f>
        <v>16.378082191780823</v>
      </c>
      <c r="W1" s="307"/>
      <c r="X1" s="411"/>
      <c r="Y1" s="307"/>
      <c r="Z1" s="307"/>
    </row>
    <row r="2" spans="1:26" ht="11.25" customHeight="1" x14ac:dyDescent="0.3">
      <c r="A2" s="412">
        <f ca="1">(C2-B2)/365</f>
        <v>18.632876712328766</v>
      </c>
      <c r="B2" s="349">
        <v>39356</v>
      </c>
      <c r="C2" s="349">
        <f ca="1">TODAY()</f>
        <v>46157</v>
      </c>
      <c r="D2" s="410">
        <f>-(SUM(D7:D80))</f>
        <v>-435224.27000000008</v>
      </c>
      <c r="E2" s="410">
        <f>(H82+L82+Q82+V82)*-1</f>
        <v>1063118.3599999999</v>
      </c>
      <c r="F2" s="296">
        <f ca="1">D4</f>
        <v>0.11151737570762635</v>
      </c>
      <c r="G2" s="413">
        <f ca="1">(72/(F2*100))</f>
        <v>6.4563929650539773</v>
      </c>
      <c r="H2" s="412"/>
      <c r="I2" s="307"/>
      <c r="J2" s="411"/>
      <c r="K2" s="411"/>
      <c r="L2" s="307"/>
      <c r="M2" s="307"/>
      <c r="N2" s="307"/>
      <c r="O2" s="411"/>
      <c r="P2" s="411"/>
      <c r="Q2" s="411"/>
      <c r="R2" s="411"/>
      <c r="S2" s="411"/>
      <c r="T2" s="411"/>
      <c r="U2" s="411"/>
      <c r="V2" s="411"/>
      <c r="W2" s="307"/>
      <c r="X2" s="411"/>
      <c r="Y2" s="307"/>
      <c r="Z2" s="307"/>
    </row>
    <row r="3" spans="1:26" ht="11.25" customHeight="1" x14ac:dyDescent="0.3">
      <c r="A3" s="304"/>
      <c r="B3" s="414"/>
      <c r="C3" s="414"/>
      <c r="D3" s="411"/>
      <c r="E3" s="411"/>
      <c r="F3" s="307"/>
      <c r="G3" s="307"/>
      <c r="H3" s="307"/>
      <c r="I3" s="307"/>
      <c r="J3" s="411"/>
      <c r="K3" s="411"/>
      <c r="L3" s="307"/>
      <c r="M3" s="307"/>
      <c r="N3" s="307"/>
      <c r="O3" s="411"/>
      <c r="P3" s="411"/>
      <c r="Q3" s="411"/>
      <c r="R3" s="411"/>
      <c r="S3" s="411"/>
      <c r="T3" s="411"/>
      <c r="U3" s="411"/>
      <c r="V3" s="411"/>
      <c r="W3" s="307"/>
      <c r="X3" s="411"/>
      <c r="Y3" s="307"/>
      <c r="Z3" s="307"/>
    </row>
    <row r="4" spans="1:26" ht="11.25" customHeight="1" x14ac:dyDescent="0.3">
      <c r="A4" s="415"/>
      <c r="B4" s="416"/>
      <c r="C4" s="417"/>
      <c r="D4" s="307">
        <f ca="1">XIRR(D7:D82,B7:B82)</f>
        <v>0.11151737570762635</v>
      </c>
      <c r="E4" s="411"/>
      <c r="F4" s="307"/>
      <c r="G4" s="307"/>
      <c r="H4" s="307"/>
      <c r="I4" s="411"/>
      <c r="J4" s="307">
        <f ca="1">XIRR(H8:H82,B8:B82)</f>
        <v>0.11304067969322204</v>
      </c>
      <c r="K4" s="307"/>
      <c r="L4" s="307"/>
      <c r="M4" s="307"/>
      <c r="N4" s="411"/>
      <c r="O4" s="307">
        <f ca="1">XIRR(L7:L82,B7:B82)</f>
        <v>0.11013512015342714</v>
      </c>
      <c r="P4" s="307"/>
      <c r="Q4" s="307"/>
      <c r="R4" s="411"/>
      <c r="S4" s="411"/>
      <c r="T4" s="307">
        <f ca="1">XIRR(Q18:Q82,B18:B82)</f>
        <v>0.11041557192802429</v>
      </c>
      <c r="U4" s="307"/>
      <c r="V4" s="307"/>
      <c r="W4" s="307"/>
      <c r="X4" s="411"/>
      <c r="Y4" s="307">
        <f ca="1">XIRR(V16:V82,B16:B82)</f>
        <v>0.11101725697517392</v>
      </c>
      <c r="Z4" s="307"/>
    </row>
    <row r="5" spans="1:26" ht="11.25" customHeight="1" x14ac:dyDescent="0.3">
      <c r="A5" s="415"/>
      <c r="B5" s="306"/>
      <c r="C5" s="306"/>
      <c r="D5" s="572" t="s">
        <v>612</v>
      </c>
      <c r="E5" s="565"/>
      <c r="F5" s="565"/>
      <c r="G5" s="564"/>
      <c r="H5" s="573" t="s">
        <v>613</v>
      </c>
      <c r="I5" s="565"/>
      <c r="J5" s="565"/>
      <c r="K5" s="564"/>
      <c r="L5" s="574" t="s">
        <v>614</v>
      </c>
      <c r="M5" s="565"/>
      <c r="N5" s="565"/>
      <c r="O5" s="565"/>
      <c r="P5" s="564"/>
      <c r="Q5" s="573" t="s">
        <v>615</v>
      </c>
      <c r="R5" s="565"/>
      <c r="S5" s="565"/>
      <c r="T5" s="565"/>
      <c r="U5" s="564"/>
      <c r="V5" s="574" t="s">
        <v>616</v>
      </c>
      <c r="W5" s="565"/>
      <c r="X5" s="565"/>
      <c r="Y5" s="565"/>
      <c r="Z5" s="564"/>
    </row>
    <row r="6" spans="1:26" ht="11.25" customHeight="1" x14ac:dyDescent="0.3">
      <c r="A6" s="418" t="s">
        <v>617</v>
      </c>
      <c r="B6" s="418">
        <f ca="1">MAX(A:A)</f>
        <v>75</v>
      </c>
      <c r="C6" s="416"/>
      <c r="D6" s="349" t="s">
        <v>618</v>
      </c>
      <c r="E6" s="296" t="s">
        <v>619</v>
      </c>
      <c r="F6" s="296" t="s">
        <v>620</v>
      </c>
      <c r="G6" s="296" t="s">
        <v>621</v>
      </c>
      <c r="H6" s="419" t="s">
        <v>618</v>
      </c>
      <c r="I6" s="419" t="s">
        <v>619</v>
      </c>
      <c r="J6" s="419" t="s">
        <v>620</v>
      </c>
      <c r="K6" s="419" t="s">
        <v>621</v>
      </c>
      <c r="L6" s="420" t="s">
        <v>618</v>
      </c>
      <c r="M6" s="420" t="s">
        <v>622</v>
      </c>
      <c r="N6" s="420" t="s">
        <v>619</v>
      </c>
      <c r="O6" s="420" t="s">
        <v>620</v>
      </c>
      <c r="P6" s="420" t="s">
        <v>621</v>
      </c>
      <c r="Q6" s="419" t="s">
        <v>623</v>
      </c>
      <c r="R6" s="419" t="s">
        <v>624</v>
      </c>
      <c r="S6" s="419" t="s">
        <v>625</v>
      </c>
      <c r="T6" s="419" t="s">
        <v>620</v>
      </c>
      <c r="U6" s="419" t="s">
        <v>621</v>
      </c>
      <c r="V6" s="420" t="s">
        <v>626</v>
      </c>
      <c r="W6" s="420" t="s">
        <v>624</v>
      </c>
      <c r="X6" s="420" t="s">
        <v>619</v>
      </c>
      <c r="Y6" s="420" t="s">
        <v>620</v>
      </c>
      <c r="Z6" s="420" t="s">
        <v>621</v>
      </c>
    </row>
    <row r="7" spans="1:26" ht="11.25" customHeight="1" x14ac:dyDescent="0.3">
      <c r="A7" s="421">
        <f t="shared" ref="A7:A81" si="0">_xlfn.RANK.EQ(G7,$G$7:$G$81)</f>
        <v>58</v>
      </c>
      <c r="B7" s="422">
        <v>39356</v>
      </c>
      <c r="C7" s="422">
        <v>39447</v>
      </c>
      <c r="D7" s="410">
        <f t="shared" ref="D7:D81" si="1">H7+L7+Q7+V7</f>
        <v>33.119999999999997</v>
      </c>
      <c r="E7" s="352">
        <f t="shared" ref="E7:F7" si="2">I7+N7+S7+X7</f>
        <v>0.05</v>
      </c>
      <c r="F7" s="352">
        <f t="shared" si="2"/>
        <v>33.17</v>
      </c>
      <c r="G7" s="296">
        <f>E7/(0+(D7/2))</f>
        <v>3.0193236714975849E-3</v>
      </c>
      <c r="H7" s="419">
        <v>0</v>
      </c>
      <c r="I7" s="419"/>
      <c r="J7" s="419"/>
      <c r="K7" s="423"/>
      <c r="L7" s="420">
        <v>33.119999999999997</v>
      </c>
      <c r="M7" s="420"/>
      <c r="N7" s="420">
        <v>0.05</v>
      </c>
      <c r="O7" s="420">
        <v>33.17</v>
      </c>
      <c r="P7" s="424">
        <f>N7/(0+(L7/2))</f>
        <v>3.0193236714975849E-3</v>
      </c>
      <c r="Q7" s="419"/>
      <c r="R7" s="419"/>
      <c r="S7" s="419"/>
      <c r="T7" s="419"/>
      <c r="U7" s="419"/>
      <c r="V7" s="420"/>
      <c r="W7" s="420"/>
      <c r="X7" s="420"/>
      <c r="Y7" s="420"/>
      <c r="Z7" s="420"/>
    </row>
    <row r="8" spans="1:26" ht="11.25" customHeight="1" x14ac:dyDescent="0.3">
      <c r="A8" s="421">
        <f t="shared" si="0"/>
        <v>55</v>
      </c>
      <c r="B8" s="422">
        <v>39448</v>
      </c>
      <c r="C8" s="422">
        <v>39538</v>
      </c>
      <c r="D8" s="410">
        <f t="shared" si="1"/>
        <v>616.89</v>
      </c>
      <c r="E8" s="352">
        <f t="shared" ref="E8:F8" si="3">I8+N8+S8+X8</f>
        <v>2.14</v>
      </c>
      <c r="F8" s="352">
        <f t="shared" si="3"/>
        <v>652.20000000000005</v>
      </c>
      <c r="G8" s="296">
        <f t="shared" ref="G8:G81" si="4">E8/(F7+(D8/2))</f>
        <v>6.2643619279012927E-3</v>
      </c>
      <c r="H8" s="419">
        <v>479.8</v>
      </c>
      <c r="I8" s="419">
        <v>1.1200000000000001</v>
      </c>
      <c r="J8" s="419">
        <v>480.92</v>
      </c>
      <c r="K8" s="423">
        <f t="shared" ref="K8:K81" si="5">I8/(J7+(H8/2))</f>
        <v>4.6686119216340144E-3</v>
      </c>
      <c r="L8" s="420">
        <v>137.09</v>
      </c>
      <c r="M8" s="420"/>
      <c r="N8" s="420">
        <v>1.02</v>
      </c>
      <c r="O8" s="420">
        <f t="shared" ref="O8:O75" si="6">O7+L8+N8</f>
        <v>171.28</v>
      </c>
      <c r="P8" s="424">
        <f t="shared" ref="P8:P81" si="7">N8/(O7+(L8/2))</f>
        <v>1.0028019466155435E-2</v>
      </c>
      <c r="Q8" s="419"/>
      <c r="R8" s="419"/>
      <c r="S8" s="419"/>
      <c r="T8" s="419"/>
      <c r="U8" s="419"/>
      <c r="V8" s="420"/>
      <c r="W8" s="420"/>
      <c r="X8" s="420"/>
      <c r="Y8" s="420"/>
      <c r="Z8" s="420"/>
    </row>
    <row r="9" spans="1:26" ht="11.25" customHeight="1" x14ac:dyDescent="0.3">
      <c r="A9" s="421">
        <f t="shared" si="0"/>
        <v>52</v>
      </c>
      <c r="B9" s="422">
        <v>39539</v>
      </c>
      <c r="C9" s="422">
        <v>39629</v>
      </c>
      <c r="D9" s="410">
        <f t="shared" si="1"/>
        <v>1853.77</v>
      </c>
      <c r="E9" s="352">
        <f t="shared" ref="E9:F9" si="8">I9+N9+S9+X9</f>
        <v>12.58</v>
      </c>
      <c r="F9" s="352">
        <f t="shared" si="8"/>
        <v>2518.5500000000002</v>
      </c>
      <c r="G9" s="296">
        <f t="shared" si="4"/>
        <v>7.9666389079751879E-3</v>
      </c>
      <c r="H9" s="419">
        <v>1185.3800000000001</v>
      </c>
      <c r="I9" s="419">
        <v>9.18</v>
      </c>
      <c r="J9" s="419">
        <f t="shared" ref="J9:J81" si="9">J8+H9+I9</f>
        <v>1675.4800000000002</v>
      </c>
      <c r="K9" s="423">
        <f t="shared" si="5"/>
        <v>8.5505909967306549E-3</v>
      </c>
      <c r="L9" s="420">
        <v>668.39</v>
      </c>
      <c r="M9" s="420"/>
      <c r="N9" s="420">
        <v>3.4</v>
      </c>
      <c r="O9" s="420">
        <f t="shared" si="6"/>
        <v>843.06999999999994</v>
      </c>
      <c r="P9" s="424">
        <f t="shared" si="7"/>
        <v>6.7263465057619065E-3</v>
      </c>
      <c r="Q9" s="419"/>
      <c r="R9" s="419"/>
      <c r="S9" s="419"/>
      <c r="T9" s="419"/>
      <c r="U9" s="419"/>
      <c r="V9" s="420"/>
      <c r="W9" s="420"/>
      <c r="X9" s="420"/>
      <c r="Y9" s="420"/>
      <c r="Z9" s="420"/>
    </row>
    <row r="10" spans="1:26" ht="11.25" customHeight="1" x14ac:dyDescent="0.3">
      <c r="A10" s="421">
        <f t="shared" si="0"/>
        <v>49</v>
      </c>
      <c r="B10" s="422">
        <v>39630</v>
      </c>
      <c r="C10" s="422">
        <v>39721</v>
      </c>
      <c r="D10" s="410">
        <f t="shared" si="1"/>
        <v>1317.67</v>
      </c>
      <c r="E10" s="352">
        <f t="shared" ref="E10:F10" si="10">I10+N10+S10+X10</f>
        <v>32.43</v>
      </c>
      <c r="F10" s="352">
        <f t="shared" si="10"/>
        <v>3868.6500000000005</v>
      </c>
      <c r="G10" s="296">
        <f t="shared" si="4"/>
        <v>1.0206506293697489E-2</v>
      </c>
      <c r="H10" s="419">
        <v>1016.04</v>
      </c>
      <c r="I10" s="419">
        <v>22.28</v>
      </c>
      <c r="J10" s="419">
        <f t="shared" si="9"/>
        <v>2713.8000000000006</v>
      </c>
      <c r="K10" s="423">
        <f t="shared" si="5"/>
        <v>1.0203801236546829E-2</v>
      </c>
      <c r="L10" s="420">
        <v>301.63</v>
      </c>
      <c r="M10" s="420"/>
      <c r="N10" s="420">
        <v>10.15</v>
      </c>
      <c r="O10" s="420">
        <f t="shared" si="6"/>
        <v>1154.8499999999999</v>
      </c>
      <c r="P10" s="424">
        <f t="shared" si="7"/>
        <v>1.0212449126407985E-2</v>
      </c>
      <c r="Q10" s="419"/>
      <c r="R10" s="419"/>
      <c r="S10" s="419"/>
      <c r="T10" s="419"/>
      <c r="U10" s="419"/>
      <c r="V10" s="420"/>
      <c r="W10" s="420"/>
      <c r="X10" s="420"/>
      <c r="Y10" s="420"/>
      <c r="Z10" s="420"/>
    </row>
    <row r="11" spans="1:26" ht="11.25" customHeight="1" x14ac:dyDescent="0.3">
      <c r="A11" s="421">
        <f t="shared" si="0"/>
        <v>50</v>
      </c>
      <c r="B11" s="422">
        <v>39722</v>
      </c>
      <c r="C11" s="422">
        <v>39813</v>
      </c>
      <c r="D11" s="410">
        <f t="shared" si="1"/>
        <v>1523.3000000000002</v>
      </c>
      <c r="E11" s="352">
        <f t="shared" ref="E11:F11" si="11">I11+N11+S11+X11</f>
        <v>39.36</v>
      </c>
      <c r="F11" s="352">
        <f t="shared" si="11"/>
        <v>5431.31</v>
      </c>
      <c r="G11" s="296">
        <f t="shared" si="4"/>
        <v>8.5005291233829321E-3</v>
      </c>
      <c r="H11" s="419">
        <v>1255.94</v>
      </c>
      <c r="I11" s="419">
        <v>28.04</v>
      </c>
      <c r="J11" s="419">
        <f t="shared" si="9"/>
        <v>3997.7800000000007</v>
      </c>
      <c r="K11" s="423">
        <f t="shared" si="5"/>
        <v>8.3907629789004012E-3</v>
      </c>
      <c r="L11" s="420">
        <v>267.36</v>
      </c>
      <c r="M11" s="420"/>
      <c r="N11" s="420">
        <v>11.32</v>
      </c>
      <c r="O11" s="420">
        <f t="shared" si="6"/>
        <v>1433.53</v>
      </c>
      <c r="P11" s="424">
        <f t="shared" si="7"/>
        <v>8.7852048458320724E-3</v>
      </c>
      <c r="Q11" s="419"/>
      <c r="R11" s="419"/>
      <c r="S11" s="419"/>
      <c r="T11" s="419"/>
      <c r="U11" s="419"/>
      <c r="V11" s="420"/>
      <c r="W11" s="420"/>
      <c r="X11" s="420"/>
      <c r="Y11" s="420"/>
      <c r="Z11" s="420"/>
    </row>
    <row r="12" spans="1:26" ht="11.25" customHeight="1" x14ac:dyDescent="0.3">
      <c r="A12" s="421">
        <f t="shared" si="0"/>
        <v>63</v>
      </c>
      <c r="B12" s="425">
        <v>39814</v>
      </c>
      <c r="C12" s="425">
        <v>39903</v>
      </c>
      <c r="D12" s="410">
        <f t="shared" si="1"/>
        <v>1580.0299999999997</v>
      </c>
      <c r="E12" s="352">
        <f t="shared" ref="E12:F12" si="12">I12+N12+S12+X12</f>
        <v>-150.55000000000001</v>
      </c>
      <c r="F12" s="352">
        <f t="shared" si="12"/>
        <v>6860.7900000000009</v>
      </c>
      <c r="G12" s="296">
        <f t="shared" si="4"/>
        <v>-2.4199025127283978E-2</v>
      </c>
      <c r="H12" s="419">
        <v>1523.0499999999997</v>
      </c>
      <c r="I12" s="419">
        <v>-105.23</v>
      </c>
      <c r="J12" s="419">
        <f t="shared" si="9"/>
        <v>5415.6</v>
      </c>
      <c r="K12" s="423">
        <f t="shared" si="5"/>
        <v>-2.2110371157133237E-2</v>
      </c>
      <c r="L12" s="420">
        <v>56.98</v>
      </c>
      <c r="M12" s="420"/>
      <c r="N12" s="420">
        <v>-45.32</v>
      </c>
      <c r="O12" s="420">
        <f t="shared" si="6"/>
        <v>1445.19</v>
      </c>
      <c r="P12" s="424">
        <f t="shared" si="7"/>
        <v>-3.0998207958851453E-2</v>
      </c>
      <c r="Q12" s="419"/>
      <c r="R12" s="419"/>
      <c r="S12" s="419"/>
      <c r="T12" s="419"/>
      <c r="U12" s="419"/>
      <c r="V12" s="420"/>
      <c r="W12" s="420"/>
      <c r="X12" s="420"/>
      <c r="Y12" s="420"/>
      <c r="Z12" s="420"/>
    </row>
    <row r="13" spans="1:26" ht="11.25" customHeight="1" x14ac:dyDescent="0.3">
      <c r="A13" s="421">
        <f t="shared" si="0"/>
        <v>2</v>
      </c>
      <c r="B13" s="422">
        <v>39904</v>
      </c>
      <c r="C13" s="422">
        <v>39994</v>
      </c>
      <c r="D13" s="410">
        <f t="shared" si="1"/>
        <v>2024.3000000000002</v>
      </c>
      <c r="E13" s="352">
        <f t="shared" ref="E13:F13" si="13">I13+N13+S13+X13</f>
        <v>1364.23</v>
      </c>
      <c r="F13" s="352">
        <f t="shared" si="13"/>
        <v>10249.32</v>
      </c>
      <c r="G13" s="296">
        <f t="shared" si="4"/>
        <v>0.17328088363432212</v>
      </c>
      <c r="H13" s="419">
        <v>1796.41</v>
      </c>
      <c r="I13" s="419">
        <v>1083.82</v>
      </c>
      <c r="J13" s="419">
        <f t="shared" si="9"/>
        <v>8295.83</v>
      </c>
      <c r="K13" s="423">
        <f t="shared" si="5"/>
        <v>0.17165876994934115</v>
      </c>
      <c r="L13" s="420">
        <v>227.89</v>
      </c>
      <c r="M13" s="420"/>
      <c r="N13" s="420">
        <v>280.41000000000003</v>
      </c>
      <c r="O13" s="420">
        <f t="shared" si="6"/>
        <v>1953.49</v>
      </c>
      <c r="P13" s="424">
        <f t="shared" si="7"/>
        <v>0.17984972436639549</v>
      </c>
      <c r="Q13" s="419"/>
      <c r="R13" s="419"/>
      <c r="S13" s="419"/>
      <c r="T13" s="419"/>
      <c r="U13" s="419"/>
      <c r="V13" s="420"/>
      <c r="W13" s="420"/>
      <c r="X13" s="420"/>
      <c r="Y13" s="420"/>
      <c r="Z13" s="420"/>
    </row>
    <row r="14" spans="1:26" ht="11.25" customHeight="1" x14ac:dyDescent="0.3">
      <c r="A14" s="421">
        <f t="shared" si="0"/>
        <v>3</v>
      </c>
      <c r="B14" s="422">
        <v>39995</v>
      </c>
      <c r="C14" s="422">
        <v>40086</v>
      </c>
      <c r="D14" s="410">
        <f t="shared" si="1"/>
        <v>1150.5</v>
      </c>
      <c r="E14" s="352">
        <f t="shared" ref="E14:F14" si="14">I14+N14+S14+X14</f>
        <v>1817.51</v>
      </c>
      <c r="F14" s="352">
        <f t="shared" si="14"/>
        <v>13217.33</v>
      </c>
      <c r="G14" s="296">
        <f t="shared" si="4"/>
        <v>0.16790597686559375</v>
      </c>
      <c r="H14" s="419">
        <v>256.63</v>
      </c>
      <c r="I14" s="419">
        <v>1434.94</v>
      </c>
      <c r="J14" s="419">
        <f t="shared" si="9"/>
        <v>9987.4</v>
      </c>
      <c r="K14" s="423">
        <f t="shared" si="5"/>
        <v>0.17033657421613707</v>
      </c>
      <c r="L14" s="420">
        <v>893.87</v>
      </c>
      <c r="M14" s="420"/>
      <c r="N14" s="420">
        <v>382.57</v>
      </c>
      <c r="O14" s="420">
        <f t="shared" si="6"/>
        <v>3229.9300000000003</v>
      </c>
      <c r="P14" s="424">
        <f t="shared" si="7"/>
        <v>0.15937594384327775</v>
      </c>
      <c r="Q14" s="419"/>
      <c r="R14" s="419"/>
      <c r="S14" s="419"/>
      <c r="T14" s="419"/>
      <c r="U14" s="419"/>
      <c r="V14" s="420"/>
      <c r="W14" s="420"/>
      <c r="X14" s="420"/>
      <c r="Y14" s="420"/>
      <c r="Z14" s="420"/>
    </row>
    <row r="15" spans="1:26" ht="11.25" customHeight="1" x14ac:dyDescent="0.3">
      <c r="A15" s="421">
        <f t="shared" si="0"/>
        <v>37</v>
      </c>
      <c r="B15" s="422">
        <v>40087</v>
      </c>
      <c r="C15" s="422">
        <v>40178</v>
      </c>
      <c r="D15" s="410">
        <f t="shared" si="1"/>
        <v>1466</v>
      </c>
      <c r="E15" s="352">
        <f t="shared" ref="E15:F15" si="15">I15+N15+S15+X15</f>
        <v>558.29</v>
      </c>
      <c r="F15" s="352">
        <f t="shared" si="15"/>
        <v>15241.619999999999</v>
      </c>
      <c r="G15" s="296">
        <f t="shared" si="4"/>
        <v>4.0019841824530313E-2</v>
      </c>
      <c r="H15" s="419">
        <v>0</v>
      </c>
      <c r="I15" s="419">
        <v>391.74</v>
      </c>
      <c r="J15" s="419">
        <f t="shared" si="9"/>
        <v>10379.14</v>
      </c>
      <c r="K15" s="423">
        <f t="shared" si="5"/>
        <v>3.9223421511103994E-2</v>
      </c>
      <c r="L15" s="420">
        <v>1466</v>
      </c>
      <c r="M15" s="420"/>
      <c r="N15" s="420">
        <v>166.55</v>
      </c>
      <c r="O15" s="420">
        <f t="shared" si="6"/>
        <v>4862.4800000000005</v>
      </c>
      <c r="P15" s="424">
        <f t="shared" si="7"/>
        <v>4.2026985084268456E-2</v>
      </c>
      <c r="Q15" s="419"/>
      <c r="R15" s="419"/>
      <c r="S15" s="419"/>
      <c r="T15" s="419"/>
      <c r="U15" s="419"/>
      <c r="V15" s="420"/>
      <c r="W15" s="420"/>
      <c r="X15" s="420"/>
      <c r="Y15" s="420"/>
      <c r="Z15" s="420"/>
    </row>
    <row r="16" spans="1:26" ht="11.25" customHeight="1" x14ac:dyDescent="0.3">
      <c r="A16" s="421">
        <f t="shared" si="0"/>
        <v>28</v>
      </c>
      <c r="B16" s="422">
        <v>40179</v>
      </c>
      <c r="C16" s="422">
        <v>40268</v>
      </c>
      <c r="D16" s="410">
        <f t="shared" si="1"/>
        <v>1386.53</v>
      </c>
      <c r="E16" s="352">
        <f t="shared" ref="E16:F16" si="16">I16+N16+S16+X16</f>
        <v>828.7700000000001</v>
      </c>
      <c r="F16" s="352">
        <f t="shared" si="16"/>
        <v>17456.920000000002</v>
      </c>
      <c r="G16" s="296">
        <f t="shared" si="4"/>
        <v>5.2009788586488082E-2</v>
      </c>
      <c r="H16" s="419">
        <v>0</v>
      </c>
      <c r="I16" s="419">
        <v>522.48</v>
      </c>
      <c r="J16" s="419">
        <f t="shared" si="9"/>
        <v>10901.619999999999</v>
      </c>
      <c r="K16" s="423">
        <f t="shared" si="5"/>
        <v>5.0339430819894525E-2</v>
      </c>
      <c r="L16" s="420">
        <v>1090</v>
      </c>
      <c r="M16" s="420"/>
      <c r="N16" s="420">
        <v>297.17</v>
      </c>
      <c r="O16" s="420">
        <f t="shared" si="6"/>
        <v>6249.6500000000005</v>
      </c>
      <c r="P16" s="424">
        <f t="shared" si="7"/>
        <v>5.4955358133548342E-2</v>
      </c>
      <c r="Q16" s="419"/>
      <c r="R16" s="419"/>
      <c r="S16" s="419"/>
      <c r="T16" s="419"/>
      <c r="U16" s="419"/>
      <c r="V16" s="420">
        <v>296.52999999999997</v>
      </c>
      <c r="W16" s="420"/>
      <c r="X16" s="420">
        <v>9.1199999999999992</v>
      </c>
      <c r="Y16" s="420">
        <f t="shared" ref="Y16:Y81" si="17">Y15+V16+X16+W16</f>
        <v>305.64999999999998</v>
      </c>
      <c r="Z16" s="424">
        <f t="shared" ref="Z16:Z81" si="18">X16/(Y15+(V16/2))</f>
        <v>6.1511482817927357E-2</v>
      </c>
    </row>
    <row r="17" spans="1:26" ht="11.25" customHeight="1" x14ac:dyDescent="0.3">
      <c r="A17" s="421">
        <f t="shared" si="0"/>
        <v>71</v>
      </c>
      <c r="B17" s="422">
        <v>40269</v>
      </c>
      <c r="C17" s="426">
        <v>40359</v>
      </c>
      <c r="D17" s="410">
        <f t="shared" si="1"/>
        <v>1914.0600000000002</v>
      </c>
      <c r="E17" s="352">
        <f t="shared" ref="E17:F17" si="19">I17+N17+S17+X17</f>
        <v>-1649.6899999999998</v>
      </c>
      <c r="F17" s="352">
        <f t="shared" si="19"/>
        <v>17721.29</v>
      </c>
      <c r="G17" s="296">
        <f t="shared" si="4"/>
        <v>-8.9589143013856329E-2</v>
      </c>
      <c r="H17" s="419">
        <v>269.69</v>
      </c>
      <c r="I17" s="419">
        <v>-964.57</v>
      </c>
      <c r="J17" s="419">
        <f t="shared" si="9"/>
        <v>10206.74</v>
      </c>
      <c r="K17" s="423">
        <f t="shared" si="5"/>
        <v>-8.739845593675151E-2</v>
      </c>
      <c r="L17" s="420">
        <v>1324.91</v>
      </c>
      <c r="M17" s="420"/>
      <c r="N17" s="420">
        <v>-653.51</v>
      </c>
      <c r="O17" s="420">
        <f t="shared" si="6"/>
        <v>6921.05</v>
      </c>
      <c r="P17" s="424">
        <f t="shared" si="7"/>
        <v>-9.4545728110322386E-2</v>
      </c>
      <c r="Q17" s="419"/>
      <c r="R17" s="419"/>
      <c r="S17" s="419"/>
      <c r="T17" s="419"/>
      <c r="U17" s="419"/>
      <c r="V17" s="420">
        <v>319.45999999999998</v>
      </c>
      <c r="W17" s="420"/>
      <c r="X17" s="420">
        <v>-31.61</v>
      </c>
      <c r="Y17" s="420">
        <f t="shared" si="17"/>
        <v>593.49999999999989</v>
      </c>
      <c r="Z17" s="424">
        <f t="shared" si="18"/>
        <v>-6.7922987665993376E-2</v>
      </c>
    </row>
    <row r="18" spans="1:26" ht="11.25" customHeight="1" x14ac:dyDescent="0.3">
      <c r="A18" s="421">
        <f t="shared" si="0"/>
        <v>8</v>
      </c>
      <c r="B18" s="422">
        <v>40360</v>
      </c>
      <c r="C18" s="426">
        <v>40451</v>
      </c>
      <c r="D18" s="410">
        <f t="shared" si="1"/>
        <v>2547.6999999999998</v>
      </c>
      <c r="E18" s="352">
        <f t="shared" ref="E18:F18" si="20">I18+N18+S18+X18</f>
        <v>2062.5700000000002</v>
      </c>
      <c r="F18" s="352">
        <f t="shared" si="20"/>
        <v>22331.559999999998</v>
      </c>
      <c r="G18" s="296">
        <f t="shared" si="4"/>
        <v>0.10858409045682213</v>
      </c>
      <c r="H18" s="419">
        <v>1618.14</v>
      </c>
      <c r="I18" s="419">
        <v>1192.33</v>
      </c>
      <c r="J18" s="419">
        <f t="shared" si="9"/>
        <v>13017.21</v>
      </c>
      <c r="K18" s="423">
        <f t="shared" si="5"/>
        <v>0.10823806873938457</v>
      </c>
      <c r="L18" s="420">
        <v>377.78</v>
      </c>
      <c r="M18" s="420"/>
      <c r="N18" s="420">
        <v>799.23</v>
      </c>
      <c r="O18" s="420">
        <f t="shared" si="6"/>
        <v>8098.0599999999995</v>
      </c>
      <c r="P18" s="424">
        <f t="shared" si="7"/>
        <v>0.11241023130996886</v>
      </c>
      <c r="Q18" s="419">
        <v>273.5</v>
      </c>
      <c r="R18" s="419"/>
      <c r="S18" s="419">
        <v>2.15</v>
      </c>
      <c r="T18" s="419">
        <f t="shared" ref="T18:T81" si="21">T17+Q18+S18+R18</f>
        <v>275.64999999999998</v>
      </c>
      <c r="U18" s="423">
        <f t="shared" ref="U18:U81" si="22">S18/(T17+(Q18/2))</f>
        <v>1.5722120658135282E-2</v>
      </c>
      <c r="V18" s="420">
        <v>278.27999999999997</v>
      </c>
      <c r="W18" s="420"/>
      <c r="X18" s="420">
        <v>68.86</v>
      </c>
      <c r="Y18" s="420">
        <f t="shared" si="17"/>
        <v>940.63999999999987</v>
      </c>
      <c r="Z18" s="424">
        <f t="shared" si="18"/>
        <v>9.3988862196986253E-2</v>
      </c>
    </row>
    <row r="19" spans="1:26" ht="11.25" customHeight="1" x14ac:dyDescent="0.3">
      <c r="A19" s="421">
        <f t="shared" si="0"/>
        <v>11</v>
      </c>
      <c r="B19" s="422">
        <v>40452</v>
      </c>
      <c r="C19" s="426">
        <v>40543</v>
      </c>
      <c r="D19" s="410">
        <f t="shared" si="1"/>
        <v>6533.1900000000005</v>
      </c>
      <c r="E19" s="352">
        <f t="shared" ref="E19:F19" si="23">I19+N19+S19+X19</f>
        <v>2252.0500000000002</v>
      </c>
      <c r="F19" s="352">
        <f t="shared" si="23"/>
        <v>31116.799999999999</v>
      </c>
      <c r="G19" s="296">
        <f t="shared" si="4"/>
        <v>8.7977043658029275E-2</v>
      </c>
      <c r="H19" s="419">
        <v>3863.84</v>
      </c>
      <c r="I19" s="419">
        <v>1331.18</v>
      </c>
      <c r="J19" s="419">
        <f t="shared" si="9"/>
        <v>18212.23</v>
      </c>
      <c r="K19" s="423">
        <f t="shared" si="5"/>
        <v>8.9047322486325298E-2</v>
      </c>
      <c r="L19" s="420">
        <v>283.35000000000002</v>
      </c>
      <c r="M19" s="420"/>
      <c r="N19" s="420">
        <v>687.46</v>
      </c>
      <c r="O19" s="420">
        <f t="shared" si="6"/>
        <v>9068.869999999999</v>
      </c>
      <c r="P19" s="424">
        <f t="shared" si="7"/>
        <v>8.3432294849288255E-2</v>
      </c>
      <c r="Q19" s="419">
        <v>2045.16</v>
      </c>
      <c r="R19" s="419"/>
      <c r="S19" s="419">
        <v>123.52</v>
      </c>
      <c r="T19" s="419">
        <f t="shared" si="21"/>
        <v>2444.33</v>
      </c>
      <c r="U19" s="423">
        <f t="shared" si="22"/>
        <v>9.5144928094405459E-2</v>
      </c>
      <c r="V19" s="420">
        <v>340.84</v>
      </c>
      <c r="W19" s="420"/>
      <c r="X19" s="420">
        <v>109.89</v>
      </c>
      <c r="Y19" s="420">
        <f t="shared" si="17"/>
        <v>1391.37</v>
      </c>
      <c r="Z19" s="424">
        <f t="shared" si="18"/>
        <v>9.8905549655284142E-2</v>
      </c>
    </row>
    <row r="20" spans="1:26" ht="11.25" customHeight="1" x14ac:dyDescent="0.3">
      <c r="A20" s="421">
        <f t="shared" si="0"/>
        <v>31</v>
      </c>
      <c r="B20" s="422">
        <v>40544</v>
      </c>
      <c r="C20" s="426">
        <v>40633</v>
      </c>
      <c r="D20" s="410">
        <f t="shared" si="1"/>
        <v>3746.7000000000007</v>
      </c>
      <c r="E20" s="352">
        <f t="shared" ref="E20:F20" si="24">I20+N20+S20+X20</f>
        <v>1618.06</v>
      </c>
      <c r="F20" s="352">
        <f t="shared" si="24"/>
        <v>36481.56</v>
      </c>
      <c r="G20" s="296">
        <f t="shared" si="4"/>
        <v>4.9046760927125212E-2</v>
      </c>
      <c r="H20" s="419">
        <v>1660.2900000000002</v>
      </c>
      <c r="I20" s="419">
        <v>923.35</v>
      </c>
      <c r="J20" s="419">
        <f t="shared" si="9"/>
        <v>20795.87</v>
      </c>
      <c r="K20" s="423">
        <f t="shared" si="5"/>
        <v>4.8489224689672379E-2</v>
      </c>
      <c r="L20" s="420">
        <v>223.47</v>
      </c>
      <c r="M20" s="420"/>
      <c r="N20" s="420">
        <v>452.46</v>
      </c>
      <c r="O20" s="420">
        <f t="shared" si="6"/>
        <v>9744.7999999999975</v>
      </c>
      <c r="P20" s="424">
        <f t="shared" si="7"/>
        <v>4.9284333657749133E-2</v>
      </c>
      <c r="Q20" s="419">
        <v>1562.47</v>
      </c>
      <c r="R20" s="419"/>
      <c r="S20" s="419">
        <v>163.33000000000001</v>
      </c>
      <c r="T20" s="419">
        <f t="shared" si="21"/>
        <v>4170.13</v>
      </c>
      <c r="U20" s="423">
        <f t="shared" si="22"/>
        <v>5.0636090111344838E-2</v>
      </c>
      <c r="V20" s="420">
        <v>300.47000000000003</v>
      </c>
      <c r="W20" s="420"/>
      <c r="X20" s="420">
        <v>78.92</v>
      </c>
      <c r="Y20" s="420">
        <f t="shared" si="17"/>
        <v>1770.76</v>
      </c>
      <c r="Z20" s="424">
        <f t="shared" si="18"/>
        <v>5.1193399087314843E-2</v>
      </c>
    </row>
    <row r="21" spans="1:26" ht="11.25" customHeight="1" x14ac:dyDescent="0.3">
      <c r="A21" s="421">
        <f t="shared" si="0"/>
        <v>57</v>
      </c>
      <c r="B21" s="422">
        <v>40634</v>
      </c>
      <c r="C21" s="426">
        <v>40724</v>
      </c>
      <c r="D21" s="410">
        <f t="shared" si="1"/>
        <v>4581.7999999999993</v>
      </c>
      <c r="E21" s="352">
        <f t="shared" ref="E21:F21" si="25">I21+N21+S21+X21</f>
        <v>163.54999999999998</v>
      </c>
      <c r="F21" s="352">
        <f t="shared" si="25"/>
        <v>41226.910000000003</v>
      </c>
      <c r="G21" s="296">
        <f t="shared" si="4"/>
        <v>4.2182002380039847E-3</v>
      </c>
      <c r="H21" s="419">
        <v>1946.84</v>
      </c>
      <c r="I21" s="419">
        <v>143.38</v>
      </c>
      <c r="J21" s="419">
        <f t="shared" si="9"/>
        <v>22886.09</v>
      </c>
      <c r="K21" s="423">
        <f t="shared" si="5"/>
        <v>6.5863425035910684E-3</v>
      </c>
      <c r="L21" s="420">
        <v>446.92</v>
      </c>
      <c r="M21" s="420"/>
      <c r="N21" s="420">
        <v>64.150000000000006</v>
      </c>
      <c r="O21" s="420">
        <f t="shared" si="6"/>
        <v>10255.869999999997</v>
      </c>
      <c r="P21" s="424">
        <f t="shared" si="7"/>
        <v>6.4354260422581303E-3</v>
      </c>
      <c r="Q21" s="419">
        <v>1835.14</v>
      </c>
      <c r="R21" s="419"/>
      <c r="S21" s="419">
        <v>-31.3</v>
      </c>
      <c r="T21" s="419">
        <f t="shared" si="21"/>
        <v>5973.97</v>
      </c>
      <c r="U21" s="423">
        <f t="shared" si="22"/>
        <v>-6.1520923010397631E-3</v>
      </c>
      <c r="V21" s="420">
        <v>352.9</v>
      </c>
      <c r="W21" s="420"/>
      <c r="X21" s="420">
        <v>-12.68</v>
      </c>
      <c r="Y21" s="420">
        <f t="shared" si="17"/>
        <v>2110.98</v>
      </c>
      <c r="Z21" s="424">
        <f t="shared" si="18"/>
        <v>-6.5118811016788118E-3</v>
      </c>
    </row>
    <row r="22" spans="1:26" ht="11.25" customHeight="1" x14ac:dyDescent="0.3">
      <c r="A22" s="421">
        <f t="shared" si="0"/>
        <v>74</v>
      </c>
      <c r="B22" s="422">
        <v>40725</v>
      </c>
      <c r="C22" s="426">
        <v>40816</v>
      </c>
      <c r="D22" s="410">
        <f t="shared" si="1"/>
        <v>3774.6600000000008</v>
      </c>
      <c r="E22" s="352">
        <f t="shared" ref="E22:F22" si="26">I22+N22+S22+X22</f>
        <v>-6501.0899999999992</v>
      </c>
      <c r="F22" s="352">
        <f t="shared" si="26"/>
        <v>38500.479999999996</v>
      </c>
      <c r="G22" s="296">
        <f t="shared" si="4"/>
        <v>-0.15078753562628028</v>
      </c>
      <c r="H22" s="419">
        <v>1668.7200000000003</v>
      </c>
      <c r="I22" s="419">
        <v>-3546.62</v>
      </c>
      <c r="J22" s="419">
        <f t="shared" si="9"/>
        <v>21008.190000000002</v>
      </c>
      <c r="K22" s="423">
        <f t="shared" si="5"/>
        <v>-0.14951739954343193</v>
      </c>
      <c r="L22" s="420">
        <v>368.07</v>
      </c>
      <c r="M22" s="420"/>
      <c r="N22" s="420">
        <v>-1548.35</v>
      </c>
      <c r="O22" s="420">
        <f t="shared" si="6"/>
        <v>9075.5899999999965</v>
      </c>
      <c r="P22" s="424">
        <f t="shared" si="7"/>
        <v>-0.14831073654405863</v>
      </c>
      <c r="Q22" s="419">
        <v>1457.5700000000002</v>
      </c>
      <c r="R22" s="419"/>
      <c r="S22" s="419">
        <v>-1054.22</v>
      </c>
      <c r="T22" s="419">
        <f t="shared" si="21"/>
        <v>6377.3200000000006</v>
      </c>
      <c r="U22" s="423">
        <f t="shared" si="22"/>
        <v>-0.15728159540368103</v>
      </c>
      <c r="V22" s="420">
        <v>280.3</v>
      </c>
      <c r="W22" s="420"/>
      <c r="X22" s="420">
        <v>-351.9</v>
      </c>
      <c r="Y22" s="420">
        <f t="shared" si="17"/>
        <v>2039.38</v>
      </c>
      <c r="Z22" s="424">
        <f t="shared" si="18"/>
        <v>-0.15632149187297045</v>
      </c>
    </row>
    <row r="23" spans="1:26" ht="11.25" customHeight="1" x14ac:dyDescent="0.3">
      <c r="A23" s="421">
        <f t="shared" si="0"/>
        <v>12</v>
      </c>
      <c r="B23" s="422">
        <v>40817</v>
      </c>
      <c r="C23" s="426">
        <v>40908</v>
      </c>
      <c r="D23" s="410">
        <f t="shared" si="1"/>
        <v>4156.38</v>
      </c>
      <c r="E23" s="352">
        <f t="shared" ref="E23:F23" si="27">I23+N23+S23+X23</f>
        <v>3470.22</v>
      </c>
      <c r="F23" s="352">
        <f t="shared" si="27"/>
        <v>46127.079999999994</v>
      </c>
      <c r="G23" s="296">
        <f t="shared" si="4"/>
        <v>8.5518327732279048E-2</v>
      </c>
      <c r="H23" s="419">
        <v>2040.26</v>
      </c>
      <c r="I23" s="419">
        <v>1961.05</v>
      </c>
      <c r="J23" s="419">
        <f t="shared" si="9"/>
        <v>25009.5</v>
      </c>
      <c r="K23" s="423">
        <f t="shared" si="5"/>
        <v>8.9024038147257692E-2</v>
      </c>
      <c r="L23" s="420">
        <v>270.62</v>
      </c>
      <c r="M23" s="420"/>
      <c r="N23" s="420">
        <v>824.52</v>
      </c>
      <c r="O23" s="420">
        <f t="shared" si="6"/>
        <v>10170.729999999998</v>
      </c>
      <c r="P23" s="424">
        <f t="shared" si="7"/>
        <v>8.9515682506595487E-2</v>
      </c>
      <c r="Q23" s="419">
        <v>1547.8500000000001</v>
      </c>
      <c r="R23" s="419"/>
      <c r="S23" s="419">
        <v>521.65</v>
      </c>
      <c r="T23" s="419">
        <f t="shared" si="21"/>
        <v>8446.8200000000015</v>
      </c>
      <c r="U23" s="423">
        <f t="shared" si="22"/>
        <v>7.2945340286901084E-2</v>
      </c>
      <c r="V23" s="420">
        <v>297.64999999999998</v>
      </c>
      <c r="W23" s="420"/>
      <c r="X23" s="420">
        <v>163</v>
      </c>
      <c r="Y23" s="420">
        <f t="shared" si="17"/>
        <v>2500.0300000000002</v>
      </c>
      <c r="Z23" s="424">
        <f t="shared" si="18"/>
        <v>7.4490278561652135E-2</v>
      </c>
    </row>
    <row r="24" spans="1:26" ht="11.25" customHeight="1" x14ac:dyDescent="0.3">
      <c r="A24" s="421">
        <f t="shared" si="0"/>
        <v>7</v>
      </c>
      <c r="B24" s="422">
        <v>40909</v>
      </c>
      <c r="C24" s="426">
        <v>40999</v>
      </c>
      <c r="D24" s="410">
        <f t="shared" si="1"/>
        <v>4009.2599999999998</v>
      </c>
      <c r="E24" s="352">
        <f t="shared" ref="E24:F24" si="28">I24+N24+S24+X24</f>
        <v>5260.63</v>
      </c>
      <c r="F24" s="352">
        <f t="shared" si="28"/>
        <v>55396.97</v>
      </c>
      <c r="G24" s="296">
        <f t="shared" si="4"/>
        <v>0.10929655314552508</v>
      </c>
      <c r="H24" s="419">
        <v>1824.4199999999998</v>
      </c>
      <c r="I24" s="419">
        <v>2841.64</v>
      </c>
      <c r="J24" s="419">
        <f t="shared" si="9"/>
        <v>29675.559999999998</v>
      </c>
      <c r="K24" s="423">
        <f t="shared" si="5"/>
        <v>0.10962394070452913</v>
      </c>
      <c r="L24" s="420">
        <v>326.49</v>
      </c>
      <c r="M24" s="420"/>
      <c r="N24" s="420">
        <v>1133.67</v>
      </c>
      <c r="O24" s="420">
        <f t="shared" si="6"/>
        <v>11630.889999999998</v>
      </c>
      <c r="P24" s="424">
        <f t="shared" si="7"/>
        <v>0.10970318778591977</v>
      </c>
      <c r="Q24" s="419">
        <v>1558.6200000000001</v>
      </c>
      <c r="R24" s="419"/>
      <c r="S24" s="419">
        <v>996.22</v>
      </c>
      <c r="T24" s="419">
        <f t="shared" si="21"/>
        <v>11001.660000000002</v>
      </c>
      <c r="U24" s="423">
        <f t="shared" si="22"/>
        <v>0.10797810132742547</v>
      </c>
      <c r="V24" s="420">
        <v>299.73</v>
      </c>
      <c r="W24" s="420"/>
      <c r="X24" s="420">
        <v>289.10000000000002</v>
      </c>
      <c r="Y24" s="420">
        <f t="shared" si="17"/>
        <v>3088.86</v>
      </c>
      <c r="Z24" s="424">
        <f t="shared" si="18"/>
        <v>0.10909866239983093</v>
      </c>
    </row>
    <row r="25" spans="1:26" ht="11.25" customHeight="1" x14ac:dyDescent="0.3">
      <c r="A25" s="421">
        <f t="shared" si="0"/>
        <v>67</v>
      </c>
      <c r="B25" s="422">
        <v>41000</v>
      </c>
      <c r="C25" s="426">
        <v>41090</v>
      </c>
      <c r="D25" s="410">
        <f t="shared" si="1"/>
        <v>4597.21</v>
      </c>
      <c r="E25" s="352">
        <f t="shared" ref="E25:F25" si="29">I25+N25+S25+X25</f>
        <v>-1979.1799999999998</v>
      </c>
      <c r="F25" s="352">
        <f t="shared" si="29"/>
        <v>58014.999999999993</v>
      </c>
      <c r="G25" s="296">
        <f t="shared" si="4"/>
        <v>-3.4303843925639003E-2</v>
      </c>
      <c r="H25" s="419">
        <v>1946.84</v>
      </c>
      <c r="I25" s="419">
        <v>-1067.25</v>
      </c>
      <c r="J25" s="419">
        <f t="shared" si="9"/>
        <v>30555.149999999998</v>
      </c>
      <c r="K25" s="423">
        <f t="shared" si="5"/>
        <v>-3.4821713479535048E-2</v>
      </c>
      <c r="L25" s="420">
        <v>274.95999999999998</v>
      </c>
      <c r="M25" s="420"/>
      <c r="N25" s="420">
        <v>-422.87</v>
      </c>
      <c r="O25" s="420">
        <f t="shared" si="6"/>
        <v>11482.979999999996</v>
      </c>
      <c r="P25" s="424">
        <f t="shared" si="7"/>
        <v>-3.5932758742289725E-2</v>
      </c>
      <c r="Q25" s="419">
        <v>1992.29</v>
      </c>
      <c r="R25" s="419"/>
      <c r="S25" s="419">
        <v>-380.96</v>
      </c>
      <c r="T25" s="419">
        <f t="shared" si="21"/>
        <v>12612.990000000002</v>
      </c>
      <c r="U25" s="423">
        <f t="shared" si="22"/>
        <v>-3.1752474723501498E-2</v>
      </c>
      <c r="V25" s="420">
        <v>383.12</v>
      </c>
      <c r="W25" s="420"/>
      <c r="X25" s="420">
        <v>-108.1</v>
      </c>
      <c r="Y25" s="420">
        <f t="shared" si="17"/>
        <v>3363.88</v>
      </c>
      <c r="Z25" s="424">
        <f t="shared" si="18"/>
        <v>-3.2953097469226499E-2</v>
      </c>
    </row>
    <row r="26" spans="1:26" ht="11.25" customHeight="1" x14ac:dyDescent="0.3">
      <c r="A26" s="421">
        <f t="shared" si="0"/>
        <v>26</v>
      </c>
      <c r="B26" s="422">
        <v>41091</v>
      </c>
      <c r="C26" s="426">
        <v>41182</v>
      </c>
      <c r="D26" s="410">
        <f t="shared" si="1"/>
        <v>3933.5200000000004</v>
      </c>
      <c r="E26" s="352">
        <f t="shared" ref="E26:F26" si="30">I26+N26+S26+X26</f>
        <v>3440.42</v>
      </c>
      <c r="F26" s="352">
        <f t="shared" si="30"/>
        <v>65388.939999999995</v>
      </c>
      <c r="G26" s="296">
        <f t="shared" si="4"/>
        <v>5.7357770095442351E-2</v>
      </c>
      <c r="H26" s="419">
        <v>1529.66</v>
      </c>
      <c r="I26" s="419">
        <v>1808.7</v>
      </c>
      <c r="J26" s="419">
        <f t="shared" si="9"/>
        <v>33893.509999999995</v>
      </c>
      <c r="K26" s="423">
        <f t="shared" si="5"/>
        <v>5.7749079022400403E-2</v>
      </c>
      <c r="L26" s="420">
        <v>532.69000000000005</v>
      </c>
      <c r="M26" s="420"/>
      <c r="N26" s="420">
        <v>676.72</v>
      </c>
      <c r="O26" s="420">
        <f t="shared" si="6"/>
        <v>12692.389999999996</v>
      </c>
      <c r="P26" s="424">
        <f t="shared" si="7"/>
        <v>5.7596500224481005E-2</v>
      </c>
      <c r="Q26" s="419">
        <v>1569.3700000000001</v>
      </c>
      <c r="R26" s="419"/>
      <c r="S26" s="419">
        <v>756.83</v>
      </c>
      <c r="T26" s="419">
        <f t="shared" si="21"/>
        <v>14939.190000000002</v>
      </c>
      <c r="U26" s="423">
        <f t="shared" si="22"/>
        <v>5.6489652122476475E-2</v>
      </c>
      <c r="V26" s="420">
        <v>301.8</v>
      </c>
      <c r="W26" s="420"/>
      <c r="X26" s="420">
        <v>198.17</v>
      </c>
      <c r="Y26" s="420">
        <f t="shared" si="17"/>
        <v>3863.8500000000004</v>
      </c>
      <c r="Z26" s="424">
        <f t="shared" si="18"/>
        <v>5.6381907260198358E-2</v>
      </c>
    </row>
    <row r="27" spans="1:26" ht="11.25" customHeight="1" x14ac:dyDescent="0.3">
      <c r="A27" s="421">
        <f t="shared" si="0"/>
        <v>41</v>
      </c>
      <c r="B27" s="422">
        <v>41183</v>
      </c>
      <c r="C27" s="426">
        <v>41274</v>
      </c>
      <c r="D27" s="410">
        <f t="shared" si="1"/>
        <v>4615.8599999999997</v>
      </c>
      <c r="E27" s="352">
        <f t="shared" ref="E27:F27" si="31">I27+N27+S27+X27</f>
        <v>1640.4599999999998</v>
      </c>
      <c r="F27" s="352">
        <f t="shared" si="31"/>
        <v>71645.25999999998</v>
      </c>
      <c r="G27" s="296">
        <f t="shared" si="4"/>
        <v>2.4232434970774867E-2</v>
      </c>
      <c r="H27" s="419">
        <v>1946.84</v>
      </c>
      <c r="I27" s="419">
        <v>835.2</v>
      </c>
      <c r="J27" s="419">
        <f t="shared" si="9"/>
        <v>36675.549999999988</v>
      </c>
      <c r="K27" s="423">
        <f t="shared" si="5"/>
        <v>2.3953929984658822E-2</v>
      </c>
      <c r="L27" s="420">
        <v>438.25</v>
      </c>
      <c r="M27" s="420"/>
      <c r="N27" s="420">
        <v>307.38</v>
      </c>
      <c r="O27" s="420">
        <f t="shared" si="6"/>
        <v>13438.019999999995</v>
      </c>
      <c r="P27" s="424">
        <f t="shared" si="7"/>
        <v>2.380665630640557E-2</v>
      </c>
      <c r="Q27" s="419">
        <v>1870.98</v>
      </c>
      <c r="R27" s="419"/>
      <c r="S27" s="419">
        <v>398.3</v>
      </c>
      <c r="T27" s="419">
        <f t="shared" si="21"/>
        <v>17208.47</v>
      </c>
      <c r="U27" s="423">
        <f t="shared" si="22"/>
        <v>2.5090269536141827E-2</v>
      </c>
      <c r="V27" s="420">
        <v>359.79</v>
      </c>
      <c r="W27" s="420"/>
      <c r="X27" s="420">
        <v>99.58</v>
      </c>
      <c r="Y27" s="420">
        <f t="shared" si="17"/>
        <v>4323.22</v>
      </c>
      <c r="Z27" s="424">
        <f t="shared" si="18"/>
        <v>2.4625687326970416E-2</v>
      </c>
    </row>
    <row r="28" spans="1:26" ht="11.25" customHeight="1" x14ac:dyDescent="0.3">
      <c r="A28" s="421">
        <f t="shared" si="0"/>
        <v>13</v>
      </c>
      <c r="B28" s="422">
        <v>41275</v>
      </c>
      <c r="C28" s="426">
        <v>41364</v>
      </c>
      <c r="D28" s="410">
        <f t="shared" si="1"/>
        <v>3774.9599999999996</v>
      </c>
      <c r="E28" s="352">
        <f t="shared" ref="E28:F28" si="32">I28+N28+S28+X28</f>
        <v>5662.7</v>
      </c>
      <c r="F28" s="352">
        <f t="shared" si="32"/>
        <v>81082.919999999984</v>
      </c>
      <c r="G28" s="296">
        <f t="shared" si="4"/>
        <v>7.7009234254020745E-2</v>
      </c>
      <c r="H28" s="419">
        <v>1495.97</v>
      </c>
      <c r="I28" s="419">
        <v>3009.58</v>
      </c>
      <c r="J28" s="419">
        <f t="shared" si="9"/>
        <v>41181.099999999991</v>
      </c>
      <c r="K28" s="423">
        <f t="shared" si="5"/>
        <v>8.0419447280969072E-2</v>
      </c>
      <c r="L28" s="420">
        <v>406.95</v>
      </c>
      <c r="M28" s="420"/>
      <c r="N28" s="420">
        <v>1093.82</v>
      </c>
      <c r="O28" s="420">
        <f t="shared" si="6"/>
        <v>14938.789999999995</v>
      </c>
      <c r="P28" s="424">
        <f t="shared" si="7"/>
        <v>8.0183293693249919E-2</v>
      </c>
      <c r="Q28" s="419">
        <v>1570.11</v>
      </c>
      <c r="R28" s="419"/>
      <c r="S28" s="419">
        <v>1248.3</v>
      </c>
      <c r="T28" s="419">
        <f t="shared" si="21"/>
        <v>20026.88</v>
      </c>
      <c r="U28" s="423">
        <f t="shared" si="22"/>
        <v>6.9374955713235723E-2</v>
      </c>
      <c r="V28" s="420">
        <v>301.93</v>
      </c>
      <c r="W28" s="420"/>
      <c r="X28" s="420">
        <v>311</v>
      </c>
      <c r="Y28" s="420">
        <f t="shared" si="17"/>
        <v>4936.1500000000005</v>
      </c>
      <c r="Z28" s="424">
        <f t="shared" si="18"/>
        <v>6.9509866042642393E-2</v>
      </c>
    </row>
    <row r="29" spans="1:26" ht="11.25" customHeight="1" x14ac:dyDescent="0.3">
      <c r="A29" s="421">
        <f t="shared" si="0"/>
        <v>54</v>
      </c>
      <c r="B29" s="422">
        <v>41365</v>
      </c>
      <c r="C29" s="426">
        <v>41455</v>
      </c>
      <c r="D29" s="410">
        <f t="shared" si="1"/>
        <v>4436.24</v>
      </c>
      <c r="E29" s="352">
        <f t="shared" ref="E29:F29" si="33">I29+N29+S29+X29</f>
        <v>607.16</v>
      </c>
      <c r="F29" s="352">
        <f t="shared" si="33"/>
        <v>86126.319999999992</v>
      </c>
      <c r="G29" s="296">
        <f t="shared" si="4"/>
        <v>7.2887445342819266E-3</v>
      </c>
      <c r="H29" s="419">
        <v>501.47</v>
      </c>
      <c r="I29" s="419">
        <v>553.12</v>
      </c>
      <c r="J29" s="419">
        <f t="shared" si="9"/>
        <v>42235.689999999995</v>
      </c>
      <c r="K29" s="423">
        <f t="shared" si="5"/>
        <v>1.3350120746522575E-2</v>
      </c>
      <c r="L29" s="420">
        <v>1453.39</v>
      </c>
      <c r="M29" s="420"/>
      <c r="N29" s="420">
        <v>183.76</v>
      </c>
      <c r="O29" s="420">
        <f t="shared" si="6"/>
        <v>16575.939999999995</v>
      </c>
      <c r="P29" s="424">
        <f t="shared" si="7"/>
        <v>1.1730246462206568E-2</v>
      </c>
      <c r="Q29" s="419">
        <v>2081.16</v>
      </c>
      <c r="R29" s="419"/>
      <c r="S29" s="419">
        <v>-105.6</v>
      </c>
      <c r="T29" s="419">
        <f t="shared" si="21"/>
        <v>22002.440000000002</v>
      </c>
      <c r="U29" s="423">
        <f t="shared" si="22"/>
        <v>-5.0124694671308265E-3</v>
      </c>
      <c r="V29" s="420">
        <v>400.22</v>
      </c>
      <c r="W29" s="420"/>
      <c r="X29" s="420">
        <v>-24.12</v>
      </c>
      <c r="Y29" s="420">
        <f t="shared" si="17"/>
        <v>5312.2500000000009</v>
      </c>
      <c r="Z29" s="424">
        <f t="shared" si="18"/>
        <v>-4.6960239551736092E-3</v>
      </c>
    </row>
    <row r="30" spans="1:26" ht="11.25" customHeight="1" x14ac:dyDescent="0.3">
      <c r="A30" s="421">
        <f t="shared" si="0"/>
        <v>21</v>
      </c>
      <c r="B30" s="422">
        <v>41456</v>
      </c>
      <c r="C30" s="426">
        <v>41547</v>
      </c>
      <c r="D30" s="410">
        <f t="shared" si="1"/>
        <v>3950.57</v>
      </c>
      <c r="E30" s="352">
        <f t="shared" ref="E30:F30" si="34">I30+N30+S30+X30</f>
        <v>5984.2</v>
      </c>
      <c r="F30" s="352">
        <f t="shared" si="34"/>
        <v>96061.090000000011</v>
      </c>
      <c r="G30" s="296">
        <f t="shared" si="4"/>
        <v>6.7923847698347833E-2</v>
      </c>
      <c r="H30" s="419">
        <v>0</v>
      </c>
      <c r="I30" s="419">
        <v>3021.48</v>
      </c>
      <c r="J30" s="419">
        <f t="shared" si="9"/>
        <v>45257.17</v>
      </c>
      <c r="K30" s="423">
        <f t="shared" si="5"/>
        <v>7.1538549506353522E-2</v>
      </c>
      <c r="L30" s="420">
        <v>1744.08</v>
      </c>
      <c r="M30" s="420"/>
      <c r="N30" s="420">
        <v>1238.0899999999999</v>
      </c>
      <c r="O30" s="420">
        <f t="shared" si="6"/>
        <v>19558.109999999997</v>
      </c>
      <c r="P30" s="424">
        <f t="shared" si="7"/>
        <v>7.0958930489374711E-2</v>
      </c>
      <c r="Q30" s="419">
        <v>1850.59</v>
      </c>
      <c r="R30" s="419"/>
      <c r="S30" s="419">
        <v>1390.7</v>
      </c>
      <c r="T30" s="419">
        <f t="shared" si="21"/>
        <v>25243.730000000003</v>
      </c>
      <c r="U30" s="423">
        <f t="shared" si="22"/>
        <v>6.0655795262811611E-2</v>
      </c>
      <c r="V30" s="420">
        <v>355.9</v>
      </c>
      <c r="W30" s="420"/>
      <c r="X30" s="420">
        <v>333.93</v>
      </c>
      <c r="Y30" s="420">
        <f t="shared" si="17"/>
        <v>6002.0800000000008</v>
      </c>
      <c r="Z30" s="424">
        <f t="shared" si="18"/>
        <v>6.0822920840770824E-2</v>
      </c>
    </row>
    <row r="31" spans="1:26" ht="11.25" customHeight="1" x14ac:dyDescent="0.3">
      <c r="A31" s="421">
        <f t="shared" si="0"/>
        <v>17</v>
      </c>
      <c r="B31" s="422">
        <v>41548</v>
      </c>
      <c r="C31" s="426">
        <v>41639</v>
      </c>
      <c r="D31" s="410">
        <f t="shared" si="1"/>
        <v>4145.34</v>
      </c>
      <c r="E31" s="352">
        <f t="shared" ref="E31:F31" si="35">I31+N31+S31+X31</f>
        <v>6997.7899999999991</v>
      </c>
      <c r="F31" s="352">
        <f t="shared" si="35"/>
        <v>107206.51000000001</v>
      </c>
      <c r="G31" s="296">
        <f t="shared" si="4"/>
        <v>7.130869132090728E-2</v>
      </c>
      <c r="H31" s="419">
        <v>0</v>
      </c>
      <c r="I31" s="419">
        <v>3416.72</v>
      </c>
      <c r="J31" s="419">
        <f t="shared" si="9"/>
        <v>48673.89</v>
      </c>
      <c r="K31" s="423">
        <f t="shared" si="5"/>
        <v>7.549566179237456E-2</v>
      </c>
      <c r="L31" s="420">
        <v>2111.1999999999998</v>
      </c>
      <c r="M31" s="420"/>
      <c r="N31" s="420">
        <v>1555.19</v>
      </c>
      <c r="O31" s="420">
        <f t="shared" si="6"/>
        <v>23224.499999999996</v>
      </c>
      <c r="P31" s="424">
        <f t="shared" si="7"/>
        <v>7.5444449349486353E-2</v>
      </c>
      <c r="Q31" s="419">
        <v>1706.06</v>
      </c>
      <c r="R31" s="419">
        <v>2.27</v>
      </c>
      <c r="S31" s="419">
        <v>1638.4</v>
      </c>
      <c r="T31" s="419">
        <f t="shared" si="21"/>
        <v>28590.460000000006</v>
      </c>
      <c r="U31" s="423">
        <f t="shared" si="22"/>
        <v>6.2781739955458077E-2</v>
      </c>
      <c r="V31" s="420">
        <v>328.08</v>
      </c>
      <c r="W31" s="420">
        <v>0.02</v>
      </c>
      <c r="X31" s="420">
        <v>387.48</v>
      </c>
      <c r="Y31" s="420">
        <f t="shared" si="17"/>
        <v>6717.6600000000017</v>
      </c>
      <c r="Z31" s="424">
        <f t="shared" si="18"/>
        <v>6.2840165290328431E-2</v>
      </c>
    </row>
    <row r="32" spans="1:26" ht="11.25" customHeight="1" x14ac:dyDescent="0.3">
      <c r="A32" s="421">
        <f t="shared" si="0"/>
        <v>45</v>
      </c>
      <c r="B32" s="422">
        <v>41640</v>
      </c>
      <c r="C32" s="426">
        <v>41729</v>
      </c>
      <c r="D32" s="410">
        <f t="shared" si="1"/>
        <v>3846.0099999999998</v>
      </c>
      <c r="E32" s="352">
        <f t="shared" ref="E32:F32" si="36">I32+N32+S32+X32</f>
        <v>1931.0800000000002</v>
      </c>
      <c r="F32" s="352">
        <f t="shared" si="36"/>
        <v>112983.6</v>
      </c>
      <c r="G32" s="296">
        <f t="shared" si="4"/>
        <v>1.7695304519588489E-2</v>
      </c>
      <c r="H32" s="419">
        <v>0</v>
      </c>
      <c r="I32" s="419">
        <v>829.61</v>
      </c>
      <c r="J32" s="419">
        <f t="shared" si="9"/>
        <v>49503.5</v>
      </c>
      <c r="K32" s="423">
        <f t="shared" si="5"/>
        <v>1.7044251034795042E-2</v>
      </c>
      <c r="L32" s="420">
        <v>1531.6</v>
      </c>
      <c r="M32" s="420"/>
      <c r="N32" s="420">
        <v>424.27</v>
      </c>
      <c r="O32" s="420">
        <f t="shared" si="6"/>
        <v>25180.369999999995</v>
      </c>
      <c r="P32" s="424">
        <f t="shared" si="7"/>
        <v>1.7685064380186993E-2</v>
      </c>
      <c r="Q32" s="419">
        <v>1823.48</v>
      </c>
      <c r="R32" s="419">
        <v>0</v>
      </c>
      <c r="S32" s="419">
        <v>547.29</v>
      </c>
      <c r="T32" s="419">
        <f t="shared" si="21"/>
        <v>30961.230000000007</v>
      </c>
      <c r="U32" s="423">
        <f t="shared" si="22"/>
        <v>1.8550819938852013E-2</v>
      </c>
      <c r="V32" s="420">
        <v>490.93</v>
      </c>
      <c r="W32" s="420">
        <v>0</v>
      </c>
      <c r="X32" s="420">
        <v>129.91</v>
      </c>
      <c r="Y32" s="420">
        <f t="shared" si="17"/>
        <v>7338.5000000000018</v>
      </c>
      <c r="Z32" s="424">
        <f t="shared" si="18"/>
        <v>1.8656853065254459E-2</v>
      </c>
    </row>
    <row r="33" spans="1:26" ht="11.25" customHeight="1" x14ac:dyDescent="0.3">
      <c r="A33" s="421">
        <f t="shared" si="0"/>
        <v>35</v>
      </c>
      <c r="B33" s="422">
        <v>41730</v>
      </c>
      <c r="C33" s="426">
        <v>41820</v>
      </c>
      <c r="D33" s="410">
        <f t="shared" si="1"/>
        <v>6383.4399999999987</v>
      </c>
      <c r="E33" s="352">
        <f t="shared" ref="E33:F33" si="37">I33+N33+S33+X33</f>
        <v>4965.99</v>
      </c>
      <c r="F33" s="352">
        <f t="shared" si="37"/>
        <v>124333.03</v>
      </c>
      <c r="G33" s="296">
        <f t="shared" si="4"/>
        <v>4.2745653724043965E-2</v>
      </c>
      <c r="H33" s="419">
        <v>3610.98</v>
      </c>
      <c r="I33" s="419">
        <v>2055.4699999999998</v>
      </c>
      <c r="J33" s="419">
        <f t="shared" si="9"/>
        <v>55169.950000000004</v>
      </c>
      <c r="K33" s="423">
        <f t="shared" si="5"/>
        <v>4.0060620955508962E-2</v>
      </c>
      <c r="L33" s="420">
        <v>796.42</v>
      </c>
      <c r="M33" s="420"/>
      <c r="N33" s="420">
        <v>1067.98</v>
      </c>
      <c r="O33" s="420">
        <f t="shared" si="6"/>
        <v>27044.769999999993</v>
      </c>
      <c r="P33" s="424">
        <f t="shared" si="7"/>
        <v>4.1752904187800893E-2</v>
      </c>
      <c r="Q33" s="419">
        <v>1556.8899999999999</v>
      </c>
      <c r="R33" s="419">
        <v>0</v>
      </c>
      <c r="S33" s="419">
        <v>1488.41</v>
      </c>
      <c r="T33" s="419">
        <f t="shared" si="21"/>
        <v>34006.530000000006</v>
      </c>
      <c r="U33" s="423">
        <f t="shared" si="22"/>
        <v>4.6894304998397113E-2</v>
      </c>
      <c r="V33" s="420">
        <v>419.15</v>
      </c>
      <c r="W33" s="420">
        <v>0</v>
      </c>
      <c r="X33" s="420">
        <v>354.13</v>
      </c>
      <c r="Y33" s="420">
        <f t="shared" si="17"/>
        <v>8111.7800000000016</v>
      </c>
      <c r="Z33" s="424">
        <f t="shared" si="18"/>
        <v>4.6916597940534495E-2</v>
      </c>
    </row>
    <row r="34" spans="1:26" ht="11.25" customHeight="1" x14ac:dyDescent="0.3">
      <c r="A34" s="421">
        <f t="shared" si="0"/>
        <v>62</v>
      </c>
      <c r="B34" s="422">
        <v>41821</v>
      </c>
      <c r="C34" s="426">
        <v>41912</v>
      </c>
      <c r="D34" s="410">
        <f t="shared" si="1"/>
        <v>5020.3499999999995</v>
      </c>
      <c r="E34" s="352">
        <f t="shared" ref="E34:F34" si="38">I34+N34+S34+X34</f>
        <v>-2295.38</v>
      </c>
      <c r="F34" s="352">
        <f t="shared" si="38"/>
        <v>127058</v>
      </c>
      <c r="G34" s="296">
        <f t="shared" si="4"/>
        <v>-1.8096199950166824E-2</v>
      </c>
      <c r="H34" s="419">
        <v>2025.8700000000001</v>
      </c>
      <c r="I34" s="419">
        <v>-1025.43</v>
      </c>
      <c r="J34" s="419">
        <f t="shared" si="9"/>
        <v>56170.390000000007</v>
      </c>
      <c r="K34" s="423">
        <f t="shared" si="5"/>
        <v>-1.8251643716765346E-2</v>
      </c>
      <c r="L34" s="420">
        <v>592.21</v>
      </c>
      <c r="M34" s="420"/>
      <c r="N34" s="420">
        <v>-500.96</v>
      </c>
      <c r="O34" s="420">
        <f t="shared" si="6"/>
        <v>27136.019999999993</v>
      </c>
      <c r="P34" s="424">
        <f t="shared" si="7"/>
        <v>-1.8322749363361639E-2</v>
      </c>
      <c r="Q34" s="419">
        <v>1892.7</v>
      </c>
      <c r="R34" s="419">
        <v>0</v>
      </c>
      <c r="S34" s="419">
        <v>-620.16999999999996</v>
      </c>
      <c r="T34" s="419">
        <f t="shared" si="21"/>
        <v>35279.060000000005</v>
      </c>
      <c r="U34" s="423">
        <f t="shared" si="22"/>
        <v>-1.7743030045020609E-2</v>
      </c>
      <c r="V34" s="420">
        <v>509.57</v>
      </c>
      <c r="W34" s="420">
        <v>0</v>
      </c>
      <c r="X34" s="420">
        <v>-148.82</v>
      </c>
      <c r="Y34" s="420">
        <f t="shared" si="17"/>
        <v>8472.5300000000025</v>
      </c>
      <c r="Z34" s="424">
        <f t="shared" si="18"/>
        <v>-1.7787467138544906E-2</v>
      </c>
    </row>
    <row r="35" spans="1:26" ht="11.25" customHeight="1" x14ac:dyDescent="0.3">
      <c r="A35" s="421">
        <f t="shared" si="0"/>
        <v>43</v>
      </c>
      <c r="B35" s="422">
        <v>41913</v>
      </c>
      <c r="C35" s="426">
        <v>42004</v>
      </c>
      <c r="D35" s="410">
        <f t="shared" si="1"/>
        <v>4102.1200000000008</v>
      </c>
      <c r="E35" s="352">
        <f t="shared" ref="E35:F35" si="39">I35+N35+S35+X35</f>
        <v>2984.8799999999997</v>
      </c>
      <c r="F35" s="352">
        <f t="shared" si="39"/>
        <v>134145</v>
      </c>
      <c r="G35" s="296">
        <f t="shared" si="4"/>
        <v>2.3119059189184707E-2</v>
      </c>
      <c r="H35" s="419">
        <v>1736.46</v>
      </c>
      <c r="I35" s="419">
        <v>1319.31</v>
      </c>
      <c r="J35" s="419">
        <f t="shared" si="9"/>
        <v>59226.16</v>
      </c>
      <c r="K35" s="423">
        <f t="shared" si="5"/>
        <v>2.3130117804392877E-2</v>
      </c>
      <c r="L35" s="420">
        <v>326.72000000000003</v>
      </c>
      <c r="M35" s="420"/>
      <c r="N35" s="420">
        <v>634.78</v>
      </c>
      <c r="O35" s="420">
        <f t="shared" si="6"/>
        <v>28097.519999999993</v>
      </c>
      <c r="P35" s="424">
        <f t="shared" si="7"/>
        <v>2.3252542731739701E-2</v>
      </c>
      <c r="Q35" s="419">
        <v>1606.43</v>
      </c>
      <c r="R35" s="419">
        <v>0</v>
      </c>
      <c r="S35" s="419">
        <v>830.77</v>
      </c>
      <c r="T35" s="419">
        <f t="shared" si="21"/>
        <v>37716.26</v>
      </c>
      <c r="U35" s="423">
        <f t="shared" si="22"/>
        <v>2.3024324270019002E-2</v>
      </c>
      <c r="V35" s="420">
        <v>432.51</v>
      </c>
      <c r="W35" s="420">
        <v>0</v>
      </c>
      <c r="X35" s="420">
        <v>200.02</v>
      </c>
      <c r="Y35" s="420">
        <f t="shared" si="17"/>
        <v>9105.0600000000031</v>
      </c>
      <c r="Z35" s="424">
        <f t="shared" si="18"/>
        <v>2.3020479848448312E-2</v>
      </c>
    </row>
    <row r="36" spans="1:26" ht="11.25" customHeight="1" x14ac:dyDescent="0.3">
      <c r="A36" s="421">
        <f t="shared" si="0"/>
        <v>40</v>
      </c>
      <c r="B36" s="422">
        <v>42005</v>
      </c>
      <c r="C36" s="426">
        <v>42094</v>
      </c>
      <c r="D36" s="410">
        <f t="shared" si="1"/>
        <v>4793.9600000000009</v>
      </c>
      <c r="E36" s="352">
        <f t="shared" ref="E36:F36" si="40">I36+N36+S36+X36</f>
        <v>3973.43</v>
      </c>
      <c r="F36" s="352">
        <f t="shared" si="40"/>
        <v>142918.84999999998</v>
      </c>
      <c r="G36" s="296">
        <f t="shared" si="4"/>
        <v>2.910042757546067E-2</v>
      </c>
      <c r="H36" s="419">
        <v>2091.4</v>
      </c>
      <c r="I36" s="419">
        <v>1787.19</v>
      </c>
      <c r="J36" s="419">
        <f t="shared" si="9"/>
        <v>63104.750000000007</v>
      </c>
      <c r="K36" s="423">
        <f t="shared" si="5"/>
        <v>2.9652146125903531E-2</v>
      </c>
      <c r="L36" s="420">
        <v>247.5</v>
      </c>
      <c r="M36" s="420"/>
      <c r="N36" s="420">
        <v>834.13</v>
      </c>
      <c r="O36" s="420">
        <f t="shared" si="6"/>
        <v>29179.149999999994</v>
      </c>
      <c r="P36" s="424">
        <f t="shared" si="7"/>
        <v>2.9556784652143585E-2</v>
      </c>
      <c r="Q36" s="419">
        <v>1934.29</v>
      </c>
      <c r="R36" s="419">
        <v>5.54</v>
      </c>
      <c r="S36" s="419">
        <v>1088.68</v>
      </c>
      <c r="T36" s="419">
        <f t="shared" si="21"/>
        <v>40744.770000000004</v>
      </c>
      <c r="U36" s="423">
        <f t="shared" si="22"/>
        <v>2.8143334331608091E-2</v>
      </c>
      <c r="V36" s="420">
        <v>520.77</v>
      </c>
      <c r="W36" s="420">
        <v>0.92</v>
      </c>
      <c r="X36" s="420">
        <v>263.43</v>
      </c>
      <c r="Y36" s="420">
        <f t="shared" si="17"/>
        <v>9890.1800000000039</v>
      </c>
      <c r="Z36" s="424">
        <f t="shared" si="18"/>
        <v>2.8127867922987101E-2</v>
      </c>
    </row>
    <row r="37" spans="1:26" ht="11.25" customHeight="1" x14ac:dyDescent="0.3">
      <c r="A37" s="421">
        <f t="shared" si="0"/>
        <v>59</v>
      </c>
      <c r="B37" s="422">
        <v>42095</v>
      </c>
      <c r="C37" s="426">
        <v>42185</v>
      </c>
      <c r="D37" s="410">
        <f t="shared" si="1"/>
        <v>4068.3700000000003</v>
      </c>
      <c r="E37" s="352">
        <f t="shared" ref="E37:F37" si="41">I37+N37+S37+X37</f>
        <v>-226.57999999999998</v>
      </c>
      <c r="F37" s="352">
        <f t="shared" si="41"/>
        <v>146760.63999999998</v>
      </c>
      <c r="G37" s="296">
        <f t="shared" si="4"/>
        <v>-1.5631269810942559E-3</v>
      </c>
      <c r="H37" s="419">
        <v>1804.98</v>
      </c>
      <c r="I37" s="419">
        <v>123.14</v>
      </c>
      <c r="J37" s="419">
        <f t="shared" si="9"/>
        <v>65032.87000000001</v>
      </c>
      <c r="K37" s="423">
        <f t="shared" si="5"/>
        <v>1.9238448650496412E-3</v>
      </c>
      <c r="L37" s="420">
        <v>165.03</v>
      </c>
      <c r="M37" s="420"/>
      <c r="N37" s="420">
        <v>69.069999999999993</v>
      </c>
      <c r="O37" s="420">
        <f t="shared" si="6"/>
        <v>29413.249999999993</v>
      </c>
      <c r="P37" s="424">
        <f t="shared" si="7"/>
        <v>2.3604261753389635E-3</v>
      </c>
      <c r="Q37" s="419">
        <v>1653.25</v>
      </c>
      <c r="R37" s="419">
        <v>0</v>
      </c>
      <c r="S37" s="419">
        <v>-336.09</v>
      </c>
      <c r="T37" s="419">
        <f t="shared" si="21"/>
        <v>42061.930000000008</v>
      </c>
      <c r="U37" s="423">
        <f t="shared" si="22"/>
        <v>-8.0846457040953269E-3</v>
      </c>
      <c r="V37" s="420">
        <v>445.11</v>
      </c>
      <c r="W37" s="420">
        <v>0</v>
      </c>
      <c r="X37" s="420">
        <v>-82.7</v>
      </c>
      <c r="Y37" s="420">
        <f t="shared" si="17"/>
        <v>10252.590000000004</v>
      </c>
      <c r="Z37" s="424">
        <f t="shared" si="18"/>
        <v>-8.177807487292011E-3</v>
      </c>
    </row>
    <row r="38" spans="1:26" ht="11.25" customHeight="1" x14ac:dyDescent="0.3">
      <c r="A38" s="421">
        <f t="shared" si="0"/>
        <v>70</v>
      </c>
      <c r="B38" s="422">
        <v>42186</v>
      </c>
      <c r="C38" s="426">
        <v>42277</v>
      </c>
      <c r="D38" s="410">
        <f t="shared" si="1"/>
        <v>5794.38</v>
      </c>
      <c r="E38" s="352">
        <f t="shared" ref="E38:F38" si="42">I38+N38+S38+X38</f>
        <v>-10558.59</v>
      </c>
      <c r="F38" s="352">
        <f t="shared" si="42"/>
        <v>141996.43</v>
      </c>
      <c r="G38" s="296">
        <f t="shared" si="4"/>
        <v>-7.0551537463826655E-2</v>
      </c>
      <c r="H38" s="419">
        <v>2219.66</v>
      </c>
      <c r="I38" s="419">
        <v>-4630.16</v>
      </c>
      <c r="J38" s="419">
        <f t="shared" si="9"/>
        <v>62622.37000000001</v>
      </c>
      <c r="K38" s="423">
        <f t="shared" si="5"/>
        <v>-7.0002585319317162E-2</v>
      </c>
      <c r="L38" s="420">
        <v>845.66</v>
      </c>
      <c r="M38" s="420"/>
      <c r="N38" s="420">
        <v>-2066.1999999999998</v>
      </c>
      <c r="O38" s="420">
        <f t="shared" si="6"/>
        <v>28192.709999999992</v>
      </c>
      <c r="P38" s="424">
        <f t="shared" si="7"/>
        <v>-6.9251724757407818E-2</v>
      </c>
      <c r="Q38" s="419">
        <v>2150.17</v>
      </c>
      <c r="R38" s="419">
        <v>0</v>
      </c>
      <c r="S38" s="419">
        <v>-3103.52</v>
      </c>
      <c r="T38" s="419">
        <f t="shared" si="21"/>
        <v>41108.580000000009</v>
      </c>
      <c r="U38" s="423">
        <f t="shared" si="22"/>
        <v>-7.1945636479482863E-2</v>
      </c>
      <c r="V38" s="420">
        <v>578.89</v>
      </c>
      <c r="W38" s="420">
        <v>0</v>
      </c>
      <c r="X38" s="420">
        <v>-758.71</v>
      </c>
      <c r="Y38" s="420">
        <f t="shared" si="17"/>
        <v>10072.770000000004</v>
      </c>
      <c r="Z38" s="424">
        <f t="shared" si="18"/>
        <v>-7.1969975436431369E-2</v>
      </c>
    </row>
    <row r="39" spans="1:26" ht="11.25" customHeight="1" x14ac:dyDescent="0.3">
      <c r="A39" s="421">
        <f t="shared" si="0"/>
        <v>32</v>
      </c>
      <c r="B39" s="422">
        <v>42278</v>
      </c>
      <c r="C39" s="426">
        <v>42369</v>
      </c>
      <c r="D39" s="410">
        <f t="shared" si="1"/>
        <v>5396.380000000001</v>
      </c>
      <c r="E39" s="352">
        <f t="shared" ref="E39:F39" si="43">I39+N39+S39+X39</f>
        <v>6605.6100000000006</v>
      </c>
      <c r="F39" s="352">
        <f t="shared" si="43"/>
        <v>154009.28</v>
      </c>
      <c r="G39" s="296">
        <f t="shared" si="4"/>
        <v>4.565207745802851E-2</v>
      </c>
      <c r="H39" s="419">
        <v>2032.6799999999998</v>
      </c>
      <c r="I39" s="419">
        <v>2853.65</v>
      </c>
      <c r="J39" s="419">
        <f t="shared" si="9"/>
        <v>67508.700000000012</v>
      </c>
      <c r="K39" s="423">
        <f t="shared" si="5"/>
        <v>4.4841418061428329E-2</v>
      </c>
      <c r="L39" s="420">
        <v>419.55</v>
      </c>
      <c r="M39" s="420"/>
      <c r="N39" s="420">
        <v>1292.8499999999999</v>
      </c>
      <c r="O39" s="420">
        <f t="shared" si="6"/>
        <v>29905.10999999999</v>
      </c>
      <c r="P39" s="424">
        <f t="shared" si="7"/>
        <v>4.5518904419806938E-2</v>
      </c>
      <c r="Q39" s="419">
        <v>2319.63</v>
      </c>
      <c r="R39" s="419">
        <v>8.6199999999999992</v>
      </c>
      <c r="S39" s="419">
        <v>1975.43</v>
      </c>
      <c r="T39" s="419">
        <f t="shared" si="21"/>
        <v>45412.260000000009</v>
      </c>
      <c r="U39" s="423">
        <f t="shared" si="22"/>
        <v>4.6735391774397859E-2</v>
      </c>
      <c r="V39" s="420">
        <v>624.52</v>
      </c>
      <c r="W39" s="420">
        <v>2.2400000000000002</v>
      </c>
      <c r="X39" s="420">
        <v>483.68</v>
      </c>
      <c r="Y39" s="420">
        <f t="shared" si="17"/>
        <v>11183.210000000005</v>
      </c>
      <c r="Z39" s="424">
        <f t="shared" si="18"/>
        <v>4.6574733053250668E-2</v>
      </c>
    </row>
    <row r="40" spans="1:26" ht="11.25" customHeight="1" x14ac:dyDescent="0.3">
      <c r="A40" s="421">
        <f t="shared" si="0"/>
        <v>53</v>
      </c>
      <c r="B40" s="422">
        <v>42370</v>
      </c>
      <c r="C40" s="426">
        <v>42460</v>
      </c>
      <c r="D40" s="410">
        <f t="shared" si="1"/>
        <v>5972.98</v>
      </c>
      <c r="E40" s="352">
        <f t="shared" ref="E40:F40" si="44">I40+N40+S40+X40</f>
        <v>1204.92</v>
      </c>
      <c r="F40" s="352">
        <f t="shared" si="44"/>
        <v>161187.18000000002</v>
      </c>
      <c r="G40" s="296">
        <f t="shared" si="4"/>
        <v>7.6748564626932317E-3</v>
      </c>
      <c r="H40" s="419">
        <v>2391.1600000000003</v>
      </c>
      <c r="I40" s="419">
        <v>216.96</v>
      </c>
      <c r="J40" s="419">
        <f t="shared" si="9"/>
        <v>70116.820000000022</v>
      </c>
      <c r="K40" s="423">
        <f t="shared" si="5"/>
        <v>3.1578818670394328E-3</v>
      </c>
      <c r="L40" s="420">
        <v>257.87</v>
      </c>
      <c r="M40" s="420"/>
      <c r="N40" s="420">
        <v>53.78</v>
      </c>
      <c r="O40" s="420">
        <f t="shared" si="6"/>
        <v>30216.759999999987</v>
      </c>
      <c r="P40" s="424">
        <f t="shared" si="7"/>
        <v>1.7906345948406222E-3</v>
      </c>
      <c r="Q40" s="419">
        <v>2618.87</v>
      </c>
      <c r="R40" s="419">
        <v>0</v>
      </c>
      <c r="S40" s="419">
        <v>746.75</v>
      </c>
      <c r="T40" s="419">
        <f t="shared" si="21"/>
        <v>48777.880000000012</v>
      </c>
      <c r="U40" s="423">
        <f t="shared" si="22"/>
        <v>1.5982938975137778E-2</v>
      </c>
      <c r="V40" s="420">
        <v>705.08</v>
      </c>
      <c r="W40" s="420">
        <v>0</v>
      </c>
      <c r="X40" s="420">
        <v>187.43</v>
      </c>
      <c r="Y40" s="420">
        <f t="shared" si="17"/>
        <v>12075.720000000005</v>
      </c>
      <c r="Z40" s="424">
        <f t="shared" si="18"/>
        <v>1.6247751554948738E-2</v>
      </c>
    </row>
    <row r="41" spans="1:26" ht="11.25" customHeight="1" x14ac:dyDescent="0.3">
      <c r="A41" s="421">
        <f t="shared" si="0"/>
        <v>47</v>
      </c>
      <c r="B41" s="422">
        <v>42461</v>
      </c>
      <c r="C41" s="426">
        <v>42551</v>
      </c>
      <c r="D41" s="410">
        <f t="shared" si="1"/>
        <v>5490.93</v>
      </c>
      <c r="E41" s="352">
        <f t="shared" ref="E41:F41" si="45">I41+N41+S41+X41</f>
        <v>2765.2200000000003</v>
      </c>
      <c r="F41" s="352">
        <f t="shared" si="45"/>
        <v>169443.33000000005</v>
      </c>
      <c r="G41" s="296">
        <f t="shared" si="4"/>
        <v>1.6868025279528673E-2</v>
      </c>
      <c r="H41" s="419">
        <v>2056.3200000000002</v>
      </c>
      <c r="I41" s="419">
        <v>1078.08</v>
      </c>
      <c r="J41" s="419">
        <f t="shared" si="9"/>
        <v>73251.22000000003</v>
      </c>
      <c r="K41" s="423">
        <f t="shared" si="5"/>
        <v>1.5153282775538056E-2</v>
      </c>
      <c r="L41" s="420">
        <v>365.3</v>
      </c>
      <c r="M41" s="420"/>
      <c r="N41" s="420">
        <v>458.99</v>
      </c>
      <c r="O41" s="420">
        <f t="shared" si="6"/>
        <v>31041.049999999988</v>
      </c>
      <c r="P41" s="424">
        <f t="shared" si="7"/>
        <v>1.5098648296134701E-2</v>
      </c>
      <c r="Q41" s="419">
        <v>2418.2399999999998</v>
      </c>
      <c r="R41" s="419">
        <v>0</v>
      </c>
      <c r="S41" s="419">
        <v>984.08</v>
      </c>
      <c r="T41" s="419">
        <f t="shared" si="21"/>
        <v>52180.200000000012</v>
      </c>
      <c r="U41" s="423">
        <f t="shared" si="22"/>
        <v>1.968671854682217E-2</v>
      </c>
      <c r="V41" s="420">
        <v>651.07000000000005</v>
      </c>
      <c r="W41" s="420">
        <v>0</v>
      </c>
      <c r="X41" s="420">
        <v>244.07</v>
      </c>
      <c r="Y41" s="420">
        <f t="shared" si="17"/>
        <v>12970.860000000004</v>
      </c>
      <c r="Z41" s="424">
        <f t="shared" si="18"/>
        <v>1.9681072601119797E-2</v>
      </c>
    </row>
    <row r="42" spans="1:26" ht="11.25" customHeight="1" x14ac:dyDescent="0.3">
      <c r="A42" s="421">
        <f t="shared" si="0"/>
        <v>33</v>
      </c>
      <c r="B42" s="422">
        <v>42552</v>
      </c>
      <c r="C42" s="426">
        <v>42643</v>
      </c>
      <c r="D42" s="410">
        <f t="shared" si="1"/>
        <v>6394.45</v>
      </c>
      <c r="E42" s="352">
        <f t="shared" ref="E42:F42" si="46">I42+N42+S42+X42</f>
        <v>7537.78</v>
      </c>
      <c r="F42" s="352">
        <f t="shared" si="46"/>
        <v>183375.56000000003</v>
      </c>
      <c r="G42" s="296">
        <f t="shared" si="4"/>
        <v>4.3661699303503727E-2</v>
      </c>
      <c r="H42" s="419">
        <v>2432.4899999999998</v>
      </c>
      <c r="I42" s="419">
        <v>3287.43</v>
      </c>
      <c r="J42" s="419">
        <f t="shared" si="9"/>
        <v>78971.140000000029</v>
      </c>
      <c r="K42" s="423">
        <f t="shared" si="5"/>
        <v>4.4145856180279518E-2</v>
      </c>
      <c r="L42" s="420">
        <v>580.16</v>
      </c>
      <c r="M42" s="420"/>
      <c r="N42" s="420">
        <v>1388.59</v>
      </c>
      <c r="O42" s="420">
        <f t="shared" si="6"/>
        <v>33009.799999999988</v>
      </c>
      <c r="P42" s="424">
        <f t="shared" si="7"/>
        <v>4.4319818659588735E-2</v>
      </c>
      <c r="Q42" s="419">
        <v>2664.45</v>
      </c>
      <c r="R42" s="419">
        <v>0</v>
      </c>
      <c r="S42" s="419">
        <v>2291.5500000000002</v>
      </c>
      <c r="T42" s="419">
        <f t="shared" si="21"/>
        <v>57136.200000000012</v>
      </c>
      <c r="U42" s="423">
        <f t="shared" si="22"/>
        <v>4.2822764993363689E-2</v>
      </c>
      <c r="V42" s="420">
        <v>717.35</v>
      </c>
      <c r="W42" s="420">
        <v>0</v>
      </c>
      <c r="X42" s="420">
        <v>570.21</v>
      </c>
      <c r="Y42" s="420">
        <f t="shared" si="17"/>
        <v>14258.420000000006</v>
      </c>
      <c r="Z42" s="424">
        <f t="shared" si="18"/>
        <v>4.2777936364621863E-2</v>
      </c>
    </row>
    <row r="43" spans="1:26" ht="11.25" customHeight="1" x14ac:dyDescent="0.3">
      <c r="A43" s="421">
        <f t="shared" si="0"/>
        <v>48</v>
      </c>
      <c r="B43" s="422">
        <v>42644</v>
      </c>
      <c r="C43" s="426">
        <v>42735</v>
      </c>
      <c r="D43" s="410">
        <f t="shared" si="1"/>
        <v>5352.59</v>
      </c>
      <c r="E43" s="352">
        <f t="shared" ref="E43:F43" si="47">I43+N43+S43+X43</f>
        <v>3018.9100000000003</v>
      </c>
      <c r="F43" s="352">
        <f t="shared" si="47"/>
        <v>191754.43000000002</v>
      </c>
      <c r="G43" s="296">
        <f t="shared" si="4"/>
        <v>1.6226175224106201E-2</v>
      </c>
      <c r="H43" s="419">
        <v>2123.2200000000003</v>
      </c>
      <c r="I43" s="419">
        <v>1866.38</v>
      </c>
      <c r="J43" s="419">
        <f t="shared" si="9"/>
        <v>82960.740000000034</v>
      </c>
      <c r="K43" s="423">
        <f t="shared" si="5"/>
        <v>2.3320203291777423E-2</v>
      </c>
      <c r="L43" s="420">
        <v>257.85000000000002</v>
      </c>
      <c r="M43" s="420"/>
      <c r="N43" s="420">
        <v>769.01</v>
      </c>
      <c r="O43" s="420">
        <f t="shared" si="6"/>
        <v>34036.659999999989</v>
      </c>
      <c r="P43" s="424">
        <f t="shared" si="7"/>
        <v>2.320578115180956E-2</v>
      </c>
      <c r="Q43" s="419">
        <v>2341.19</v>
      </c>
      <c r="R43" s="419">
        <v>6.28</v>
      </c>
      <c r="S43" s="419">
        <v>306.20999999999998</v>
      </c>
      <c r="T43" s="419">
        <f t="shared" si="21"/>
        <v>59789.880000000012</v>
      </c>
      <c r="U43" s="423">
        <f t="shared" si="22"/>
        <v>5.2517035107143154E-3</v>
      </c>
      <c r="V43" s="420">
        <v>630.33000000000004</v>
      </c>
      <c r="W43" s="420">
        <v>1.0900000000000001</v>
      </c>
      <c r="X43" s="420">
        <v>77.31</v>
      </c>
      <c r="Y43" s="420">
        <f t="shared" si="17"/>
        <v>14967.150000000005</v>
      </c>
      <c r="Z43" s="424">
        <f t="shared" si="18"/>
        <v>5.3048031764318781E-3</v>
      </c>
    </row>
    <row r="44" spans="1:26" ht="11.25" customHeight="1" x14ac:dyDescent="0.3">
      <c r="A44" s="421">
        <f t="shared" si="0"/>
        <v>27</v>
      </c>
      <c r="B44" s="422">
        <v>42736</v>
      </c>
      <c r="C44" s="426">
        <v>42825</v>
      </c>
      <c r="D44" s="410">
        <f t="shared" si="1"/>
        <v>6321.97</v>
      </c>
      <c r="E44" s="352">
        <f t="shared" ref="E44:F44" si="48">I44+N44+S44+X44</f>
        <v>10772.96</v>
      </c>
      <c r="F44" s="352">
        <f t="shared" si="48"/>
        <v>208849.36000000004</v>
      </c>
      <c r="G44" s="296">
        <f t="shared" si="4"/>
        <v>5.5269923109980801E-2</v>
      </c>
      <c r="H44" s="419">
        <v>2507.04</v>
      </c>
      <c r="I44" s="419">
        <v>4436.24</v>
      </c>
      <c r="J44" s="419">
        <f t="shared" si="9"/>
        <v>89904.020000000033</v>
      </c>
      <c r="K44" s="423">
        <f t="shared" si="5"/>
        <v>5.2678014388537024E-2</v>
      </c>
      <c r="L44" s="420">
        <v>263.27999999999997</v>
      </c>
      <c r="M44" s="420"/>
      <c r="N44" s="420">
        <v>1801.81</v>
      </c>
      <c r="O44" s="420">
        <f t="shared" si="6"/>
        <v>36101.749999999985</v>
      </c>
      <c r="P44" s="424">
        <f t="shared" si="7"/>
        <v>5.2733381526151452E-2</v>
      </c>
      <c r="Q44" s="419">
        <v>2798.2700000000004</v>
      </c>
      <c r="R44" s="419">
        <v>0</v>
      </c>
      <c r="S44" s="419">
        <v>3626</v>
      </c>
      <c r="T44" s="419">
        <f t="shared" si="21"/>
        <v>66214.150000000009</v>
      </c>
      <c r="U44" s="423">
        <f t="shared" si="22"/>
        <v>5.9259002616727841E-2</v>
      </c>
      <c r="V44" s="420">
        <v>753.38</v>
      </c>
      <c r="W44" s="420">
        <v>0</v>
      </c>
      <c r="X44" s="420">
        <v>908.91</v>
      </c>
      <c r="Y44" s="420">
        <f t="shared" si="17"/>
        <v>16629.440000000006</v>
      </c>
      <c r="Z44" s="424">
        <f t="shared" si="18"/>
        <v>5.9236149490609888E-2</v>
      </c>
    </row>
    <row r="45" spans="1:26" ht="11.25" customHeight="1" x14ac:dyDescent="0.3">
      <c r="A45" s="421">
        <f t="shared" si="0"/>
        <v>38</v>
      </c>
      <c r="B45" s="422">
        <v>42826</v>
      </c>
      <c r="C45" s="422">
        <v>42916</v>
      </c>
      <c r="D45" s="410">
        <f t="shared" si="1"/>
        <v>6130.92</v>
      </c>
      <c r="E45" s="352">
        <f t="shared" ref="E45:F45" si="49">I45+N45+S45+X45</f>
        <v>7656.6699999999992</v>
      </c>
      <c r="F45" s="352">
        <f t="shared" si="49"/>
        <v>222636.95</v>
      </c>
      <c r="G45" s="296">
        <f t="shared" si="4"/>
        <v>3.6130885041452024E-2</v>
      </c>
      <c r="H45" s="419">
        <v>2519.0200000000004</v>
      </c>
      <c r="I45" s="419">
        <v>3138.16</v>
      </c>
      <c r="J45" s="419">
        <f t="shared" si="9"/>
        <v>95561.200000000041</v>
      </c>
      <c r="K45" s="423">
        <f t="shared" si="5"/>
        <v>3.4423414714195459E-2</v>
      </c>
      <c r="L45" s="420">
        <v>329.1</v>
      </c>
      <c r="M45" s="420"/>
      <c r="N45" s="420">
        <v>1254.71</v>
      </c>
      <c r="O45" s="420">
        <f t="shared" si="6"/>
        <v>37685.559999999983</v>
      </c>
      <c r="P45" s="424">
        <f t="shared" si="7"/>
        <v>3.4597132875424305E-2</v>
      </c>
      <c r="Q45" s="419">
        <v>2586.4499999999998</v>
      </c>
      <c r="R45" s="419">
        <v>0</v>
      </c>
      <c r="S45" s="419">
        <v>2608.19</v>
      </c>
      <c r="T45" s="419">
        <f t="shared" si="21"/>
        <v>71408.790000000008</v>
      </c>
      <c r="U45" s="423">
        <f t="shared" si="22"/>
        <v>3.8635630551476778E-2</v>
      </c>
      <c r="V45" s="420">
        <v>696.35</v>
      </c>
      <c r="W45" s="420">
        <v>0</v>
      </c>
      <c r="X45" s="420">
        <v>655.61</v>
      </c>
      <c r="Y45" s="420">
        <f t="shared" si="17"/>
        <v>17981.400000000005</v>
      </c>
      <c r="Z45" s="424">
        <f t="shared" si="18"/>
        <v>3.8616142491156726E-2</v>
      </c>
    </row>
    <row r="46" spans="1:26" ht="11.25" customHeight="1" x14ac:dyDescent="0.3">
      <c r="A46" s="421">
        <f t="shared" si="0"/>
        <v>34</v>
      </c>
      <c r="B46" s="422">
        <v>42917</v>
      </c>
      <c r="C46" s="422">
        <v>43008</v>
      </c>
      <c r="D46" s="410">
        <f t="shared" si="1"/>
        <v>6326.3899999999994</v>
      </c>
      <c r="E46" s="352">
        <f t="shared" ref="E46:F46" si="50">I46+N46+S46+X46</f>
        <v>9681.82</v>
      </c>
      <c r="F46" s="352">
        <f t="shared" si="50"/>
        <v>238645.16</v>
      </c>
      <c r="G46" s="296">
        <f t="shared" si="4"/>
        <v>4.2877828975707695E-2</v>
      </c>
      <c r="H46" s="419">
        <v>2193</v>
      </c>
      <c r="I46" s="419">
        <v>4008.93</v>
      </c>
      <c r="J46" s="419">
        <f t="shared" si="9"/>
        <v>101763.13000000003</v>
      </c>
      <c r="K46" s="423">
        <f t="shared" si="5"/>
        <v>4.1475536868764706E-2</v>
      </c>
      <c r="L46" s="420">
        <v>614.30999999999995</v>
      </c>
      <c r="M46" s="420"/>
      <c r="N46" s="420">
        <v>1571.89</v>
      </c>
      <c r="O46" s="420">
        <f t="shared" si="6"/>
        <v>39871.75999999998</v>
      </c>
      <c r="P46" s="424">
        <f t="shared" si="7"/>
        <v>4.1373458043206461E-2</v>
      </c>
      <c r="Q46" s="419">
        <v>2772.6</v>
      </c>
      <c r="R46" s="419">
        <v>0</v>
      </c>
      <c r="S46" s="419">
        <v>3275.23</v>
      </c>
      <c r="T46" s="419">
        <f t="shared" si="21"/>
        <v>77456.62000000001</v>
      </c>
      <c r="U46" s="423">
        <f t="shared" si="22"/>
        <v>4.4992457595697727E-2</v>
      </c>
      <c r="V46" s="420">
        <v>746.48</v>
      </c>
      <c r="W46" s="420">
        <v>0</v>
      </c>
      <c r="X46" s="420">
        <v>825.77</v>
      </c>
      <c r="Y46" s="420">
        <f t="shared" si="17"/>
        <v>19553.650000000005</v>
      </c>
      <c r="Z46" s="424">
        <f t="shared" si="18"/>
        <v>4.498971377264821E-2</v>
      </c>
    </row>
    <row r="47" spans="1:26" ht="11.25" customHeight="1" x14ac:dyDescent="0.3">
      <c r="A47" s="421">
        <f t="shared" si="0"/>
        <v>30</v>
      </c>
      <c r="B47" s="422">
        <v>43009</v>
      </c>
      <c r="C47" s="422">
        <v>43100</v>
      </c>
      <c r="D47" s="410">
        <f t="shared" si="1"/>
        <v>6272.63</v>
      </c>
      <c r="E47" s="352">
        <f t="shared" ref="E47:F47" si="51">I47+N47+S47+X47</f>
        <v>11946.29</v>
      </c>
      <c r="F47" s="352">
        <f t="shared" si="51"/>
        <v>256868.65000000002</v>
      </c>
      <c r="G47" s="296">
        <f t="shared" si="4"/>
        <v>4.9409451241043179E-2</v>
      </c>
      <c r="H47" s="419">
        <v>2226.84</v>
      </c>
      <c r="I47" s="419">
        <v>4866.43</v>
      </c>
      <c r="J47" s="419">
        <f t="shared" si="9"/>
        <v>108856.40000000002</v>
      </c>
      <c r="K47" s="423">
        <f t="shared" si="5"/>
        <v>4.7303588621507998E-2</v>
      </c>
      <c r="L47" s="420">
        <v>1158.25</v>
      </c>
      <c r="M47" s="420"/>
      <c r="N47" s="420">
        <v>1923.03</v>
      </c>
      <c r="O47" s="420">
        <f t="shared" si="6"/>
        <v>42953.039999999979</v>
      </c>
      <c r="P47" s="424">
        <f t="shared" si="7"/>
        <v>4.7539874591124541E-2</v>
      </c>
      <c r="Q47" s="419">
        <v>2275.04</v>
      </c>
      <c r="R47" s="419">
        <v>4.5599999999999996</v>
      </c>
      <c r="S47" s="419">
        <v>4116.6000000000004</v>
      </c>
      <c r="T47" s="419">
        <f t="shared" si="21"/>
        <v>83852.820000000007</v>
      </c>
      <c r="U47" s="423">
        <f t="shared" si="22"/>
        <v>5.2377950824323539E-2</v>
      </c>
      <c r="V47" s="420">
        <v>612.5</v>
      </c>
      <c r="W47" s="420">
        <v>0.01</v>
      </c>
      <c r="X47" s="420">
        <v>1040.23</v>
      </c>
      <c r="Y47" s="420">
        <f t="shared" si="17"/>
        <v>21206.390000000003</v>
      </c>
      <c r="Z47" s="424">
        <f t="shared" si="18"/>
        <v>5.2378410767425804E-2</v>
      </c>
    </row>
    <row r="48" spans="1:26" ht="11.25" customHeight="1" x14ac:dyDescent="0.3">
      <c r="A48" s="421">
        <f t="shared" si="0"/>
        <v>61</v>
      </c>
      <c r="B48" s="422">
        <v>43101</v>
      </c>
      <c r="C48" s="422">
        <v>43190</v>
      </c>
      <c r="D48" s="410">
        <f t="shared" si="1"/>
        <v>6576.6399999999994</v>
      </c>
      <c r="E48" s="352">
        <f t="shared" ref="E48:F48" si="52">I48+N48+S48+X48</f>
        <v>-1986.06</v>
      </c>
      <c r="F48" s="352">
        <f t="shared" si="52"/>
        <v>261459.23</v>
      </c>
      <c r="G48" s="296">
        <f t="shared" si="4"/>
        <v>-7.634083376662942E-3</v>
      </c>
      <c r="H48" s="419">
        <v>2629.98</v>
      </c>
      <c r="I48" s="419">
        <v>-625.94000000000005</v>
      </c>
      <c r="J48" s="419">
        <f t="shared" si="9"/>
        <v>110860.44000000002</v>
      </c>
      <c r="K48" s="423">
        <f t="shared" si="5"/>
        <v>-5.6815113252179162E-3</v>
      </c>
      <c r="L48" s="420">
        <v>278.63</v>
      </c>
      <c r="M48" s="420"/>
      <c r="N48" s="420">
        <v>-225.64</v>
      </c>
      <c r="O48" s="420">
        <f t="shared" si="6"/>
        <v>43006.029999999977</v>
      </c>
      <c r="P48" s="424">
        <f t="shared" si="7"/>
        <v>-5.2361956082465225E-3</v>
      </c>
      <c r="Q48" s="419">
        <v>2889.97</v>
      </c>
      <c r="R48" s="419">
        <v>0</v>
      </c>
      <c r="S48" s="419">
        <v>-904.56</v>
      </c>
      <c r="T48" s="419">
        <f t="shared" si="21"/>
        <v>85838.23000000001</v>
      </c>
      <c r="U48" s="423">
        <f t="shared" si="22"/>
        <v>-1.0604727753545356E-2</v>
      </c>
      <c r="V48" s="420">
        <v>778.06</v>
      </c>
      <c r="W48" s="420">
        <v>0</v>
      </c>
      <c r="X48" s="420">
        <v>-229.92</v>
      </c>
      <c r="Y48" s="420">
        <f t="shared" si="17"/>
        <v>21754.530000000006</v>
      </c>
      <c r="Z48" s="424">
        <f t="shared" si="18"/>
        <v>-1.0646701939577927E-2</v>
      </c>
    </row>
    <row r="49" spans="1:26" ht="11.25" customHeight="1" x14ac:dyDescent="0.3">
      <c r="A49" s="421">
        <f t="shared" si="0"/>
        <v>44</v>
      </c>
      <c r="B49" s="422">
        <v>43191</v>
      </c>
      <c r="C49" s="422">
        <v>43281</v>
      </c>
      <c r="D49" s="410">
        <f t="shared" si="1"/>
        <v>6412.6500000000005</v>
      </c>
      <c r="E49" s="352">
        <f t="shared" ref="E49:F49" si="53">I49+N49+S49+X49</f>
        <v>4812.1499999999996</v>
      </c>
      <c r="F49" s="352">
        <f t="shared" si="53"/>
        <v>272684.03000000003</v>
      </c>
      <c r="G49" s="296">
        <f t="shared" si="4"/>
        <v>1.8182003321134857E-2</v>
      </c>
      <c r="H49" s="419">
        <v>2454.0100000000002</v>
      </c>
      <c r="I49" s="419">
        <v>2306.91</v>
      </c>
      <c r="J49" s="419">
        <f t="shared" si="9"/>
        <v>115621.36000000002</v>
      </c>
      <c r="K49" s="423">
        <f t="shared" si="5"/>
        <v>2.058134164803203E-2</v>
      </c>
      <c r="L49" s="420">
        <v>633.24</v>
      </c>
      <c r="M49" s="420"/>
      <c r="N49" s="420">
        <v>892.71</v>
      </c>
      <c r="O49" s="420">
        <f t="shared" si="6"/>
        <v>44531.979999999974</v>
      </c>
      <c r="P49" s="424">
        <f t="shared" si="7"/>
        <v>2.0606080191308714E-2</v>
      </c>
      <c r="Q49" s="419">
        <v>2620.0100000000002</v>
      </c>
      <c r="R49" s="419">
        <v>0</v>
      </c>
      <c r="S49" s="419">
        <v>1286.52</v>
      </c>
      <c r="T49" s="419">
        <f t="shared" si="21"/>
        <v>89744.760000000009</v>
      </c>
      <c r="U49" s="423">
        <f t="shared" si="22"/>
        <v>1.4762433226559318E-2</v>
      </c>
      <c r="V49" s="420">
        <v>705.39</v>
      </c>
      <c r="W49" s="420">
        <v>0</v>
      </c>
      <c r="X49" s="420">
        <v>326.01</v>
      </c>
      <c r="Y49" s="420">
        <f t="shared" si="17"/>
        <v>22785.930000000004</v>
      </c>
      <c r="Z49" s="424">
        <f t="shared" si="18"/>
        <v>1.4746762653385936E-2</v>
      </c>
    </row>
    <row r="50" spans="1:26" ht="11.25" customHeight="1" x14ac:dyDescent="0.3">
      <c r="A50" s="421">
        <f t="shared" si="0"/>
        <v>36</v>
      </c>
      <c r="B50" s="422">
        <v>43282</v>
      </c>
      <c r="C50" s="422">
        <v>43373</v>
      </c>
      <c r="D50" s="410">
        <f t="shared" si="1"/>
        <v>5881.42</v>
      </c>
      <c r="E50" s="352">
        <f t="shared" ref="E50:F50" si="54">I50+N50+S50+X50</f>
        <v>11350.779999999999</v>
      </c>
      <c r="F50" s="352">
        <f t="shared" si="54"/>
        <v>289916.23</v>
      </c>
      <c r="G50" s="296">
        <f t="shared" si="4"/>
        <v>4.1182007101394441E-2</v>
      </c>
      <c r="H50" s="419">
        <v>2076.4699999999998</v>
      </c>
      <c r="I50" s="419">
        <v>5094.57</v>
      </c>
      <c r="J50" s="419">
        <f t="shared" si="9"/>
        <v>122792.40000000002</v>
      </c>
      <c r="K50" s="423">
        <f t="shared" si="5"/>
        <v>4.3670389906633904E-2</v>
      </c>
      <c r="L50" s="420">
        <v>303.95999999999998</v>
      </c>
      <c r="M50" s="420"/>
      <c r="N50" s="420">
        <v>1955.79</v>
      </c>
      <c r="O50" s="420">
        <f t="shared" si="6"/>
        <v>46791.729999999974</v>
      </c>
      <c r="P50" s="424">
        <f t="shared" si="7"/>
        <v>4.3769397340790765E-2</v>
      </c>
      <c r="Q50" s="419">
        <v>2758.34</v>
      </c>
      <c r="R50" s="419">
        <v>0</v>
      </c>
      <c r="S50" s="419">
        <v>3429.13</v>
      </c>
      <c r="T50" s="419">
        <f t="shared" si="21"/>
        <v>95932.23000000001</v>
      </c>
      <c r="U50" s="423">
        <f t="shared" si="22"/>
        <v>3.7631498114710372E-2</v>
      </c>
      <c r="V50" s="420">
        <v>742.65</v>
      </c>
      <c r="W50" s="420">
        <v>0</v>
      </c>
      <c r="X50" s="420">
        <v>871.29</v>
      </c>
      <c r="Y50" s="420">
        <f t="shared" si="17"/>
        <v>24399.870000000006</v>
      </c>
      <c r="Z50" s="424">
        <f t="shared" si="18"/>
        <v>3.7624925752210256E-2</v>
      </c>
    </row>
    <row r="51" spans="1:26" ht="11.25" customHeight="1" x14ac:dyDescent="0.3">
      <c r="A51" s="421">
        <f t="shared" si="0"/>
        <v>72</v>
      </c>
      <c r="B51" s="422">
        <v>43374</v>
      </c>
      <c r="C51" s="422">
        <v>43465</v>
      </c>
      <c r="D51" s="410">
        <f t="shared" si="1"/>
        <v>6077.6</v>
      </c>
      <c r="E51" s="352">
        <f t="shared" ref="E51:F51" si="55">I51+N51+S51+X51</f>
        <v>-33155.630000000005</v>
      </c>
      <c r="F51" s="352">
        <f t="shared" si="55"/>
        <v>262846.91000000003</v>
      </c>
      <c r="G51" s="296">
        <f t="shared" si="4"/>
        <v>-0.11317651722859992</v>
      </c>
      <c r="H51" s="419">
        <v>2265.2399999999998</v>
      </c>
      <c r="I51" s="419">
        <v>-14051.78</v>
      </c>
      <c r="J51" s="419">
        <f t="shared" si="9"/>
        <v>111005.86000000003</v>
      </c>
      <c r="K51" s="423">
        <f t="shared" si="5"/>
        <v>-0.11338937044351495</v>
      </c>
      <c r="L51" s="420">
        <v>303.95999999999998</v>
      </c>
      <c r="M51" s="420"/>
      <c r="N51" s="420">
        <v>-5317.24</v>
      </c>
      <c r="O51" s="420">
        <f t="shared" si="6"/>
        <v>41778.449999999975</v>
      </c>
      <c r="P51" s="424">
        <f t="shared" si="7"/>
        <v>-0.11326842296870022</v>
      </c>
      <c r="Q51" s="419">
        <v>2764.1800000000003</v>
      </c>
      <c r="R51" s="419">
        <v>7.98</v>
      </c>
      <c r="S51" s="419">
        <v>-10989.38</v>
      </c>
      <c r="T51" s="419">
        <f t="shared" si="21"/>
        <v>87715.01</v>
      </c>
      <c r="U51" s="423">
        <f t="shared" si="22"/>
        <v>-0.11292664841104576</v>
      </c>
      <c r="V51" s="420">
        <v>744.22</v>
      </c>
      <c r="W51" s="420">
        <v>0.73</v>
      </c>
      <c r="X51" s="420">
        <v>-2797.23</v>
      </c>
      <c r="Y51" s="420">
        <f t="shared" si="17"/>
        <v>22347.590000000007</v>
      </c>
      <c r="Z51" s="424">
        <f t="shared" si="18"/>
        <v>-0.11291911264259051</v>
      </c>
    </row>
    <row r="52" spans="1:26" ht="11.25" customHeight="1" x14ac:dyDescent="0.3">
      <c r="A52" s="421">
        <f t="shared" si="0"/>
        <v>6</v>
      </c>
      <c r="B52" s="422">
        <v>43466</v>
      </c>
      <c r="C52" s="422">
        <v>43555</v>
      </c>
      <c r="D52" s="410">
        <f t="shared" si="1"/>
        <v>6254.04</v>
      </c>
      <c r="E52" s="352">
        <f t="shared" ref="E52:F52" si="56">I52+N52+S52+X52</f>
        <v>30179.269999999997</v>
      </c>
      <c r="F52" s="352">
        <f t="shared" si="56"/>
        <v>299280.21999999997</v>
      </c>
      <c r="G52" s="296">
        <f t="shared" si="4"/>
        <v>0.11346702287701652</v>
      </c>
      <c r="H52" s="419">
        <v>2642.78</v>
      </c>
      <c r="I52" s="419">
        <v>11936.14</v>
      </c>
      <c r="J52" s="419">
        <f t="shared" si="9"/>
        <v>125584.78000000003</v>
      </c>
      <c r="K52" s="423">
        <f t="shared" si="5"/>
        <v>0.10626219372414082</v>
      </c>
      <c r="L52" s="420">
        <v>434.51</v>
      </c>
      <c r="M52" s="420"/>
      <c r="N52" s="420">
        <v>4462.8500000000004</v>
      </c>
      <c r="O52" s="420">
        <f t="shared" si="6"/>
        <v>46675.809999999976</v>
      </c>
      <c r="P52" s="424">
        <f t="shared" si="7"/>
        <v>0.10626920062420676</v>
      </c>
      <c r="Q52" s="419">
        <v>2359.86</v>
      </c>
      <c r="R52" s="419">
        <v>0</v>
      </c>
      <c r="S52" s="419">
        <v>10975.25</v>
      </c>
      <c r="T52" s="419">
        <f t="shared" si="21"/>
        <v>101050.12</v>
      </c>
      <c r="U52" s="423">
        <f t="shared" si="22"/>
        <v>0.12346315774553648</v>
      </c>
      <c r="V52" s="420">
        <v>816.89</v>
      </c>
      <c r="W52" s="420">
        <v>0</v>
      </c>
      <c r="X52" s="420">
        <v>2805.03</v>
      </c>
      <c r="Y52" s="420">
        <f t="shared" si="17"/>
        <v>25969.510000000006</v>
      </c>
      <c r="Z52" s="424">
        <f t="shared" si="18"/>
        <v>0.12326532280337939</v>
      </c>
    </row>
    <row r="53" spans="1:26" ht="11.25" customHeight="1" x14ac:dyDescent="0.3">
      <c r="A53" s="421">
        <f t="shared" si="0"/>
        <v>39</v>
      </c>
      <c r="B53" s="422">
        <v>43556</v>
      </c>
      <c r="C53" s="422">
        <v>43646</v>
      </c>
      <c r="D53" s="410">
        <f t="shared" si="1"/>
        <v>6406.14</v>
      </c>
      <c r="E53" s="352">
        <f t="shared" ref="E53:F53" si="57">I53+N53+S53+X53</f>
        <v>10419.14</v>
      </c>
      <c r="F53" s="352">
        <f t="shared" si="57"/>
        <v>316095.5</v>
      </c>
      <c r="G53" s="296">
        <f t="shared" si="4"/>
        <v>3.4445340765765935E-2</v>
      </c>
      <c r="H53" s="419">
        <v>2720.5</v>
      </c>
      <c r="I53" s="419">
        <v>4541.88</v>
      </c>
      <c r="J53" s="419">
        <f t="shared" si="9"/>
        <v>132847.16000000003</v>
      </c>
      <c r="K53" s="423">
        <f t="shared" si="5"/>
        <v>3.5778320742450485E-2</v>
      </c>
      <c r="L53" s="420">
        <v>276.60000000000002</v>
      </c>
      <c r="M53" s="420"/>
      <c r="N53" s="420">
        <v>1676.71</v>
      </c>
      <c r="O53" s="420">
        <f t="shared" si="6"/>
        <v>48629.119999999974</v>
      </c>
      <c r="P53" s="424">
        <f t="shared" si="7"/>
        <v>3.5816338279206862E-2</v>
      </c>
      <c r="Q53" s="419">
        <v>2532.42</v>
      </c>
      <c r="R53" s="419">
        <v>-5</v>
      </c>
      <c r="S53" s="419">
        <v>3336.74</v>
      </c>
      <c r="T53" s="419">
        <f t="shared" si="21"/>
        <v>106914.28</v>
      </c>
      <c r="U53" s="423">
        <f t="shared" si="22"/>
        <v>3.2611998495254861E-2</v>
      </c>
      <c r="V53" s="420">
        <v>876.62</v>
      </c>
      <c r="W53" s="420">
        <v>-5</v>
      </c>
      <c r="X53" s="420">
        <v>863.81</v>
      </c>
      <c r="Y53" s="420">
        <f t="shared" si="17"/>
        <v>27704.940000000006</v>
      </c>
      <c r="Z53" s="424">
        <f t="shared" si="18"/>
        <v>3.2710386544591706E-2</v>
      </c>
    </row>
    <row r="54" spans="1:26" ht="11.25" customHeight="1" x14ac:dyDescent="0.3">
      <c r="A54" s="421">
        <f t="shared" si="0"/>
        <v>56</v>
      </c>
      <c r="B54" s="422">
        <v>43647</v>
      </c>
      <c r="C54" s="422">
        <v>43738</v>
      </c>
      <c r="D54" s="410">
        <f t="shared" si="1"/>
        <v>7673.9400000000005</v>
      </c>
      <c r="E54" s="352">
        <f t="shared" ref="E54:F54" si="58">I54+N54+S54+X54</f>
        <v>1434.08</v>
      </c>
      <c r="F54" s="352">
        <f t="shared" si="58"/>
        <v>325193.52</v>
      </c>
      <c r="G54" s="296">
        <f t="shared" si="4"/>
        <v>4.4824459361689677E-3</v>
      </c>
      <c r="H54" s="419">
        <v>2338.65</v>
      </c>
      <c r="I54" s="419">
        <v>572.88</v>
      </c>
      <c r="J54" s="419">
        <f t="shared" si="9"/>
        <v>135758.69000000003</v>
      </c>
      <c r="K54" s="423">
        <f t="shared" si="5"/>
        <v>4.2746979970411832E-3</v>
      </c>
      <c r="L54" s="420">
        <v>774.48</v>
      </c>
      <c r="M54" s="420"/>
      <c r="N54" s="420">
        <v>197.29</v>
      </c>
      <c r="O54" s="420">
        <f t="shared" si="6"/>
        <v>49600.889999999978</v>
      </c>
      <c r="P54" s="424">
        <f t="shared" si="7"/>
        <v>4.024982679252399E-3</v>
      </c>
      <c r="Q54" s="419">
        <v>3388.01</v>
      </c>
      <c r="R54" s="419">
        <v>-5</v>
      </c>
      <c r="S54" s="419">
        <v>525.37</v>
      </c>
      <c r="T54" s="419">
        <f t="shared" si="21"/>
        <v>110822.65999999999</v>
      </c>
      <c r="U54" s="423">
        <f t="shared" si="22"/>
        <v>4.8372921089767694E-3</v>
      </c>
      <c r="V54" s="420">
        <v>1172.8</v>
      </c>
      <c r="W54" s="420">
        <v>-5</v>
      </c>
      <c r="X54" s="420">
        <v>138.54</v>
      </c>
      <c r="Y54" s="420">
        <f t="shared" si="17"/>
        <v>29011.280000000006</v>
      </c>
      <c r="Z54" s="424">
        <f t="shared" si="18"/>
        <v>4.8969048479145898E-3</v>
      </c>
    </row>
    <row r="55" spans="1:26" ht="11.25" customHeight="1" x14ac:dyDescent="0.3">
      <c r="A55" s="421">
        <f t="shared" si="0"/>
        <v>14</v>
      </c>
      <c r="B55" s="427">
        <v>43739</v>
      </c>
      <c r="C55" s="427">
        <v>43830</v>
      </c>
      <c r="D55" s="428">
        <f t="shared" si="1"/>
        <v>7170.0499999999993</v>
      </c>
      <c r="E55" s="429">
        <f t="shared" ref="E55:F55" si="59">I55+N55+S55+X55</f>
        <v>25173.34</v>
      </c>
      <c r="F55" s="429">
        <f t="shared" si="59"/>
        <v>357563.51</v>
      </c>
      <c r="G55" s="296">
        <f t="shared" si="4"/>
        <v>7.6566249175413797E-2</v>
      </c>
      <c r="H55" s="430">
        <v>2373.7199999999998</v>
      </c>
      <c r="I55" s="430">
        <v>9824.64</v>
      </c>
      <c r="J55" s="430">
        <f t="shared" si="9"/>
        <v>147957.05000000005</v>
      </c>
      <c r="K55" s="431">
        <f t="shared" si="5"/>
        <v>7.1741213935027442E-2</v>
      </c>
      <c r="L55" s="432">
        <v>342.79</v>
      </c>
      <c r="M55" s="432"/>
      <c r="N55" s="432">
        <v>3566.35</v>
      </c>
      <c r="O55" s="432">
        <f t="shared" si="6"/>
        <v>53510.029999999977</v>
      </c>
      <c r="P55" s="433">
        <f t="shared" si="7"/>
        <v>7.1653330764299888E-2</v>
      </c>
      <c r="Q55" s="430">
        <v>3308.31</v>
      </c>
      <c r="R55" s="430">
        <v>28.77</v>
      </c>
      <c r="S55" s="430">
        <v>9328.2900000000009</v>
      </c>
      <c r="T55" s="430">
        <f t="shared" si="21"/>
        <v>123488.02999999998</v>
      </c>
      <c r="U55" s="431">
        <f t="shared" si="22"/>
        <v>8.2935225361777914E-2</v>
      </c>
      <c r="V55" s="432">
        <v>1145.23</v>
      </c>
      <c r="W55" s="432">
        <v>-2.17</v>
      </c>
      <c r="X55" s="432">
        <v>2454.06</v>
      </c>
      <c r="Y55" s="432">
        <f t="shared" si="17"/>
        <v>32608.400000000009</v>
      </c>
      <c r="Z55" s="424">
        <f t="shared" si="18"/>
        <v>8.2952565914664017E-2</v>
      </c>
    </row>
    <row r="56" spans="1:26" ht="11.25" customHeight="1" x14ac:dyDescent="0.3">
      <c r="A56" s="421">
        <f t="shared" si="0"/>
        <v>75</v>
      </c>
      <c r="B56" s="422">
        <v>43831</v>
      </c>
      <c r="C56" s="422">
        <v>43921</v>
      </c>
      <c r="D56" s="410">
        <f t="shared" si="1"/>
        <v>7742.6099999999988</v>
      </c>
      <c r="E56" s="352">
        <f t="shared" ref="E56:F56" si="60">I56+N56+S56+X56</f>
        <v>-70829.37</v>
      </c>
      <c r="F56" s="352">
        <f t="shared" si="60"/>
        <v>294466.75</v>
      </c>
      <c r="G56" s="296">
        <f t="shared" si="4"/>
        <v>-0.19596720365745618</v>
      </c>
      <c r="H56" s="419">
        <v>2012.79</v>
      </c>
      <c r="I56" s="419">
        <v>-27147.94</v>
      </c>
      <c r="J56" s="419">
        <f t="shared" si="9"/>
        <v>122821.90000000005</v>
      </c>
      <c r="K56" s="423">
        <f t="shared" si="5"/>
        <v>-0.18224565093805392</v>
      </c>
      <c r="L56" s="420">
        <v>1354.74</v>
      </c>
      <c r="M56" s="420"/>
      <c r="N56" s="420">
        <v>-9790.6200000000008</v>
      </c>
      <c r="O56" s="420">
        <f t="shared" si="6"/>
        <v>45074.149999999972</v>
      </c>
      <c r="P56" s="424">
        <f t="shared" si="7"/>
        <v>-0.18068074866112796</v>
      </c>
      <c r="Q56" s="419">
        <v>3250.02</v>
      </c>
      <c r="R56" s="419">
        <v>-5</v>
      </c>
      <c r="S56" s="419">
        <v>-26778.080000000002</v>
      </c>
      <c r="T56" s="419">
        <f t="shared" si="21"/>
        <v>99954.969999999987</v>
      </c>
      <c r="U56" s="423">
        <f t="shared" si="22"/>
        <v>-0.21403108740703611</v>
      </c>
      <c r="V56" s="420">
        <v>1125.06</v>
      </c>
      <c r="W56" s="420">
        <v>-5</v>
      </c>
      <c r="X56" s="420">
        <v>-7112.73</v>
      </c>
      <c r="Y56" s="420">
        <f t="shared" si="17"/>
        <v>26615.730000000007</v>
      </c>
      <c r="Z56" s="424">
        <f t="shared" si="18"/>
        <v>-0.21442660787623374</v>
      </c>
    </row>
    <row r="57" spans="1:26" ht="11.25" customHeight="1" x14ac:dyDescent="0.3">
      <c r="A57" s="421">
        <f t="shared" si="0"/>
        <v>1</v>
      </c>
      <c r="B57" s="422">
        <v>43922</v>
      </c>
      <c r="C57" s="422">
        <v>44012</v>
      </c>
      <c r="D57" s="410">
        <f t="shared" si="1"/>
        <v>7612.45</v>
      </c>
      <c r="E57" s="352">
        <f t="shared" ref="E57:F57" si="61">I57+N57+S57+X57</f>
        <v>52103.11</v>
      </c>
      <c r="F57" s="352">
        <f t="shared" si="61"/>
        <v>354172.31000000006</v>
      </c>
      <c r="G57" s="296">
        <f t="shared" si="4"/>
        <v>0.17468263760737962</v>
      </c>
      <c r="H57" s="419">
        <v>763.49</v>
      </c>
      <c r="I57" s="419">
        <v>20618.64</v>
      </c>
      <c r="J57" s="419">
        <f t="shared" si="9"/>
        <v>144204.03000000006</v>
      </c>
      <c r="K57" s="423">
        <f t="shared" si="5"/>
        <v>0.16735413956299744</v>
      </c>
      <c r="L57" s="420">
        <v>2473.89</v>
      </c>
      <c r="M57" s="420"/>
      <c r="N57" s="420">
        <v>7704.29</v>
      </c>
      <c r="O57" s="420">
        <f t="shared" si="6"/>
        <v>55252.329999999973</v>
      </c>
      <c r="P57" s="424">
        <f t="shared" si="7"/>
        <v>0.1663594868573072</v>
      </c>
      <c r="Q57" s="419">
        <v>3250.02</v>
      </c>
      <c r="R57" s="419">
        <v>-5</v>
      </c>
      <c r="S57" s="419">
        <v>18764.759999999998</v>
      </c>
      <c r="T57" s="419">
        <f t="shared" si="21"/>
        <v>121964.74999999999</v>
      </c>
      <c r="U57" s="423">
        <f t="shared" si="22"/>
        <v>0.18472892000963184</v>
      </c>
      <c r="V57" s="420">
        <v>1125.05</v>
      </c>
      <c r="W57" s="420">
        <v>-5</v>
      </c>
      <c r="X57" s="420">
        <v>5015.42</v>
      </c>
      <c r="Y57" s="420">
        <f t="shared" si="17"/>
        <v>32751.200000000004</v>
      </c>
      <c r="Z57" s="424">
        <f t="shared" si="18"/>
        <v>0.18453796978503581</v>
      </c>
    </row>
    <row r="58" spans="1:26" ht="11.25" customHeight="1" x14ac:dyDescent="0.3">
      <c r="A58" s="421">
        <f t="shared" si="0"/>
        <v>20</v>
      </c>
      <c r="B58" s="422">
        <v>44013</v>
      </c>
      <c r="C58" s="422">
        <v>44104</v>
      </c>
      <c r="D58" s="410">
        <f t="shared" si="1"/>
        <v>7217.0099999999993</v>
      </c>
      <c r="E58" s="352">
        <f t="shared" ref="E58:F58" si="62">I58+N58+S58+X58</f>
        <v>24573.86</v>
      </c>
      <c r="F58" s="352">
        <f t="shared" si="62"/>
        <v>385953.18</v>
      </c>
      <c r="G58" s="296">
        <f t="shared" si="4"/>
        <v>6.8684118794910778E-2</v>
      </c>
      <c r="H58" s="419">
        <v>2341.29</v>
      </c>
      <c r="I58" s="419">
        <v>9153.7999999999993</v>
      </c>
      <c r="J58" s="419">
        <f t="shared" si="9"/>
        <v>155699.12000000005</v>
      </c>
      <c r="K58" s="423">
        <f t="shared" si="5"/>
        <v>6.2966950742968097E-2</v>
      </c>
      <c r="L58" s="420">
        <v>500.66</v>
      </c>
      <c r="M58" s="420"/>
      <c r="N58" s="420">
        <v>3518.08</v>
      </c>
      <c r="O58" s="420">
        <f t="shared" si="6"/>
        <v>59271.069999999978</v>
      </c>
      <c r="P58" s="424">
        <f t="shared" si="7"/>
        <v>6.3385790879211937E-2</v>
      </c>
      <c r="Q58" s="419">
        <v>3250.02</v>
      </c>
      <c r="R58" s="419">
        <v>-5</v>
      </c>
      <c r="S58" s="419">
        <v>9379.41</v>
      </c>
      <c r="T58" s="419">
        <f t="shared" si="21"/>
        <v>134589.18</v>
      </c>
      <c r="U58" s="423">
        <f t="shared" si="22"/>
        <v>7.5891481624367596E-2</v>
      </c>
      <c r="V58" s="420">
        <v>1125.04</v>
      </c>
      <c r="W58" s="420">
        <v>-5</v>
      </c>
      <c r="X58" s="420">
        <v>2522.5700000000002</v>
      </c>
      <c r="Y58" s="420">
        <f t="shared" si="17"/>
        <v>36393.810000000005</v>
      </c>
      <c r="Z58" s="424">
        <f t="shared" si="18"/>
        <v>7.5721654621579343E-2</v>
      </c>
    </row>
    <row r="59" spans="1:26" ht="11.25" customHeight="1" x14ac:dyDescent="0.3">
      <c r="A59" s="421">
        <f t="shared" si="0"/>
        <v>4</v>
      </c>
      <c r="B59" s="422">
        <v>44105</v>
      </c>
      <c r="C59" s="422">
        <v>44196</v>
      </c>
      <c r="D59" s="410">
        <f t="shared" si="1"/>
        <v>7890.2699999999995</v>
      </c>
      <c r="E59" s="352">
        <f t="shared" ref="E59:F59" si="63">I59+N59+S59+X59</f>
        <v>52550.63</v>
      </c>
      <c r="F59" s="352">
        <f t="shared" si="63"/>
        <v>446432.66000000003</v>
      </c>
      <c r="G59" s="296">
        <f t="shared" si="4"/>
        <v>0.13478034651162829</v>
      </c>
      <c r="H59" s="419">
        <v>3043.98</v>
      </c>
      <c r="I59" s="419">
        <v>20324.8</v>
      </c>
      <c r="J59" s="419">
        <f t="shared" si="9"/>
        <v>179067.90000000005</v>
      </c>
      <c r="K59" s="423">
        <f t="shared" si="5"/>
        <v>0.12927526080944216</v>
      </c>
      <c r="L59" s="420">
        <v>471.22</v>
      </c>
      <c r="M59" s="420"/>
      <c r="N59" s="420">
        <v>7727.21</v>
      </c>
      <c r="O59" s="420">
        <f t="shared" si="6"/>
        <v>67469.499999999985</v>
      </c>
      <c r="P59" s="424">
        <f t="shared" si="7"/>
        <v>0.12985449700773094</v>
      </c>
      <c r="Q59" s="419">
        <v>3250.02</v>
      </c>
      <c r="R59" s="419">
        <v>39.450000000000003</v>
      </c>
      <c r="S59" s="419">
        <v>19269.02</v>
      </c>
      <c r="T59" s="419">
        <f t="shared" si="21"/>
        <v>157147.66999999998</v>
      </c>
      <c r="U59" s="423">
        <f t="shared" si="22"/>
        <v>0.14146117963187241</v>
      </c>
      <c r="V59" s="420">
        <v>1125.05</v>
      </c>
      <c r="W59" s="420">
        <v>-0.87</v>
      </c>
      <c r="X59" s="420">
        <v>5229.6000000000004</v>
      </c>
      <c r="Y59" s="420">
        <f t="shared" si="17"/>
        <v>42747.590000000004</v>
      </c>
      <c r="Z59" s="424">
        <f t="shared" si="18"/>
        <v>0.14150753855868012</v>
      </c>
    </row>
    <row r="60" spans="1:26" ht="11.25" customHeight="1" x14ac:dyDescent="0.3">
      <c r="A60" s="421">
        <f t="shared" si="0"/>
        <v>29</v>
      </c>
      <c r="B60" s="422">
        <v>44197</v>
      </c>
      <c r="C60" s="422">
        <v>44286</v>
      </c>
      <c r="D60" s="410">
        <f t="shared" si="1"/>
        <v>7692.97</v>
      </c>
      <c r="E60" s="352">
        <f t="shared" ref="E60:F60" si="64">I60+N60+S60+X60</f>
        <v>23221.300000000003</v>
      </c>
      <c r="F60" s="352">
        <f t="shared" si="64"/>
        <v>477336.93000000005</v>
      </c>
      <c r="G60" s="296">
        <f t="shared" si="4"/>
        <v>5.1570898314644356E-2</v>
      </c>
      <c r="H60" s="419">
        <v>3135.9</v>
      </c>
      <c r="I60" s="419">
        <v>9365.5400000000009</v>
      </c>
      <c r="J60" s="419">
        <f t="shared" si="9"/>
        <v>191569.34000000005</v>
      </c>
      <c r="K60" s="423">
        <f t="shared" si="5"/>
        <v>5.1847626038795717E-2</v>
      </c>
      <c r="L60" s="420">
        <v>182</v>
      </c>
      <c r="M60" s="420"/>
      <c r="N60" s="420">
        <v>3519.58</v>
      </c>
      <c r="O60" s="420">
        <f t="shared" si="6"/>
        <v>71171.079999999987</v>
      </c>
      <c r="P60" s="424">
        <f t="shared" si="7"/>
        <v>5.2095233161388692E-2</v>
      </c>
      <c r="Q60" s="419">
        <v>3250.02</v>
      </c>
      <c r="R60" s="419">
        <v>-5</v>
      </c>
      <c r="S60" s="419">
        <v>8122.69</v>
      </c>
      <c r="T60" s="419">
        <f t="shared" si="21"/>
        <v>168515.37999999998</v>
      </c>
      <c r="U60" s="423">
        <f t="shared" si="22"/>
        <v>5.1159242257547081E-2</v>
      </c>
      <c r="V60" s="420">
        <v>1125.05</v>
      </c>
      <c r="W60" s="420">
        <v>-5</v>
      </c>
      <c r="X60" s="420">
        <v>2213.4899999999998</v>
      </c>
      <c r="Y60" s="420">
        <f t="shared" si="17"/>
        <v>46081.130000000005</v>
      </c>
      <c r="Z60" s="424">
        <f t="shared" si="18"/>
        <v>5.1107922479540852E-2</v>
      </c>
    </row>
    <row r="61" spans="1:26" ht="11.25" customHeight="1" x14ac:dyDescent="0.3">
      <c r="A61" s="421">
        <f t="shared" si="0"/>
        <v>19</v>
      </c>
      <c r="B61" s="422">
        <v>44287</v>
      </c>
      <c r="C61" s="422">
        <v>44377</v>
      </c>
      <c r="D61" s="410">
        <f t="shared" si="1"/>
        <v>9395.75</v>
      </c>
      <c r="E61" s="352">
        <f t="shared" ref="E61:F61" si="65">I61+N61+S61+X61</f>
        <v>33364.39</v>
      </c>
      <c r="F61" s="352">
        <f t="shared" si="65"/>
        <v>520087.07</v>
      </c>
      <c r="G61" s="296">
        <f t="shared" si="4"/>
        <v>6.9215728104944613E-2</v>
      </c>
      <c r="H61" s="419">
        <v>3722.18</v>
      </c>
      <c r="I61" s="419">
        <v>13315.57</v>
      </c>
      <c r="J61" s="419">
        <f t="shared" si="9"/>
        <v>208607.09000000005</v>
      </c>
      <c r="K61" s="423">
        <f t="shared" si="5"/>
        <v>6.8839065290812809E-2</v>
      </c>
      <c r="L61" s="420">
        <v>1152.69</v>
      </c>
      <c r="M61" s="420"/>
      <c r="N61" s="420">
        <v>4935.9399999999996</v>
      </c>
      <c r="O61" s="420">
        <f t="shared" si="6"/>
        <v>77259.709999999992</v>
      </c>
      <c r="P61" s="424">
        <f t="shared" si="7"/>
        <v>6.8796057837615776E-2</v>
      </c>
      <c r="Q61" s="419">
        <v>3358.36</v>
      </c>
      <c r="R61" s="419">
        <v>-5</v>
      </c>
      <c r="S61" s="419">
        <v>11862.74</v>
      </c>
      <c r="T61" s="419">
        <f t="shared" si="21"/>
        <v>183731.47999999995</v>
      </c>
      <c r="U61" s="423">
        <f t="shared" si="22"/>
        <v>6.9701052724599435E-2</v>
      </c>
      <c r="V61" s="420">
        <v>1162.52</v>
      </c>
      <c r="W61" s="420">
        <v>-5</v>
      </c>
      <c r="X61" s="420">
        <v>3250.14</v>
      </c>
      <c r="Y61" s="420">
        <f t="shared" si="17"/>
        <v>50488.79</v>
      </c>
      <c r="Z61" s="424">
        <f t="shared" si="18"/>
        <v>6.9652240273162164E-2</v>
      </c>
    </row>
    <row r="62" spans="1:26" ht="11.25" customHeight="1" x14ac:dyDescent="0.3">
      <c r="A62" s="421">
        <f t="shared" si="0"/>
        <v>60</v>
      </c>
      <c r="B62" s="422">
        <v>44378</v>
      </c>
      <c r="C62" s="422">
        <v>44469</v>
      </c>
      <c r="D62" s="410">
        <f t="shared" si="1"/>
        <v>8662.85</v>
      </c>
      <c r="E62" s="352">
        <f t="shared" ref="E62:F62" si="66">I62+N62+S62+X62</f>
        <v>-2806.3399999999997</v>
      </c>
      <c r="F62" s="352">
        <f t="shared" si="66"/>
        <v>525933.58000000007</v>
      </c>
      <c r="G62" s="296">
        <f t="shared" si="4"/>
        <v>-5.351336817363773E-3</v>
      </c>
      <c r="H62" s="419">
        <v>3263.16</v>
      </c>
      <c r="I62" s="419">
        <v>-830.29</v>
      </c>
      <c r="J62" s="419">
        <f t="shared" si="9"/>
        <v>211039.96000000005</v>
      </c>
      <c r="K62" s="423">
        <f t="shared" si="5"/>
        <v>-3.9492734614426537E-3</v>
      </c>
      <c r="L62" s="420">
        <v>667.35</v>
      </c>
      <c r="M62" s="420"/>
      <c r="N62" s="420">
        <v>-288.94</v>
      </c>
      <c r="O62" s="420">
        <f t="shared" si="6"/>
        <v>77638.12</v>
      </c>
      <c r="P62" s="424">
        <f t="shared" si="7"/>
        <v>-3.7237710405339324E-3</v>
      </c>
      <c r="Q62" s="419">
        <v>3515.44</v>
      </c>
      <c r="R62" s="419">
        <v>-5</v>
      </c>
      <c r="S62" s="419">
        <v>-1319.84</v>
      </c>
      <c r="T62" s="419">
        <f t="shared" si="21"/>
        <v>185922.07999999996</v>
      </c>
      <c r="U62" s="423">
        <f t="shared" si="22"/>
        <v>-7.1154547003275679E-3</v>
      </c>
      <c r="V62" s="420">
        <v>1216.9000000000001</v>
      </c>
      <c r="W62" s="420">
        <v>-5</v>
      </c>
      <c r="X62" s="420">
        <v>-367.27</v>
      </c>
      <c r="Y62" s="420">
        <f t="shared" si="17"/>
        <v>51333.420000000006</v>
      </c>
      <c r="Z62" s="424">
        <f t="shared" si="18"/>
        <v>-7.1876680619148902E-3</v>
      </c>
    </row>
    <row r="63" spans="1:26" ht="11.25" customHeight="1" x14ac:dyDescent="0.3">
      <c r="A63" s="421">
        <f t="shared" si="0"/>
        <v>23</v>
      </c>
      <c r="B63" s="422">
        <v>44470</v>
      </c>
      <c r="C63" s="422">
        <v>44561</v>
      </c>
      <c r="D63" s="410">
        <f t="shared" si="1"/>
        <v>9311.3900000000012</v>
      </c>
      <c r="E63" s="352">
        <f t="shared" ref="E63:F63" si="67">I63+N63+S63+X63</f>
        <v>34528.080000000002</v>
      </c>
      <c r="F63" s="352">
        <f t="shared" si="67"/>
        <v>569814.69000000006</v>
      </c>
      <c r="G63" s="296">
        <f t="shared" si="4"/>
        <v>6.507496782704475E-2</v>
      </c>
      <c r="H63" s="419">
        <v>3879.38</v>
      </c>
      <c r="I63" s="419">
        <v>13905.92</v>
      </c>
      <c r="J63" s="419">
        <f t="shared" si="9"/>
        <v>228825.26000000007</v>
      </c>
      <c r="K63" s="423">
        <f t="shared" si="5"/>
        <v>6.5292247404857673E-2</v>
      </c>
      <c r="L63" s="420">
        <v>371.59</v>
      </c>
      <c r="M63" s="420"/>
      <c r="N63" s="420">
        <v>5097.01</v>
      </c>
      <c r="O63" s="420">
        <f t="shared" si="6"/>
        <v>83106.719999999987</v>
      </c>
      <c r="P63" s="424">
        <f t="shared" si="7"/>
        <v>6.5494135061182679E-2</v>
      </c>
      <c r="Q63" s="419">
        <v>3759.15</v>
      </c>
      <c r="R63" s="419">
        <v>43.2</v>
      </c>
      <c r="S63" s="419">
        <v>12162.04</v>
      </c>
      <c r="T63" s="419">
        <f t="shared" si="21"/>
        <v>201886.46999999997</v>
      </c>
      <c r="U63" s="423">
        <f t="shared" si="22"/>
        <v>6.4760025677090022E-2</v>
      </c>
      <c r="V63" s="420">
        <v>1301.27</v>
      </c>
      <c r="W63" s="420">
        <v>-1.56</v>
      </c>
      <c r="X63" s="420">
        <v>3363.11</v>
      </c>
      <c r="Y63" s="420">
        <f t="shared" si="17"/>
        <v>55996.240000000005</v>
      </c>
      <c r="Z63" s="424">
        <f t="shared" si="18"/>
        <v>6.4695030043346938E-2</v>
      </c>
    </row>
    <row r="64" spans="1:26" ht="11.25" customHeight="1" x14ac:dyDescent="0.3">
      <c r="A64" s="421">
        <f t="shared" si="0"/>
        <v>69</v>
      </c>
      <c r="B64" s="422">
        <v>44562</v>
      </c>
      <c r="C64" s="422">
        <v>44651</v>
      </c>
      <c r="D64" s="410">
        <f t="shared" si="1"/>
        <v>8989.7800000000007</v>
      </c>
      <c r="E64" s="352">
        <f t="shared" ref="E64:F64" si="68">I64+N64+S64+X64</f>
        <v>-33020.32</v>
      </c>
      <c r="F64" s="352">
        <f t="shared" si="68"/>
        <v>545774.14999999991</v>
      </c>
      <c r="G64" s="296">
        <f t="shared" si="4"/>
        <v>-5.7495680291455339E-2</v>
      </c>
      <c r="H64" s="419">
        <v>3295.8</v>
      </c>
      <c r="I64" s="419">
        <v>-13162.7</v>
      </c>
      <c r="J64" s="419">
        <f t="shared" si="9"/>
        <v>218958.36000000004</v>
      </c>
      <c r="K64" s="423">
        <f t="shared" si="5"/>
        <v>-5.7111639377010311E-2</v>
      </c>
      <c r="L64" s="420">
        <v>508.81</v>
      </c>
      <c r="M64" s="420"/>
      <c r="N64" s="420">
        <v>-4788.0200000000004</v>
      </c>
      <c r="O64" s="420">
        <f t="shared" si="6"/>
        <v>78827.50999999998</v>
      </c>
      <c r="P64" s="424">
        <f t="shared" si="7"/>
        <v>-5.7437084732241815E-2</v>
      </c>
      <c r="Q64" s="419">
        <v>3851.81</v>
      </c>
      <c r="R64" s="419">
        <v>-5</v>
      </c>
      <c r="S64" s="419">
        <v>-11799.38</v>
      </c>
      <c r="T64" s="419">
        <f t="shared" si="21"/>
        <v>193933.89999999997</v>
      </c>
      <c r="U64" s="423">
        <f t="shared" si="22"/>
        <v>-5.7893344307478882E-2</v>
      </c>
      <c r="V64" s="420">
        <v>1333.36</v>
      </c>
      <c r="W64" s="420">
        <v>-5</v>
      </c>
      <c r="X64" s="420">
        <v>-3270.22</v>
      </c>
      <c r="Y64" s="420">
        <f t="shared" si="17"/>
        <v>54054.380000000005</v>
      </c>
      <c r="Z64" s="424">
        <f t="shared" si="18"/>
        <v>-5.7713580592034429E-2</v>
      </c>
    </row>
    <row r="65" spans="1:26" ht="11.25" customHeight="1" x14ac:dyDescent="0.3">
      <c r="A65" s="421">
        <f t="shared" si="0"/>
        <v>73</v>
      </c>
      <c r="B65" s="427">
        <v>44652</v>
      </c>
      <c r="C65" s="427">
        <v>44742</v>
      </c>
      <c r="D65" s="428">
        <f t="shared" si="1"/>
        <v>9559.6299999999992</v>
      </c>
      <c r="E65" s="429">
        <f t="shared" ref="E65:F65" si="69">I65+N65+S65+X65</f>
        <v>-81085.710000000006</v>
      </c>
      <c r="F65" s="429">
        <f t="shared" si="69"/>
        <v>474238.07</v>
      </c>
      <c r="G65" s="434">
        <f t="shared" si="4"/>
        <v>-0.14728022165819846</v>
      </c>
      <c r="H65" s="430">
        <v>3845.1</v>
      </c>
      <c r="I65" s="430">
        <v>-32359.85</v>
      </c>
      <c r="J65" s="430">
        <f t="shared" si="9"/>
        <v>190443.61000000004</v>
      </c>
      <c r="K65" s="431">
        <f t="shared" si="5"/>
        <v>-0.14650360685312278</v>
      </c>
      <c r="L65" s="432">
        <v>572.42999999999995</v>
      </c>
      <c r="M65" s="432"/>
      <c r="N65" s="432">
        <v>-11601.04</v>
      </c>
      <c r="O65" s="432">
        <f t="shared" si="6"/>
        <v>67798.899999999965</v>
      </c>
      <c r="P65" s="433">
        <f t="shared" si="7"/>
        <v>-0.14663751453998664</v>
      </c>
      <c r="Q65" s="430">
        <v>3819.84</v>
      </c>
      <c r="R65" s="430">
        <v>-5</v>
      </c>
      <c r="S65" s="430">
        <v>-29017.27</v>
      </c>
      <c r="T65" s="430">
        <f t="shared" si="21"/>
        <v>168731.46999999997</v>
      </c>
      <c r="U65" s="431">
        <f t="shared" si="22"/>
        <v>-0.14816535951964174</v>
      </c>
      <c r="V65" s="432">
        <v>1322.26</v>
      </c>
      <c r="W65" s="432">
        <v>-5</v>
      </c>
      <c r="X65" s="432">
        <v>-8107.55</v>
      </c>
      <c r="Y65" s="432">
        <f t="shared" si="17"/>
        <v>47264.090000000004</v>
      </c>
      <c r="Z65" s="433">
        <f t="shared" si="18"/>
        <v>-0.14817644941991767</v>
      </c>
    </row>
    <row r="66" spans="1:26" ht="11.25" customHeight="1" x14ac:dyDescent="0.3">
      <c r="A66" s="421">
        <f t="shared" si="0"/>
        <v>68</v>
      </c>
      <c r="B66" s="422">
        <v>44743</v>
      </c>
      <c r="C66" s="422">
        <v>44834</v>
      </c>
      <c r="D66" s="410">
        <f t="shared" si="1"/>
        <v>9265.27</v>
      </c>
      <c r="E66" s="352">
        <f t="shared" ref="E66:F66" si="70">I66+N66+S66+X66</f>
        <v>-25104.760000000002</v>
      </c>
      <c r="F66" s="352">
        <f t="shared" si="70"/>
        <v>458388.58</v>
      </c>
      <c r="G66" s="296">
        <f t="shared" si="4"/>
        <v>-5.2424923341259727E-2</v>
      </c>
      <c r="H66" s="419">
        <v>3380.7</v>
      </c>
      <c r="I66" s="419">
        <v>-9909.2900000000009</v>
      </c>
      <c r="J66" s="419">
        <f t="shared" si="9"/>
        <v>183915.02000000005</v>
      </c>
      <c r="K66" s="423">
        <f t="shared" si="5"/>
        <v>-5.1574901178323695E-2</v>
      </c>
      <c r="L66" s="420">
        <v>477.07</v>
      </c>
      <c r="M66" s="420"/>
      <c r="N66" s="420">
        <v>-3445.67</v>
      </c>
      <c r="O66" s="420">
        <f t="shared" si="6"/>
        <v>64830.299999999974</v>
      </c>
      <c r="P66" s="424">
        <f t="shared" si="7"/>
        <v>-5.0643737524790608E-2</v>
      </c>
      <c r="Q66" s="419">
        <v>4017</v>
      </c>
      <c r="R66" s="419">
        <v>-5</v>
      </c>
      <c r="S66" s="419">
        <v>-9161.0300000000007</v>
      </c>
      <c r="T66" s="419">
        <f t="shared" si="21"/>
        <v>163582.43999999997</v>
      </c>
      <c r="U66" s="423">
        <f t="shared" si="22"/>
        <v>-5.3654864763066329E-2</v>
      </c>
      <c r="V66" s="420">
        <v>1390.5</v>
      </c>
      <c r="W66" s="420">
        <v>-5</v>
      </c>
      <c r="X66" s="420">
        <v>-2588.77</v>
      </c>
      <c r="Y66" s="420">
        <f t="shared" si="17"/>
        <v>46060.820000000007</v>
      </c>
      <c r="Z66" s="424">
        <f t="shared" si="18"/>
        <v>-5.3978432563917683E-2</v>
      </c>
    </row>
    <row r="67" spans="1:26" ht="11.25" customHeight="1" x14ac:dyDescent="0.3">
      <c r="A67" s="421">
        <f t="shared" si="0"/>
        <v>16</v>
      </c>
      <c r="B67" s="422">
        <v>44835</v>
      </c>
      <c r="C67" s="422">
        <v>44926</v>
      </c>
      <c r="D67" s="410">
        <f t="shared" si="1"/>
        <v>9930.630000000001</v>
      </c>
      <c r="E67" s="352">
        <f t="shared" ref="E67:F67" si="71">I67+N67+S67+X67</f>
        <v>33263.85</v>
      </c>
      <c r="F67" s="352">
        <f t="shared" si="71"/>
        <v>501614.6</v>
      </c>
      <c r="G67" s="296">
        <f t="shared" si="4"/>
        <v>7.1789296170694752E-2</v>
      </c>
      <c r="H67" s="419">
        <v>4014.32</v>
      </c>
      <c r="I67" s="419">
        <v>13678.97</v>
      </c>
      <c r="J67" s="419">
        <f t="shared" si="9"/>
        <v>201608.31000000006</v>
      </c>
      <c r="K67" s="423">
        <f t="shared" si="5"/>
        <v>7.3573631720540253E-2</v>
      </c>
      <c r="L67" s="420">
        <v>508.81</v>
      </c>
      <c r="M67" s="420"/>
      <c r="N67" s="420">
        <v>4811.8999999999996</v>
      </c>
      <c r="O67" s="420">
        <f t="shared" si="6"/>
        <v>70151.009999999966</v>
      </c>
      <c r="P67" s="424">
        <f t="shared" si="7"/>
        <v>7.3932884845986493E-2</v>
      </c>
      <c r="Q67" s="419">
        <v>4017</v>
      </c>
      <c r="R67" s="419">
        <v>34.32</v>
      </c>
      <c r="S67" s="419">
        <v>11526.26</v>
      </c>
      <c r="T67" s="419">
        <f t="shared" si="21"/>
        <v>179160.02</v>
      </c>
      <c r="U67" s="423">
        <f t="shared" si="22"/>
        <v>6.9606827523293252E-2</v>
      </c>
      <c r="V67" s="420">
        <v>1390.5</v>
      </c>
      <c r="W67" s="420">
        <v>-2.78</v>
      </c>
      <c r="X67" s="420">
        <v>3246.72</v>
      </c>
      <c r="Y67" s="420">
        <f t="shared" si="17"/>
        <v>50695.260000000009</v>
      </c>
      <c r="Z67" s="424">
        <f t="shared" si="18"/>
        <v>6.9439540149546342E-2</v>
      </c>
    </row>
    <row r="68" spans="1:26" ht="11.25" customHeight="1" x14ac:dyDescent="0.3">
      <c r="A68" s="421">
        <f t="shared" si="0"/>
        <v>22</v>
      </c>
      <c r="B68" s="427">
        <v>44927</v>
      </c>
      <c r="C68" s="427">
        <v>45016</v>
      </c>
      <c r="D68" s="428">
        <f t="shared" si="1"/>
        <v>12386.3</v>
      </c>
      <c r="E68" s="429">
        <f t="shared" ref="E68:F68" si="72">I68+N68+S68+X68</f>
        <v>33062.86</v>
      </c>
      <c r="F68" s="429">
        <f t="shared" si="72"/>
        <v>547053.76</v>
      </c>
      <c r="G68" s="434">
        <f t="shared" si="4"/>
        <v>6.5109010250434349E-2</v>
      </c>
      <c r="H68" s="430">
        <v>4901.84</v>
      </c>
      <c r="I68" s="430">
        <v>13482.75</v>
      </c>
      <c r="J68" s="430">
        <f t="shared" si="9"/>
        <v>219992.90000000005</v>
      </c>
      <c r="K68" s="431">
        <f t="shared" si="5"/>
        <v>6.6072728001570893E-2</v>
      </c>
      <c r="L68" s="432">
        <v>531.96</v>
      </c>
      <c r="M68" s="432"/>
      <c r="N68" s="432">
        <v>4673.3</v>
      </c>
      <c r="O68" s="432">
        <f t="shared" si="6"/>
        <v>75356.269999999975</v>
      </c>
      <c r="P68" s="433">
        <f t="shared" si="7"/>
        <v>6.6366085798327965E-2</v>
      </c>
      <c r="Q68" s="430">
        <v>5562</v>
      </c>
      <c r="R68" s="430">
        <v>-5</v>
      </c>
      <c r="S68" s="430">
        <v>11622.05</v>
      </c>
      <c r="T68" s="430">
        <f t="shared" si="21"/>
        <v>196339.06999999998</v>
      </c>
      <c r="U68" s="431">
        <f t="shared" si="22"/>
        <v>6.3878118304492304E-2</v>
      </c>
      <c r="V68" s="432">
        <v>1390.5</v>
      </c>
      <c r="W68" s="432">
        <v>-5</v>
      </c>
      <c r="X68" s="432">
        <v>3284.76</v>
      </c>
      <c r="Y68" s="432">
        <f t="shared" si="17"/>
        <v>55365.520000000011</v>
      </c>
      <c r="Z68" s="433">
        <f t="shared" si="18"/>
        <v>6.3917637711709802E-2</v>
      </c>
    </row>
    <row r="69" spans="1:26" ht="11.25" customHeight="1" x14ac:dyDescent="0.3">
      <c r="A69" s="421">
        <f t="shared" si="0"/>
        <v>25</v>
      </c>
      <c r="B69" s="422">
        <v>45017</v>
      </c>
      <c r="C69" s="422">
        <v>45107</v>
      </c>
      <c r="D69" s="410">
        <f t="shared" si="1"/>
        <v>14328.099999999999</v>
      </c>
      <c r="E69" s="352">
        <f t="shared" ref="E69:F69" si="73">I69+N69+S69+X69</f>
        <v>34397.699999999997</v>
      </c>
      <c r="F69" s="352">
        <f t="shared" si="73"/>
        <v>595769.56000000006</v>
      </c>
      <c r="G69" s="296">
        <f t="shared" si="4"/>
        <v>6.2065309665887483E-2</v>
      </c>
      <c r="H69" s="419">
        <v>6041</v>
      </c>
      <c r="I69" s="419">
        <v>13966.9</v>
      </c>
      <c r="J69" s="419">
        <f t="shared" si="9"/>
        <v>240000.80000000005</v>
      </c>
      <c r="K69" s="423">
        <f t="shared" si="5"/>
        <v>6.2628075263638852E-2</v>
      </c>
      <c r="L69" s="420">
        <v>721.98</v>
      </c>
      <c r="M69" s="420"/>
      <c r="N69" s="420">
        <v>4714.47</v>
      </c>
      <c r="O69" s="420">
        <f t="shared" si="6"/>
        <v>80792.719999999972</v>
      </c>
      <c r="P69" s="424">
        <f t="shared" si="7"/>
        <v>6.2264138982313963E-2</v>
      </c>
      <c r="Q69" s="419">
        <v>6052.07</v>
      </c>
      <c r="R69" s="419">
        <v>-5</v>
      </c>
      <c r="S69" s="419">
        <v>12265.99</v>
      </c>
      <c r="T69" s="419">
        <f t="shared" si="21"/>
        <v>214652.12999999998</v>
      </c>
      <c r="U69" s="423">
        <f t="shared" si="22"/>
        <v>6.1525260401011507E-2</v>
      </c>
      <c r="V69" s="420">
        <v>1513.05</v>
      </c>
      <c r="W69" s="420">
        <v>-5</v>
      </c>
      <c r="X69" s="420">
        <v>3450.34</v>
      </c>
      <c r="Y69" s="420">
        <f t="shared" si="17"/>
        <v>60323.910000000018</v>
      </c>
      <c r="Z69" s="424">
        <f t="shared" si="18"/>
        <v>6.1479227993206577E-2</v>
      </c>
    </row>
    <row r="70" spans="1:26" ht="11.25" customHeight="1" x14ac:dyDescent="0.3">
      <c r="A70" s="421">
        <f t="shared" si="0"/>
        <v>66</v>
      </c>
      <c r="B70" s="427">
        <v>45108</v>
      </c>
      <c r="C70" s="427">
        <v>45199</v>
      </c>
      <c r="D70" s="428">
        <f t="shared" si="1"/>
        <v>8695.1500000000015</v>
      </c>
      <c r="E70" s="429">
        <f t="shared" ref="E70:F70" si="74">I70+N70+S70+X70</f>
        <v>-20377.89</v>
      </c>
      <c r="F70" s="429">
        <f t="shared" si="74"/>
        <v>584076.81999999995</v>
      </c>
      <c r="G70" s="434">
        <f t="shared" si="4"/>
        <v>-3.3956520838219359E-2</v>
      </c>
      <c r="H70" s="430">
        <v>2705.4</v>
      </c>
      <c r="I70" s="430">
        <v>-8220.6</v>
      </c>
      <c r="J70" s="430">
        <f t="shared" si="9"/>
        <v>234485.60000000003</v>
      </c>
      <c r="K70" s="431">
        <f t="shared" si="5"/>
        <v>-3.4060413459924957E-2</v>
      </c>
      <c r="L70" s="432">
        <v>569.95000000000005</v>
      </c>
      <c r="M70" s="432"/>
      <c r="N70" s="432">
        <v>-2746.93</v>
      </c>
      <c r="O70" s="432">
        <f t="shared" si="6"/>
        <v>78615.739999999976</v>
      </c>
      <c r="P70" s="433">
        <f t="shared" si="7"/>
        <v>-3.388021822771356E-2</v>
      </c>
      <c r="Q70" s="430">
        <v>3879.36</v>
      </c>
      <c r="R70" s="430">
        <v>-5</v>
      </c>
      <c r="S70" s="430">
        <v>-7333.51</v>
      </c>
      <c r="T70" s="430">
        <f t="shared" si="21"/>
        <v>211192.97999999995</v>
      </c>
      <c r="U70" s="431">
        <f t="shared" si="22"/>
        <v>-3.3858667139814759E-2</v>
      </c>
      <c r="V70" s="432">
        <v>1540.44</v>
      </c>
      <c r="W70" s="432">
        <v>-5</v>
      </c>
      <c r="X70" s="432">
        <v>-2076.85</v>
      </c>
      <c r="Y70" s="432">
        <f t="shared" si="17"/>
        <v>59782.500000000022</v>
      </c>
      <c r="Z70" s="433">
        <f t="shared" si="18"/>
        <v>-3.3994264260739933E-2</v>
      </c>
    </row>
    <row r="71" spans="1:26" ht="11.25" customHeight="1" x14ac:dyDescent="0.3">
      <c r="A71" s="421">
        <f t="shared" si="0"/>
        <v>5</v>
      </c>
      <c r="B71" s="427">
        <v>45200</v>
      </c>
      <c r="C71" s="427">
        <v>45291</v>
      </c>
      <c r="D71" s="428">
        <f t="shared" si="1"/>
        <v>7745.54</v>
      </c>
      <c r="E71" s="429">
        <f t="shared" ref="E71:F71" si="75">I71+N71+S71+X71</f>
        <v>67381.100000000006</v>
      </c>
      <c r="F71" s="429">
        <f t="shared" si="75"/>
        <v>659246.27</v>
      </c>
      <c r="G71" s="434">
        <f t="shared" si="4"/>
        <v>0.11460353259196934</v>
      </c>
      <c r="H71" s="430">
        <v>2525.04</v>
      </c>
      <c r="I71" s="430">
        <v>26988.77</v>
      </c>
      <c r="J71" s="430">
        <f t="shared" si="9"/>
        <v>263999.41000000003</v>
      </c>
      <c r="K71" s="431">
        <f t="shared" si="5"/>
        <v>0.11448137953337655</v>
      </c>
      <c r="L71" s="432">
        <v>259.39999999999998</v>
      </c>
      <c r="M71" s="432"/>
      <c r="N71" s="432">
        <v>9008.08</v>
      </c>
      <c r="O71" s="432">
        <f t="shared" si="6"/>
        <v>87883.219999999972</v>
      </c>
      <c r="P71" s="433">
        <f t="shared" si="7"/>
        <v>0.11439494147216656</v>
      </c>
      <c r="Q71" s="430">
        <v>3421.44</v>
      </c>
      <c r="R71" s="430">
        <v>43.83</v>
      </c>
      <c r="S71" s="430">
        <v>24426.68</v>
      </c>
      <c r="T71" s="430">
        <f t="shared" si="21"/>
        <v>239084.92999999993</v>
      </c>
      <c r="U71" s="431">
        <f t="shared" si="22"/>
        <v>0.11473112022008075</v>
      </c>
      <c r="V71" s="432">
        <v>1539.66</v>
      </c>
      <c r="W71" s="432">
        <v>-1.02</v>
      </c>
      <c r="X71" s="432">
        <v>6957.57</v>
      </c>
      <c r="Y71" s="432">
        <f t="shared" si="17"/>
        <v>68278.710000000021</v>
      </c>
      <c r="Z71" s="433">
        <f t="shared" si="18"/>
        <v>0.11490177174024513</v>
      </c>
    </row>
    <row r="72" spans="1:26" ht="11.25" customHeight="1" x14ac:dyDescent="0.3">
      <c r="A72" s="421">
        <f t="shared" si="0"/>
        <v>15</v>
      </c>
      <c r="B72" s="427">
        <v>45292</v>
      </c>
      <c r="C72" s="427">
        <v>45382</v>
      </c>
      <c r="D72" s="428">
        <f t="shared" si="1"/>
        <v>7595.43</v>
      </c>
      <c r="E72" s="429">
        <f t="shared" ref="E72:F72" si="76">I72+N72+S72+X72</f>
        <v>49773.11</v>
      </c>
      <c r="F72" s="429">
        <f t="shared" si="76"/>
        <v>716604.80999999994</v>
      </c>
      <c r="G72" s="434">
        <f t="shared" si="4"/>
        <v>7.5067583940151422E-2</v>
      </c>
      <c r="H72" s="430">
        <v>2164.3200000000002</v>
      </c>
      <c r="I72" s="430">
        <v>20180.509999999998</v>
      </c>
      <c r="J72" s="430">
        <f t="shared" si="9"/>
        <v>286344.24000000005</v>
      </c>
      <c r="K72" s="431">
        <f t="shared" si="5"/>
        <v>7.6129434422770315E-2</v>
      </c>
      <c r="L72" s="432">
        <v>327.45999999999998</v>
      </c>
      <c r="M72" s="432"/>
      <c r="N72" s="432">
        <v>6689.22</v>
      </c>
      <c r="O72" s="432">
        <f t="shared" si="6"/>
        <v>94899.89999999998</v>
      </c>
      <c r="P72" s="433">
        <f t="shared" si="7"/>
        <v>7.597333013806841E-2</v>
      </c>
      <c r="Q72" s="430">
        <v>3421.44</v>
      </c>
      <c r="R72" s="430">
        <v>-5</v>
      </c>
      <c r="S72" s="430">
        <v>17786.68</v>
      </c>
      <c r="T72" s="430">
        <f t="shared" si="21"/>
        <v>260288.04999999993</v>
      </c>
      <c r="U72" s="431">
        <f t="shared" si="22"/>
        <v>7.3866284544592084E-2</v>
      </c>
      <c r="V72" s="432">
        <v>1682.21</v>
      </c>
      <c r="W72" s="432">
        <v>-5</v>
      </c>
      <c r="X72" s="432">
        <v>5116.7</v>
      </c>
      <c r="Y72" s="432">
        <f t="shared" si="17"/>
        <v>75072.620000000024</v>
      </c>
      <c r="Z72" s="433">
        <f t="shared" si="18"/>
        <v>7.402652915086648E-2</v>
      </c>
    </row>
    <row r="73" spans="1:26" ht="11.25" customHeight="1" x14ac:dyDescent="0.3">
      <c r="A73" s="421">
        <f t="shared" si="0"/>
        <v>46</v>
      </c>
      <c r="B73" s="422">
        <v>45383</v>
      </c>
      <c r="C73" s="422">
        <v>45473</v>
      </c>
      <c r="D73" s="410">
        <f t="shared" si="1"/>
        <v>8308.86</v>
      </c>
      <c r="E73" s="352">
        <f t="shared" ref="E73:F73" si="77">I73+N73+S73+X73</f>
        <v>12647.249999999998</v>
      </c>
      <c r="F73" s="352">
        <f t="shared" si="77"/>
        <v>737550.92</v>
      </c>
      <c r="G73" s="296">
        <f t="shared" si="4"/>
        <v>1.7547121560314644E-2</v>
      </c>
      <c r="H73" s="419">
        <v>2525.04</v>
      </c>
      <c r="I73" s="419">
        <v>4888.4399999999996</v>
      </c>
      <c r="J73" s="419">
        <f t="shared" si="9"/>
        <v>293757.72000000003</v>
      </c>
      <c r="K73" s="423">
        <f t="shared" si="5"/>
        <v>1.6996957929639758E-2</v>
      </c>
      <c r="L73" s="420">
        <v>600.34</v>
      </c>
      <c r="M73" s="420"/>
      <c r="N73" s="420">
        <v>1614.03</v>
      </c>
      <c r="O73" s="420">
        <f t="shared" si="6"/>
        <v>97114.269999999975</v>
      </c>
      <c r="P73" s="424">
        <f t="shared" si="7"/>
        <v>1.6954084172417103E-2</v>
      </c>
      <c r="Q73" s="419">
        <v>3455.64</v>
      </c>
      <c r="R73" s="419">
        <v>-5</v>
      </c>
      <c r="S73" s="419">
        <v>4756.29</v>
      </c>
      <c r="T73" s="419">
        <f t="shared" si="21"/>
        <v>268494.97999999992</v>
      </c>
      <c r="U73" s="423">
        <f t="shared" si="22"/>
        <v>1.8152679072454662E-2</v>
      </c>
      <c r="V73" s="420">
        <v>1727.84</v>
      </c>
      <c r="W73" s="420">
        <v>-5</v>
      </c>
      <c r="X73" s="420">
        <v>1388.49</v>
      </c>
      <c r="Y73" s="420">
        <f t="shared" si="17"/>
        <v>78183.950000000026</v>
      </c>
      <c r="Z73" s="424">
        <f t="shared" si="18"/>
        <v>1.8284873132223295E-2</v>
      </c>
    </row>
    <row r="74" spans="1:26" ht="11.25" customHeight="1" x14ac:dyDescent="0.3">
      <c r="A74" s="421">
        <f t="shared" si="0"/>
        <v>24</v>
      </c>
      <c r="B74" s="422">
        <v>45474</v>
      </c>
      <c r="C74" s="422">
        <v>45565</v>
      </c>
      <c r="D74" s="410">
        <f t="shared" si="1"/>
        <v>8470.7900000000009</v>
      </c>
      <c r="E74" s="352">
        <f t="shared" ref="E74:F74" si="78">I74+N74+S74+X74</f>
        <v>47123.93</v>
      </c>
      <c r="F74" s="352">
        <f t="shared" si="78"/>
        <v>793135.6399999999</v>
      </c>
      <c r="G74" s="296">
        <f t="shared" si="4"/>
        <v>6.3527634639633374E-2</v>
      </c>
      <c r="H74" s="419">
        <v>2651.04</v>
      </c>
      <c r="I74" s="419">
        <v>18444.8</v>
      </c>
      <c r="J74" s="419">
        <f t="shared" si="9"/>
        <v>314853.56</v>
      </c>
      <c r="K74" s="423">
        <f t="shared" si="5"/>
        <v>6.2507108163784547E-2</v>
      </c>
      <c r="L74" s="420">
        <v>518.47</v>
      </c>
      <c r="M74" s="420"/>
      <c r="N74" s="420">
        <v>6088.4</v>
      </c>
      <c r="O74" s="420">
        <f t="shared" si="6"/>
        <v>103721.13999999997</v>
      </c>
      <c r="P74" s="424">
        <f t="shared" si="7"/>
        <v>6.252624879837694E-2</v>
      </c>
      <c r="Q74" s="419">
        <v>3534.15</v>
      </c>
      <c r="R74" s="419">
        <v>-5</v>
      </c>
      <c r="S74" s="419">
        <v>17468.02</v>
      </c>
      <c r="T74" s="419">
        <f t="shared" si="21"/>
        <v>289492.14999999997</v>
      </c>
      <c r="U74" s="423">
        <f t="shared" si="22"/>
        <v>6.4633638636396831E-2</v>
      </c>
      <c r="V74" s="420">
        <v>1767.13</v>
      </c>
      <c r="W74" s="420">
        <v>-5</v>
      </c>
      <c r="X74" s="420">
        <v>5122.71</v>
      </c>
      <c r="Y74" s="420">
        <f t="shared" si="17"/>
        <v>85068.790000000037</v>
      </c>
      <c r="Z74" s="424">
        <f t="shared" si="18"/>
        <v>6.478906033659966E-2</v>
      </c>
    </row>
    <row r="75" spans="1:26" ht="11.25" customHeight="1" x14ac:dyDescent="0.3">
      <c r="A75" s="421">
        <f t="shared" si="0"/>
        <v>51</v>
      </c>
      <c r="B75" s="427">
        <v>45566</v>
      </c>
      <c r="C75" s="427">
        <v>45657</v>
      </c>
      <c r="D75" s="410">
        <f t="shared" si="1"/>
        <v>7875.74</v>
      </c>
      <c r="E75" s="352">
        <f t="shared" ref="E75:F75" si="79">I75+N75+S75+X75</f>
        <v>6634.9400000000005</v>
      </c>
      <c r="F75" s="352">
        <f t="shared" si="79"/>
        <v>807705.33</v>
      </c>
      <c r="G75" s="296">
        <f t="shared" si="4"/>
        <v>8.3241255878645382E-3</v>
      </c>
      <c r="H75" s="419">
        <v>2316.7199999999998</v>
      </c>
      <c r="I75" s="419">
        <v>2656.75</v>
      </c>
      <c r="J75" s="419">
        <f t="shared" si="9"/>
        <v>319827.02999999997</v>
      </c>
      <c r="K75" s="423">
        <f t="shared" si="5"/>
        <v>8.4071195795399119E-3</v>
      </c>
      <c r="L75" s="420">
        <v>272.89999999999998</v>
      </c>
      <c r="M75" s="420"/>
      <c r="N75" s="420">
        <v>881.97</v>
      </c>
      <c r="O75" s="420">
        <f t="shared" si="6"/>
        <v>104876.00999999997</v>
      </c>
      <c r="P75" s="424">
        <f t="shared" si="7"/>
        <v>8.4921092430509919E-3</v>
      </c>
      <c r="Q75" s="419">
        <v>3524.04</v>
      </c>
      <c r="R75" s="419">
        <v>56.15</v>
      </c>
      <c r="S75" s="419">
        <v>2399.9</v>
      </c>
      <c r="T75" s="419">
        <f t="shared" si="21"/>
        <v>295472.24</v>
      </c>
      <c r="U75" s="423">
        <f t="shared" si="22"/>
        <v>8.2398820246934162E-3</v>
      </c>
      <c r="V75" s="420">
        <v>1762.08</v>
      </c>
      <c r="W75" s="420">
        <v>2.86</v>
      </c>
      <c r="X75" s="420">
        <v>696.32</v>
      </c>
      <c r="Y75" s="420">
        <f t="shared" si="17"/>
        <v>87530.050000000047</v>
      </c>
      <c r="Z75" s="424">
        <f t="shared" si="18"/>
        <v>8.1014703577656846E-3</v>
      </c>
    </row>
    <row r="76" spans="1:26" ht="11.25" customHeight="1" x14ac:dyDescent="0.3">
      <c r="A76" s="421">
        <f t="shared" si="0"/>
        <v>65</v>
      </c>
      <c r="B76" s="422">
        <v>45658</v>
      </c>
      <c r="C76" s="422">
        <v>45747</v>
      </c>
      <c r="D76" s="410">
        <f t="shared" si="1"/>
        <v>8468.5</v>
      </c>
      <c r="E76" s="352">
        <f t="shared" ref="E76:F76" si="80">I76+N76+S76+X76</f>
        <v>-23233.47</v>
      </c>
      <c r="F76" s="352">
        <f t="shared" si="80"/>
        <v>792984.94</v>
      </c>
      <c r="G76" s="296">
        <f t="shared" si="4"/>
        <v>-2.8614776976385363E-2</v>
      </c>
      <c r="H76" s="419">
        <v>2754.64</v>
      </c>
      <c r="I76" s="419">
        <v>-9406.6200000000008</v>
      </c>
      <c r="J76" s="419">
        <f t="shared" si="9"/>
        <v>313175.05</v>
      </c>
      <c r="K76" s="423">
        <f t="shared" si="5"/>
        <v>-2.9285468892311085E-2</v>
      </c>
      <c r="L76" s="420">
        <v>427.74</v>
      </c>
      <c r="M76" s="420">
        <v>54.58</v>
      </c>
      <c r="N76" s="420">
        <v>-3072.99</v>
      </c>
      <c r="O76" s="420">
        <f t="shared" ref="O76:O81" si="81">O75+M76+L76+N76</f>
        <v>102285.33999999997</v>
      </c>
      <c r="P76" s="424">
        <f t="shared" si="7"/>
        <v>-2.9241540669758124E-2</v>
      </c>
      <c r="Q76" s="419">
        <v>3524.04</v>
      </c>
      <c r="R76" s="419">
        <v>-5</v>
      </c>
      <c r="S76" s="419">
        <v>-8273.32</v>
      </c>
      <c r="T76" s="419">
        <f t="shared" si="21"/>
        <v>290717.95999999996</v>
      </c>
      <c r="U76" s="423">
        <f t="shared" si="22"/>
        <v>-2.7834341842020497E-2</v>
      </c>
      <c r="V76" s="420">
        <v>1762.08</v>
      </c>
      <c r="W76" s="420">
        <v>-5</v>
      </c>
      <c r="X76" s="420">
        <v>-2480.54</v>
      </c>
      <c r="Y76" s="420">
        <f t="shared" si="17"/>
        <v>86806.590000000055</v>
      </c>
      <c r="Z76" s="424">
        <f t="shared" si="18"/>
        <v>-2.8056887433465631E-2</v>
      </c>
    </row>
    <row r="77" spans="1:26" ht="11.25" customHeight="1" x14ac:dyDescent="0.3">
      <c r="A77" s="421">
        <f t="shared" si="0"/>
        <v>10</v>
      </c>
      <c r="B77" s="422">
        <v>45748</v>
      </c>
      <c r="C77" s="422">
        <v>45838</v>
      </c>
      <c r="D77" s="410">
        <f t="shared" si="1"/>
        <v>8336.2599999999984</v>
      </c>
      <c r="E77" s="352">
        <f t="shared" ref="E77:F77" si="82">I77+N77+S77+X77</f>
        <v>78804.489999999991</v>
      </c>
      <c r="F77" s="352">
        <f t="shared" si="82"/>
        <v>880115.68999999983</v>
      </c>
      <c r="G77" s="296">
        <f t="shared" si="4"/>
        <v>9.885741266730616E-2</v>
      </c>
      <c r="H77" s="419">
        <v>2361.12</v>
      </c>
      <c r="I77" s="419">
        <v>31230.560000000001</v>
      </c>
      <c r="J77" s="419">
        <f t="shared" si="9"/>
        <v>346766.73</v>
      </c>
      <c r="K77" s="423">
        <f t="shared" si="5"/>
        <v>9.9347869121852173E-2</v>
      </c>
      <c r="L77" s="420">
        <v>627.36</v>
      </c>
      <c r="M77" s="420"/>
      <c r="N77" s="420">
        <v>10189.65</v>
      </c>
      <c r="O77" s="420">
        <f t="shared" si="81"/>
        <v>113102.34999999996</v>
      </c>
      <c r="P77" s="424">
        <f t="shared" si="7"/>
        <v>9.9315276110824482E-2</v>
      </c>
      <c r="Q77" s="419">
        <v>3565.16</v>
      </c>
      <c r="R77" s="419">
        <v>-5</v>
      </c>
      <c r="S77" s="419">
        <v>28737.85</v>
      </c>
      <c r="T77" s="419">
        <f t="shared" si="21"/>
        <v>323015.96999999991</v>
      </c>
      <c r="U77" s="423">
        <f t="shared" si="22"/>
        <v>9.8248878446515003E-2</v>
      </c>
      <c r="V77" s="420">
        <v>1782.62</v>
      </c>
      <c r="W77" s="420">
        <v>-5</v>
      </c>
      <c r="X77" s="420">
        <v>8646.43</v>
      </c>
      <c r="Y77" s="420">
        <f t="shared" si="17"/>
        <v>97230.640000000043</v>
      </c>
      <c r="Z77" s="424">
        <f t="shared" si="18"/>
        <v>9.8593352862497222E-2</v>
      </c>
    </row>
    <row r="78" spans="1:26" ht="11.25" customHeight="1" x14ac:dyDescent="0.3">
      <c r="A78" s="421">
        <f t="shared" si="0"/>
        <v>18</v>
      </c>
      <c r="B78" s="422">
        <v>45839</v>
      </c>
      <c r="C78" s="422">
        <v>45930</v>
      </c>
      <c r="D78" s="410">
        <f t="shared" si="1"/>
        <v>8512.1500000000015</v>
      </c>
      <c r="E78" s="352">
        <f t="shared" ref="E78:F78" si="83">I78+N78+S78+X78</f>
        <v>62574.47</v>
      </c>
      <c r="F78" s="352">
        <f t="shared" si="83"/>
        <v>951192.30999999994</v>
      </c>
      <c r="G78" s="296">
        <f t="shared" si="4"/>
        <v>7.0755843273671251E-2</v>
      </c>
      <c r="H78" s="419">
        <v>2754.64</v>
      </c>
      <c r="I78" s="419">
        <v>24277.07</v>
      </c>
      <c r="J78" s="419">
        <f t="shared" si="9"/>
        <v>373798.44</v>
      </c>
      <c r="K78" s="423">
        <f t="shared" si="5"/>
        <v>6.9732830418902755E-2</v>
      </c>
      <c r="L78" s="420">
        <v>228.13</v>
      </c>
      <c r="M78" s="420"/>
      <c r="N78" s="420">
        <v>7890.03</v>
      </c>
      <c r="O78" s="420">
        <f t="shared" si="81"/>
        <v>121220.50999999997</v>
      </c>
      <c r="P78" s="424">
        <f t="shared" si="7"/>
        <v>6.9689806023269699E-2</v>
      </c>
      <c r="Q78" s="419">
        <v>3686.25</v>
      </c>
      <c r="R78" s="419">
        <v>-5</v>
      </c>
      <c r="S78" s="419">
        <v>23348.720000000001</v>
      </c>
      <c r="T78" s="419">
        <f t="shared" si="21"/>
        <v>350045.93999999994</v>
      </c>
      <c r="U78" s="423">
        <f t="shared" si="22"/>
        <v>7.1873376363373806E-2</v>
      </c>
      <c r="V78" s="420">
        <v>1843.13</v>
      </c>
      <c r="W78" s="420">
        <v>-5</v>
      </c>
      <c r="X78" s="420">
        <v>7058.65</v>
      </c>
      <c r="Y78" s="420">
        <f t="shared" si="17"/>
        <v>106127.42000000004</v>
      </c>
      <c r="Z78" s="424">
        <f t="shared" si="18"/>
        <v>7.191534820842789E-2</v>
      </c>
    </row>
    <row r="79" spans="1:26" ht="11.25" customHeight="1" x14ac:dyDescent="0.3">
      <c r="A79" s="421">
        <f t="shared" si="0"/>
        <v>42</v>
      </c>
      <c r="B79" s="422">
        <v>45931</v>
      </c>
      <c r="C79" s="422">
        <v>46022</v>
      </c>
      <c r="D79" s="410">
        <f t="shared" si="1"/>
        <v>7950.88</v>
      </c>
      <c r="E79" s="352">
        <f t="shared" ref="E79:F79" si="84">I79+N79+S79+X79</f>
        <v>22107.989999999998</v>
      </c>
      <c r="F79" s="352">
        <f t="shared" si="84"/>
        <v>981285.71</v>
      </c>
      <c r="G79" s="296">
        <f t="shared" si="4"/>
        <v>2.3145662110137199E-2</v>
      </c>
      <c r="H79" s="419">
        <v>2362.08</v>
      </c>
      <c r="I79" s="419">
        <v>8987.66</v>
      </c>
      <c r="J79" s="419">
        <f t="shared" si="9"/>
        <v>385148.18</v>
      </c>
      <c r="K79" s="423">
        <f t="shared" si="5"/>
        <v>2.396840488444861E-2</v>
      </c>
      <c r="L79" s="420">
        <v>117.7</v>
      </c>
      <c r="M79" s="420"/>
      <c r="N79" s="420">
        <v>2907.64</v>
      </c>
      <c r="O79" s="420">
        <f t="shared" si="81"/>
        <v>124245.84999999996</v>
      </c>
      <c r="P79" s="424">
        <f t="shared" si="7"/>
        <v>2.3974730737365373E-2</v>
      </c>
      <c r="Q79" s="419">
        <v>3647.4</v>
      </c>
      <c r="R79" s="419">
        <v>33.979999999999997</v>
      </c>
      <c r="S79" s="419">
        <v>7831.87</v>
      </c>
      <c r="T79" s="419">
        <f t="shared" si="21"/>
        <v>361559.18999999994</v>
      </c>
      <c r="U79" s="423">
        <f t="shared" si="22"/>
        <v>2.2257873682992375E-2</v>
      </c>
      <c r="V79" s="420">
        <v>1823.7</v>
      </c>
      <c r="W79" s="420">
        <v>0.55000000000000004</v>
      </c>
      <c r="X79" s="420">
        <v>2380.8200000000002</v>
      </c>
      <c r="Y79" s="420">
        <f t="shared" si="17"/>
        <v>110332.49000000005</v>
      </c>
      <c r="Z79" s="424">
        <f t="shared" si="18"/>
        <v>2.2242491003535422E-2</v>
      </c>
    </row>
    <row r="80" spans="1:26" ht="11.25" customHeight="1" x14ac:dyDescent="0.3">
      <c r="A80" s="421">
        <f t="shared" si="0"/>
        <v>64</v>
      </c>
      <c r="B80" s="422">
        <v>46023</v>
      </c>
      <c r="C80" s="422">
        <v>46112</v>
      </c>
      <c r="D80" s="410">
        <f t="shared" si="1"/>
        <v>9490.0500000000011</v>
      </c>
      <c r="E80" s="352">
        <f t="shared" ref="E80:F80" si="85">I80+N80+S80+X80</f>
        <v>-26205.96</v>
      </c>
      <c r="F80" s="352">
        <f t="shared" si="85"/>
        <v>964559.79999999993</v>
      </c>
      <c r="G80" s="296">
        <f t="shared" si="4"/>
        <v>-2.6577224289058291E-2</v>
      </c>
      <c r="H80" s="419">
        <v>2898.86</v>
      </c>
      <c r="I80" s="419">
        <v>-10534.77</v>
      </c>
      <c r="J80" s="419">
        <f t="shared" si="9"/>
        <v>377512.26999999996</v>
      </c>
      <c r="K80" s="423">
        <f t="shared" si="5"/>
        <v>-2.7249961529767348E-2</v>
      </c>
      <c r="L80" s="420">
        <v>488.67</v>
      </c>
      <c r="M80" s="420"/>
      <c r="N80" s="420">
        <v>-3387.97</v>
      </c>
      <c r="O80" s="420">
        <f t="shared" si="81"/>
        <v>121346.54999999996</v>
      </c>
      <c r="P80" s="424">
        <f t="shared" si="7"/>
        <v>-2.7214755926340706E-2</v>
      </c>
      <c r="Q80" s="419">
        <v>4068.32</v>
      </c>
      <c r="R80" s="419">
        <v>-5</v>
      </c>
      <c r="S80" s="419">
        <v>-9700.08</v>
      </c>
      <c r="T80" s="419">
        <f t="shared" si="21"/>
        <v>355922.42999999993</v>
      </c>
      <c r="U80" s="423">
        <f t="shared" si="22"/>
        <v>-2.6678375718367793E-2</v>
      </c>
      <c r="V80" s="420">
        <v>2034.2</v>
      </c>
      <c r="W80" s="420">
        <v>-5</v>
      </c>
      <c r="X80" s="420">
        <v>-2583.14</v>
      </c>
      <c r="Y80" s="420">
        <f t="shared" si="17"/>
        <v>109778.55000000005</v>
      </c>
      <c r="Z80" s="424">
        <f t="shared" si="18"/>
        <v>-2.3198468894227619E-2</v>
      </c>
    </row>
    <row r="81" spans="1:26" ht="11.25" customHeight="1" x14ac:dyDescent="0.3">
      <c r="A81" s="421">
        <f t="shared" si="0"/>
        <v>9</v>
      </c>
      <c r="B81" s="422">
        <v>46113</v>
      </c>
      <c r="C81" s="422">
        <v>46144</v>
      </c>
      <c r="D81" s="410">
        <f t="shared" si="1"/>
        <v>3016.2799999999997</v>
      </c>
      <c r="E81" s="352">
        <f t="shared" ref="E81:F81" si="86">I81+N81+S81+X81</f>
        <v>95551.78</v>
      </c>
      <c r="F81" s="352">
        <f t="shared" si="86"/>
        <v>1063118.3599999999</v>
      </c>
      <c r="G81" s="296">
        <f t="shared" si="4"/>
        <v>9.8907929808746173E-2</v>
      </c>
      <c r="H81" s="419">
        <v>801.92</v>
      </c>
      <c r="I81" s="419">
        <v>38392.29</v>
      </c>
      <c r="J81" s="419">
        <f t="shared" si="9"/>
        <v>416706.47999999992</v>
      </c>
      <c r="K81" s="423">
        <f t="shared" si="5"/>
        <v>0.10159022482488904</v>
      </c>
      <c r="L81" s="420">
        <v>122.16</v>
      </c>
      <c r="M81" s="420">
        <v>0</v>
      </c>
      <c r="N81" s="420">
        <v>12336.72</v>
      </c>
      <c r="O81" s="420">
        <f t="shared" si="81"/>
        <v>133805.42999999996</v>
      </c>
      <c r="P81" s="424">
        <f t="shared" si="7"/>
        <v>0.10161404188517643</v>
      </c>
      <c r="Q81" s="419">
        <v>1394.79</v>
      </c>
      <c r="R81" s="419">
        <v>-4.75</v>
      </c>
      <c r="S81" s="419">
        <v>35157.93</v>
      </c>
      <c r="T81" s="419">
        <f t="shared" si="21"/>
        <v>392470.39999999991</v>
      </c>
      <c r="U81" s="423">
        <f t="shared" si="22"/>
        <v>9.8586583065032929E-2</v>
      </c>
      <c r="V81" s="420">
        <v>697.41</v>
      </c>
      <c r="W81" s="420">
        <v>-4.75</v>
      </c>
      <c r="X81" s="420">
        <v>9664.84</v>
      </c>
      <c r="Y81" s="420">
        <f t="shared" si="17"/>
        <v>120136.05000000005</v>
      </c>
      <c r="Z81" s="424">
        <f t="shared" si="18"/>
        <v>8.7760654708046573E-2</v>
      </c>
    </row>
    <row r="82" spans="1:26" ht="11.25" customHeight="1" x14ac:dyDescent="0.3">
      <c r="A82" s="435"/>
      <c r="B82" s="422">
        <f ca="1">TODAY()</f>
        <v>46157</v>
      </c>
      <c r="C82" s="436"/>
      <c r="D82" s="437">
        <f>-F81</f>
        <v>-1063118.3599999999</v>
      </c>
      <c r="E82" s="437"/>
      <c r="F82" s="437"/>
      <c r="G82" s="437"/>
      <c r="H82" s="437">
        <f>-J81</f>
        <v>-416706.47999999992</v>
      </c>
      <c r="I82" s="438"/>
      <c r="J82" s="437"/>
      <c r="K82" s="437"/>
      <c r="L82" s="437">
        <f>-O81</f>
        <v>-133805.42999999996</v>
      </c>
      <c r="M82" s="437"/>
      <c r="N82" s="438"/>
      <c r="O82" s="437"/>
      <c r="P82" s="437"/>
      <c r="Q82" s="437">
        <f>-T81</f>
        <v>-392470.39999999991</v>
      </c>
      <c r="R82" s="437"/>
      <c r="S82" s="437"/>
      <c r="T82" s="437"/>
      <c r="U82" s="437"/>
      <c r="V82" s="437">
        <f>-Y81</f>
        <v>-120136.05000000005</v>
      </c>
      <c r="W82" s="439"/>
      <c r="X82" s="439"/>
      <c r="Y82" s="439"/>
      <c r="Z82" s="439"/>
    </row>
    <row r="83" spans="1:26" ht="11.25" customHeight="1" x14ac:dyDescent="0.3">
      <c r="A83" s="415"/>
      <c r="B83" s="306"/>
      <c r="C83" s="417"/>
      <c r="D83" s="411"/>
      <c r="E83" s="411"/>
      <c r="F83" s="411"/>
      <c r="G83" s="411"/>
      <c r="H83" s="411"/>
      <c r="I83" s="411"/>
      <c r="J83" s="411"/>
      <c r="K83" s="411"/>
      <c r="L83" s="411"/>
      <c r="M83" s="411"/>
      <c r="N83" s="411"/>
      <c r="O83" s="411"/>
      <c r="P83" s="411"/>
      <c r="Q83" s="411"/>
      <c r="R83" s="411"/>
      <c r="S83" s="411"/>
      <c r="T83" s="411"/>
      <c r="U83" s="411"/>
      <c r="V83" s="199"/>
      <c r="W83" s="411"/>
      <c r="X83" s="414"/>
      <c r="Y83" s="199"/>
      <c r="Z83" s="199"/>
    </row>
    <row r="84" spans="1:26" ht="11.25" customHeight="1" x14ac:dyDescent="0.3">
      <c r="A84" s="415"/>
      <c r="B84" s="306"/>
      <c r="C84" s="417"/>
      <c r="D84" s="411"/>
      <c r="E84" s="411"/>
      <c r="F84" s="411"/>
      <c r="G84" s="411"/>
      <c r="H84" s="307"/>
      <c r="I84" s="307"/>
      <c r="J84" s="411"/>
      <c r="K84" s="411"/>
      <c r="L84" s="411"/>
      <c r="M84" s="411"/>
      <c r="N84" s="414"/>
      <c r="O84" s="411"/>
      <c r="P84" s="411"/>
      <c r="Q84" s="411"/>
      <c r="R84" s="411"/>
      <c r="S84" s="411"/>
      <c r="T84" s="411"/>
      <c r="U84" s="411"/>
      <c r="V84" s="199"/>
      <c r="W84" s="411"/>
      <c r="X84" s="414"/>
      <c r="Y84" s="199"/>
      <c r="Z84" s="199"/>
    </row>
    <row r="85" spans="1:26" ht="11.25" customHeight="1" x14ac:dyDescent="0.3">
      <c r="A85" s="304" t="s">
        <v>627</v>
      </c>
      <c r="B85" s="306"/>
      <c r="C85" s="417"/>
      <c r="D85" s="411"/>
      <c r="E85" s="411"/>
      <c r="F85" s="411"/>
      <c r="G85" s="411"/>
      <c r="H85" s="412"/>
      <c r="I85" s="307"/>
      <c r="J85" s="411"/>
      <c r="K85" s="411"/>
      <c r="L85" s="411"/>
      <c r="M85" s="411"/>
      <c r="N85" s="411"/>
      <c r="O85" s="411"/>
      <c r="P85" s="411"/>
      <c r="Q85" s="411"/>
      <c r="R85" s="411"/>
      <c r="S85" s="411"/>
      <c r="T85" s="411"/>
      <c r="U85" s="411"/>
      <c r="V85" s="199"/>
      <c r="W85" s="411"/>
      <c r="X85" s="411"/>
      <c r="Y85" s="199"/>
      <c r="Z85" s="199"/>
    </row>
    <row r="86" spans="1:26" ht="11.25" customHeight="1" x14ac:dyDescent="0.3">
      <c r="A86" s="304">
        <f>COUNTIF(E7:E82,"&gt;0")</f>
        <v>58</v>
      </c>
      <c r="B86" s="306"/>
      <c r="C86" s="417"/>
      <c r="D86" s="411"/>
      <c r="E86" s="411"/>
      <c r="F86" s="411"/>
      <c r="G86" s="411"/>
      <c r="H86" s="199"/>
      <c r="I86" s="307"/>
      <c r="J86" s="411"/>
      <c r="K86" s="411"/>
      <c r="L86" s="411"/>
      <c r="M86" s="411"/>
      <c r="N86" s="411"/>
      <c r="O86" s="411"/>
      <c r="P86" s="411"/>
      <c r="Q86" s="411"/>
      <c r="R86" s="411"/>
      <c r="S86" s="411"/>
      <c r="T86" s="411"/>
      <c r="U86" s="411"/>
      <c r="V86" s="199"/>
      <c r="W86" s="411"/>
      <c r="X86" s="411"/>
      <c r="Y86" s="199"/>
      <c r="Z86" s="199"/>
    </row>
    <row r="87" spans="1:26" ht="11.25" customHeight="1" x14ac:dyDescent="0.3">
      <c r="A87" s="304" t="s">
        <v>628</v>
      </c>
      <c r="B87" s="306"/>
      <c r="C87" s="417"/>
      <c r="D87" s="411"/>
      <c r="E87" s="411"/>
      <c r="F87" s="411"/>
      <c r="G87" s="411"/>
      <c r="H87" s="199"/>
      <c r="I87" s="307"/>
      <c r="J87" s="411"/>
      <c r="K87" s="411"/>
      <c r="L87" s="411"/>
      <c r="M87" s="411"/>
      <c r="N87" s="411"/>
      <c r="O87" s="411"/>
      <c r="P87" s="411"/>
      <c r="Q87" s="411"/>
      <c r="R87" s="411"/>
      <c r="S87" s="411"/>
      <c r="T87" s="411"/>
      <c r="U87" s="411"/>
      <c r="V87" s="411"/>
      <c r="W87" s="411"/>
      <c r="X87" s="411"/>
      <c r="Y87" s="199"/>
      <c r="Z87" s="199"/>
    </row>
    <row r="88" spans="1:26" ht="11.25" customHeight="1" x14ac:dyDescent="0.3">
      <c r="A88" s="307">
        <f>(SUMIFS(G7:G82,E7:E82,"&gt;0"))/A86</f>
        <v>5.6334502509922932E-2</v>
      </c>
      <c r="B88" s="306"/>
      <c r="C88" s="417"/>
      <c r="D88" s="411"/>
      <c r="E88" s="411"/>
      <c r="F88" s="411"/>
      <c r="G88" s="411"/>
      <c r="H88" s="307"/>
      <c r="I88" s="307"/>
      <c r="J88" s="411"/>
      <c r="K88" s="411"/>
      <c r="L88" s="411"/>
      <c r="M88" s="411"/>
      <c r="N88" s="307"/>
      <c r="O88" s="411"/>
      <c r="P88" s="411"/>
      <c r="Q88" s="411"/>
      <c r="R88" s="411"/>
      <c r="S88" s="411"/>
      <c r="T88" s="411"/>
      <c r="U88" s="411"/>
      <c r="V88" s="411"/>
      <c r="W88" s="411"/>
      <c r="X88" s="307"/>
      <c r="Y88" s="199"/>
      <c r="Z88" s="199"/>
    </row>
    <row r="89" spans="1:26" ht="11.25" customHeight="1" x14ac:dyDescent="0.3">
      <c r="A89" s="304" t="s">
        <v>629</v>
      </c>
      <c r="B89" s="306"/>
      <c r="C89" s="417"/>
      <c r="D89" s="411"/>
      <c r="E89" s="411"/>
      <c r="F89" s="411"/>
      <c r="G89" s="411"/>
      <c r="H89" s="307"/>
      <c r="I89" s="307"/>
      <c r="J89" s="307"/>
      <c r="K89" s="307"/>
      <c r="L89" s="307"/>
      <c r="M89" s="307"/>
      <c r="N89" s="307"/>
      <c r="O89" s="411"/>
      <c r="P89" s="411"/>
      <c r="Q89" s="411"/>
      <c r="R89" s="411"/>
      <c r="S89" s="411"/>
      <c r="T89" s="411"/>
      <c r="U89" s="411"/>
      <c r="V89" s="199"/>
      <c r="W89" s="199"/>
      <c r="X89" s="199"/>
      <c r="Y89" s="199"/>
      <c r="Z89" s="199"/>
    </row>
    <row r="90" spans="1:26" ht="11.25" customHeight="1" x14ac:dyDescent="0.3">
      <c r="A90" s="304">
        <f>COUNTIF(E7:E82,"&lt;0")</f>
        <v>17</v>
      </c>
    </row>
    <row r="91" spans="1:26" ht="11.25" customHeight="1" x14ac:dyDescent="0.3">
      <c r="A91" s="304" t="s">
        <v>630</v>
      </c>
    </row>
    <row r="92" spans="1:26" ht="11.25" customHeight="1" x14ac:dyDescent="0.3">
      <c r="A92" s="307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631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632</v>
      </c>
    </row>
    <row r="98" spans="1:1" ht="15" customHeight="1" x14ac:dyDescent="0.3">
      <c r="A98" s="50">
        <f>AVERAGE(G9,G13,G17,G21,G25,G29,G33,G37,G41,G45,G49,G53,G57,G61,G65,G69,G73,G77)</f>
        <v>2.7264347192975175E-2</v>
      </c>
    </row>
    <row r="99" spans="1:1" ht="15" customHeight="1" x14ac:dyDescent="0.3">
      <c r="A99" s="50" t="s">
        <v>633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634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40" t="s">
        <v>635</v>
      </c>
      <c r="C1" s="441">
        <f ca="1">TODAY()</f>
        <v>46157</v>
      </c>
      <c r="D1" s="575" t="s">
        <v>636</v>
      </c>
      <c r="E1" s="564"/>
      <c r="F1" s="575" t="s">
        <v>637</v>
      </c>
      <c r="G1" s="564"/>
      <c r="H1" s="575" t="s">
        <v>638</v>
      </c>
      <c r="I1" s="564"/>
      <c r="J1" s="575" t="s">
        <v>639</v>
      </c>
      <c r="K1" s="564"/>
      <c r="L1" s="442"/>
      <c r="M1" s="442"/>
      <c r="N1" s="443">
        <f>R1/Q1</f>
        <v>0.21977797398773583</v>
      </c>
      <c r="O1" s="576" t="s">
        <v>640</v>
      </c>
      <c r="P1" s="558"/>
      <c r="Q1" s="444">
        <f>'Retirement Calculator'!B3</f>
        <v>469836.83999999991</v>
      </c>
      <c r="R1" s="445">
        <f>SUM(R3:R9)</f>
        <v>103259.78879999998</v>
      </c>
    </row>
    <row r="2" spans="2:18" ht="11.25" customHeight="1" x14ac:dyDescent="0.3">
      <c r="B2" s="440" t="s">
        <v>641</v>
      </c>
      <c r="C2" s="441">
        <f>'Retirement Calculator'!D6</f>
        <v>51288</v>
      </c>
      <c r="D2" s="446" t="s">
        <v>562</v>
      </c>
      <c r="E2" s="447">
        <f>B13</f>
        <v>104249.60000000001</v>
      </c>
      <c r="F2" s="446" t="s">
        <v>562</v>
      </c>
      <c r="G2" s="447">
        <f>C13</f>
        <v>18000</v>
      </c>
      <c r="H2" s="446" t="s">
        <v>562</v>
      </c>
      <c r="I2" s="447">
        <f>D13</f>
        <v>162500</v>
      </c>
      <c r="J2" s="446" t="s">
        <v>562</v>
      </c>
      <c r="K2" s="447">
        <f>I2</f>
        <v>162500</v>
      </c>
      <c r="L2" s="442"/>
      <c r="M2" s="442"/>
      <c r="N2" s="448" t="s">
        <v>576</v>
      </c>
      <c r="O2" s="449" t="s">
        <v>642</v>
      </c>
      <c r="P2" s="449" t="s">
        <v>643</v>
      </c>
      <c r="Q2" s="450" t="s">
        <v>644</v>
      </c>
      <c r="R2" s="451" t="s">
        <v>645</v>
      </c>
    </row>
    <row r="3" spans="2:18" ht="11.25" customHeight="1" x14ac:dyDescent="0.3">
      <c r="B3" s="440" t="s">
        <v>646</v>
      </c>
      <c r="C3" s="449">
        <f ca="1">(C2-C1)/365.25</f>
        <v>14.047912388774812</v>
      </c>
      <c r="D3" s="440" t="s">
        <v>647</v>
      </c>
      <c r="E3" s="452">
        <f ca="1">'TSP-401K'!J4</f>
        <v>0.11304067969322204</v>
      </c>
      <c r="F3" s="440" t="s">
        <v>647</v>
      </c>
      <c r="G3" s="452">
        <f ca="1">'TSP-401K'!O4</f>
        <v>0.11013512015342714</v>
      </c>
      <c r="H3" s="440" t="s">
        <v>647</v>
      </c>
      <c r="I3" s="452">
        <f ca="1">'TSP-401K'!T4</f>
        <v>0.11041557192802429</v>
      </c>
      <c r="J3" s="440" t="s">
        <v>647</v>
      </c>
      <c r="K3" s="452">
        <f ca="1">'TSP-401K'!Y4</f>
        <v>0.11101725697517392</v>
      </c>
      <c r="L3" s="442"/>
      <c r="M3" s="442"/>
      <c r="N3" s="453">
        <v>0.1</v>
      </c>
      <c r="O3" s="447">
        <v>0</v>
      </c>
      <c r="P3" s="447">
        <v>24800</v>
      </c>
      <c r="Q3" s="447">
        <f>IF($Q$1&gt;P3,P3,$Q$1-Q3)</f>
        <v>24800</v>
      </c>
      <c r="R3" s="454">
        <f t="shared" ref="R3:R9" si="0">Q3*N3</f>
        <v>2480</v>
      </c>
    </row>
    <row r="4" spans="2:18" ht="11.25" customHeight="1" x14ac:dyDescent="0.3">
      <c r="B4" s="446" t="s">
        <v>648</v>
      </c>
      <c r="C4" s="441">
        <f>'Retirement Calculator'!D7</f>
        <v>51288</v>
      </c>
      <c r="D4" s="440"/>
      <c r="E4" s="452"/>
      <c r="F4" s="440"/>
      <c r="G4" s="452"/>
      <c r="H4" s="440"/>
      <c r="I4" s="452"/>
      <c r="J4" s="440"/>
      <c r="K4" s="452"/>
      <c r="L4" s="442"/>
      <c r="M4" s="442"/>
      <c r="N4" s="453">
        <v>0.12</v>
      </c>
      <c r="O4" s="447">
        <f t="shared" ref="O4:O9" si="1">P3+0.01</f>
        <v>24800.01</v>
      </c>
      <c r="P4" s="447">
        <v>100800</v>
      </c>
      <c r="Q4" s="447">
        <f>IF($Q$1&gt;P4,P4-Q3,$Q$1-Q3)</f>
        <v>76000</v>
      </c>
      <c r="R4" s="454">
        <f t="shared" si="0"/>
        <v>9120</v>
      </c>
    </row>
    <row r="5" spans="2:18" ht="11.25" customHeight="1" x14ac:dyDescent="0.3">
      <c r="B5" s="446" t="s">
        <v>649</v>
      </c>
      <c r="C5" s="449">
        <f ca="1">(C4-C1)/365.25</f>
        <v>14.047912388774812</v>
      </c>
      <c r="D5" s="440"/>
      <c r="E5" s="452"/>
      <c r="F5" s="440"/>
      <c r="G5" s="452"/>
      <c r="H5" s="440"/>
      <c r="I5" s="452"/>
      <c r="J5" s="440"/>
      <c r="K5" s="452"/>
      <c r="L5" s="455"/>
      <c r="M5" s="442"/>
      <c r="N5" s="453">
        <v>0.22</v>
      </c>
      <c r="O5" s="447">
        <f t="shared" si="1"/>
        <v>100800.01</v>
      </c>
      <c r="P5" s="447">
        <v>211400</v>
      </c>
      <c r="Q5" s="447">
        <f>IF($Q$1&gt;P5,P5-Q4-Q3,$Q$1-Q4-Q3)</f>
        <v>110600</v>
      </c>
      <c r="R5" s="454">
        <f t="shared" si="0"/>
        <v>24332</v>
      </c>
    </row>
    <row r="6" spans="2:18" ht="11.25" customHeight="1" x14ac:dyDescent="0.3">
      <c r="B6" s="440" t="s">
        <v>650</v>
      </c>
      <c r="C6" s="456">
        <f>E6+G6+I6+K6</f>
        <v>1063118.3599999999</v>
      </c>
      <c r="D6" s="440" t="s">
        <v>651</v>
      </c>
      <c r="E6" s="456">
        <f>'TSP-401K'!H82*-1</f>
        <v>416706.47999999992</v>
      </c>
      <c r="F6" s="440" t="s">
        <v>651</v>
      </c>
      <c r="G6" s="456">
        <f>'TSP-401K'!L82*-1</f>
        <v>133805.42999999996</v>
      </c>
      <c r="H6" s="440" t="s">
        <v>651</v>
      </c>
      <c r="I6" s="456">
        <f>'TSP-401K'!Q82*-1</f>
        <v>392470.39999999991</v>
      </c>
      <c r="J6" s="440" t="s">
        <v>651</v>
      </c>
      <c r="K6" s="456">
        <f>'TSP-401K'!V82*-1</f>
        <v>120136.05000000005</v>
      </c>
      <c r="L6" s="457"/>
      <c r="M6" s="442"/>
      <c r="N6" s="453">
        <v>0.24</v>
      </c>
      <c r="O6" s="447">
        <f t="shared" si="1"/>
        <v>211400.01</v>
      </c>
      <c r="P6" s="447">
        <v>403550</v>
      </c>
      <c r="Q6" s="447">
        <f>IF($Q$1&gt;P6,P6-Q5-Q4-Q3,$Q$1-Q5-Q4-Q3)</f>
        <v>192150</v>
      </c>
      <c r="R6" s="454">
        <f t="shared" si="0"/>
        <v>46116</v>
      </c>
    </row>
    <row r="7" spans="2:18" ht="11.25" customHeight="1" x14ac:dyDescent="0.3">
      <c r="B7" s="440"/>
      <c r="C7" s="450"/>
      <c r="D7" s="440"/>
      <c r="E7" s="450"/>
      <c r="F7" s="440"/>
      <c r="G7" s="450"/>
      <c r="H7" s="440"/>
      <c r="I7" s="450"/>
      <c r="J7" s="440"/>
      <c r="K7" s="450"/>
      <c r="L7" s="455"/>
      <c r="M7" s="442"/>
      <c r="N7" s="453">
        <v>0.32</v>
      </c>
      <c r="O7" s="447">
        <f t="shared" si="1"/>
        <v>403550.01</v>
      </c>
      <c r="P7" s="447">
        <v>512450</v>
      </c>
      <c r="Q7" s="447">
        <f>IF($Q$1&gt;P7,P7-Q6-Q5-Q4-Q3,$Q$1-Q6-Q5-Q4-Q3)</f>
        <v>66286.839999999909</v>
      </c>
      <c r="R7" s="454">
        <f t="shared" si="0"/>
        <v>21211.788799999973</v>
      </c>
    </row>
    <row r="8" spans="2:18" ht="11.25" customHeight="1" x14ac:dyDescent="0.3">
      <c r="B8" s="440" t="s">
        <v>652</v>
      </c>
      <c r="C8" s="456">
        <f ca="1">E8+G8+I8+K8</f>
        <v>6339561.8684488498</v>
      </c>
      <c r="D8" s="440" t="s">
        <v>653</v>
      </c>
      <c r="E8" s="456">
        <f ca="1">FV(E3/26,C3*26,-(E2*0.1)/26,-E6,1)</f>
        <v>2391413.7174335625</v>
      </c>
      <c r="F8" s="440" t="s">
        <v>653</v>
      </c>
      <c r="G8" s="456">
        <f ca="1">FV(G3/12,12*C3,-(G2*0.1)/12,-G6,1)</f>
        <v>684668.00855479867</v>
      </c>
      <c r="H8" s="440" t="s">
        <v>653</v>
      </c>
      <c r="I8" s="456">
        <f ca="1">FV(I3/24,C5*24,-(I2*0.1)/24,-I6,1)</f>
        <v>2391620.9044267652</v>
      </c>
      <c r="J8" s="440" t="s">
        <v>653</v>
      </c>
      <c r="K8" s="456">
        <f ca="1">FV(K3/24,C5*24,-(K2*0.055)/24,-K6,1)</f>
        <v>871859.2380337232</v>
      </c>
      <c r="L8" s="455"/>
      <c r="M8" s="442"/>
      <c r="N8" s="453">
        <v>0.35</v>
      </c>
      <c r="O8" s="447">
        <f t="shared" si="1"/>
        <v>512450.01</v>
      </c>
      <c r="P8" s="447">
        <v>768700</v>
      </c>
      <c r="Q8" s="447">
        <f>IF($Q$1&gt;P8,P8-Q7-Q6-Q5-Q4-Q3,$Q$1-Q7-Q6-Q5-Q4-Q3)</f>
        <v>0</v>
      </c>
      <c r="R8" s="454">
        <f t="shared" si="0"/>
        <v>0</v>
      </c>
    </row>
    <row r="9" spans="2:18" ht="11.25" customHeight="1" x14ac:dyDescent="0.3">
      <c r="B9" s="457"/>
      <c r="C9" s="456"/>
      <c r="D9" s="457"/>
      <c r="E9" s="455"/>
      <c r="F9" s="457"/>
      <c r="G9" s="458"/>
      <c r="H9" s="457"/>
      <c r="I9" s="458"/>
      <c r="J9" s="457"/>
      <c r="K9" s="458"/>
      <c r="L9" s="455"/>
      <c r="M9" s="442"/>
      <c r="N9" s="459">
        <v>0.37</v>
      </c>
      <c r="O9" s="460">
        <f t="shared" si="1"/>
        <v>768700.01</v>
      </c>
      <c r="P9" s="460">
        <v>10000000</v>
      </c>
      <c r="Q9" s="460">
        <f>IF($Q$1&gt;P9,P9-Q8-Q7,$Q$1-Q8-Q7-Q6-Q5-Q4-Q3)</f>
        <v>0</v>
      </c>
      <c r="R9" s="461">
        <f t="shared" si="0"/>
        <v>0</v>
      </c>
    </row>
    <row r="10" spans="2:18" ht="11.25" customHeight="1" x14ac:dyDescent="0.3">
      <c r="B10" s="457"/>
      <c r="C10" s="455"/>
      <c r="D10" s="457"/>
      <c r="E10" s="455"/>
      <c r="F10" s="457"/>
      <c r="G10" s="458"/>
      <c r="H10" s="457"/>
      <c r="I10" s="458"/>
      <c r="J10" s="457"/>
      <c r="K10" s="458"/>
      <c r="L10" s="455"/>
      <c r="M10" s="442"/>
      <c r="N10" s="462"/>
      <c r="O10" s="462"/>
      <c r="P10" s="462"/>
      <c r="Q10" s="463"/>
      <c r="R10" s="455"/>
    </row>
    <row r="11" spans="2:18" ht="11.25" customHeight="1" x14ac:dyDescent="0.3">
      <c r="B11" s="464"/>
      <c r="C11" s="455"/>
      <c r="D11" s="442"/>
      <c r="E11" s="455"/>
      <c r="F11" s="442"/>
      <c r="G11" s="455"/>
      <c r="H11" s="442"/>
      <c r="I11" s="455"/>
      <c r="J11" s="442"/>
      <c r="K11" s="455"/>
      <c r="L11" s="455"/>
      <c r="M11" s="442"/>
      <c r="N11" s="462"/>
      <c r="O11" s="462"/>
      <c r="P11" s="462"/>
      <c r="Q11" s="463"/>
      <c r="R11" s="455"/>
    </row>
    <row r="12" spans="2:18" ht="11.25" customHeight="1" x14ac:dyDescent="0.3">
      <c r="B12" s="457" t="s">
        <v>654</v>
      </c>
      <c r="C12" s="457" t="s">
        <v>578</v>
      </c>
      <c r="D12" s="457" t="s">
        <v>655</v>
      </c>
      <c r="E12" s="465" t="s">
        <v>656</v>
      </c>
      <c r="F12" s="455"/>
      <c r="G12" s="457"/>
      <c r="H12" s="442"/>
      <c r="I12" s="457" t="s">
        <v>565</v>
      </c>
      <c r="J12" s="457" t="s">
        <v>566</v>
      </c>
      <c r="K12" s="457" t="s">
        <v>567</v>
      </c>
      <c r="L12" s="457" t="s">
        <v>568</v>
      </c>
      <c r="M12" s="442"/>
      <c r="N12" s="462"/>
      <c r="O12" s="462"/>
      <c r="P12" s="462"/>
      <c r="Q12" s="463"/>
      <c r="R12" s="455"/>
    </row>
    <row r="13" spans="2:18" ht="11.25" customHeight="1" x14ac:dyDescent="0.3">
      <c r="B13" s="466">
        <f>'Retirement Calculator'!D2</f>
        <v>104249.60000000001</v>
      </c>
      <c r="C13" s="466">
        <f>'Retirement Calculator'!D3</f>
        <v>18000</v>
      </c>
      <c r="D13" s="466">
        <f>'Retirement Calculator'!D1</f>
        <v>162500</v>
      </c>
      <c r="E13" s="463">
        <f>B13+C13+D13</f>
        <v>284749.59999999998</v>
      </c>
      <c r="F13" s="455"/>
      <c r="G13" s="467">
        <v>31590</v>
      </c>
      <c r="H13" s="442" t="s">
        <v>657</v>
      </c>
      <c r="I13" s="468">
        <f>'Retirement Calculator'!F2</f>
        <v>2420</v>
      </c>
      <c r="J13" s="468">
        <f>'Retirement Calculator'!G2</f>
        <v>3519</v>
      </c>
      <c r="K13" s="468">
        <f>'Retirement Calculator'!H2</f>
        <v>4397</v>
      </c>
      <c r="L13" s="468">
        <f>'Retirement Calculator'!I2</f>
        <v>3120</v>
      </c>
      <c r="M13" s="442"/>
      <c r="N13" s="462"/>
      <c r="O13" s="462"/>
      <c r="P13" s="462"/>
      <c r="Q13" s="463"/>
      <c r="R13" s="455"/>
    </row>
    <row r="14" spans="2:18" ht="11.25" customHeight="1" x14ac:dyDescent="0.3">
      <c r="B14" s="466"/>
      <c r="C14" s="468"/>
      <c r="D14" s="468"/>
      <c r="E14" s="463"/>
      <c r="F14" s="455"/>
      <c r="G14" s="467">
        <v>29906</v>
      </c>
      <c r="H14" s="442" t="s">
        <v>658</v>
      </c>
      <c r="I14" s="468">
        <f>'Retirement Calculator'!F3</f>
        <v>2192</v>
      </c>
      <c r="J14" s="468">
        <f>'Retirement Calculator'!G3</f>
        <v>3197</v>
      </c>
      <c r="K14" s="468">
        <f>'Retirement Calculator'!H3</f>
        <v>4019</v>
      </c>
      <c r="L14" s="468">
        <f>'Retirement Calculator'!I3</f>
        <v>2765</v>
      </c>
      <c r="M14" s="442"/>
      <c r="N14" s="462"/>
      <c r="O14" s="462"/>
      <c r="P14" s="462"/>
      <c r="Q14" s="463"/>
      <c r="R14" s="455"/>
    </row>
    <row r="15" spans="2:18" ht="11.25" customHeight="1" x14ac:dyDescent="0.3">
      <c r="B15" s="466"/>
      <c r="C15" s="468"/>
      <c r="D15" s="468"/>
      <c r="E15" s="463"/>
      <c r="F15" s="455"/>
      <c r="G15" s="467"/>
      <c r="H15" s="442"/>
      <c r="I15" s="468"/>
      <c r="J15" s="468"/>
      <c r="K15" s="468"/>
      <c r="L15" s="468"/>
      <c r="M15" s="442"/>
      <c r="N15" s="462"/>
      <c r="O15" s="462"/>
      <c r="P15" s="462"/>
      <c r="Q15" s="463"/>
      <c r="R15" s="455"/>
    </row>
    <row r="16" spans="2:18" ht="11.25" customHeight="1" x14ac:dyDescent="0.3">
      <c r="B16" s="466" t="s">
        <v>659</v>
      </c>
      <c r="C16" s="466" t="s">
        <v>660</v>
      </c>
      <c r="D16" s="468"/>
      <c r="E16" s="463"/>
      <c r="F16" s="455"/>
      <c r="G16" s="442"/>
      <c r="H16" s="455"/>
      <c r="I16" s="442"/>
      <c r="J16" s="442"/>
      <c r="K16" s="455"/>
      <c r="L16" s="455"/>
      <c r="M16" s="442"/>
      <c r="N16" s="462"/>
      <c r="O16" s="462"/>
      <c r="P16" s="462"/>
      <c r="Q16" s="463"/>
      <c r="R16" s="455"/>
    </row>
    <row r="17" spans="2:11" ht="11.25" customHeight="1" x14ac:dyDescent="0.3">
      <c r="B17" s="462">
        <f>(C2-B18)/365.25</f>
        <v>33.040383299110196</v>
      </c>
      <c r="C17" s="469">
        <f>'Retirement Calculator'!B2</f>
        <v>0.65</v>
      </c>
      <c r="D17" s="468"/>
      <c r="E17" s="468"/>
      <c r="F17" s="455"/>
      <c r="G17" s="442"/>
      <c r="H17" s="455"/>
      <c r="I17" s="442"/>
      <c r="J17" s="442"/>
      <c r="K17" s="455"/>
    </row>
    <row r="18" spans="2:11" ht="11.25" customHeight="1" x14ac:dyDescent="0.3">
      <c r="B18" s="467">
        <v>39220</v>
      </c>
      <c r="C18" s="466">
        <f>E13*(1+C17)</f>
        <v>469836.83999999991</v>
      </c>
      <c r="D18" s="468"/>
      <c r="E18" s="468"/>
      <c r="F18" s="455"/>
      <c r="G18" s="442"/>
      <c r="H18" s="457" t="s">
        <v>661</v>
      </c>
      <c r="I18" s="442"/>
      <c r="J18" s="442"/>
      <c r="K18" s="442"/>
    </row>
    <row r="19" spans="2:11" ht="11.25" customHeight="1" x14ac:dyDescent="0.3">
      <c r="B19" s="455"/>
      <c r="C19" s="466"/>
      <c r="D19" s="468"/>
      <c r="E19" s="468"/>
      <c r="F19" s="442"/>
      <c r="G19" s="442"/>
      <c r="H19" s="470">
        <v>71</v>
      </c>
      <c r="I19" s="468">
        <f t="shared" ref="I19:I33" si="2">(I$14*12)*($H19-62)</f>
        <v>236736</v>
      </c>
      <c r="J19" s="468">
        <f t="shared" ref="J19:J33" si="3">(J$14*12)*($H19-67)</f>
        <v>153456</v>
      </c>
      <c r="K19" s="468">
        <f t="shared" ref="K19:K33" si="4">(K$14*12)*($H19-70)</f>
        <v>48228</v>
      </c>
    </row>
    <row r="20" spans="2:11" ht="11.25" customHeight="1" x14ac:dyDescent="0.3">
      <c r="B20" s="455"/>
      <c r="C20" s="466"/>
      <c r="D20" s="468"/>
      <c r="E20" s="468"/>
      <c r="F20" s="442"/>
      <c r="G20" s="442"/>
      <c r="H20" s="470">
        <v>72</v>
      </c>
      <c r="I20" s="468">
        <f t="shared" si="2"/>
        <v>263040</v>
      </c>
      <c r="J20" s="468">
        <f t="shared" si="3"/>
        <v>191820</v>
      </c>
      <c r="K20" s="468">
        <f t="shared" si="4"/>
        <v>96456</v>
      </c>
    </row>
    <row r="21" spans="2:11" ht="11.25" customHeight="1" x14ac:dyDescent="0.3">
      <c r="B21" s="455" t="s">
        <v>662</v>
      </c>
      <c r="C21" s="466" t="s">
        <v>663</v>
      </c>
      <c r="D21" s="466" t="s">
        <v>664</v>
      </c>
      <c r="E21" s="468" t="s">
        <v>665</v>
      </c>
      <c r="F21" s="442"/>
      <c r="G21" s="442"/>
      <c r="H21" s="470">
        <v>73</v>
      </c>
      <c r="I21" s="468">
        <f t="shared" si="2"/>
        <v>289344</v>
      </c>
      <c r="J21" s="468">
        <f t="shared" si="3"/>
        <v>230184</v>
      </c>
      <c r="K21" s="468">
        <f t="shared" si="4"/>
        <v>144684</v>
      </c>
    </row>
    <row r="22" spans="2:11" ht="11.25" customHeight="1" x14ac:dyDescent="0.3">
      <c r="B22" s="455">
        <f>B13*(B17*0.01)</f>
        <v>34444.46742778919</v>
      </c>
      <c r="C22" s="466">
        <f>C24*12</f>
        <v>42305.438109374998</v>
      </c>
      <c r="D22" s="466">
        <f>B22+C22</f>
        <v>76749.905537164188</v>
      </c>
      <c r="E22" s="471">
        <f>D22/(B13+C13)</f>
        <v>0.62781314243289288</v>
      </c>
      <c r="F22" s="442"/>
      <c r="G22" s="442"/>
      <c r="H22" s="470">
        <v>74</v>
      </c>
      <c r="I22" s="468">
        <f t="shared" si="2"/>
        <v>315648</v>
      </c>
      <c r="J22" s="468">
        <f t="shared" si="3"/>
        <v>268548</v>
      </c>
      <c r="K22" s="468">
        <f t="shared" si="4"/>
        <v>192912</v>
      </c>
    </row>
    <row r="23" spans="2:11" ht="11.25" customHeight="1" x14ac:dyDescent="0.3">
      <c r="B23" s="457" t="s">
        <v>666</v>
      </c>
      <c r="C23" s="457" t="s">
        <v>667</v>
      </c>
      <c r="D23" s="457" t="s">
        <v>668</v>
      </c>
      <c r="E23" s="442"/>
      <c r="F23" s="457"/>
      <c r="G23" s="457"/>
      <c r="H23" s="470">
        <v>75</v>
      </c>
      <c r="I23" s="468">
        <f t="shared" si="2"/>
        <v>341952</v>
      </c>
      <c r="J23" s="468">
        <f t="shared" si="3"/>
        <v>306912</v>
      </c>
      <c r="K23" s="468">
        <f t="shared" si="4"/>
        <v>241140</v>
      </c>
    </row>
    <row r="24" spans="2:11" ht="11.25" customHeight="1" x14ac:dyDescent="0.3">
      <c r="B24" s="466">
        <f>B22/12</f>
        <v>2870.372285649099</v>
      </c>
      <c r="C24" s="466">
        <f>AVERAGE('Guard Ret Calc'!I23:I24)</f>
        <v>3525.4531757812501</v>
      </c>
      <c r="D24" s="466">
        <f>B24+C24</f>
        <v>6395.8254614303496</v>
      </c>
      <c r="E24" s="442"/>
      <c r="F24" s="457"/>
      <c r="G24" s="466"/>
      <c r="H24" s="470">
        <v>76</v>
      </c>
      <c r="I24" s="468">
        <f t="shared" si="2"/>
        <v>368256</v>
      </c>
      <c r="J24" s="468">
        <f t="shared" si="3"/>
        <v>345276</v>
      </c>
      <c r="K24" s="468">
        <f t="shared" si="4"/>
        <v>289368</v>
      </c>
    </row>
    <row r="25" spans="2:11" ht="11.25" customHeight="1" x14ac:dyDescent="0.3">
      <c r="B25" s="470"/>
      <c r="C25" s="466"/>
      <c r="D25" s="466"/>
      <c r="E25" s="466"/>
      <c r="F25" s="457"/>
      <c r="G25" s="466"/>
      <c r="H25" s="470">
        <v>77</v>
      </c>
      <c r="I25" s="468">
        <f t="shared" si="2"/>
        <v>394560</v>
      </c>
      <c r="J25" s="468">
        <f t="shared" si="3"/>
        <v>383640</v>
      </c>
      <c r="K25" s="468">
        <f t="shared" si="4"/>
        <v>337596</v>
      </c>
    </row>
    <row r="26" spans="2:11" ht="11.25" customHeight="1" x14ac:dyDescent="0.3">
      <c r="B26" s="470"/>
      <c r="C26" s="466"/>
      <c r="D26" s="466"/>
      <c r="E26" s="466"/>
      <c r="F26" s="457"/>
      <c r="G26" s="466"/>
      <c r="H26" s="470">
        <v>78</v>
      </c>
      <c r="I26" s="468">
        <f t="shared" si="2"/>
        <v>420864</v>
      </c>
      <c r="J26" s="472">
        <f t="shared" si="3"/>
        <v>422004</v>
      </c>
      <c r="K26" s="468">
        <f t="shared" si="4"/>
        <v>385824</v>
      </c>
    </row>
    <row r="27" spans="2:11" ht="11.25" customHeight="1" x14ac:dyDescent="0.3">
      <c r="B27" s="470"/>
      <c r="C27" s="466"/>
      <c r="D27" s="466"/>
      <c r="E27" s="466"/>
      <c r="F27" s="466"/>
      <c r="G27" s="466"/>
      <c r="H27" s="470">
        <v>79</v>
      </c>
      <c r="I27" s="468">
        <f t="shared" si="2"/>
        <v>447168</v>
      </c>
      <c r="J27" s="468">
        <f t="shared" si="3"/>
        <v>460368</v>
      </c>
      <c r="K27" s="468">
        <f t="shared" si="4"/>
        <v>434052</v>
      </c>
    </row>
    <row r="28" spans="2:11" ht="11.25" customHeight="1" x14ac:dyDescent="0.3">
      <c r="B28" s="470" t="s">
        <v>661</v>
      </c>
      <c r="C28" s="466" t="s">
        <v>669</v>
      </c>
      <c r="D28" s="466" t="s">
        <v>670</v>
      </c>
      <c r="E28" s="466" t="s">
        <v>68</v>
      </c>
      <c r="F28" s="466"/>
      <c r="G28" s="466"/>
      <c r="H28" s="470">
        <v>80</v>
      </c>
      <c r="I28" s="468">
        <f t="shared" si="2"/>
        <v>473472</v>
      </c>
      <c r="J28" s="468">
        <f t="shared" si="3"/>
        <v>498732</v>
      </c>
      <c r="K28" s="472">
        <f t="shared" si="4"/>
        <v>482280</v>
      </c>
    </row>
    <row r="29" spans="2:11" ht="11.25" customHeight="1" x14ac:dyDescent="0.3">
      <c r="B29" s="462">
        <v>57</v>
      </c>
      <c r="C29" s="466">
        <v>2185</v>
      </c>
      <c r="D29" s="466">
        <v>1319</v>
      </c>
      <c r="E29" s="466">
        <f>SUM(C29:D29)</f>
        <v>3504</v>
      </c>
      <c r="F29" s="466"/>
      <c r="G29" s="466"/>
      <c r="H29" s="470">
        <v>81</v>
      </c>
      <c r="I29" s="468">
        <f t="shared" si="2"/>
        <v>499776</v>
      </c>
      <c r="J29" s="468">
        <f t="shared" si="3"/>
        <v>537096</v>
      </c>
      <c r="K29" s="468">
        <f t="shared" si="4"/>
        <v>530508</v>
      </c>
    </row>
    <row r="30" spans="2:11" ht="11.25" customHeight="1" x14ac:dyDescent="0.3">
      <c r="B30" s="462">
        <v>57.5</v>
      </c>
      <c r="C30" s="466"/>
      <c r="D30" s="466"/>
      <c r="E30" s="466"/>
      <c r="F30" s="466"/>
      <c r="G30" s="466"/>
      <c r="H30" s="470">
        <v>82</v>
      </c>
      <c r="I30" s="468">
        <f t="shared" si="2"/>
        <v>526080</v>
      </c>
      <c r="J30" s="468">
        <f t="shared" si="3"/>
        <v>575460</v>
      </c>
      <c r="K30" s="468">
        <f t="shared" si="4"/>
        <v>578736</v>
      </c>
    </row>
    <row r="31" spans="2:11" ht="11.25" customHeight="1" x14ac:dyDescent="0.3">
      <c r="B31" s="462">
        <v>58</v>
      </c>
      <c r="C31" s="466"/>
      <c r="D31" s="466"/>
      <c r="E31" s="466"/>
      <c r="F31" s="466"/>
      <c r="G31" s="466"/>
      <c r="H31" s="470">
        <v>83</v>
      </c>
      <c r="I31" s="468">
        <f t="shared" si="2"/>
        <v>552384</v>
      </c>
      <c r="J31" s="468">
        <f t="shared" si="3"/>
        <v>613824</v>
      </c>
      <c r="K31" s="468">
        <f t="shared" si="4"/>
        <v>626964</v>
      </c>
    </row>
    <row r="32" spans="2:11" ht="11.25" customHeight="1" x14ac:dyDescent="0.3">
      <c r="B32" s="462">
        <v>58.5</v>
      </c>
      <c r="C32" s="466">
        <v>2295</v>
      </c>
      <c r="D32" s="466">
        <v>1569</v>
      </c>
      <c r="E32" s="466">
        <f>SUM(C32:D32)</f>
        <v>3864</v>
      </c>
      <c r="F32" s="466"/>
      <c r="G32" s="466"/>
      <c r="H32" s="470">
        <v>84</v>
      </c>
      <c r="I32" s="468">
        <f t="shared" si="2"/>
        <v>578688</v>
      </c>
      <c r="J32" s="468">
        <f t="shared" si="3"/>
        <v>652188</v>
      </c>
      <c r="K32" s="468">
        <f t="shared" si="4"/>
        <v>675192</v>
      </c>
    </row>
    <row r="33" spans="2:11" ht="11.25" customHeight="1" x14ac:dyDescent="0.3">
      <c r="B33" s="462">
        <v>59</v>
      </c>
      <c r="C33" s="466"/>
      <c r="D33" s="466"/>
      <c r="E33" s="466"/>
      <c r="F33" s="466"/>
      <c r="G33" s="466"/>
      <c r="H33" s="470">
        <v>85</v>
      </c>
      <c r="I33" s="468">
        <f t="shared" si="2"/>
        <v>604992</v>
      </c>
      <c r="J33" s="468">
        <f t="shared" si="3"/>
        <v>690552</v>
      </c>
      <c r="K33" s="468">
        <f t="shared" si="4"/>
        <v>723420</v>
      </c>
    </row>
    <row r="34" spans="2:11" ht="11.25" customHeight="1" x14ac:dyDescent="0.3">
      <c r="B34" s="462">
        <v>59.5</v>
      </c>
      <c r="C34" s="466"/>
      <c r="D34" s="466"/>
      <c r="E34" s="466"/>
      <c r="F34" s="466"/>
      <c r="G34" s="466"/>
      <c r="H34" s="466"/>
      <c r="I34" s="466"/>
      <c r="J34" s="466"/>
      <c r="K34" s="466"/>
    </row>
    <row r="35" spans="2:11" ht="11.25" customHeight="1" x14ac:dyDescent="0.3">
      <c r="B35" s="462">
        <v>60</v>
      </c>
      <c r="C35" s="466">
        <v>2393.65</v>
      </c>
      <c r="D35" s="466">
        <v>1467</v>
      </c>
      <c r="E35" s="466">
        <f>SUM(C35:D35)</f>
        <v>3860.65</v>
      </c>
      <c r="F35" s="466"/>
      <c r="G35" s="466"/>
      <c r="H35" s="466"/>
      <c r="I35" s="466"/>
      <c r="J35" s="466"/>
      <c r="K35" s="466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70" t="s">
        <v>671</v>
      </c>
      <c r="B1" s="455">
        <f ca="1">'Combined Retirement'!E8+'Combined Retirement'!G8</f>
        <v>3076081.7259883611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42"/>
    </row>
    <row r="2" spans="1:14" ht="11.25" customHeight="1" x14ac:dyDescent="0.3">
      <c r="A2" s="470" t="s">
        <v>672</v>
      </c>
      <c r="B2" s="471">
        <v>0.05</v>
      </c>
      <c r="C2" s="457" t="s">
        <v>673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42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42"/>
    </row>
    <row r="4" spans="1:14" ht="11.25" customHeight="1" x14ac:dyDescent="0.3">
      <c r="A4" s="470" t="s">
        <v>674</v>
      </c>
      <c r="B4" s="462">
        <f ca="1">(SUMIFS(H:H,I:I,"&gt;0",L:L,"&lt;0"))/12</f>
        <v>46.333333333333336</v>
      </c>
      <c r="C4" s="474">
        <f ca="1">(SUMIFS(H:H,I:I,"&gt;0",L:L,"&lt;0"))</f>
        <v>556</v>
      </c>
      <c r="D4" s="467">
        <f t="array" aca="1" ref="D4" ca="1">INDEX(N:N,MATCH(C4,H:H,0),0)</f>
        <v>68181</v>
      </c>
      <c r="E4" s="457"/>
      <c r="F4" s="457"/>
      <c r="G4" s="470"/>
      <c r="H4" s="470"/>
      <c r="I4" s="457"/>
      <c r="J4" s="442"/>
      <c r="K4" s="442"/>
      <c r="L4" s="442"/>
      <c r="M4" s="473"/>
      <c r="N4" s="442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42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42"/>
    </row>
    <row r="7" spans="1:14" ht="11.25" customHeight="1" x14ac:dyDescent="0.3">
      <c r="A7" s="470" t="s">
        <v>675</v>
      </c>
      <c r="B7" s="457" t="s">
        <v>676</v>
      </c>
      <c r="C7" s="457" t="s">
        <v>677</v>
      </c>
      <c r="D7" s="457" t="s">
        <v>678</v>
      </c>
      <c r="E7" s="457" t="s">
        <v>679</v>
      </c>
      <c r="F7" s="457"/>
      <c r="G7" s="470" t="s">
        <v>680</v>
      </c>
      <c r="H7" s="470" t="s">
        <v>224</v>
      </c>
      <c r="I7" s="457" t="s">
        <v>676</v>
      </c>
      <c r="J7" s="457" t="s">
        <v>677</v>
      </c>
      <c r="K7" s="457" t="s">
        <v>678</v>
      </c>
      <c r="L7" s="457" t="s">
        <v>679</v>
      </c>
      <c r="M7" s="471"/>
      <c r="N7" s="442" t="s">
        <v>606</v>
      </c>
    </row>
    <row r="8" spans="1:14" ht="11.25" customHeight="1" x14ac:dyDescent="0.3">
      <c r="A8" s="470">
        <v>1</v>
      </c>
      <c r="B8" s="458">
        <f ca="1">B1</f>
        <v>3076081.7259883611</v>
      </c>
      <c r="C8" s="458">
        <f t="shared" ref="C8:C136" si="0">SUMIF(G:G,A8,J:J)</f>
        <v>374258.93446283572</v>
      </c>
      <c r="D8" s="458">
        <f ca="1">SUMIF(G:G,1,K:K)</f>
        <v>147085.51609524744</v>
      </c>
      <c r="E8" s="458">
        <f t="shared" ref="E8:E136" ca="1" si="1">B8-C8+D8</f>
        <v>2848908.3076207731</v>
      </c>
      <c r="F8" s="442"/>
      <c r="G8" s="470">
        <v>1</v>
      </c>
      <c r="H8" s="470">
        <v>1</v>
      </c>
      <c r="I8" s="455">
        <f ca="1">B1</f>
        <v>3076081.7259883611</v>
      </c>
      <c r="J8" s="455">
        <f t="array" ref="J8">IFERROR(INDEX('Retirement Calculator'!J:J,MATCH('Isaac 401k'!N8,'Retirement Calculator'!A:A,0),0),0)</f>
        <v>31188.244538569645</v>
      </c>
      <c r="K8" s="455">
        <f t="shared" ref="K8:K262" ca="1" si="2">IPMT(M8/12,1,12,-I8+J8,,0)</f>
        <v>12687.056172707464</v>
      </c>
      <c r="L8" s="455">
        <f t="shared" ref="L8:L262" ca="1" si="3">I8-J8+K8</f>
        <v>3057580.5376224988</v>
      </c>
      <c r="M8" s="471">
        <f>B2</f>
        <v>0.05</v>
      </c>
      <c r="N8" s="475">
        <f>'Retirement Calculator'!D6</f>
        <v>51288</v>
      </c>
    </row>
    <row r="9" spans="1:14" ht="11.25" customHeight="1" x14ac:dyDescent="0.3">
      <c r="A9" s="470">
        <v>2</v>
      </c>
      <c r="B9" s="458">
        <f t="shared" ref="B9:B136" ca="1" si="4">E8</f>
        <v>2848908.3076207731</v>
      </c>
      <c r="C9" s="458">
        <f t="shared" si="0"/>
        <v>374258.93446283572</v>
      </c>
      <c r="D9" s="458">
        <f ca="1">SUMIF(G:G,2,K:K)</f>
        <v>135462.89286328052</v>
      </c>
      <c r="E9" s="458">
        <f t="shared" ca="1" si="1"/>
        <v>2610112.2660212182</v>
      </c>
      <c r="F9" s="442"/>
      <c r="G9" s="470">
        <v>1</v>
      </c>
      <c r="H9" s="470">
        <v>2</v>
      </c>
      <c r="I9" s="455">
        <f t="shared" ref="I9:I263" ca="1" si="5">L8</f>
        <v>3057580.5376224988</v>
      </c>
      <c r="J9" s="455">
        <f t="array" ref="J9">IFERROR(INDEX('Retirement Calculator'!J:J,MATCH('Isaac 401k'!N9,'Retirement Calculator'!A:A,0),0),0)</f>
        <v>31188.244538569645</v>
      </c>
      <c r="K9" s="455">
        <f t="shared" ca="1" si="2"/>
        <v>12609.967887849703</v>
      </c>
      <c r="L9" s="455">
        <f t="shared" ca="1" si="3"/>
        <v>3039002.2609717785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2610112.2660212182</v>
      </c>
      <c r="C10" s="458">
        <f t="shared" si="0"/>
        <v>374258.93446283572</v>
      </c>
      <c r="D10" s="458">
        <f ca="1">SUMIF(G:G,3,K:K)</f>
        <v>123245.63416840183</v>
      </c>
      <c r="E10" s="458">
        <f t="shared" ca="1" si="1"/>
        <v>2359098.9657267844</v>
      </c>
      <c r="F10" s="442"/>
      <c r="G10" s="470">
        <v>1</v>
      </c>
      <c r="H10" s="470">
        <v>3</v>
      </c>
      <c r="I10" s="455">
        <f t="shared" ca="1" si="5"/>
        <v>3039002.2609717785</v>
      </c>
      <c r="J10" s="455">
        <f t="array" ref="J10">IFERROR(INDEX('Retirement Calculator'!J:J,MATCH('Isaac 401k'!N10,'Retirement Calculator'!A:A,0),0),0)</f>
        <v>31188.244538569645</v>
      </c>
      <c r="K10" s="455">
        <f t="shared" ca="1" si="2"/>
        <v>12532.558401805036</v>
      </c>
      <c r="L10" s="455">
        <f t="shared" ca="1" si="3"/>
        <v>3020346.5748350136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2359098.9657267844</v>
      </c>
      <c r="C11" s="458">
        <f t="shared" si="0"/>
        <v>370520.93446283572</v>
      </c>
      <c r="D11" s="458">
        <f ca="1">SUMIF(G:G,4,K:K)</f>
        <v>110458.2099720869</v>
      </c>
      <c r="E11" s="458">
        <f t="shared" ca="1" si="1"/>
        <v>2099036.2412360357</v>
      </c>
      <c r="F11" s="442"/>
      <c r="G11" s="470">
        <v>1</v>
      </c>
      <c r="H11" s="470">
        <v>4</v>
      </c>
      <c r="I11" s="455">
        <f t="shared" ca="1" si="5"/>
        <v>3020346.5748350136</v>
      </c>
      <c r="J11" s="455">
        <f t="array" ref="J11">IFERROR(INDEX('Retirement Calculator'!J:J,MATCH('Isaac 401k'!N11,'Retirement Calculator'!A:A,0),0),0)</f>
        <v>31188.244538569645</v>
      </c>
      <c r="K11" s="455">
        <f t="shared" ca="1" si="2"/>
        <v>12454.826376235182</v>
      </c>
      <c r="L11" s="455">
        <f t="shared" ca="1" si="3"/>
        <v>3001613.1566726789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2099036.2412360357</v>
      </c>
      <c r="C12" s="458">
        <f t="shared" si="0"/>
        <v>366782.93446283572</v>
      </c>
      <c r="D12" s="458">
        <f ca="1">SUMIF(G:G,5,K:K)</f>
        <v>97303.6156121971</v>
      </c>
      <c r="E12" s="458">
        <f t="shared" ca="1" si="1"/>
        <v>1829556.9223853971</v>
      </c>
      <c r="F12" s="442"/>
      <c r="G12" s="470">
        <v>1</v>
      </c>
      <c r="H12" s="470">
        <v>5</v>
      </c>
      <c r="I12" s="455">
        <f t="shared" ca="1" si="5"/>
        <v>3001613.1566726789</v>
      </c>
      <c r="J12" s="455">
        <f t="array" ref="J12">IFERROR(INDEX('Retirement Calculator'!J:J,MATCH('Isaac 401k'!N12,'Retirement Calculator'!A:A,0),0),0)</f>
        <v>31188.244538569645</v>
      </c>
      <c r="K12" s="455">
        <f t="shared" ca="1" si="2"/>
        <v>12376.770467225455</v>
      </c>
      <c r="L12" s="455">
        <f t="shared" ca="1" si="3"/>
        <v>2982801.6826013345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1829556.9223853971</v>
      </c>
      <c r="C13" s="458">
        <f t="shared" si="0"/>
        <v>256653.30186591548</v>
      </c>
      <c r="D13" s="458">
        <f ca="1">SUMIF(G:G,6,K:K)</f>
        <v>84900.834458056066</v>
      </c>
      <c r="E13" s="458">
        <f t="shared" ca="1" si="1"/>
        <v>1657804.4549775377</v>
      </c>
      <c r="F13" s="442"/>
      <c r="G13" s="470">
        <v>1</v>
      </c>
      <c r="H13" s="470">
        <v>6</v>
      </c>
      <c r="I13" s="455">
        <f t="shared" ca="1" si="5"/>
        <v>2982801.6826013345</v>
      </c>
      <c r="J13" s="455">
        <f t="array" ref="J13">IFERROR(INDEX('Retirement Calculator'!J:J,MATCH('Isaac 401k'!N13,'Retirement Calculator'!A:A,0),0),0)</f>
        <v>31188.244538569645</v>
      </c>
      <c r="K13" s="455">
        <f t="shared" ca="1" si="2"/>
        <v>12298.38932526152</v>
      </c>
      <c r="L13" s="455">
        <f t="shared" ca="1" si="3"/>
        <v>2963911.8273880263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1657804.4549775377</v>
      </c>
      <c r="C14" s="458">
        <f t="shared" si="0"/>
        <v>102471.81623022706</v>
      </c>
      <c r="D14" s="458">
        <f ca="1">SUMIF(G:G,7,K:K)</f>
        <v>81998.298792660324</v>
      </c>
      <c r="E14" s="458">
        <f t="shared" ca="1" si="1"/>
        <v>1637330.937539971</v>
      </c>
      <c r="F14" s="442"/>
      <c r="G14" s="470">
        <v>1</v>
      </c>
      <c r="H14" s="470">
        <v>7</v>
      </c>
      <c r="I14" s="455">
        <f t="shared" ca="1" si="5"/>
        <v>2963911.8273880263</v>
      </c>
      <c r="J14" s="455">
        <f t="array" ref="J14">IFERROR(INDEX('Retirement Calculator'!J:J,MATCH('Isaac 401k'!N14,'Retirement Calculator'!A:A,0),0),0)</f>
        <v>31188.244538569645</v>
      </c>
      <c r="K14" s="455">
        <f t="shared" ca="1" si="2"/>
        <v>12219.681595206068</v>
      </c>
      <c r="L14" s="455">
        <f t="shared" ca="1" si="3"/>
        <v>2944943.2644446627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1637330.937539971</v>
      </c>
      <c r="C15" s="458">
        <f t="shared" si="0"/>
        <v>102471.81623022706</v>
      </c>
      <c r="D15" s="458">
        <f ca="1">SUMIF(G:G,8,K:K)</f>
        <v>80950.834784239618</v>
      </c>
      <c r="E15" s="458">
        <f t="shared" ca="1" si="1"/>
        <v>1615809.9560939835</v>
      </c>
      <c r="F15" s="442"/>
      <c r="G15" s="470">
        <v>1</v>
      </c>
      <c r="H15" s="470">
        <v>8</v>
      </c>
      <c r="I15" s="455">
        <f t="shared" ca="1" si="5"/>
        <v>2944943.2644446627</v>
      </c>
      <c r="J15" s="455">
        <f t="array" ref="J15">IFERROR(INDEX('Retirement Calculator'!J:J,MATCH('Isaac 401k'!N15,'Retirement Calculator'!A:A,0),0),0)</f>
        <v>31188.244538569645</v>
      </c>
      <c r="K15" s="455">
        <f t="shared" ca="1" si="2"/>
        <v>12140.645916275387</v>
      </c>
      <c r="L15" s="455">
        <f t="shared" ca="1" si="3"/>
        <v>2925895.6658223681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1615809.9560939835</v>
      </c>
      <c r="C16" s="458">
        <f t="shared" si="0"/>
        <v>95034.72063022705</v>
      </c>
      <c r="D16" s="458">
        <f ca="1">SUMIF(G:G,9,K:K)</f>
        <v>80038.314615524636</v>
      </c>
      <c r="E16" s="458">
        <f t="shared" ca="1" si="1"/>
        <v>1600813.550079281</v>
      </c>
      <c r="F16" s="442"/>
      <c r="G16" s="470">
        <v>1</v>
      </c>
      <c r="H16" s="470">
        <v>9</v>
      </c>
      <c r="I16" s="455">
        <f t="shared" ca="1" si="5"/>
        <v>2925895.6658223681</v>
      </c>
      <c r="J16" s="455">
        <f t="array" ref="J16">IFERROR(INDEX('Retirement Calculator'!J:J,MATCH('Isaac 401k'!N16,'Retirement Calculator'!A:A,0),0),0)</f>
        <v>31188.244538569645</v>
      </c>
      <c r="K16" s="455">
        <f t="shared" ca="1" si="2"/>
        <v>12061.280922015827</v>
      </c>
      <c r="L16" s="455">
        <f t="shared" ca="1" si="3"/>
        <v>2906768.702205814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1600813.550079281</v>
      </c>
      <c r="C17" s="458">
        <f t="shared" si="0"/>
        <v>94358.621030227048</v>
      </c>
      <c r="D17" s="458">
        <f ca="1">SUMIF(G:G,10,K:K)</f>
        <v>79305.660561100492</v>
      </c>
      <c r="E17" s="458">
        <f t="shared" ca="1" si="1"/>
        <v>1585760.5896101545</v>
      </c>
      <c r="F17" s="442"/>
      <c r="G17" s="470">
        <v>1</v>
      </c>
      <c r="H17" s="470">
        <v>10</v>
      </c>
      <c r="I17" s="455">
        <f t="shared" ca="1" si="5"/>
        <v>2906768.702205814</v>
      </c>
      <c r="J17" s="455">
        <f t="array" ref="J17">IFERROR(INDEX('Retirement Calculator'!J:J,MATCH('Isaac 401k'!N17,'Retirement Calculator'!A:A,0),0),0)</f>
        <v>31188.244538569645</v>
      </c>
      <c r="K17" s="455">
        <f t="shared" ca="1" si="2"/>
        <v>11981.585240280183</v>
      </c>
      <c r="L17" s="455">
        <f t="shared" ca="1" si="3"/>
        <v>2887562.0429075244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1585760.5896101545</v>
      </c>
      <c r="C18" s="458">
        <f t="shared" si="0"/>
        <v>94358.621030227048</v>
      </c>
      <c r="D18" s="458">
        <f ca="1">SUMIF(G:G,11,K:K)</f>
        <v>78535.522534761272</v>
      </c>
      <c r="E18" s="458">
        <f t="shared" ca="1" si="1"/>
        <v>1569937.4911146888</v>
      </c>
      <c r="F18" s="442"/>
      <c r="G18" s="470">
        <v>1</v>
      </c>
      <c r="H18" s="470">
        <v>11</v>
      </c>
      <c r="I18" s="455">
        <f t="shared" ca="1" si="5"/>
        <v>2887562.0429075244</v>
      </c>
      <c r="J18" s="455">
        <f t="array" ref="J18">IFERROR(INDEX('Retirement Calculator'!J:J,MATCH('Isaac 401k'!N18,'Retirement Calculator'!A:A,0),0),0)</f>
        <v>31188.244538569645</v>
      </c>
      <c r="K18" s="455">
        <f t="shared" ca="1" si="2"/>
        <v>11901.557493203978</v>
      </c>
      <c r="L18" s="455">
        <f t="shared" ca="1" si="3"/>
        <v>2868275.3558621584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1569937.4911146888</v>
      </c>
      <c r="C19" s="458">
        <f t="shared" si="0"/>
        <v>94358.621030227048</v>
      </c>
      <c r="D19" s="458">
        <f ca="1">SUMIF(G:G,12,K:K)</f>
        <v>77725.982785363594</v>
      </c>
      <c r="E19" s="458">
        <f t="shared" ca="1" si="1"/>
        <v>1553304.8528698254</v>
      </c>
      <c r="F19" s="442"/>
      <c r="G19" s="470">
        <v>1</v>
      </c>
      <c r="H19" s="470">
        <v>12</v>
      </c>
      <c r="I19" s="455">
        <f t="shared" ca="1" si="5"/>
        <v>2868275.3558621584</v>
      </c>
      <c r="J19" s="455">
        <f t="array" ref="J19">IFERROR(INDEX('Retirement Calculator'!J:J,MATCH('Isaac 401k'!N19,'Retirement Calculator'!A:A,0),0),0)</f>
        <v>31188.244538569645</v>
      </c>
      <c r="K19" s="455">
        <f t="shared" ca="1" si="2"/>
        <v>11821.196297181619</v>
      </c>
      <c r="L19" s="455">
        <f t="shared" ca="1" si="3"/>
        <v>2848908.3076207703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1553304.8528698254</v>
      </c>
      <c r="C20" s="458">
        <f t="shared" si="0"/>
        <v>94358.621030227048</v>
      </c>
      <c r="D20" s="458">
        <f ca="1">SUMIF(G:G,13,K:K)</f>
        <v>76875.025445976076</v>
      </c>
      <c r="E20" s="458">
        <f t="shared" ca="1" si="1"/>
        <v>1535821.2572855745</v>
      </c>
      <c r="F20" s="442"/>
      <c r="G20" s="470">
        <v>2</v>
      </c>
      <c r="H20" s="470">
        <v>13</v>
      </c>
      <c r="I20" s="455">
        <f t="shared" ca="1" si="5"/>
        <v>2848908.3076207703</v>
      </c>
      <c r="J20" s="455">
        <f t="array" ref="J20">IFERROR(INDEX('Retirement Calculator'!J:J,MATCH('Isaac 401k'!N20,'Retirement Calculator'!A:A,0),0),0)</f>
        <v>31188.244538569645</v>
      </c>
      <c r="K20" s="455">
        <f t="shared" ca="1" si="2"/>
        <v>11740.500262842503</v>
      </c>
      <c r="L20" s="455">
        <f t="shared" ca="1" si="3"/>
        <v>2829460.563345043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1535821.2572855745</v>
      </c>
      <c r="C21" s="458">
        <f t="shared" si="0"/>
        <v>94358.621030227048</v>
      </c>
      <c r="D21" s="458">
        <f ca="1">SUMIF(G:G,14,K:K)</f>
        <v>75980.531514089118</v>
      </c>
      <c r="E21" s="458">
        <f t="shared" ca="1" si="1"/>
        <v>1517443.1677694365</v>
      </c>
      <c r="F21" s="442"/>
      <c r="G21" s="470">
        <v>2</v>
      </c>
      <c r="H21" s="470">
        <v>14</v>
      </c>
      <c r="I21" s="455">
        <f t="shared" ca="1" si="5"/>
        <v>2829460.563345043</v>
      </c>
      <c r="J21" s="455">
        <f t="array" ref="J21">IFERROR(INDEX('Retirement Calculator'!J:J,MATCH('Isaac 401k'!N21,'Retirement Calculator'!A:A,0),0),0)</f>
        <v>31188.244538569645</v>
      </c>
      <c r="K21" s="455">
        <f t="shared" ca="1" si="2"/>
        <v>11659.467995026971</v>
      </c>
      <c r="L21" s="455">
        <f t="shared" ca="1" si="3"/>
        <v>2809931.7868015002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1517443.1677694365</v>
      </c>
      <c r="C22" s="458">
        <f t="shared" si="0"/>
        <v>94358.621030227048</v>
      </c>
      <c r="D22" s="458">
        <f ca="1">SUMIF(G:G,15,K:K)</f>
        <v>75040.273575003084</v>
      </c>
      <c r="E22" s="458">
        <f t="shared" ca="1" si="1"/>
        <v>1498124.8203142125</v>
      </c>
      <c r="F22" s="442"/>
      <c r="G22" s="470">
        <v>2</v>
      </c>
      <c r="H22" s="470">
        <v>15</v>
      </c>
      <c r="I22" s="455">
        <f t="shared" ca="1" si="5"/>
        <v>2809931.7868015002</v>
      </c>
      <c r="J22" s="455">
        <f t="array" ref="J22">IFERROR(INDEX('Retirement Calculator'!J:J,MATCH('Isaac 401k'!N22,'Retirement Calculator'!A:A,0),0),0)</f>
        <v>31188.244538569645</v>
      </c>
      <c r="K22" s="455">
        <f t="shared" ca="1" si="2"/>
        <v>11578.098092762209</v>
      </c>
      <c r="L22" s="455">
        <f t="shared" ca="1" si="3"/>
        <v>2790321.6403556927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1498124.8203142125</v>
      </c>
      <c r="C23" s="458">
        <f t="shared" si="0"/>
        <v>94358.621030227048</v>
      </c>
      <c r="D23" s="458">
        <f ca="1">SUMIF(G:G,16,K:K)</f>
        <v>74051.91025525509</v>
      </c>
      <c r="E23" s="458">
        <f t="shared" ca="1" si="1"/>
        <v>1477818.1095392406</v>
      </c>
      <c r="F23" s="442"/>
      <c r="G23" s="470">
        <v>2</v>
      </c>
      <c r="H23" s="470">
        <v>16</v>
      </c>
      <c r="I23" s="455">
        <f t="shared" ca="1" si="5"/>
        <v>2790321.6403556927</v>
      </c>
      <c r="J23" s="455">
        <f t="array" ref="J23">IFERROR(INDEX('Retirement Calculator'!J:J,MATCH('Isaac 401k'!N23,'Retirement Calculator'!A:A,0),0),0)</f>
        <v>31188.244538569645</v>
      </c>
      <c r="K23" s="455">
        <f t="shared" ca="1" si="2"/>
        <v>11496.389149238012</v>
      </c>
      <c r="L23" s="455">
        <f t="shared" ca="1" si="3"/>
        <v>2770629.7849663608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1477818.1095392406</v>
      </c>
      <c r="C24" s="458">
        <f t="shared" si="0"/>
        <v>94358.621030227048</v>
      </c>
      <c r="D24" s="458">
        <f ca="1">SUMIF(G:G,17,K:K)</f>
        <v>73012.980392272075</v>
      </c>
      <c r="E24" s="458">
        <f t="shared" ca="1" si="1"/>
        <v>1456472.4689012857</v>
      </c>
      <c r="F24" s="442"/>
      <c r="G24" s="470">
        <v>2</v>
      </c>
      <c r="H24" s="470">
        <v>17</v>
      </c>
      <c r="I24" s="455">
        <f t="shared" ca="1" si="5"/>
        <v>2770629.7849663608</v>
      </c>
      <c r="J24" s="455">
        <f t="array" ref="J24">IFERROR(INDEX('Retirement Calculator'!J:J,MATCH('Isaac 401k'!N24,'Retirement Calculator'!A:A,0),0),0)</f>
        <v>31188.244538569645</v>
      </c>
      <c r="K24" s="455">
        <f t="shared" ca="1" si="2"/>
        <v>11414.339751782461</v>
      </c>
      <c r="L24" s="455">
        <f t="shared" ca="1" si="3"/>
        <v>2750855.8801795733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1456472.4689012857</v>
      </c>
      <c r="C25" s="458">
        <f t="shared" si="0"/>
        <v>94358.621030227048</v>
      </c>
      <c r="D25" s="458">
        <f ca="1">SUMIF(G:G,18,K:K)</f>
        <v>71920.896905732821</v>
      </c>
      <c r="E25" s="458">
        <f t="shared" ca="1" si="1"/>
        <v>1434034.7447767914</v>
      </c>
      <c r="F25" s="442"/>
      <c r="G25" s="470">
        <v>2</v>
      </c>
      <c r="H25" s="470">
        <v>18</v>
      </c>
      <c r="I25" s="455">
        <f t="shared" ca="1" si="5"/>
        <v>2750855.8801795733</v>
      </c>
      <c r="J25" s="455">
        <f t="array" ref="J25">IFERROR(INDEX('Retirement Calculator'!J:J,MATCH('Isaac 401k'!N25,'Retirement Calculator'!A:A,0),0),0)</f>
        <v>31188.244538569645</v>
      </c>
      <c r="K25" s="455">
        <f t="shared" ca="1" si="2"/>
        <v>11331.948481837515</v>
      </c>
      <c r="L25" s="455">
        <f t="shared" ca="1" si="3"/>
        <v>2730999.5841228408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1434034.7447767914</v>
      </c>
      <c r="C26" s="458">
        <f t="shared" si="0"/>
        <v>94358.621030227048</v>
      </c>
      <c r="D26" s="458">
        <f ca="1">SUMIF(G:G,19,K:K)</f>
        <v>70772.940355376937</v>
      </c>
      <c r="E26" s="458">
        <f t="shared" ca="1" si="1"/>
        <v>1410449.0641019414</v>
      </c>
      <c r="F26" s="442"/>
      <c r="G26" s="470">
        <v>2</v>
      </c>
      <c r="H26" s="470">
        <v>19</v>
      </c>
      <c r="I26" s="455">
        <f t="shared" ca="1" si="5"/>
        <v>2730999.5841228408</v>
      </c>
      <c r="J26" s="455">
        <f t="array" ref="J26">IFERROR(INDEX('Retirement Calculator'!J:J,MATCH('Isaac 401k'!N26,'Retirement Calculator'!A:A,0),0),0)</f>
        <v>31188.244538569645</v>
      </c>
      <c r="K26" s="455">
        <f t="shared" ca="1" si="2"/>
        <v>11249.213914934462</v>
      </c>
      <c r="L26" s="455">
        <f t="shared" ca="1" si="3"/>
        <v>2711060.5534992055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1410449.0641019414</v>
      </c>
      <c r="C27" s="458">
        <f t="shared" si="0"/>
        <v>94358.621030227048</v>
      </c>
      <c r="D27" s="458">
        <f ca="1">SUMIF(G:G,20,K:K)</f>
        <v>69566.252169219064</v>
      </c>
      <c r="E27" s="458">
        <f t="shared" ca="1" si="1"/>
        <v>1385656.6952409334</v>
      </c>
      <c r="F27" s="442"/>
      <c r="G27" s="470">
        <v>2</v>
      </c>
      <c r="H27" s="470">
        <v>20</v>
      </c>
      <c r="I27" s="455">
        <f t="shared" ca="1" si="5"/>
        <v>2711060.5534992055</v>
      </c>
      <c r="J27" s="455">
        <f t="array" ref="J27">IFERROR(INDEX('Retirement Calculator'!J:J,MATCH('Isaac 401k'!N27,'Retirement Calculator'!A:A,0),0),0)</f>
        <v>31188.244538569645</v>
      </c>
      <c r="K27" s="455">
        <f t="shared" ca="1" si="2"/>
        <v>11166.134620669316</v>
      </c>
      <c r="L27" s="455">
        <f t="shared" ca="1" si="3"/>
        <v>2691038.443581305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1385656.6952409334</v>
      </c>
      <c r="C28" s="458">
        <f t="shared" si="0"/>
        <v>94358.621030227048</v>
      </c>
      <c r="D28" s="458">
        <f ca="1">SUMIF(G:G,21,K:K)</f>
        <v>68297.827525305882</v>
      </c>
      <c r="E28" s="458">
        <f t="shared" ca="1" si="1"/>
        <v>1359595.9017360122</v>
      </c>
      <c r="F28" s="442"/>
      <c r="G28" s="470">
        <v>2</v>
      </c>
      <c r="H28" s="470">
        <v>21</v>
      </c>
      <c r="I28" s="455">
        <f t="shared" ca="1" si="5"/>
        <v>2691038.443581305</v>
      </c>
      <c r="J28" s="455">
        <f t="array" ref="J28">IFERROR(INDEX('Retirement Calculator'!J:J,MATCH('Isaac 401k'!N28,'Retirement Calculator'!A:A,0),0),0)</f>
        <v>31188.244538569645</v>
      </c>
      <c r="K28" s="455">
        <f t="shared" ca="1" si="2"/>
        <v>11082.709162678064</v>
      </c>
      <c r="L28" s="455">
        <f t="shared" ca="1" si="3"/>
        <v>2670932.9082054133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1359595.9017360122</v>
      </c>
      <c r="C29" s="458">
        <f t="shared" si="0"/>
        <v>94358.621030227048</v>
      </c>
      <c r="D29" s="458">
        <f ca="1">SUMIF(G:G,22,K:K)</f>
        <v>66964.507869290159</v>
      </c>
      <c r="E29" s="458">
        <f t="shared" ca="1" si="1"/>
        <v>1332201.7885750753</v>
      </c>
      <c r="F29" s="442"/>
      <c r="G29" s="470">
        <v>2</v>
      </c>
      <c r="H29" s="470">
        <v>22</v>
      </c>
      <c r="I29" s="455">
        <f t="shared" ca="1" si="5"/>
        <v>2670932.9082054133</v>
      </c>
      <c r="J29" s="455">
        <f t="array" ref="J29">IFERROR(INDEX('Retirement Calculator'!J:J,MATCH('Isaac 401k'!N29,'Retirement Calculator'!A:A,0),0),0)</f>
        <v>31188.244538569645</v>
      </c>
      <c r="K29" s="455">
        <f t="shared" ca="1" si="2"/>
        <v>10998.936098611848</v>
      </c>
      <c r="L29" s="455">
        <f t="shared" ca="1" si="3"/>
        <v>2650743.5997654554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1332201.7885750753</v>
      </c>
      <c r="C30" s="458">
        <f t="shared" si="0"/>
        <v>94358.621030227048</v>
      </c>
      <c r="D30" s="458">
        <f ca="1">SUMIF(G:G,23,K:K)</f>
        <v>65562.973049189648</v>
      </c>
      <c r="E30" s="458">
        <f t="shared" ca="1" si="1"/>
        <v>1303406.1405940379</v>
      </c>
      <c r="F30" s="442"/>
      <c r="G30" s="470">
        <v>2</v>
      </c>
      <c r="H30" s="470">
        <v>23</v>
      </c>
      <c r="I30" s="455">
        <f t="shared" ca="1" si="5"/>
        <v>2650743.5997654554</v>
      </c>
      <c r="J30" s="455">
        <f t="array" ref="J30">IFERROR(INDEX('Retirement Calculator'!J:J,MATCH('Isaac 401k'!N30,'Retirement Calculator'!A:A,0),0),0)</f>
        <v>31188.244538569645</v>
      </c>
      <c r="K30" s="455">
        <f t="shared" ca="1" si="2"/>
        <v>10914.813980112023</v>
      </c>
      <c r="L30" s="455">
        <f t="shared" ca="1" si="3"/>
        <v>2630470.1692069974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1303406.1405940379</v>
      </c>
      <c r="C31" s="458">
        <f t="shared" si="0"/>
        <v>94358.621030227048</v>
      </c>
      <c r="D31" s="458">
        <f ca="1">SUMIF(G:G,24,K:K)</f>
        <v>64089.733047745445</v>
      </c>
      <c r="E31" s="458">
        <f t="shared" ca="1" si="1"/>
        <v>1273137.2526115563</v>
      </c>
      <c r="F31" s="442"/>
      <c r="G31" s="470">
        <v>2</v>
      </c>
      <c r="H31" s="470">
        <v>24</v>
      </c>
      <c r="I31" s="455">
        <f t="shared" ca="1" si="5"/>
        <v>2630470.1692069974</v>
      </c>
      <c r="J31" s="455">
        <f t="array" ref="J31">IFERROR(INDEX('Retirement Calculator'!J:J,MATCH('Isaac 401k'!N31,'Retirement Calculator'!A:A,0),0),0)</f>
        <v>31188.244538569645</v>
      </c>
      <c r="K31" s="455">
        <f t="shared" ca="1" si="2"/>
        <v>10830.341352785115</v>
      </c>
      <c r="L31" s="455">
        <f t="shared" ca="1" si="3"/>
        <v>2610112.2660212126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1273137.2526115563</v>
      </c>
      <c r="C32" s="458">
        <f t="shared" si="0"/>
        <v>94358.621030227048</v>
      </c>
      <c r="D32" s="458">
        <f ca="1">SUMIF(G:G,25,K:K)</f>
        <v>62541.119291792078</v>
      </c>
      <c r="E32" s="458">
        <f t="shared" ca="1" si="1"/>
        <v>1241319.7508731214</v>
      </c>
      <c r="F32" s="442"/>
      <c r="G32" s="470">
        <v>3</v>
      </c>
      <c r="H32" s="470">
        <v>25</v>
      </c>
      <c r="I32" s="455">
        <f t="shared" ca="1" si="5"/>
        <v>2610112.2660212126</v>
      </c>
      <c r="J32" s="455">
        <f t="array" ref="J32">IFERROR(INDEX('Retirement Calculator'!J:J,MATCH('Isaac 401k'!N32,'Retirement Calculator'!A:A,0),0),0)</f>
        <v>31188.244538569645</v>
      </c>
      <c r="K32" s="455">
        <f t="shared" ca="1" si="2"/>
        <v>10745.516756177678</v>
      </c>
      <c r="L32" s="455">
        <f t="shared" ca="1" si="3"/>
        <v>2589669.5382388206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1241319.7508731214</v>
      </c>
      <c r="C33" s="458">
        <f t="shared" si="0"/>
        <v>94358.621030227048</v>
      </c>
      <c r="D33" s="458">
        <f ca="1">SUMIF(G:G,26,K:K)</f>
        <v>60913.275516998365</v>
      </c>
      <c r="E33" s="458">
        <f t="shared" ca="1" si="1"/>
        <v>1207874.4053598926</v>
      </c>
      <c r="F33" s="442"/>
      <c r="G33" s="470">
        <v>3</v>
      </c>
      <c r="H33" s="470">
        <v>26</v>
      </c>
      <c r="I33" s="455">
        <f t="shared" ca="1" si="5"/>
        <v>2589669.5382388206</v>
      </c>
      <c r="J33" s="455">
        <f t="array" ref="J33">IFERROR(INDEX('Retirement Calculator'!J:J,MATCH('Isaac 401k'!N33,'Retirement Calculator'!A:A,0),0),0)</f>
        <v>31188.244538569645</v>
      </c>
      <c r="K33" s="455">
        <f t="shared" ca="1" si="2"/>
        <v>10660.338723751045</v>
      </c>
      <c r="L33" s="455">
        <f t="shared" ca="1" si="3"/>
        <v>2569141.632424002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1207874.4053598926</v>
      </c>
      <c r="C34" s="458">
        <f t="shared" si="0"/>
        <v>94358.621030227048</v>
      </c>
      <c r="D34" s="458">
        <f ca="1">SUMIF(G:G,27,K:K)</f>
        <v>59202.14816523128</v>
      </c>
      <c r="E34" s="458">
        <f t="shared" ca="1" si="1"/>
        <v>1172717.9324948969</v>
      </c>
      <c r="F34" s="442"/>
      <c r="G34" s="470">
        <v>3</v>
      </c>
      <c r="H34" s="470">
        <v>27</v>
      </c>
      <c r="I34" s="455">
        <f t="shared" ca="1" si="5"/>
        <v>2569141.632424002</v>
      </c>
      <c r="J34" s="455">
        <f t="array" ref="J34">IFERROR(INDEX('Retirement Calculator'!J:J,MATCH('Isaac 401k'!N34,'Retirement Calculator'!A:A,0),0),0)</f>
        <v>31188.244538569645</v>
      </c>
      <c r="K34" s="455">
        <f t="shared" ca="1" si="2"/>
        <v>10574.805782855967</v>
      </c>
      <c r="L34" s="455">
        <f t="shared" ca="1" si="3"/>
        <v>2548528.1936682882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1172717.9324948969</v>
      </c>
      <c r="C35" s="458">
        <f t="shared" si="0"/>
        <v>94358.621030227048</v>
      </c>
      <c r="D35" s="458">
        <f ca="1">SUMIF(G:G,28,K:K)</f>
        <v>57403.476290630453</v>
      </c>
      <c r="E35" s="458">
        <f t="shared" ca="1" si="1"/>
        <v>1135762.7877553003</v>
      </c>
      <c r="F35" s="442"/>
      <c r="G35" s="470">
        <v>3</v>
      </c>
      <c r="H35" s="470">
        <v>28</v>
      </c>
      <c r="I35" s="455">
        <f t="shared" ca="1" si="5"/>
        <v>2548528.1936682882</v>
      </c>
      <c r="J35" s="455">
        <f t="array" ref="J35">IFERROR(INDEX('Retirement Calculator'!J:J,MATCH('Isaac 401k'!N35,'Retirement Calculator'!A:A,0),0),0)</f>
        <v>31188.244538569645</v>
      </c>
      <c r="K35" s="455">
        <f t="shared" ca="1" si="2"/>
        <v>10488.91645470716</v>
      </c>
      <c r="L35" s="455">
        <f t="shared" ca="1" si="3"/>
        <v>2527828.8655844256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1135762.7877553003</v>
      </c>
      <c r="C36" s="458">
        <f t="shared" si="0"/>
        <v>94358.621030227048</v>
      </c>
      <c r="D36" s="458">
        <f ca="1">SUMIF(G:G,29,K:K)</f>
        <v>55512.780949258529</v>
      </c>
      <c r="E36" s="458">
        <f t="shared" ca="1" si="1"/>
        <v>1096916.9476743317</v>
      </c>
      <c r="F36" s="442"/>
      <c r="G36" s="470">
        <v>3</v>
      </c>
      <c r="H36" s="470">
        <v>29</v>
      </c>
      <c r="I36" s="455">
        <f t="shared" ca="1" si="5"/>
        <v>2527828.8655844256</v>
      </c>
      <c r="J36" s="455">
        <f t="array" ref="J36">IFERROR(INDEX('Retirement Calculator'!J:J,MATCH('Isaac 401k'!N36,'Retirement Calculator'!A:A,0),0),0)</f>
        <v>31188.244538569645</v>
      </c>
      <c r="K36" s="455">
        <f t="shared" ca="1" si="2"/>
        <v>10402.669254357732</v>
      </c>
      <c r="L36" s="455">
        <f t="shared" ca="1" si="3"/>
        <v>2507043.2903002137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1096916.9476743317</v>
      </c>
      <c r="C37" s="458">
        <f t="shared" si="0"/>
        <v>94358.621030227048</v>
      </c>
      <c r="D37" s="458">
        <f ca="1">SUMIF(G:G,30,K:K)</f>
        <v>53525.354045905849</v>
      </c>
      <c r="E37" s="458">
        <f t="shared" ca="1" si="1"/>
        <v>1056083.6806900105</v>
      </c>
      <c r="F37" s="442"/>
      <c r="G37" s="470">
        <v>3</v>
      </c>
      <c r="H37" s="470">
        <v>30</v>
      </c>
      <c r="I37" s="455">
        <f t="shared" ca="1" si="5"/>
        <v>2507043.2903002137</v>
      </c>
      <c r="J37" s="455">
        <f t="array" ref="J37">IFERROR(INDEX('Retirement Calculator'!J:J,MATCH('Isaac 401k'!N37,'Retirement Calculator'!A:A,0),0),0)</f>
        <v>31188.244538569645</v>
      </c>
      <c r="K37" s="455">
        <f t="shared" ca="1" si="2"/>
        <v>10316.062690673516</v>
      </c>
      <c r="L37" s="455">
        <f t="shared" ca="1" si="3"/>
        <v>2486171.1084523173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1056083.6806900105</v>
      </c>
      <c r="C38" s="458">
        <f t="shared" si="0"/>
        <v>94358.621030227048</v>
      </c>
      <c r="D38" s="458">
        <f ca="1">SUMIF(G:G,31,K:K)</f>
        <v>51436.246610276459</v>
      </c>
      <c r="E38" s="458">
        <f t="shared" ca="1" si="1"/>
        <v>1013161.3062700599</v>
      </c>
      <c r="F38" s="442"/>
      <c r="G38" s="470">
        <v>3</v>
      </c>
      <c r="H38" s="470">
        <v>31</v>
      </c>
      <c r="I38" s="455">
        <f t="shared" ca="1" si="5"/>
        <v>2486171.1084523173</v>
      </c>
      <c r="J38" s="455">
        <f t="array" ref="J38">IFERROR(INDEX('Retirement Calculator'!J:J,MATCH('Isaac 401k'!N38,'Retirement Calculator'!A:A,0),0),0)</f>
        <v>31188.244538569645</v>
      </c>
      <c r="K38" s="455">
        <f t="shared" ca="1" si="2"/>
        <v>10229.09526630728</v>
      </c>
      <c r="L38" s="455">
        <f t="shared" ca="1" si="3"/>
        <v>2465211.9591800547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1013161.3062700599</v>
      </c>
      <c r="C39" s="458">
        <f t="shared" si="0"/>
        <v>94358.621030227048</v>
      </c>
      <c r="D39" s="458">
        <f ca="1">SUMIF(G:G,32,K:K)</f>
        <v>49240.256473361413</v>
      </c>
      <c r="E39" s="458">
        <f t="shared" ca="1" si="1"/>
        <v>968042.94171319425</v>
      </c>
      <c r="F39" s="442"/>
      <c r="G39" s="470">
        <v>3</v>
      </c>
      <c r="H39" s="470">
        <v>32</v>
      </c>
      <c r="I39" s="455">
        <f t="shared" ca="1" si="5"/>
        <v>2465211.9591800547</v>
      </c>
      <c r="J39" s="455">
        <f t="array" ref="J39">IFERROR(INDEX('Retirement Calculator'!J:J,MATCH('Isaac 401k'!N39,'Retirement Calculator'!A:A,0),0),0)</f>
        <v>31188.244538569645</v>
      </c>
      <c r="K39" s="455">
        <f t="shared" ca="1" si="2"/>
        <v>10141.765477672854</v>
      </c>
      <c r="L39" s="455">
        <f t="shared" ca="1" si="3"/>
        <v>2444165.4801191576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968042.94171319425</v>
      </c>
      <c r="C40" s="458">
        <f t="shared" si="0"/>
        <v>94358.621030227048</v>
      </c>
      <c r="D40" s="458">
        <f ca="1">SUMIF(G:G,33,K:K)</f>
        <v>46931.915313312245</v>
      </c>
      <c r="E40" s="458">
        <f t="shared" ca="1" si="1"/>
        <v>920616.2359962794</v>
      </c>
      <c r="F40" s="442"/>
      <c r="G40" s="470">
        <v>3</v>
      </c>
      <c r="H40" s="470">
        <v>33</v>
      </c>
      <c r="I40" s="455">
        <f t="shared" ca="1" si="5"/>
        <v>2444165.4801191576</v>
      </c>
      <c r="J40" s="455">
        <f t="array" ref="J40">IFERROR(INDEX('Retirement Calculator'!J:J,MATCH('Isaac 401k'!N40,'Retirement Calculator'!A:A,0),0),0)</f>
        <v>31188.244538569645</v>
      </c>
      <c r="K40" s="455">
        <f t="shared" ca="1" si="2"/>
        <v>10054.071814919116</v>
      </c>
      <c r="L40" s="455">
        <f t="shared" ca="1" si="3"/>
        <v>2423031.3073955067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920616.2359962794</v>
      </c>
      <c r="C41" s="458">
        <f t="shared" si="0"/>
        <v>94358.621030227048</v>
      </c>
      <c r="D41" s="458">
        <f ca="1">SUMIF(G:G,34,K:K)</f>
        <v>44505.475038556404</v>
      </c>
      <c r="E41" s="458">
        <f t="shared" ca="1" si="1"/>
        <v>870763.09000460873</v>
      </c>
      <c r="F41" s="442"/>
      <c r="G41" s="470">
        <v>3</v>
      </c>
      <c r="H41" s="470">
        <v>34</v>
      </c>
      <c r="I41" s="455">
        <f t="shared" ca="1" si="5"/>
        <v>2423031.3073955067</v>
      </c>
      <c r="J41" s="455">
        <f t="array" ref="J41">IFERROR(INDEX('Retirement Calculator'!J:J,MATCH('Isaac 401k'!N41,'Retirement Calculator'!A:A,0),0),0)</f>
        <v>31188.244538569645</v>
      </c>
      <c r="K41" s="455">
        <f t="shared" ca="1" si="2"/>
        <v>9966.0127619039031</v>
      </c>
      <c r="L41" s="455">
        <f t="shared" ca="1" si="3"/>
        <v>2401809.0756188408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870763.09000460873</v>
      </c>
      <c r="C42" s="458">
        <f t="shared" si="0"/>
        <v>94358.621030227048</v>
      </c>
      <c r="D42" s="458">
        <f ca="1">SUMIF(G:G,35,K:K)</f>
        <v>41954.893474247416</v>
      </c>
      <c r="E42" s="458">
        <f t="shared" ca="1" si="1"/>
        <v>818359.36244862911</v>
      </c>
      <c r="F42" s="442"/>
      <c r="G42" s="470">
        <v>3</v>
      </c>
      <c r="H42" s="470">
        <v>35</v>
      </c>
      <c r="I42" s="455">
        <f t="shared" ca="1" si="5"/>
        <v>2401809.0756188408</v>
      </c>
      <c r="J42" s="455">
        <f t="array" ref="J42">IFERROR(INDEX('Retirement Calculator'!J:J,MATCH('Isaac 401k'!N42,'Retirement Calculator'!A:A,0),0),0)</f>
        <v>31188.244538569645</v>
      </c>
      <c r="K42" s="455">
        <f t="shared" ca="1" si="2"/>
        <v>9877.5867961677959</v>
      </c>
      <c r="L42" s="455">
        <f t="shared" ca="1" si="3"/>
        <v>2380498.4178764387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818359.36244862911</v>
      </c>
      <c r="C43" s="458">
        <f t="shared" si="0"/>
        <v>94358.621030227048</v>
      </c>
      <c r="D43" s="458">
        <f ca="1">SUMIF(G:G,36,K:K)</f>
        <v>39273.819316406203</v>
      </c>
      <c r="E43" s="458">
        <f t="shared" ca="1" si="1"/>
        <v>763274.56073480821</v>
      </c>
      <c r="F43" s="442"/>
      <c r="G43" s="470">
        <v>3</v>
      </c>
      <c r="H43" s="470">
        <v>36</v>
      </c>
      <c r="I43" s="455">
        <f t="shared" ca="1" si="5"/>
        <v>2380498.4178764387</v>
      </c>
      <c r="J43" s="455">
        <f t="array" ref="J43">IFERROR(INDEX('Retirement Calculator'!J:J,MATCH('Isaac 401k'!N43,'Retirement Calculator'!A:A,0),0),0)</f>
        <v>31188.244538569645</v>
      </c>
      <c r="K43" s="455">
        <f t="shared" ca="1" si="2"/>
        <v>9788.7923889077865</v>
      </c>
      <c r="L43" s="455">
        <f t="shared" ca="1" si="3"/>
        <v>2359098.9657267765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763274.56073480821</v>
      </c>
      <c r="C44" s="458">
        <f t="shared" si="0"/>
        <v>94358.621030227048</v>
      </c>
      <c r="D44" s="458">
        <f ca="1">SUMIF(G:G,37,K:K)</f>
        <v>36455.576316288156</v>
      </c>
      <c r="E44" s="458">
        <f t="shared" ca="1" si="1"/>
        <v>705371.51602086937</v>
      </c>
      <c r="F44" s="442"/>
      <c r="G44" s="470">
        <v>4</v>
      </c>
      <c r="H44" s="470">
        <v>37</v>
      </c>
      <c r="I44" s="455">
        <f t="shared" ca="1" si="5"/>
        <v>2359098.9657267765</v>
      </c>
      <c r="J44" s="455">
        <f t="array" ref="J44">IFERROR(INDEX('Retirement Calculator'!J:J,MATCH('Isaac 401k'!N44,'Retirement Calculator'!A:A,0),0),0)</f>
        <v>31188.244538569645</v>
      </c>
      <c r="K44" s="455">
        <f t="shared" ca="1" si="2"/>
        <v>9699.6280049508605</v>
      </c>
      <c r="L44" s="455">
        <f t="shared" ca="1" si="3"/>
        <v>2337610.3491931576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705371.51602086937</v>
      </c>
      <c r="C45" s="458">
        <f t="shared" si="0"/>
        <v>94358.621030227048</v>
      </c>
      <c r="D45" s="458">
        <f ca="1">SUMIF(G:G,38,K:K)</f>
        <v>33493.14665559218</v>
      </c>
      <c r="E45" s="458">
        <f t="shared" ca="1" si="1"/>
        <v>644506.04164623446</v>
      </c>
      <c r="F45" s="442"/>
      <c r="G45" s="470">
        <v>4</v>
      </c>
      <c r="H45" s="470">
        <v>38</v>
      </c>
      <c r="I45" s="455">
        <f t="shared" ca="1" si="5"/>
        <v>2337610.3491931576</v>
      </c>
      <c r="J45" s="455">
        <f t="array" ref="J45">IFERROR(INDEX('Retirement Calculator'!J:J,MATCH('Isaac 401k'!N45,'Retirement Calculator'!A:A,0),0),0)</f>
        <v>31188.244538569645</v>
      </c>
      <c r="K45" s="455">
        <f t="shared" ca="1" si="2"/>
        <v>9610.0921027274489</v>
      </c>
      <c r="L45" s="455">
        <f t="shared" ca="1" si="3"/>
        <v>2316032.1967573152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644506.04164623446</v>
      </c>
      <c r="C46" s="458">
        <f t="shared" si="0"/>
        <v>94358.621030227048</v>
      </c>
      <c r="D46" s="458">
        <f ca="1">SUMIF(G:G,39,K:K)</f>
        <v>30379.153471113848</v>
      </c>
      <c r="E46" s="458">
        <f t="shared" ca="1" si="1"/>
        <v>580526.57408712129</v>
      </c>
      <c r="F46" s="442"/>
      <c r="G46" s="470">
        <v>4</v>
      </c>
      <c r="H46" s="470">
        <v>39</v>
      </c>
      <c r="I46" s="455">
        <f t="shared" ca="1" si="5"/>
        <v>2316032.1967573152</v>
      </c>
      <c r="J46" s="455">
        <f t="array" ref="J46">IFERROR(INDEX('Retirement Calculator'!J:J,MATCH('Isaac 401k'!N46,'Retirement Calculator'!A:A,0),0),0)</f>
        <v>31188.244538569645</v>
      </c>
      <c r="K46" s="455">
        <f t="shared" ca="1" si="2"/>
        <v>9520.1831342447731</v>
      </c>
      <c r="L46" s="455">
        <f t="shared" ca="1" si="3"/>
        <v>2294364.1353529901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580526.57408712129</v>
      </c>
      <c r="C47" s="458">
        <f t="shared" si="0"/>
        <v>94358.621030227048</v>
      </c>
      <c r="D47" s="458">
        <f ca="1">SUMIF(G:G,40,K:K)</f>
        <v>27105.84248532683</v>
      </c>
      <c r="E47" s="458">
        <f t="shared" ca="1" si="1"/>
        <v>513273.79554222105</v>
      </c>
      <c r="F47" s="442"/>
      <c r="G47" s="470">
        <v>4</v>
      </c>
      <c r="H47" s="470">
        <v>40</v>
      </c>
      <c r="I47" s="455">
        <f t="shared" ca="1" si="5"/>
        <v>2294364.1353529901</v>
      </c>
      <c r="J47" s="455">
        <f t="array" ref="J47">IFERROR(INDEX('Retirement Calculator'!J:J,MATCH('Isaac 401k'!N47,'Retirement Calculator'!A:A,0),0),0)</f>
        <v>31188.244538569645</v>
      </c>
      <c r="K47" s="455">
        <f t="shared" ca="1" si="2"/>
        <v>9429.8995450600851</v>
      </c>
      <c r="L47" s="455">
        <f t="shared" ca="1" si="3"/>
        <v>2272605.7903594803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513273.79554222105</v>
      </c>
      <c r="C48" s="458">
        <f t="shared" si="0"/>
        <v>94358.621030227048</v>
      </c>
      <c r="D48" s="458">
        <f ca="1">SUMIF(G:G,41,K:K)</f>
        <v>23665.06269714982</v>
      </c>
      <c r="E48" s="458">
        <f t="shared" ca="1" si="1"/>
        <v>442580.23720914382</v>
      </c>
      <c r="F48" s="442"/>
      <c r="G48" s="470">
        <v>4</v>
      </c>
      <c r="H48" s="470">
        <v>41</v>
      </c>
      <c r="I48" s="455">
        <f t="shared" ca="1" si="5"/>
        <v>2272605.7903594803</v>
      </c>
      <c r="J48" s="455">
        <f t="array" ref="J48">IFERROR(INDEX('Retirement Calculator'!J:J,MATCH('Isaac 401k'!N48,'Retirement Calculator'!A:A,0),0),0)</f>
        <v>31188.244538569645</v>
      </c>
      <c r="K48" s="455">
        <f t="shared" ca="1" si="2"/>
        <v>9339.2397742537942</v>
      </c>
      <c r="L48" s="455">
        <f t="shared" ca="1" si="3"/>
        <v>2250756.7855951642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442580.23720914382</v>
      </c>
      <c r="C49" s="458">
        <f t="shared" si="0"/>
        <v>94358.621030227048</v>
      </c>
      <c r="D49" s="458">
        <f ca="1">SUMIF(G:G,42,K:K)</f>
        <v>20048.246084816576</v>
      </c>
      <c r="E49" s="458">
        <f t="shared" ca="1" si="1"/>
        <v>368269.86226373335</v>
      </c>
      <c r="F49" s="442"/>
      <c r="G49" s="470">
        <v>4</v>
      </c>
      <c r="H49" s="470">
        <v>42</v>
      </c>
      <c r="I49" s="455">
        <f t="shared" ca="1" si="5"/>
        <v>2250756.7855951642</v>
      </c>
      <c r="J49" s="455">
        <f t="array" ref="J49">IFERROR(INDEX('Retirement Calculator'!J:J,MATCH('Isaac 401k'!N49,'Retirement Calculator'!A:A,0),0),0)</f>
        <v>31188.244538569645</v>
      </c>
      <c r="K49" s="455">
        <f t="shared" ca="1" si="2"/>
        <v>9248.2022544024767</v>
      </c>
      <c r="L49" s="455">
        <f t="shared" ca="1" si="3"/>
        <v>2228816.7433109968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368269.86226373335</v>
      </c>
      <c r="C50" s="458">
        <f t="shared" si="0"/>
        <v>94358.621030227048</v>
      </c>
      <c r="D50" s="458">
        <f ca="1">SUMIF(G:G,43,K:K)</f>
        <v>16246.386270306164</v>
      </c>
      <c r="E50" s="458">
        <f t="shared" ca="1" si="1"/>
        <v>290157.62750381249</v>
      </c>
      <c r="F50" s="442"/>
      <c r="G50" s="470">
        <v>4</v>
      </c>
      <c r="H50" s="470">
        <v>43</v>
      </c>
      <c r="I50" s="455">
        <f t="shared" ca="1" si="5"/>
        <v>2228816.7433109968</v>
      </c>
      <c r="J50" s="455">
        <f t="array" ref="J50">IFERROR(INDEX('Retirement Calculator'!J:J,MATCH('Isaac 401k'!N50,'Retirement Calculator'!A:A,0),0),0)</f>
        <v>30565.244538569641</v>
      </c>
      <c r="K50" s="455">
        <f t="shared" ca="1" si="2"/>
        <v>9159.3812448851131</v>
      </c>
      <c r="L50" s="455">
        <f t="shared" ca="1" si="3"/>
        <v>2207410.8800173122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290157.62750381249</v>
      </c>
      <c r="C51" s="458">
        <f t="shared" si="0"/>
        <v>94358.621030227048</v>
      </c>
      <c r="D51" s="458">
        <f ca="1">SUMIF(G:G,44,K:K)</f>
        <v>12250.016092205116</v>
      </c>
      <c r="E51" s="458">
        <f t="shared" ca="1" si="1"/>
        <v>208049.02256579057</v>
      </c>
      <c r="F51" s="442"/>
      <c r="G51" s="470">
        <v>4</v>
      </c>
      <c r="H51" s="470">
        <v>44</v>
      </c>
      <c r="I51" s="455">
        <f t="shared" ca="1" si="5"/>
        <v>2207410.8800173122</v>
      </c>
      <c r="J51" s="455">
        <f t="array" ref="J51">IFERROR(INDEX('Retirement Calculator'!J:J,MATCH('Isaac 401k'!N51,'Retirement Calculator'!A:A,0),0),0)</f>
        <v>30565.244538569641</v>
      </c>
      <c r="K51" s="455">
        <f t="shared" ca="1" si="2"/>
        <v>9070.1901478280924</v>
      </c>
      <c r="L51" s="455">
        <f t="shared" ca="1" si="3"/>
        <v>2185915.8256265707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208049.02256579057</v>
      </c>
      <c r="C52" s="458">
        <f t="shared" si="0"/>
        <v>94358.621030227048</v>
      </c>
      <c r="D52" s="458">
        <f ca="1">SUMIF(G:G,45,K:K)</f>
        <v>8049.1840311544711</v>
      </c>
      <c r="E52" s="458">
        <f t="shared" ca="1" si="1"/>
        <v>121739.58556671799</v>
      </c>
      <c r="F52" s="442"/>
      <c r="G52" s="470">
        <v>4</v>
      </c>
      <c r="H52" s="470">
        <v>45</v>
      </c>
      <c r="I52" s="455">
        <f t="shared" ca="1" si="5"/>
        <v>2185915.8256265707</v>
      </c>
      <c r="J52" s="455">
        <f t="array" ref="J52">IFERROR(INDEX('Retirement Calculator'!J:J,MATCH('Isaac 401k'!N52,'Retirement Calculator'!A:A,0),0),0)</f>
        <v>30565.244538569641</v>
      </c>
      <c r="K52" s="455">
        <f t="shared" ca="1" si="2"/>
        <v>8980.6274212000044</v>
      </c>
      <c r="L52" s="455">
        <f t="shared" ca="1" si="3"/>
        <v>2164331.2085092007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121739.58556671799</v>
      </c>
      <c r="C53" s="458">
        <f t="shared" si="0"/>
        <v>94358.621030227048</v>
      </c>
      <c r="D53" s="458">
        <f ca="1">SUMIF(G:G,46,K:K)</f>
        <v>3633.4294291780384</v>
      </c>
      <c r="E53" s="458">
        <f t="shared" ca="1" si="1"/>
        <v>31014.393965668976</v>
      </c>
      <c r="F53" s="442"/>
      <c r="G53" s="470">
        <v>4</v>
      </c>
      <c r="H53" s="470">
        <v>46</v>
      </c>
      <c r="I53" s="455">
        <f t="shared" ca="1" si="5"/>
        <v>2164331.2085092007</v>
      </c>
      <c r="J53" s="455">
        <f t="array" ref="J53">IFERROR(INDEX('Retirement Calculator'!J:J,MATCH('Isaac 401k'!N53,'Retirement Calculator'!A:A,0),0),0)</f>
        <v>30565.244538569641</v>
      </c>
      <c r="K53" s="455">
        <f t="shared" ca="1" si="2"/>
        <v>8890.6915165442952</v>
      </c>
      <c r="L53" s="455">
        <f t="shared" ca="1" si="3"/>
        <v>2142656.6554871751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31014.393965668976</v>
      </c>
      <c r="C54" s="458">
        <f t="shared" si="0"/>
        <v>94358.621030227048</v>
      </c>
      <c r="D54" s="458">
        <f ca="1">SUMIF(G:G,47,K:K)</f>
        <v>-1008.2435588155092</v>
      </c>
      <c r="E54" s="458">
        <f t="shared" ca="1" si="1"/>
        <v>-64352.470623373578</v>
      </c>
      <c r="F54" s="442"/>
      <c r="G54" s="470">
        <v>4</v>
      </c>
      <c r="H54" s="470">
        <v>47</v>
      </c>
      <c r="I54" s="455">
        <f t="shared" ca="1" si="5"/>
        <v>2142656.6554871751</v>
      </c>
      <c r="J54" s="455">
        <f t="array" ref="J54">IFERROR(INDEX('Retirement Calculator'!J:J,MATCH('Isaac 401k'!N54,'Retirement Calculator'!A:A,0),0),0)</f>
        <v>30565.244538569641</v>
      </c>
      <c r="K54" s="455">
        <f t="shared" ca="1" si="2"/>
        <v>8800.380878952521</v>
      </c>
      <c r="L54" s="455">
        <f t="shared" ca="1" si="3"/>
        <v>2120891.7918275576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-64352.470623373578</v>
      </c>
      <c r="C55" s="458">
        <f t="shared" si="0"/>
        <v>94358.621030227048</v>
      </c>
      <c r="D55" s="458">
        <f ca="1">SUMIF(G:G,48,K:K)</f>
        <v>-5887.3933462211817</v>
      </c>
      <c r="E55" s="458">
        <f t="shared" ca="1" si="1"/>
        <v>-164598.48499982181</v>
      </c>
      <c r="F55" s="442"/>
      <c r="G55" s="470">
        <v>4</v>
      </c>
      <c r="H55" s="470">
        <v>48</v>
      </c>
      <c r="I55" s="455">
        <f t="shared" ca="1" si="5"/>
        <v>2120891.7918275576</v>
      </c>
      <c r="J55" s="455">
        <f t="array" ref="J55">IFERROR(INDEX('Retirement Calculator'!J:J,MATCH('Isaac 401k'!N55,'Retirement Calculator'!A:A,0),0),0)</f>
        <v>30565.244538569641</v>
      </c>
      <c r="K55" s="455">
        <f t="shared" ca="1" si="2"/>
        <v>8709.6939470374491</v>
      </c>
      <c r="L55" s="455">
        <f t="shared" ca="1" si="3"/>
        <v>2099036.2412360255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-164598.48499982181</v>
      </c>
      <c r="C56" s="458">
        <f t="shared" si="0"/>
        <v>94358.621030227048</v>
      </c>
      <c r="D56" s="458">
        <f ca="1">SUMIF(G:G,49,K:K)</f>
        <v>-11016.16969679978</v>
      </c>
      <c r="E56" s="458">
        <f t="shared" ca="1" si="1"/>
        <v>-269973.27572684863</v>
      </c>
      <c r="F56" s="442"/>
      <c r="G56" s="470">
        <f>G55+1</f>
        <v>5</v>
      </c>
      <c r="H56" s="470">
        <v>49</v>
      </c>
      <c r="I56" s="455">
        <f t="shared" ca="1" si="5"/>
        <v>2099036.2412360255</v>
      </c>
      <c r="J56" s="455">
        <f t="array" ref="J56">IFERROR(INDEX('Retirement Calculator'!J:J,MATCH('Isaac 401k'!N56,'Retirement Calculator'!A:A,0),0),0)</f>
        <v>30565.244538569641</v>
      </c>
      <c r="K56" s="455">
        <f t="shared" ca="1" si="2"/>
        <v>8618.6291529060654</v>
      </c>
      <c r="L56" s="455">
        <f t="shared" ca="1" si="3"/>
        <v>2077089.625850362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-269973.27572684863</v>
      </c>
      <c r="C57" s="458">
        <f t="shared" si="0"/>
        <v>94358.621030227048</v>
      </c>
      <c r="D57" s="458">
        <f ca="1">SUMIF(G:G,50,K:K)</f>
        <v>-16407.343979284939</v>
      </c>
      <c r="E57" s="458">
        <f t="shared" ca="1" si="1"/>
        <v>-380739.2407363606</v>
      </c>
      <c r="F57" s="442"/>
      <c r="G57" s="470">
        <f t="shared" ref="G57:G67" si="8">G56</f>
        <v>5</v>
      </c>
      <c r="H57" s="470">
        <v>50</v>
      </c>
      <c r="I57" s="455">
        <f t="shared" ca="1" si="5"/>
        <v>2077089.625850362</v>
      </c>
      <c r="J57" s="455">
        <f t="array" ref="J57">IFERROR(INDEX('Retirement Calculator'!J:J,MATCH('Isaac 401k'!N57,'Retirement Calculator'!A:A,0),0),0)</f>
        <v>30565.244538569641</v>
      </c>
      <c r="K57" s="455">
        <f t="shared" ca="1" si="2"/>
        <v>8527.1849221324683</v>
      </c>
      <c r="L57" s="455">
        <f t="shared" ca="1" si="3"/>
        <v>2055051.5662339248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-380739.2407363606</v>
      </c>
      <c r="C58" s="458">
        <f t="shared" si="0"/>
        <v>94358.621030227048</v>
      </c>
      <c r="D58" s="458">
        <f ca="1">SUMIF(G:G,51,K:K)</f>
        <v>-22074.340969873236</v>
      </c>
      <c r="E58" s="458">
        <f t="shared" ca="1" si="1"/>
        <v>-497172.20273646089</v>
      </c>
      <c r="F58" s="442"/>
      <c r="G58" s="470">
        <f t="shared" si="8"/>
        <v>5</v>
      </c>
      <c r="H58" s="470">
        <v>51</v>
      </c>
      <c r="I58" s="455">
        <f t="shared" ca="1" si="5"/>
        <v>2055051.5662339248</v>
      </c>
      <c r="J58" s="455">
        <f t="array" ref="J58">IFERROR(INDEX('Retirement Calculator'!J:J,MATCH('Isaac 401k'!N58,'Retirement Calculator'!A:A,0),0),0)</f>
        <v>30565.244538569641</v>
      </c>
      <c r="K58" s="455">
        <f t="shared" ca="1" si="2"/>
        <v>8435.359673730647</v>
      </c>
      <c r="L58" s="455">
        <f t="shared" ca="1" si="3"/>
        <v>2032921.6813690858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-497172.20273646089</v>
      </c>
      <c r="C59" s="458">
        <f t="shared" si="0"/>
        <v>94358.621030227048</v>
      </c>
      <c r="D59" s="458">
        <f ca="1">SUMIF(G:G,52,K:K)</f>
        <v>-28031.272281790098</v>
      </c>
      <c r="E59" s="458">
        <f t="shared" ca="1" si="1"/>
        <v>-619562.09604847804</v>
      </c>
      <c r="F59" s="442"/>
      <c r="G59" s="470">
        <f t="shared" si="8"/>
        <v>5</v>
      </c>
      <c r="H59" s="470">
        <v>52</v>
      </c>
      <c r="I59" s="455">
        <f t="shared" ca="1" si="5"/>
        <v>2032921.6813690858</v>
      </c>
      <c r="J59" s="455">
        <f t="array" ref="J59">IFERROR(INDEX('Retirement Calculator'!J:J,MATCH('Isaac 401k'!N59,'Retirement Calculator'!A:A,0),0),0)</f>
        <v>30565.244538569641</v>
      </c>
      <c r="K59" s="455">
        <f t="shared" ca="1" si="2"/>
        <v>8343.1518201271501</v>
      </c>
      <c r="L59" s="455">
        <f t="shared" ca="1" si="3"/>
        <v>2010699.5886506434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-619562.09604847804</v>
      </c>
      <c r="C60" s="458">
        <f t="shared" si="0"/>
        <v>94358.621030227048</v>
      </c>
      <c r="D60" s="458">
        <f ca="1">SUMIF(G:G,53,K:K)</f>
        <v>-34292.971505175745</v>
      </c>
      <c r="E60" s="458">
        <f t="shared" ca="1" si="1"/>
        <v>-748213.68858388078</v>
      </c>
      <c r="F60" s="442"/>
      <c r="G60" s="470">
        <f t="shared" si="8"/>
        <v>5</v>
      </c>
      <c r="H60" s="470">
        <v>53</v>
      </c>
      <c r="I60" s="455">
        <f t="shared" ca="1" si="5"/>
        <v>2010699.5886506434</v>
      </c>
      <c r="J60" s="455">
        <f t="array" ref="J60">IFERROR(INDEX('Retirement Calculator'!J:J,MATCH('Isaac 401k'!N60,'Retirement Calculator'!A:A,0),0),0)</f>
        <v>30565.244538569641</v>
      </c>
      <c r="K60" s="455">
        <f t="shared" ca="1" si="2"/>
        <v>8250.5597671336418</v>
      </c>
      <c r="L60" s="455">
        <f t="shared" ca="1" si="3"/>
        <v>1988384.9038792073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-748213.68858388078</v>
      </c>
      <c r="C61" s="458">
        <f t="shared" si="0"/>
        <v>94358.621030227048</v>
      </c>
      <c r="D61" s="458">
        <f ca="1">SUMIF(G:G,54,K:K)</f>
        <v>-40875.031144794375</v>
      </c>
      <c r="E61" s="458">
        <f t="shared" ca="1" si="1"/>
        <v>-883447.34075890225</v>
      </c>
      <c r="F61" s="442"/>
      <c r="G61" s="470">
        <f t="shared" si="8"/>
        <v>5</v>
      </c>
      <c r="H61" s="470">
        <v>54</v>
      </c>
      <c r="I61" s="455">
        <f t="shared" ca="1" si="5"/>
        <v>1988384.9038792073</v>
      </c>
      <c r="J61" s="455">
        <f t="array" ref="J61">IFERROR(INDEX('Retirement Calculator'!J:J,MATCH('Isaac 401k'!N61,'Retirement Calculator'!A:A,0),0),0)</f>
        <v>30565.244538569641</v>
      </c>
      <c r="K61" s="455">
        <f t="shared" ca="1" si="2"/>
        <v>8157.5819139193236</v>
      </c>
      <c r="L61" s="455">
        <f t="shared" ca="1" si="3"/>
        <v>1965977.2412545572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-883447.34075890225</v>
      </c>
      <c r="C62" s="458">
        <f t="shared" si="0"/>
        <v>94358.621030227048</v>
      </c>
      <c r="D62" s="458">
        <f ca="1">SUMIF(G:G,55,K:K)</f>
        <v>-47793.841447546656</v>
      </c>
      <c r="E62" s="458">
        <f t="shared" ca="1" si="1"/>
        <v>-1025599.8032366759</v>
      </c>
      <c r="F62" s="442"/>
      <c r="G62" s="470">
        <f t="shared" si="8"/>
        <v>5</v>
      </c>
      <c r="H62" s="470">
        <v>55</v>
      </c>
      <c r="I62" s="455">
        <f t="shared" ca="1" si="5"/>
        <v>1965977.2412545572</v>
      </c>
      <c r="J62" s="455">
        <f t="array" ref="J62">IFERROR(INDEX('Retirement Calculator'!J:J,MATCH('Isaac 401k'!N62,'Retirement Calculator'!A:A,0),0),0)</f>
        <v>30565.244538569641</v>
      </c>
      <c r="K62" s="455">
        <f t="shared" ca="1" si="2"/>
        <v>8064.2166529832812</v>
      </c>
      <c r="L62" s="455">
        <f t="shared" ca="1" si="3"/>
        <v>1943476.2133689709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-1025599.8032366759</v>
      </c>
      <c r="C63" s="458">
        <f t="shared" si="0"/>
        <v>94358.621030227048</v>
      </c>
      <c r="D63" s="458">
        <f ca="1">SUMIF(G:G,56,K:K)</f>
        <v>-55066.63121647144</v>
      </c>
      <c r="E63" s="458">
        <f t="shared" ca="1" si="1"/>
        <v>-1175025.0554833745</v>
      </c>
      <c r="F63" s="442"/>
      <c r="G63" s="470">
        <f t="shared" si="8"/>
        <v>5</v>
      </c>
      <c r="H63" s="470">
        <v>56</v>
      </c>
      <c r="I63" s="455">
        <f t="shared" ca="1" si="5"/>
        <v>1943476.2133689709</v>
      </c>
      <c r="J63" s="455">
        <f t="array" ref="J63">IFERROR(INDEX('Retirement Calculator'!J:J,MATCH('Isaac 401k'!N63,'Retirement Calculator'!A:A,0),0),0)</f>
        <v>30565.244538569641</v>
      </c>
      <c r="K63" s="455">
        <f t="shared" ca="1" si="2"/>
        <v>7970.4623701266719</v>
      </c>
      <c r="L63" s="455">
        <f t="shared" ca="1" si="3"/>
        <v>1920881.4312005281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-1175025.0554833745</v>
      </c>
      <c r="C64" s="458">
        <f t="shared" si="0"/>
        <v>94358.621030227048</v>
      </c>
      <c r="D64" s="458">
        <f ca="1">SUMIF(G:G,57,K:K)</f>
        <v>-62711.510712869254</v>
      </c>
      <c r="E64" s="458">
        <f t="shared" ca="1" si="1"/>
        <v>-1332095.1872264708</v>
      </c>
      <c r="F64" s="442"/>
      <c r="G64" s="470">
        <f t="shared" si="8"/>
        <v>5</v>
      </c>
      <c r="H64" s="470">
        <v>57</v>
      </c>
      <c r="I64" s="455">
        <f t="shared" ca="1" si="5"/>
        <v>1920881.4312005281</v>
      </c>
      <c r="J64" s="455">
        <f t="array" ref="J64">IFERROR(INDEX('Retirement Calculator'!J:J,MATCH('Isaac 401k'!N64,'Retirement Calculator'!A:A,0),0),0)</f>
        <v>30565.244538569641</v>
      </c>
      <c r="K64" s="455">
        <f t="shared" ca="1" si="2"/>
        <v>7876.317444424827</v>
      </c>
      <c r="L64" s="455">
        <f t="shared" ca="1" si="3"/>
        <v>1898192.5041063833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-1332095.1872264708</v>
      </c>
      <c r="C65" s="458">
        <f t="shared" si="0"/>
        <v>94358.621030227048</v>
      </c>
      <c r="D65" s="458">
        <f ca="1">SUMIF(G:G,58,K:K)</f>
        <v>-70747.516753379925</v>
      </c>
      <c r="E65" s="458">
        <f t="shared" ca="1" si="1"/>
        <v>-1497201.3250100778</v>
      </c>
      <c r="F65" s="442"/>
      <c r="G65" s="470">
        <f t="shared" si="8"/>
        <v>5</v>
      </c>
      <c r="H65" s="470">
        <v>58</v>
      </c>
      <c r="I65" s="455">
        <f t="shared" ca="1" si="5"/>
        <v>1898192.5041063833</v>
      </c>
      <c r="J65" s="455">
        <f t="array" ref="J65">IFERROR(INDEX('Retirement Calculator'!J:J,MATCH('Isaac 401k'!N65,'Retirement Calculator'!A:A,0),0),0)</f>
        <v>30565.244538569641</v>
      </c>
      <c r="K65" s="455">
        <f t="shared" ca="1" si="2"/>
        <v>7781.7802481992239</v>
      </c>
      <c r="L65" s="455">
        <f t="shared" ca="1" si="3"/>
        <v>1875409.0398160128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-1497201.3250100778</v>
      </c>
      <c r="C66" s="458">
        <f t="shared" si="0"/>
        <v>94358.621030227048</v>
      </c>
      <c r="D66" s="458">
        <f ca="1">SUMIF(G:G,59,K:K)</f>
        <v>-79194.66011431221</v>
      </c>
      <c r="E66" s="458">
        <f t="shared" ca="1" si="1"/>
        <v>-1670754.6061546172</v>
      </c>
      <c r="F66" s="442"/>
      <c r="G66" s="470">
        <f t="shared" si="8"/>
        <v>5</v>
      </c>
      <c r="H66" s="470">
        <v>59</v>
      </c>
      <c r="I66" s="455">
        <f t="shared" ca="1" si="5"/>
        <v>1875409.0398160128</v>
      </c>
      <c r="J66" s="455">
        <f t="array" ref="J66">IFERROR(INDEX('Retirement Calculator'!J:J,MATCH('Isaac 401k'!N66,'Retirement Calculator'!A:A,0),0),0)</f>
        <v>30565.244538569641</v>
      </c>
      <c r="K66" s="455">
        <f t="shared" ca="1" si="2"/>
        <v>7686.849146989347</v>
      </c>
      <c r="L66" s="455">
        <f t="shared" ca="1" si="3"/>
        <v>1852530.6444244327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-1670754.6061546172</v>
      </c>
      <c r="C67" s="458">
        <f t="shared" si="0"/>
        <v>94358.621030227048</v>
      </c>
      <c r="D67" s="458">
        <f t="shared" ref="D67:D136" ca="1" si="9">SUMIF(G:G,60,K:K)</f>
        <v>-88073.97536126888</v>
      </c>
      <c r="E67" s="458">
        <f t="shared" ca="1" si="1"/>
        <v>-1853187.2025461132</v>
      </c>
      <c r="F67" s="442"/>
      <c r="G67" s="470">
        <f t="shared" si="8"/>
        <v>5</v>
      </c>
      <c r="H67" s="470">
        <v>60</v>
      </c>
      <c r="I67" s="455">
        <f t="shared" ca="1" si="5"/>
        <v>1852530.6444244327</v>
      </c>
      <c r="J67" s="455">
        <f t="array" ref="J67">IFERROR(INDEX('Retirement Calculator'!J:J,MATCH('Isaac 401k'!N67,'Retirement Calculator'!A:A,0),0),0)</f>
        <v>30565.244538569641</v>
      </c>
      <c r="K67" s="455">
        <f t="shared" ca="1" si="2"/>
        <v>7591.5224995244307</v>
      </c>
      <c r="L67" s="455">
        <f t="shared" ca="1" si="3"/>
        <v>1829556.9223853876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-1853187.2025461132</v>
      </c>
      <c r="C68" s="458">
        <f t="shared" si="0"/>
        <v>94358.621030227048</v>
      </c>
      <c r="D68" s="458">
        <f t="shared" ca="1" si="9"/>
        <v>-88073.97536126888</v>
      </c>
      <c r="E68" s="458">
        <f t="shared" ca="1" si="1"/>
        <v>-2035619.7989376092</v>
      </c>
      <c r="F68" s="442"/>
      <c r="G68" s="470">
        <f>G67+1</f>
        <v>6</v>
      </c>
      <c r="H68" s="470">
        <v>61</v>
      </c>
      <c r="I68" s="455">
        <f t="shared" ca="1" si="5"/>
        <v>1829556.9223853876</v>
      </c>
      <c r="J68" s="455">
        <f t="array" ref="J68">IFERROR(INDEX('Retirement Calculator'!J:J,MATCH('Isaac 401k'!N68,'Retirement Calculator'!A:A,0),0),0)</f>
        <v>30565.244538569641</v>
      </c>
      <c r="K68" s="455">
        <f t="shared" ca="1" si="2"/>
        <v>7495.7986576950752</v>
      </c>
      <c r="L68" s="455">
        <f t="shared" ca="1" si="3"/>
        <v>1806487.4765045131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-2035619.7989376092</v>
      </c>
      <c r="C69" s="458">
        <f t="shared" si="0"/>
        <v>94358.621030227048</v>
      </c>
      <c r="D69" s="458">
        <f t="shared" ca="1" si="9"/>
        <v>-88073.97536126888</v>
      </c>
      <c r="E69" s="458">
        <f t="shared" ca="1" si="1"/>
        <v>-2218052.3953291052</v>
      </c>
      <c r="F69" s="442"/>
      <c r="G69" s="470">
        <f t="shared" ref="G69:G79" si="10">G68</f>
        <v>6</v>
      </c>
      <c r="H69" s="470">
        <v>62</v>
      </c>
      <c r="I69" s="455">
        <f t="shared" ca="1" si="5"/>
        <v>1806487.4765045131</v>
      </c>
      <c r="J69" s="455">
        <f t="array" ref="J69">IFERROR(INDEX('Retirement Calculator'!J:J,MATCH('Isaac 401k'!N69,'Retirement Calculator'!A:A,0),0),0)</f>
        <v>30565.244538569641</v>
      </c>
      <c r="K69" s="455">
        <f t="shared" ca="1" si="2"/>
        <v>7399.6759665247655</v>
      </c>
      <c r="L69" s="455">
        <f t="shared" ca="1" si="3"/>
        <v>1783321.9079324682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-2218052.3953291052</v>
      </c>
      <c r="C70" s="458">
        <f t="shared" si="0"/>
        <v>94358.621030227048</v>
      </c>
      <c r="D70" s="458">
        <f t="shared" ca="1" si="9"/>
        <v>-88073.97536126888</v>
      </c>
      <c r="E70" s="458">
        <f t="shared" ca="1" si="1"/>
        <v>-2400484.991720601</v>
      </c>
      <c r="F70" s="442"/>
      <c r="G70" s="470">
        <f t="shared" si="10"/>
        <v>6</v>
      </c>
      <c r="H70" s="470">
        <v>63</v>
      </c>
      <c r="I70" s="455">
        <f t="shared" ca="1" si="5"/>
        <v>1783321.9079324682</v>
      </c>
      <c r="J70" s="455">
        <f t="array" ref="J70">IFERROR(INDEX('Retirement Calculator'!J:J,MATCH('Isaac 401k'!N70,'Retirement Calculator'!A:A,0),0),0)</f>
        <v>30565.244538569641</v>
      </c>
      <c r="K70" s="455">
        <f t="shared" ca="1" si="2"/>
        <v>7303.152764141244</v>
      </c>
      <c r="L70" s="455">
        <f t="shared" ca="1" si="3"/>
        <v>1760059.81615804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-2400484.991720601</v>
      </c>
      <c r="C71" s="458">
        <f t="shared" si="0"/>
        <v>94358.621030227048</v>
      </c>
      <c r="D71" s="458">
        <f t="shared" ca="1" si="9"/>
        <v>-88073.97536126888</v>
      </c>
      <c r="E71" s="458">
        <f t="shared" ca="1" si="1"/>
        <v>-2582917.5881120972</v>
      </c>
      <c r="F71" s="442"/>
      <c r="G71" s="470">
        <f t="shared" si="10"/>
        <v>6</v>
      </c>
      <c r="H71" s="470">
        <v>64</v>
      </c>
      <c r="I71" s="455">
        <f t="shared" ca="1" si="5"/>
        <v>1760059.81615804</v>
      </c>
      <c r="J71" s="455">
        <f t="array" ref="J71">IFERROR(INDEX('Retirement Calculator'!J:J,MATCH('Isaac 401k'!N71,'Retirement Calculator'!A:A,0),0),0)</f>
        <v>30565.244538569641</v>
      </c>
      <c r="K71" s="455">
        <f t="shared" ca="1" si="2"/>
        <v>7206.2273817477944</v>
      </c>
      <c r="L71" s="455">
        <f t="shared" ca="1" si="3"/>
        <v>1736700.7990012181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58">
        <f t="shared" ca="1" si="4"/>
        <v>-2582917.5881120972</v>
      </c>
      <c r="C72" s="458">
        <f t="shared" si="0"/>
        <v>94358.621030227048</v>
      </c>
      <c r="D72" s="458">
        <f t="shared" ca="1" si="9"/>
        <v>-88073.97536126888</v>
      </c>
      <c r="E72" s="458">
        <f t="shared" ca="1" si="1"/>
        <v>-2765350.1845035935</v>
      </c>
      <c r="F72" s="442"/>
      <c r="G72" s="470">
        <f t="shared" si="10"/>
        <v>6</v>
      </c>
      <c r="H72" s="470">
        <v>65</v>
      </c>
      <c r="I72" s="455">
        <f t="shared" ca="1" si="5"/>
        <v>1736700.7990012181</v>
      </c>
      <c r="J72" s="455">
        <f t="array" ref="J72">IFERROR(INDEX('Retirement Calculator'!J:J,MATCH('Isaac 401k'!N72,'Retirement Calculator'!A:A,0),0),0)</f>
        <v>30565.244538569641</v>
      </c>
      <c r="K72" s="455">
        <f t="shared" ca="1" si="2"/>
        <v>7108.8981435943688</v>
      </c>
      <c r="L72" s="455">
        <f t="shared" ca="1" si="3"/>
        <v>1713244.4526062428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58">
        <f t="shared" ca="1" si="4"/>
        <v>-2765350.1845035935</v>
      </c>
      <c r="C73" s="458">
        <f t="shared" si="0"/>
        <v>94358.621030227048</v>
      </c>
      <c r="D73" s="458">
        <f t="shared" ca="1" si="9"/>
        <v>-88073.97536126888</v>
      </c>
      <c r="E73" s="458">
        <f t="shared" ca="1" si="1"/>
        <v>-2947782.7808950897</v>
      </c>
      <c r="F73" s="442"/>
      <c r="G73" s="470">
        <f t="shared" si="10"/>
        <v>6</v>
      </c>
      <c r="H73" s="470">
        <v>66</v>
      </c>
      <c r="I73" s="455">
        <f t="shared" ca="1" si="5"/>
        <v>1713244.4526062428</v>
      </c>
      <c r="J73" s="455">
        <f t="array" ref="J73">IFERROR(INDEX('Retirement Calculator'!J:J,MATCH('Isaac 401k'!N73,'Retirement Calculator'!A:A,0),0),0)</f>
        <v>30565.244538569641</v>
      </c>
      <c r="K73" s="455">
        <f t="shared" ca="1" si="2"/>
        <v>7011.1633669486382</v>
      </c>
      <c r="L73" s="455">
        <f t="shared" ca="1" si="3"/>
        <v>1689690.371434622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58">
        <f t="shared" ca="1" si="4"/>
        <v>-2947782.7808950897</v>
      </c>
      <c r="C74" s="458">
        <f t="shared" si="0"/>
        <v>94358.621030227048</v>
      </c>
      <c r="D74" s="458">
        <f t="shared" ca="1" si="9"/>
        <v>-88073.97536126888</v>
      </c>
      <c r="E74" s="458">
        <f t="shared" ca="1" si="1"/>
        <v>-3130215.377286586</v>
      </c>
      <c r="F74" s="442"/>
      <c r="G74" s="470">
        <f t="shared" si="10"/>
        <v>6</v>
      </c>
      <c r="H74" s="470">
        <v>67</v>
      </c>
      <c r="I74" s="455">
        <f t="shared" ca="1" si="5"/>
        <v>1689690.371434622</v>
      </c>
      <c r="J74" s="455">
        <f t="array" ref="J74">IFERROR(INDEX('Retirement Calculator'!J:J,MATCH('Isaac 401k'!N74,'Retirement Calculator'!A:A,0),0),0)</f>
        <v>30565.244538569641</v>
      </c>
      <c r="K74" s="455">
        <f t="shared" ca="1" si="2"/>
        <v>6913.0213620668856</v>
      </c>
      <c r="L74" s="455">
        <f t="shared" ca="1" si="3"/>
        <v>1666038.1482581194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58">
        <f t="shared" ca="1" si="4"/>
        <v>-3130215.377286586</v>
      </c>
      <c r="C75" s="458">
        <f t="shared" si="0"/>
        <v>94358.621030227048</v>
      </c>
      <c r="D75" s="458">
        <f t="shared" ca="1" si="9"/>
        <v>-88073.97536126888</v>
      </c>
      <c r="E75" s="458">
        <f t="shared" ca="1" si="1"/>
        <v>-3312647.9736780822</v>
      </c>
      <c r="F75" s="442"/>
      <c r="G75" s="470">
        <f t="shared" si="10"/>
        <v>6</v>
      </c>
      <c r="H75" s="470">
        <v>68</v>
      </c>
      <c r="I75" s="455">
        <f t="shared" ca="1" si="5"/>
        <v>1666038.1482581194</v>
      </c>
      <c r="J75" s="455">
        <f t="array" ref="J75">IFERROR(INDEX('Retirement Calculator'!J:J,MATCH('Isaac 401k'!N75,'Retirement Calculator'!A:A,0),0),0)</f>
        <v>8539.3180191855863</v>
      </c>
      <c r="K75" s="455">
        <f t="shared" ca="1" si="2"/>
        <v>6906.2451259955569</v>
      </c>
      <c r="L75" s="455">
        <f t="shared" ca="1" si="3"/>
        <v>1664405.0753649292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58">
        <f t="shared" ca="1" si="4"/>
        <v>-3312647.9736780822</v>
      </c>
      <c r="C76" s="458">
        <f t="shared" si="0"/>
        <v>94358.621030227048</v>
      </c>
      <c r="D76" s="458">
        <f t="shared" ca="1" si="9"/>
        <v>-88073.97536126888</v>
      </c>
      <c r="E76" s="458">
        <f t="shared" ca="1" si="1"/>
        <v>-3495080.5700695785</v>
      </c>
      <c r="F76" s="442"/>
      <c r="G76" s="470">
        <f t="shared" si="10"/>
        <v>6</v>
      </c>
      <c r="H76" s="470">
        <v>69</v>
      </c>
      <c r="I76" s="455">
        <f t="shared" ca="1" si="5"/>
        <v>1664405.0753649292</v>
      </c>
      <c r="J76" s="455">
        <f t="array" ref="J76">IFERROR(INDEX('Retirement Calculator'!J:J,MATCH('Isaac 401k'!N76,'Retirement Calculator'!A:A,0),0),0)</f>
        <v>8539.3180191855863</v>
      </c>
      <c r="K76" s="455">
        <f t="shared" ca="1" si="2"/>
        <v>6899.4406556072636</v>
      </c>
      <c r="L76" s="455">
        <f t="shared" ca="1" si="3"/>
        <v>1662765.1980013507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58">
        <f t="shared" ca="1" si="4"/>
        <v>-3495080.5700695785</v>
      </c>
      <c r="C77" s="458">
        <f t="shared" si="0"/>
        <v>94358.621030227048</v>
      </c>
      <c r="D77" s="458">
        <f t="shared" ca="1" si="9"/>
        <v>-88073.97536126888</v>
      </c>
      <c r="E77" s="458">
        <f t="shared" ca="1" si="1"/>
        <v>-3677513.1664610747</v>
      </c>
      <c r="F77" s="442"/>
      <c r="G77" s="470">
        <f t="shared" si="10"/>
        <v>6</v>
      </c>
      <c r="H77" s="470">
        <v>70</v>
      </c>
      <c r="I77" s="455">
        <f t="shared" ca="1" si="5"/>
        <v>1662765.1980013507</v>
      </c>
      <c r="J77" s="455">
        <f t="array" ref="J77">IFERROR(INDEX('Retirement Calculator'!J:J,MATCH('Isaac 401k'!N77,'Retirement Calculator'!A:A,0),0),0)</f>
        <v>8539.3180191855863</v>
      </c>
      <c r="K77" s="455">
        <f t="shared" ca="1" si="2"/>
        <v>6892.6078332590214</v>
      </c>
      <c r="L77" s="455">
        <f t="shared" ca="1" si="3"/>
        <v>1661118.4878154241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58">
        <f t="shared" ca="1" si="4"/>
        <v>-3677513.1664610747</v>
      </c>
      <c r="C78" s="458">
        <f t="shared" si="0"/>
        <v>94358.621030227048</v>
      </c>
      <c r="D78" s="458">
        <f t="shared" ca="1" si="9"/>
        <v>-88073.97536126888</v>
      </c>
      <c r="E78" s="458">
        <f t="shared" ca="1" si="1"/>
        <v>-3859945.762852571</v>
      </c>
      <c r="F78" s="442"/>
      <c r="G78" s="470">
        <f t="shared" si="10"/>
        <v>6</v>
      </c>
      <c r="H78" s="470">
        <v>71</v>
      </c>
      <c r="I78" s="455">
        <f t="shared" ca="1" si="5"/>
        <v>1661118.4878154241</v>
      </c>
      <c r="J78" s="455">
        <f t="array" ref="J78">IFERROR(INDEX('Retirement Calculator'!J:J,MATCH('Isaac 401k'!N78,'Retirement Calculator'!A:A,0),0),0)</f>
        <v>8539.3180191855863</v>
      </c>
      <c r="K78" s="455">
        <f t="shared" ca="1" si="2"/>
        <v>6885.7465408176604</v>
      </c>
      <c r="L78" s="455">
        <f t="shared" ca="1" si="3"/>
        <v>1659464.9163370561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58">
        <f t="shared" ca="1" si="4"/>
        <v>-3859945.762852571</v>
      </c>
      <c r="C79" s="458">
        <f t="shared" si="0"/>
        <v>94358.621030227048</v>
      </c>
      <c r="D79" s="458">
        <f t="shared" ca="1" si="9"/>
        <v>-88073.97536126888</v>
      </c>
      <c r="E79" s="458">
        <f t="shared" ca="1" si="1"/>
        <v>-4042378.3592440672</v>
      </c>
      <c r="F79" s="442"/>
      <c r="G79" s="470">
        <f t="shared" si="10"/>
        <v>6</v>
      </c>
      <c r="H79" s="470">
        <v>72</v>
      </c>
      <c r="I79" s="455">
        <f t="shared" ca="1" si="5"/>
        <v>1659464.9163370561</v>
      </c>
      <c r="J79" s="455">
        <f t="array" ref="J79">IFERROR(INDEX('Retirement Calculator'!J:J,MATCH('Isaac 401k'!N79,'Retirement Calculator'!A:A,0),0),0)</f>
        <v>8539.3180191855863</v>
      </c>
      <c r="K79" s="455">
        <f t="shared" ca="1" si="2"/>
        <v>6878.856659657793</v>
      </c>
      <c r="L79" s="455">
        <f t="shared" ca="1" si="3"/>
        <v>1657804.4549775282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58">
        <f t="shared" ca="1" si="4"/>
        <v>-4042378.3592440672</v>
      </c>
      <c r="C80" s="458">
        <f t="shared" si="0"/>
        <v>94358.621030227048</v>
      </c>
      <c r="D80" s="458">
        <f t="shared" ca="1" si="9"/>
        <v>-88073.97536126888</v>
      </c>
      <c r="E80" s="458">
        <f t="shared" ca="1" si="1"/>
        <v>-4224810.9556355635</v>
      </c>
      <c r="F80" s="442"/>
      <c r="G80" s="470">
        <f>G79+1</f>
        <v>7</v>
      </c>
      <c r="H80" s="470">
        <v>73</v>
      </c>
      <c r="I80" s="455">
        <f t="shared" ca="1" si="5"/>
        <v>1657804.4549775282</v>
      </c>
      <c r="J80" s="455">
        <f t="array" ref="J80">IFERROR(INDEX('Retirement Calculator'!J:J,MATCH('Isaac 401k'!N80,'Retirement Calculator'!A:A,0),0),0)</f>
        <v>8539.3180191855863</v>
      </c>
      <c r="K80" s="455">
        <f t="shared" ca="1" si="2"/>
        <v>6871.9380706597603</v>
      </c>
      <c r="L80" s="455">
        <f t="shared" ca="1" si="3"/>
        <v>1656137.0750290023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58">
        <f t="shared" ca="1" si="4"/>
        <v>-4224810.9556355635</v>
      </c>
      <c r="C81" s="458">
        <f t="shared" si="0"/>
        <v>94358.621030227048</v>
      </c>
      <c r="D81" s="458">
        <f t="shared" ca="1" si="9"/>
        <v>-88073.97536126888</v>
      </c>
      <c r="E81" s="458">
        <f t="shared" ca="1" si="1"/>
        <v>-4407243.5520270597</v>
      </c>
      <c r="F81" s="442"/>
      <c r="G81" s="470">
        <f t="shared" ref="G81:G91" si="11">G80</f>
        <v>7</v>
      </c>
      <c r="H81" s="470">
        <v>74</v>
      </c>
      <c r="I81" s="455">
        <f t="shared" ca="1" si="5"/>
        <v>1656137.0750290023</v>
      </c>
      <c r="J81" s="455">
        <f t="array" ref="J81">IFERROR(INDEX('Retirement Calculator'!J:J,MATCH('Isaac 401k'!N81,'Retirement Calculator'!A:A,0),0),0)</f>
        <v>8539.3180191855863</v>
      </c>
      <c r="K81" s="455">
        <f t="shared" ca="1" si="2"/>
        <v>6864.9906542075687</v>
      </c>
      <c r="L81" s="455">
        <f t="shared" ca="1" si="3"/>
        <v>1654462.7476640241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58">
        <f t="shared" ca="1" si="4"/>
        <v>-4407243.5520270597</v>
      </c>
      <c r="C82" s="458">
        <f t="shared" si="0"/>
        <v>94358.621030227048</v>
      </c>
      <c r="D82" s="458">
        <f t="shared" ca="1" si="9"/>
        <v>-88073.97536126888</v>
      </c>
      <c r="E82" s="458">
        <f t="shared" ca="1" si="1"/>
        <v>-4589676.148418556</v>
      </c>
      <c r="F82" s="442"/>
      <c r="G82" s="470">
        <f t="shared" si="11"/>
        <v>7</v>
      </c>
      <c r="H82" s="470">
        <v>75</v>
      </c>
      <c r="I82" s="455">
        <f t="shared" ca="1" si="5"/>
        <v>1654462.7476640241</v>
      </c>
      <c r="J82" s="455">
        <f t="array" ref="J82">IFERROR(INDEX('Retirement Calculator'!J:J,MATCH('Isaac 401k'!N82,'Retirement Calculator'!A:A,0),0),0)</f>
        <v>8539.3180191855863</v>
      </c>
      <c r="K82" s="455">
        <f t="shared" ca="1" si="2"/>
        <v>6858.0142901868267</v>
      </c>
      <c r="L82" s="455">
        <f t="shared" ca="1" si="3"/>
        <v>1652781.4439350253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58">
        <f t="shared" ca="1" si="4"/>
        <v>-4589676.148418556</v>
      </c>
      <c r="C83" s="458">
        <f t="shared" si="0"/>
        <v>94358.621030227048</v>
      </c>
      <c r="D83" s="458">
        <f t="shared" ca="1" si="9"/>
        <v>-88073.97536126888</v>
      </c>
      <c r="E83" s="458">
        <f t="shared" ca="1" si="1"/>
        <v>-4772108.7448100522</v>
      </c>
      <c r="F83" s="442"/>
      <c r="G83" s="470">
        <f t="shared" si="11"/>
        <v>7</v>
      </c>
      <c r="H83" s="470">
        <v>76</v>
      </c>
      <c r="I83" s="455">
        <f t="shared" ca="1" si="5"/>
        <v>1652781.4439350253</v>
      </c>
      <c r="J83" s="455">
        <f t="array" ref="J83">IFERROR(INDEX('Retirement Calculator'!J:J,MATCH('Isaac 401k'!N83,'Retirement Calculator'!A:A,0),0),0)</f>
        <v>8539.3180191855863</v>
      </c>
      <c r="K83" s="455">
        <f t="shared" ca="1" si="2"/>
        <v>6851.0088579826652</v>
      </c>
      <c r="L83" s="455">
        <f t="shared" ca="1" si="3"/>
        <v>1651093.1347738223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58">
        <f t="shared" ca="1" si="4"/>
        <v>-4772108.7448100522</v>
      </c>
      <c r="C84" s="458">
        <f t="shared" si="0"/>
        <v>94358.621030227048</v>
      </c>
      <c r="D84" s="458">
        <f t="shared" ca="1" si="9"/>
        <v>-88073.97536126888</v>
      </c>
      <c r="E84" s="458">
        <f t="shared" ca="1" si="1"/>
        <v>-4954541.3412015485</v>
      </c>
      <c r="F84" s="442"/>
      <c r="G84" s="470">
        <f t="shared" si="11"/>
        <v>7</v>
      </c>
      <c r="H84" s="470">
        <v>77</v>
      </c>
      <c r="I84" s="455">
        <f t="shared" ca="1" si="5"/>
        <v>1651093.1347738223</v>
      </c>
      <c r="J84" s="455">
        <f t="array" ref="J84">IFERROR(INDEX('Retirement Calculator'!J:J,MATCH('Isaac 401k'!N84,'Retirement Calculator'!A:A,0),0),0)</f>
        <v>8539.3180191855863</v>
      </c>
      <c r="K84" s="455">
        <f t="shared" ca="1" si="2"/>
        <v>6843.9742364776512</v>
      </c>
      <c r="L84" s="455">
        <f t="shared" ca="1" si="3"/>
        <v>1649397.7909911142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58">
        <f t="shared" ca="1" si="4"/>
        <v>-4954541.3412015485</v>
      </c>
      <c r="C85" s="458">
        <f t="shared" si="0"/>
        <v>94358.621030227048</v>
      </c>
      <c r="D85" s="458">
        <f t="shared" ca="1" si="9"/>
        <v>-88073.97536126888</v>
      </c>
      <c r="E85" s="458">
        <f t="shared" ca="1" si="1"/>
        <v>-5136973.9375930447</v>
      </c>
      <c r="F85" s="442"/>
      <c r="G85" s="470">
        <f t="shared" si="11"/>
        <v>7</v>
      </c>
      <c r="H85" s="470">
        <v>78</v>
      </c>
      <c r="I85" s="455">
        <f t="shared" ca="1" si="5"/>
        <v>1649397.7909911142</v>
      </c>
      <c r="J85" s="455">
        <f t="array" ref="J85">IFERROR(INDEX('Retirement Calculator'!J:J,MATCH('Isaac 401k'!N85,'Retirement Calculator'!A:A,0),0),0)</f>
        <v>8539.3180191855863</v>
      </c>
      <c r="K85" s="455">
        <f t="shared" ca="1" si="2"/>
        <v>6836.9103040497021</v>
      </c>
      <c r="L85" s="455">
        <f t="shared" ca="1" si="3"/>
        <v>1647695.3832759783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58">
        <f t="shared" ca="1" si="4"/>
        <v>-5136973.9375930447</v>
      </c>
      <c r="C86" s="458">
        <f t="shared" si="0"/>
        <v>94358.621030227048</v>
      </c>
      <c r="D86" s="458">
        <f t="shared" ca="1" si="9"/>
        <v>-88073.97536126888</v>
      </c>
      <c r="E86" s="458">
        <f t="shared" ca="1" si="1"/>
        <v>-5319406.533984541</v>
      </c>
      <c r="F86" s="442"/>
      <c r="G86" s="470">
        <f t="shared" si="11"/>
        <v>7</v>
      </c>
      <c r="H86" s="470">
        <v>79</v>
      </c>
      <c r="I86" s="455">
        <f t="shared" ca="1" si="5"/>
        <v>1647695.3832759783</v>
      </c>
      <c r="J86" s="455">
        <f t="array" ref="J86">IFERROR(INDEX('Retirement Calculator'!J:J,MATCH('Isaac 401k'!N86,'Retirement Calculator'!A:A,0),0),0)</f>
        <v>8539.3180191855863</v>
      </c>
      <c r="K86" s="455">
        <f t="shared" ca="1" si="2"/>
        <v>6829.8169385699694</v>
      </c>
      <c r="L86" s="455">
        <f t="shared" ca="1" si="3"/>
        <v>1645985.8821953626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58">
        <f t="shared" ca="1" si="4"/>
        <v>-5319406.533984541</v>
      </c>
      <c r="C87" s="458">
        <f t="shared" si="0"/>
        <v>94358.621030227048</v>
      </c>
      <c r="D87" s="458">
        <f t="shared" ca="1" si="9"/>
        <v>-88073.97536126888</v>
      </c>
      <c r="E87" s="458">
        <f t="shared" ca="1" si="1"/>
        <v>-5501839.1303760372</v>
      </c>
      <c r="F87" s="442"/>
      <c r="G87" s="470">
        <f t="shared" si="11"/>
        <v>7</v>
      </c>
      <c r="H87" s="470">
        <v>80</v>
      </c>
      <c r="I87" s="455">
        <f t="shared" ca="1" si="5"/>
        <v>1645985.8821953626</v>
      </c>
      <c r="J87" s="455">
        <f t="array" ref="J87">IFERROR(INDEX('Retirement Calculator'!J:J,MATCH('Isaac 401k'!N87,'Retirement Calculator'!A:A,0),0),0)</f>
        <v>8539.3180191855863</v>
      </c>
      <c r="K87" s="455">
        <f t="shared" ca="1" si="2"/>
        <v>6822.6940174007377</v>
      </c>
      <c r="L87" s="455">
        <f t="shared" ca="1" si="3"/>
        <v>1644269.2581935776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58">
        <f t="shared" ca="1" si="4"/>
        <v>-5501839.1303760372</v>
      </c>
      <c r="C88" s="458">
        <f t="shared" si="0"/>
        <v>94358.621030227048</v>
      </c>
      <c r="D88" s="458">
        <f t="shared" ca="1" si="9"/>
        <v>-88073.97536126888</v>
      </c>
      <c r="E88" s="458">
        <f t="shared" ca="1" si="1"/>
        <v>-5684271.7267675335</v>
      </c>
      <c r="F88" s="442"/>
      <c r="G88" s="470">
        <f t="shared" si="11"/>
        <v>7</v>
      </c>
      <c r="H88" s="470">
        <v>81</v>
      </c>
      <c r="I88" s="455">
        <f t="shared" ca="1" si="5"/>
        <v>1644269.2581935776</v>
      </c>
      <c r="J88" s="455">
        <f t="array" ref="J88">IFERROR(INDEX('Retirement Calculator'!J:J,MATCH('Isaac 401k'!N88,'Retirement Calculator'!A:A,0),0),0)</f>
        <v>8539.3180191855863</v>
      </c>
      <c r="K88" s="455">
        <f t="shared" ca="1" si="2"/>
        <v>6815.5414173932986</v>
      </c>
      <c r="L88" s="455">
        <f t="shared" ca="1" si="3"/>
        <v>1642545.4815917853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58">
        <f t="shared" ca="1" si="4"/>
        <v>-5684271.7267675335</v>
      </c>
      <c r="C89" s="458">
        <f t="shared" si="0"/>
        <v>94358.621030227048</v>
      </c>
      <c r="D89" s="458">
        <f t="shared" ca="1" si="9"/>
        <v>-88073.97536126888</v>
      </c>
      <c r="E89" s="458">
        <f t="shared" ca="1" si="1"/>
        <v>-5866704.3231590297</v>
      </c>
      <c r="F89" s="442"/>
      <c r="G89" s="470">
        <f t="shared" si="11"/>
        <v>7</v>
      </c>
      <c r="H89" s="470">
        <v>82</v>
      </c>
      <c r="I89" s="455">
        <f t="shared" ca="1" si="5"/>
        <v>1642545.4815917853</v>
      </c>
      <c r="J89" s="455">
        <f t="array" ref="J89">IFERROR(INDEX('Retirement Calculator'!J:J,MATCH('Isaac 401k'!N89,'Retirement Calculator'!A:A,0),0),0)</f>
        <v>8539.3180191855863</v>
      </c>
      <c r="K89" s="455">
        <f t="shared" ca="1" si="2"/>
        <v>6808.359014885832</v>
      </c>
      <c r="L89" s="455">
        <f t="shared" ca="1" si="3"/>
        <v>1640814.5225874854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58">
        <f t="shared" ca="1" si="4"/>
        <v>-5866704.3231590297</v>
      </c>
      <c r="C90" s="458">
        <f t="shared" si="0"/>
        <v>94358.621030227048</v>
      </c>
      <c r="D90" s="458">
        <f t="shared" ca="1" si="9"/>
        <v>-88073.97536126888</v>
      </c>
      <c r="E90" s="458">
        <f t="shared" ca="1" si="1"/>
        <v>-6049136.919550526</v>
      </c>
      <c r="F90" s="442"/>
      <c r="G90" s="470">
        <f t="shared" si="11"/>
        <v>7</v>
      </c>
      <c r="H90" s="470">
        <v>83</v>
      </c>
      <c r="I90" s="455">
        <f t="shared" ca="1" si="5"/>
        <v>1640814.5225874854</v>
      </c>
      <c r="J90" s="455">
        <f t="array" ref="J90">IFERROR(INDEX('Retirement Calculator'!J:J,MATCH('Isaac 401k'!N90,'Retirement Calculator'!A:A,0),0),0)</f>
        <v>8539.3180191855863</v>
      </c>
      <c r="K90" s="455">
        <f t="shared" ca="1" si="2"/>
        <v>6801.1466857012483</v>
      </c>
      <c r="L90" s="455">
        <f t="shared" ca="1" si="3"/>
        <v>1639076.351254001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58">
        <f t="shared" ca="1" si="4"/>
        <v>-6049136.919550526</v>
      </c>
      <c r="C91" s="458">
        <f t="shared" si="0"/>
        <v>94358.621030227048</v>
      </c>
      <c r="D91" s="458">
        <f t="shared" ca="1" si="9"/>
        <v>-88073.97536126888</v>
      </c>
      <c r="E91" s="458">
        <f t="shared" ca="1" si="1"/>
        <v>-6231569.5159420222</v>
      </c>
      <c r="F91" s="442"/>
      <c r="G91" s="470">
        <f t="shared" si="11"/>
        <v>7</v>
      </c>
      <c r="H91" s="470">
        <v>84</v>
      </c>
      <c r="I91" s="455">
        <f t="shared" ca="1" si="5"/>
        <v>1639076.351254001</v>
      </c>
      <c r="J91" s="455">
        <f t="array" ref="J91">IFERROR(INDEX('Retirement Calculator'!J:J,MATCH('Isaac 401k'!N91,'Retirement Calculator'!A:A,0),0),0)</f>
        <v>8539.3180191855863</v>
      </c>
      <c r="K91" s="455">
        <f t="shared" ca="1" si="2"/>
        <v>6793.9043051450635</v>
      </c>
      <c r="L91" s="455">
        <f t="shared" ca="1" si="3"/>
        <v>1637330.9375399605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58">
        <f t="shared" ca="1" si="4"/>
        <v>-6231569.5159420222</v>
      </c>
      <c r="C92" s="458">
        <f t="shared" si="0"/>
        <v>94358.621030227048</v>
      </c>
      <c r="D92" s="458">
        <f t="shared" ca="1" si="9"/>
        <v>-88073.97536126888</v>
      </c>
      <c r="E92" s="458">
        <f t="shared" ca="1" si="1"/>
        <v>-6414002.1123335185</v>
      </c>
      <c r="F92" s="442"/>
      <c r="G92" s="470">
        <f>G91+1</f>
        <v>8</v>
      </c>
      <c r="H92" s="470">
        <v>85</v>
      </c>
      <c r="I92" s="455">
        <f t="shared" ca="1" si="5"/>
        <v>1637330.9375399605</v>
      </c>
      <c r="J92" s="455">
        <f t="array" ref="J92">IFERROR(INDEX('Retirement Calculator'!J:J,MATCH('Isaac 401k'!N92,'Retirement Calculator'!A:A,0),0),0)</f>
        <v>8539.3180191855863</v>
      </c>
      <c r="K92" s="455">
        <f t="shared" ca="1" si="2"/>
        <v>6786.6317480032285</v>
      </c>
      <c r="L92" s="455">
        <f t="shared" ca="1" si="3"/>
        <v>1635578.251268778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58">
        <f t="shared" ca="1" si="4"/>
        <v>-6414002.1123335185</v>
      </c>
      <c r="C93" s="458">
        <f t="shared" si="0"/>
        <v>94358.621030227048</v>
      </c>
      <c r="D93" s="458">
        <f t="shared" ca="1" si="9"/>
        <v>-88073.97536126888</v>
      </c>
      <c r="E93" s="458">
        <f t="shared" ca="1" si="1"/>
        <v>-6596434.7087250147</v>
      </c>
      <c r="F93" s="442"/>
      <c r="G93" s="470">
        <f t="shared" ref="G93:G103" si="12">G92</f>
        <v>8</v>
      </c>
      <c r="H93" s="470">
        <v>86</v>
      </c>
      <c r="I93" s="455">
        <f t="shared" ca="1" si="5"/>
        <v>1635578.251268778</v>
      </c>
      <c r="J93" s="455">
        <f t="array" ref="J93">IFERROR(INDEX('Retirement Calculator'!J:J,MATCH('Isaac 401k'!N93,'Retirement Calculator'!A:A,0),0),0)</f>
        <v>8539.3180191855863</v>
      </c>
      <c r="K93" s="455">
        <f t="shared" ca="1" si="2"/>
        <v>6779.3288885399679</v>
      </c>
      <c r="L93" s="455">
        <f t="shared" ca="1" si="3"/>
        <v>1633818.2621381322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58">
        <f t="shared" ca="1" si="4"/>
        <v>-6596434.7087250147</v>
      </c>
      <c r="C94" s="458">
        <f t="shared" si="0"/>
        <v>94358.621030227048</v>
      </c>
      <c r="D94" s="458">
        <f t="shared" ca="1" si="9"/>
        <v>-88073.97536126888</v>
      </c>
      <c r="E94" s="458">
        <f t="shared" ca="1" si="1"/>
        <v>-6778867.305116511</v>
      </c>
      <c r="F94" s="442"/>
      <c r="G94" s="470">
        <f t="shared" si="12"/>
        <v>8</v>
      </c>
      <c r="H94" s="470">
        <v>87</v>
      </c>
      <c r="I94" s="455">
        <f t="shared" ca="1" si="5"/>
        <v>1633818.2621381322</v>
      </c>
      <c r="J94" s="455">
        <f t="array" ref="J94">IFERROR(INDEX('Retirement Calculator'!J:J,MATCH('Isaac 401k'!N94,'Retirement Calculator'!A:A,0),0),0)</f>
        <v>8539.3180191855863</v>
      </c>
      <c r="K94" s="455">
        <f t="shared" ca="1" si="2"/>
        <v>6771.9956004956102</v>
      </c>
      <c r="L94" s="455">
        <f t="shared" ca="1" si="3"/>
        <v>1632050.9397194423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58">
        <f t="shared" ca="1" si="4"/>
        <v>-6778867.305116511</v>
      </c>
      <c r="C95" s="458">
        <f t="shared" si="0"/>
        <v>94358.621030227048</v>
      </c>
      <c r="D95" s="458">
        <f t="shared" ca="1" si="9"/>
        <v>-88073.97536126888</v>
      </c>
      <c r="E95" s="458">
        <f t="shared" ca="1" si="1"/>
        <v>-6961299.9015080072</v>
      </c>
      <c r="F95" s="442"/>
      <c r="G95" s="470">
        <f t="shared" si="12"/>
        <v>8</v>
      </c>
      <c r="H95" s="470">
        <v>88</v>
      </c>
      <c r="I95" s="455">
        <f t="shared" ca="1" si="5"/>
        <v>1632050.9397194423</v>
      </c>
      <c r="J95" s="455">
        <f t="array" ref="J95">IFERROR(INDEX('Retirement Calculator'!J:J,MATCH('Isaac 401k'!N95,'Retirement Calculator'!A:A,0),0),0)</f>
        <v>8539.3180191855863</v>
      </c>
      <c r="K95" s="455">
        <f t="shared" ca="1" si="2"/>
        <v>6764.6317570844021</v>
      </c>
      <c r="L95" s="455">
        <f t="shared" ca="1" si="3"/>
        <v>1630276.2534573411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58">
        <f t="shared" ca="1" si="4"/>
        <v>-6961299.9015080072</v>
      </c>
      <c r="C96" s="458">
        <f t="shared" si="0"/>
        <v>94358.621030227048</v>
      </c>
      <c r="D96" s="458">
        <f t="shared" ca="1" si="9"/>
        <v>-88073.97536126888</v>
      </c>
      <c r="E96" s="458">
        <f t="shared" ca="1" si="1"/>
        <v>-7143732.4978995034</v>
      </c>
      <c r="F96" s="442"/>
      <c r="G96" s="470">
        <f t="shared" si="12"/>
        <v>8</v>
      </c>
      <c r="H96" s="470">
        <v>89</v>
      </c>
      <c r="I96" s="455">
        <f t="shared" ca="1" si="5"/>
        <v>1630276.2534573411</v>
      </c>
      <c r="J96" s="455">
        <f t="array" ref="J96">IFERROR(INDEX('Retirement Calculator'!J:J,MATCH('Isaac 401k'!N96,'Retirement Calculator'!A:A,0),0),0)</f>
        <v>8539.3180191855863</v>
      </c>
      <c r="K96" s="455">
        <f t="shared" ca="1" si="2"/>
        <v>6757.2372309923139</v>
      </c>
      <c r="L96" s="455">
        <f t="shared" ca="1" si="3"/>
        <v>1628494.1726691478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58">
        <f t="shared" ca="1" si="4"/>
        <v>-7143732.4978995034</v>
      </c>
      <c r="C97" s="458">
        <f t="shared" si="0"/>
        <v>94358.621030227048</v>
      </c>
      <c r="D97" s="458">
        <f t="shared" ca="1" si="9"/>
        <v>-88073.97536126888</v>
      </c>
      <c r="E97" s="458">
        <f t="shared" ca="1" si="1"/>
        <v>-7326165.0942909997</v>
      </c>
      <c r="F97" s="442"/>
      <c r="G97" s="470">
        <f t="shared" si="12"/>
        <v>8</v>
      </c>
      <c r="H97" s="470">
        <v>90</v>
      </c>
      <c r="I97" s="455">
        <f t="shared" ca="1" si="5"/>
        <v>1628494.1726691478</v>
      </c>
      <c r="J97" s="455">
        <f t="array" ref="J97">IFERROR(INDEX('Retirement Calculator'!J:J,MATCH('Isaac 401k'!N97,'Retirement Calculator'!A:A,0),0),0)</f>
        <v>8539.3180191855863</v>
      </c>
      <c r="K97" s="455">
        <f t="shared" ca="1" si="2"/>
        <v>6749.8118943748423</v>
      </c>
      <c r="L97" s="455">
        <f t="shared" ca="1" si="3"/>
        <v>1626704.6665443371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58">
        <f t="shared" ca="1" si="4"/>
        <v>-7326165.0942909997</v>
      </c>
      <c r="C98" s="458">
        <f t="shared" si="0"/>
        <v>94358.621030227048</v>
      </c>
      <c r="D98" s="458">
        <f t="shared" ca="1" si="9"/>
        <v>-88073.97536126888</v>
      </c>
      <c r="E98" s="458">
        <f t="shared" ca="1" si="1"/>
        <v>-7508597.6906824959</v>
      </c>
      <c r="F98" s="442"/>
      <c r="G98" s="470">
        <f t="shared" si="12"/>
        <v>8</v>
      </c>
      <c r="H98" s="470">
        <v>91</v>
      </c>
      <c r="I98" s="455">
        <f t="shared" ca="1" si="5"/>
        <v>1626704.6665443371</v>
      </c>
      <c r="J98" s="455">
        <f t="array" ref="J98">IFERROR(INDEX('Retirement Calculator'!J:J,MATCH('Isaac 401k'!N98,'Retirement Calculator'!A:A,0),0),0)</f>
        <v>8539.3180191855863</v>
      </c>
      <c r="K98" s="455">
        <f t="shared" ca="1" si="2"/>
        <v>6742.3556188547973</v>
      </c>
      <c r="L98" s="455">
        <f t="shared" ca="1" si="3"/>
        <v>1624907.7041440061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58">
        <f t="shared" ca="1" si="4"/>
        <v>-7508597.6906824959</v>
      </c>
      <c r="C99" s="458">
        <f t="shared" si="0"/>
        <v>94358.621030227048</v>
      </c>
      <c r="D99" s="458">
        <f t="shared" ca="1" si="9"/>
        <v>-88073.97536126888</v>
      </c>
      <c r="E99" s="458">
        <f t="shared" ca="1" si="1"/>
        <v>-7691030.2870739922</v>
      </c>
      <c r="F99" s="442"/>
      <c r="G99" s="470">
        <f t="shared" si="12"/>
        <v>8</v>
      </c>
      <c r="H99" s="470">
        <v>92</v>
      </c>
      <c r="I99" s="455">
        <f t="shared" ca="1" si="5"/>
        <v>1624907.7041440061</v>
      </c>
      <c r="J99" s="455">
        <f t="array" ref="J99">IFERROR(INDEX('Retirement Calculator'!J:J,MATCH('Isaac 401k'!N99,'Retirement Calculator'!A:A,0),0),0)</f>
        <v>8539.3180191855863</v>
      </c>
      <c r="K99" s="455">
        <f t="shared" ca="1" si="2"/>
        <v>6734.8682755200853</v>
      </c>
      <c r="L99" s="455">
        <f t="shared" ca="1" si="3"/>
        <v>1623103.2544003406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58">
        <f t="shared" ca="1" si="4"/>
        <v>-7691030.2870739922</v>
      </c>
      <c r="C100" s="458">
        <f t="shared" si="0"/>
        <v>94358.621030227048</v>
      </c>
      <c r="D100" s="458">
        <f t="shared" ca="1" si="9"/>
        <v>-88073.97536126888</v>
      </c>
      <c r="E100" s="458">
        <f t="shared" ca="1" si="1"/>
        <v>-7873462.8834654884</v>
      </c>
      <c r="F100" s="442"/>
      <c r="G100" s="470">
        <f t="shared" si="12"/>
        <v>8</v>
      </c>
      <c r="H100" s="470">
        <v>93</v>
      </c>
      <c r="I100" s="455">
        <f t="shared" ca="1" si="5"/>
        <v>1623103.2544003406</v>
      </c>
      <c r="J100" s="455">
        <f t="array" ref="J100">IFERROR(INDEX('Retirement Calculator'!J:J,MATCH('Isaac 401k'!N100,'Retirement Calculator'!A:A,0),0),0)</f>
        <v>8539.3180191855863</v>
      </c>
      <c r="K100" s="455">
        <f t="shared" ca="1" si="2"/>
        <v>6727.3497349214786</v>
      </c>
      <c r="L100" s="455">
        <f t="shared" ca="1" si="3"/>
        <v>1621291.2861160764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58">
        <f t="shared" ca="1" si="4"/>
        <v>-7873462.8834654884</v>
      </c>
      <c r="C101" s="458">
        <f t="shared" si="0"/>
        <v>94358.621030227048</v>
      </c>
      <c r="D101" s="458">
        <f t="shared" ca="1" si="9"/>
        <v>-88073.97536126888</v>
      </c>
      <c r="E101" s="458">
        <f t="shared" ca="1" si="1"/>
        <v>-8055895.4798569847</v>
      </c>
      <c r="F101" s="442"/>
      <c r="G101" s="470">
        <f t="shared" si="12"/>
        <v>8</v>
      </c>
      <c r="H101" s="470">
        <v>94</v>
      </c>
      <c r="I101" s="455">
        <f t="shared" ca="1" si="5"/>
        <v>1621291.2861160764</v>
      </c>
      <c r="J101" s="455">
        <f t="array" ref="J101">IFERROR(INDEX('Retirement Calculator'!J:J,MATCH('Isaac 401k'!N101,'Retirement Calculator'!A:A,0),0),0)</f>
        <v>8539.3180191855863</v>
      </c>
      <c r="K101" s="455">
        <f t="shared" ca="1" si="2"/>
        <v>6719.7998670703782</v>
      </c>
      <c r="L101" s="455">
        <f t="shared" ca="1" si="3"/>
        <v>1619471.767963961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58">
        <f t="shared" ca="1" si="4"/>
        <v>-8055895.4798569847</v>
      </c>
      <c r="C102" s="458">
        <f t="shared" si="0"/>
        <v>94358.621030227048</v>
      </c>
      <c r="D102" s="458">
        <f t="shared" ca="1" si="9"/>
        <v>-88073.97536126888</v>
      </c>
      <c r="E102" s="458">
        <f t="shared" ca="1" si="1"/>
        <v>-8238328.0762484809</v>
      </c>
      <c r="F102" s="442"/>
      <c r="G102" s="470">
        <f t="shared" si="12"/>
        <v>8</v>
      </c>
      <c r="H102" s="470">
        <v>95</v>
      </c>
      <c r="I102" s="455">
        <f t="shared" ca="1" si="5"/>
        <v>1619471.767963961</v>
      </c>
      <c r="J102" s="455">
        <f t="array" ref="J102">IFERROR(INDEX('Retirement Calculator'!J:J,MATCH('Isaac 401k'!N102,'Retirement Calculator'!A:A,0),0),0)</f>
        <v>8539.3180191855863</v>
      </c>
      <c r="K102" s="455">
        <f t="shared" ca="1" si="2"/>
        <v>6712.218541436564</v>
      </c>
      <c r="L102" s="455">
        <f t="shared" ca="1" si="3"/>
        <v>1617644.6684862119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58">
        <f t="shared" ca="1" si="4"/>
        <v>-8238328.0762484809</v>
      </c>
      <c r="C103" s="458">
        <f t="shared" si="0"/>
        <v>94358.621030227048</v>
      </c>
      <c r="D103" s="458">
        <f t="shared" ca="1" si="9"/>
        <v>-88073.97536126888</v>
      </c>
      <c r="E103" s="458">
        <f t="shared" ca="1" si="1"/>
        <v>-8420760.6726399772</v>
      </c>
      <c r="F103" s="442"/>
      <c r="G103" s="470">
        <f t="shared" si="12"/>
        <v>8</v>
      </c>
      <c r="H103" s="470">
        <v>96</v>
      </c>
      <c r="I103" s="455">
        <f t="shared" ca="1" si="5"/>
        <v>1617644.6684862119</v>
      </c>
      <c r="J103" s="455">
        <f t="array" ref="J103">IFERROR(INDEX('Retirement Calculator'!J:J,MATCH('Isaac 401k'!N103,'Retirement Calculator'!A:A,0),0),0)</f>
        <v>8539.3180191855863</v>
      </c>
      <c r="K103" s="455">
        <f t="shared" ca="1" si="2"/>
        <v>6704.6056269459423</v>
      </c>
      <c r="L103" s="455">
        <f t="shared" ca="1" si="3"/>
        <v>1615809.9560939721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58">
        <f t="shared" ca="1" si="4"/>
        <v>-8420760.6726399772</v>
      </c>
      <c r="C104" s="458">
        <f t="shared" si="0"/>
        <v>70768.965772670272</v>
      </c>
      <c r="D104" s="458">
        <f t="shared" ca="1" si="9"/>
        <v>-88073.97536126888</v>
      </c>
      <c r="E104" s="458">
        <f t="shared" ca="1" si="1"/>
        <v>-8579603.6137739159</v>
      </c>
      <c r="F104" s="442"/>
      <c r="G104" s="470">
        <f>G103+1</f>
        <v>9</v>
      </c>
      <c r="H104" s="470">
        <v>97</v>
      </c>
      <c r="I104" s="455">
        <f t="shared" ca="1" si="5"/>
        <v>1615809.9560939721</v>
      </c>
      <c r="J104" s="455">
        <f t="array" ref="J104">IFERROR(INDEX('Retirement Calculator'!J:J,MATCH('Isaac 401k'!N104,'Retirement Calculator'!A:A,0),0),0)</f>
        <v>8539.3180191855863</v>
      </c>
      <c r="K104" s="455">
        <f t="shared" ca="1" si="2"/>
        <v>6696.960991978277</v>
      </c>
      <c r="L104" s="455">
        <f t="shared" ca="1" si="3"/>
        <v>1613967.5990667646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58">
        <f t="shared" ca="1" si="4"/>
        <v>-8579603.6137739159</v>
      </c>
      <c r="C105" s="458">
        <f t="shared" si="0"/>
        <v>0</v>
      </c>
      <c r="D105" s="458">
        <f t="shared" ca="1" si="9"/>
        <v>-88073.97536126888</v>
      </c>
      <c r="E105" s="458">
        <f t="shared" ca="1" si="1"/>
        <v>-8667677.5891351849</v>
      </c>
      <c r="F105" s="442"/>
      <c r="G105" s="470">
        <f t="shared" ref="G105:G115" si="13">G104</f>
        <v>9</v>
      </c>
      <c r="H105" s="470">
        <v>98</v>
      </c>
      <c r="I105" s="455">
        <f t="shared" ca="1" si="5"/>
        <v>1613967.5990667646</v>
      </c>
      <c r="J105" s="455">
        <f t="array" ref="J105">IFERROR(INDEX('Retirement Calculator'!J:J,MATCH('Isaac 401k'!N105,'Retirement Calculator'!A:A,0),0),0)</f>
        <v>7863.2184191855868</v>
      </c>
      <c r="K105" s="455">
        <f t="shared" ca="1" si="2"/>
        <v>6692.1015860315792</v>
      </c>
      <c r="L105" s="455">
        <f t="shared" ca="1" si="3"/>
        <v>1612796.4822336105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58">
        <f t="shared" ca="1" si="4"/>
        <v>-8667677.5891351849</v>
      </c>
      <c r="C106" s="458">
        <f t="shared" si="0"/>
        <v>0</v>
      </c>
      <c r="D106" s="458">
        <f t="shared" ca="1" si="9"/>
        <v>-88073.97536126888</v>
      </c>
      <c r="E106" s="458">
        <f t="shared" ca="1" si="1"/>
        <v>-8755751.5644964539</v>
      </c>
      <c r="F106" s="442"/>
      <c r="G106" s="470">
        <f t="shared" si="13"/>
        <v>9</v>
      </c>
      <c r="H106" s="470">
        <v>99</v>
      </c>
      <c r="I106" s="455">
        <f t="shared" ca="1" si="5"/>
        <v>1612796.4822336105</v>
      </c>
      <c r="J106" s="455">
        <f t="array" ref="J106">IFERROR(INDEX('Retirement Calculator'!J:J,MATCH('Isaac 401k'!N106,'Retirement Calculator'!A:A,0),0),0)</f>
        <v>7863.2184191855868</v>
      </c>
      <c r="K106" s="455">
        <f t="shared" ca="1" si="2"/>
        <v>6687.2219325601036</v>
      </c>
      <c r="L106" s="455">
        <f t="shared" ca="1" si="3"/>
        <v>1611620.4857469851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58">
        <f t="shared" ca="1" si="4"/>
        <v>-8755751.5644964539</v>
      </c>
      <c r="C107" s="458">
        <f t="shared" si="0"/>
        <v>0</v>
      </c>
      <c r="D107" s="458">
        <f t="shared" ca="1" si="9"/>
        <v>-88073.97536126888</v>
      </c>
      <c r="E107" s="458">
        <f t="shared" ca="1" si="1"/>
        <v>-8843825.5398577228</v>
      </c>
      <c r="F107" s="442"/>
      <c r="G107" s="470">
        <f t="shared" si="13"/>
        <v>9</v>
      </c>
      <c r="H107" s="470">
        <v>100</v>
      </c>
      <c r="I107" s="455">
        <f t="shared" ca="1" si="5"/>
        <v>1611620.4857469851</v>
      </c>
      <c r="J107" s="455">
        <f t="array" ref="J107">IFERROR(INDEX('Retirement Calculator'!J:J,MATCH('Isaac 401k'!N107,'Retirement Calculator'!A:A,0),0),0)</f>
        <v>7863.2184191855868</v>
      </c>
      <c r="K107" s="455">
        <f t="shared" ca="1" si="2"/>
        <v>6682.3219471991642</v>
      </c>
      <c r="L107" s="455">
        <f t="shared" ca="1" si="3"/>
        <v>1610439.5892749985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58">
        <f t="shared" ca="1" si="4"/>
        <v>-8843825.5398577228</v>
      </c>
      <c r="C108" s="458">
        <f t="shared" si="0"/>
        <v>0</v>
      </c>
      <c r="D108" s="458">
        <f t="shared" ca="1" si="9"/>
        <v>-88073.97536126888</v>
      </c>
      <c r="E108" s="458">
        <f t="shared" ca="1" si="1"/>
        <v>-8931899.5152189918</v>
      </c>
      <c r="F108" s="442"/>
      <c r="G108" s="470">
        <f t="shared" si="13"/>
        <v>9</v>
      </c>
      <c r="H108" s="470">
        <v>101</v>
      </c>
      <c r="I108" s="455">
        <f t="shared" ca="1" si="5"/>
        <v>1610439.5892749985</v>
      </c>
      <c r="J108" s="455">
        <f t="array" ref="J108">IFERROR(INDEX('Retirement Calculator'!J:J,MATCH('Isaac 401k'!N108,'Retirement Calculator'!A:A,0),0),0)</f>
        <v>7863.2184191855868</v>
      </c>
      <c r="K108" s="455">
        <f t="shared" ca="1" si="2"/>
        <v>6677.4015452325539</v>
      </c>
      <c r="L108" s="455">
        <f t="shared" ca="1" si="3"/>
        <v>1609253.7724010455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58">
        <f t="shared" ca="1" si="4"/>
        <v>-8931899.5152189918</v>
      </c>
      <c r="C109" s="458">
        <f t="shared" si="0"/>
        <v>0</v>
      </c>
      <c r="D109" s="458">
        <f t="shared" ca="1" si="9"/>
        <v>-88073.97536126888</v>
      </c>
      <c r="E109" s="458">
        <f t="shared" ca="1" si="1"/>
        <v>-9019973.4905802608</v>
      </c>
      <c r="F109" s="442"/>
      <c r="G109" s="470">
        <f t="shared" si="13"/>
        <v>9</v>
      </c>
      <c r="H109" s="470">
        <v>102</v>
      </c>
      <c r="I109" s="455">
        <f t="shared" ca="1" si="5"/>
        <v>1609253.7724010455</v>
      </c>
      <c r="J109" s="455">
        <f t="array" ref="J109">IFERROR(INDEX('Retirement Calculator'!J:J,MATCH('Isaac 401k'!N109,'Retirement Calculator'!A:A,0),0),0)</f>
        <v>7863.2184191855868</v>
      </c>
      <c r="K109" s="455">
        <f t="shared" ca="1" si="2"/>
        <v>6672.460641591083</v>
      </c>
      <c r="L109" s="455">
        <f t="shared" ca="1" si="3"/>
        <v>1608063.014623451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58">
        <f t="shared" ca="1" si="4"/>
        <v>-9019973.4905802608</v>
      </c>
      <c r="C110" s="458">
        <f t="shared" si="0"/>
        <v>0</v>
      </c>
      <c r="D110" s="458">
        <f t="shared" ca="1" si="9"/>
        <v>-88073.97536126888</v>
      </c>
      <c r="E110" s="458">
        <f t="shared" ca="1" si="1"/>
        <v>-9108047.4659415297</v>
      </c>
      <c r="F110" s="442"/>
      <c r="G110" s="470">
        <f t="shared" si="13"/>
        <v>9</v>
      </c>
      <c r="H110" s="470">
        <v>103</v>
      </c>
      <c r="I110" s="455">
        <f t="shared" ca="1" si="5"/>
        <v>1608063.014623451</v>
      </c>
      <c r="J110" s="455">
        <f t="array" ref="J110">IFERROR(INDEX('Retirement Calculator'!J:J,MATCH('Isaac 401k'!N110,'Retirement Calculator'!A:A,0),0),0)</f>
        <v>7863.2184191855868</v>
      </c>
      <c r="K110" s="455">
        <f t="shared" ca="1" si="2"/>
        <v>6667.4991508511057</v>
      </c>
      <c r="L110" s="455">
        <f t="shared" ca="1" si="3"/>
        <v>1606867.2953551165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58">
        <f t="shared" ca="1" si="4"/>
        <v>-9108047.4659415297</v>
      </c>
      <c r="C111" s="458">
        <f t="shared" si="0"/>
        <v>0</v>
      </c>
      <c r="D111" s="458">
        <f t="shared" ca="1" si="9"/>
        <v>-88073.97536126888</v>
      </c>
      <c r="E111" s="458">
        <f t="shared" ca="1" si="1"/>
        <v>-9196121.4413027987</v>
      </c>
      <c r="F111" s="442"/>
      <c r="G111" s="470">
        <f t="shared" si="13"/>
        <v>9</v>
      </c>
      <c r="H111" s="470">
        <v>104</v>
      </c>
      <c r="I111" s="455">
        <f t="shared" ca="1" si="5"/>
        <v>1606867.2953551165</v>
      </c>
      <c r="J111" s="455">
        <f t="array" ref="J111">IFERROR(INDEX('Retirement Calculator'!J:J,MATCH('Isaac 401k'!N111,'Retirement Calculator'!A:A,0),0),0)</f>
        <v>7863.2184191855868</v>
      </c>
      <c r="K111" s="455">
        <f t="shared" ca="1" si="2"/>
        <v>6662.5169872330453</v>
      </c>
      <c r="L111" s="455">
        <f t="shared" ca="1" si="3"/>
        <v>1605666.5939231638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58">
        <f t="shared" ca="1" si="4"/>
        <v>-9196121.4413027987</v>
      </c>
      <c r="C112" s="458">
        <f t="shared" si="0"/>
        <v>0</v>
      </c>
      <c r="D112" s="458">
        <f t="shared" ca="1" si="9"/>
        <v>-88073.97536126888</v>
      </c>
      <c r="E112" s="458">
        <f t="shared" ca="1" si="1"/>
        <v>-9284195.4166640677</v>
      </c>
      <c r="F112" s="442"/>
      <c r="G112" s="470">
        <f t="shared" si="13"/>
        <v>9</v>
      </c>
      <c r="H112" s="470">
        <v>105</v>
      </c>
      <c r="I112" s="455">
        <f t="shared" ca="1" si="5"/>
        <v>1605666.5939231638</v>
      </c>
      <c r="J112" s="455">
        <f t="array" ref="J112">IFERROR(INDEX('Retirement Calculator'!J:J,MATCH('Isaac 401k'!N112,'Retirement Calculator'!A:A,0),0),0)</f>
        <v>7863.2184191855868</v>
      </c>
      <c r="K112" s="455">
        <f t="shared" ca="1" si="2"/>
        <v>6657.514064599909</v>
      </c>
      <c r="L112" s="455">
        <f t="shared" ca="1" si="3"/>
        <v>1604460.8895685782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58">
        <f t="shared" ca="1" si="4"/>
        <v>-9284195.4166640677</v>
      </c>
      <c r="C113" s="458">
        <f t="shared" si="0"/>
        <v>0</v>
      </c>
      <c r="D113" s="458">
        <f t="shared" ca="1" si="9"/>
        <v>-88073.97536126888</v>
      </c>
      <c r="E113" s="458">
        <f t="shared" ca="1" si="1"/>
        <v>-9372269.3920253366</v>
      </c>
      <c r="F113" s="442"/>
      <c r="G113" s="470">
        <f t="shared" si="13"/>
        <v>9</v>
      </c>
      <c r="H113" s="470">
        <v>106</v>
      </c>
      <c r="I113" s="455">
        <f t="shared" ca="1" si="5"/>
        <v>1604460.8895685782</v>
      </c>
      <c r="J113" s="455">
        <f t="array" ref="J113">IFERROR(INDEX('Retirement Calculator'!J:J,MATCH('Isaac 401k'!N113,'Retirement Calculator'!A:A,0),0),0)</f>
        <v>7863.2184191855868</v>
      </c>
      <c r="K113" s="455">
        <f t="shared" ca="1" si="2"/>
        <v>6652.4902964558023</v>
      </c>
      <c r="L113" s="455">
        <f t="shared" ca="1" si="3"/>
        <v>1603250.1614458484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58">
        <f t="shared" ca="1" si="4"/>
        <v>-9372269.3920253366</v>
      </c>
      <c r="C114" s="458">
        <f t="shared" si="0"/>
        <v>0</v>
      </c>
      <c r="D114" s="458">
        <f t="shared" ca="1" si="9"/>
        <v>-88073.97536126888</v>
      </c>
      <c r="E114" s="458">
        <f t="shared" ca="1" si="1"/>
        <v>-9460343.3673866056</v>
      </c>
      <c r="F114" s="442"/>
      <c r="G114" s="470">
        <f t="shared" si="13"/>
        <v>9</v>
      </c>
      <c r="H114" s="470">
        <v>107</v>
      </c>
      <c r="I114" s="455">
        <f t="shared" ca="1" si="5"/>
        <v>1603250.1614458484</v>
      </c>
      <c r="J114" s="455">
        <f t="array" ref="J114">IFERROR(INDEX('Retirement Calculator'!J:J,MATCH('Isaac 401k'!N114,'Retirement Calculator'!A:A,0),0),0)</f>
        <v>7863.2184191855868</v>
      </c>
      <c r="K114" s="455">
        <f t="shared" ca="1" si="2"/>
        <v>6647.4455959444285</v>
      </c>
      <c r="L114" s="455">
        <f t="shared" ca="1" si="3"/>
        <v>1602034.3886226073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58">
        <f t="shared" ca="1" si="4"/>
        <v>-9460343.3673866056</v>
      </c>
      <c r="C115" s="458">
        <f t="shared" si="0"/>
        <v>0</v>
      </c>
      <c r="D115" s="458">
        <f t="shared" ca="1" si="9"/>
        <v>-88073.97536126888</v>
      </c>
      <c r="E115" s="458">
        <f t="shared" ca="1" si="1"/>
        <v>-9548417.3427478746</v>
      </c>
      <c r="F115" s="442"/>
      <c r="G115" s="470">
        <f t="shared" si="13"/>
        <v>9</v>
      </c>
      <c r="H115" s="470">
        <v>108</v>
      </c>
      <c r="I115" s="455">
        <f t="shared" ca="1" si="5"/>
        <v>1602034.3886226073</v>
      </c>
      <c r="J115" s="455">
        <f t="array" ref="J115">IFERROR(INDEX('Retirement Calculator'!J:J,MATCH('Isaac 401k'!N115,'Retirement Calculator'!A:A,0),0),0)</f>
        <v>7863.2184191855868</v>
      </c>
      <c r="K115" s="455">
        <f t="shared" ca="1" si="2"/>
        <v>6642.3798758475905</v>
      </c>
      <c r="L115" s="455">
        <f t="shared" ca="1" si="3"/>
        <v>1600813.5500792693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58">
        <f t="shared" ca="1" si="4"/>
        <v>-9548417.3427478746</v>
      </c>
      <c r="C116" s="458">
        <f t="shared" si="0"/>
        <v>0</v>
      </c>
      <c r="D116" s="458">
        <f t="shared" ca="1" si="9"/>
        <v>-88073.97536126888</v>
      </c>
      <c r="E116" s="458">
        <f t="shared" ca="1" si="1"/>
        <v>-9636491.3181091435</v>
      </c>
      <c r="F116" s="442"/>
      <c r="G116" s="470">
        <f>G115+1</f>
        <v>10</v>
      </c>
      <c r="H116" s="470">
        <v>109</v>
      </c>
      <c r="I116" s="455">
        <f t="shared" ca="1" si="5"/>
        <v>1600813.5500792693</v>
      </c>
      <c r="J116" s="455">
        <f t="array" ref="J116">IFERROR(INDEX('Retirement Calculator'!J:J,MATCH('Isaac 401k'!N116,'Retirement Calculator'!A:A,0),0),0)</f>
        <v>7863.2184191855868</v>
      </c>
      <c r="K116" s="455">
        <f t="shared" ca="1" si="2"/>
        <v>6637.2930485836823</v>
      </c>
      <c r="L116" s="455">
        <f t="shared" ca="1" si="3"/>
        <v>1599587.6247086674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58">
        <f t="shared" ca="1" si="4"/>
        <v>-9636491.3181091435</v>
      </c>
      <c r="C117" s="458">
        <f t="shared" si="0"/>
        <v>0</v>
      </c>
      <c r="D117" s="458">
        <f t="shared" ca="1" si="9"/>
        <v>-88073.97536126888</v>
      </c>
      <c r="E117" s="458">
        <f t="shared" ca="1" si="1"/>
        <v>-9724565.2934704125</v>
      </c>
      <c r="F117" s="442"/>
      <c r="G117" s="470">
        <f t="shared" ref="G117:G127" si="14">G116</f>
        <v>10</v>
      </c>
      <c r="H117" s="470">
        <v>110</v>
      </c>
      <c r="I117" s="455">
        <f t="shared" ca="1" si="5"/>
        <v>1599587.6247086674</v>
      </c>
      <c r="J117" s="455">
        <f t="array" ref="J117">IFERROR(INDEX('Retirement Calculator'!J:J,MATCH('Isaac 401k'!N117,'Retirement Calculator'!A:A,0),0),0)</f>
        <v>7863.2184191855868</v>
      </c>
      <c r="K117" s="455">
        <f t="shared" ca="1" si="2"/>
        <v>6632.1850262061744</v>
      </c>
      <c r="L117" s="455">
        <f t="shared" ca="1" si="3"/>
        <v>1598356.5913156879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58">
        <f t="shared" ca="1" si="4"/>
        <v>-9724565.2934704125</v>
      </c>
      <c r="C118" s="458">
        <f t="shared" si="0"/>
        <v>0</v>
      </c>
      <c r="D118" s="458">
        <f t="shared" ca="1" si="9"/>
        <v>-88073.97536126888</v>
      </c>
      <c r="E118" s="458">
        <f t="shared" ca="1" si="1"/>
        <v>-9812639.2688316815</v>
      </c>
      <c r="F118" s="442"/>
      <c r="G118" s="470">
        <f t="shared" si="14"/>
        <v>10</v>
      </c>
      <c r="H118" s="470">
        <v>111</v>
      </c>
      <c r="I118" s="455">
        <f t="shared" ca="1" si="5"/>
        <v>1598356.5913156879</v>
      </c>
      <c r="J118" s="455">
        <f t="array" ref="J118">IFERROR(INDEX('Retirement Calculator'!J:J,MATCH('Isaac 401k'!N118,'Retirement Calculator'!A:A,0),0),0)</f>
        <v>7863.2184191855868</v>
      </c>
      <c r="K118" s="455">
        <f t="shared" ca="1" si="2"/>
        <v>6627.0557204020924</v>
      </c>
      <c r="L118" s="455">
        <f t="shared" ca="1" si="3"/>
        <v>1597120.4286169044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58">
        <f t="shared" ca="1" si="4"/>
        <v>-9812639.2688316815</v>
      </c>
      <c r="C119" s="458">
        <f t="shared" si="0"/>
        <v>0</v>
      </c>
      <c r="D119" s="458">
        <f t="shared" ca="1" si="9"/>
        <v>-88073.97536126888</v>
      </c>
      <c r="E119" s="458">
        <f t="shared" ca="1" si="1"/>
        <v>-9900713.2441929504</v>
      </c>
      <c r="F119" s="442"/>
      <c r="G119" s="470">
        <f t="shared" si="14"/>
        <v>10</v>
      </c>
      <c r="H119" s="470">
        <v>112</v>
      </c>
      <c r="I119" s="455">
        <f t="shared" ca="1" si="5"/>
        <v>1597120.4286169044</v>
      </c>
      <c r="J119" s="455">
        <f t="array" ref="J119">IFERROR(INDEX('Retirement Calculator'!J:J,MATCH('Isaac 401k'!N119,'Retirement Calculator'!A:A,0),0),0)</f>
        <v>7863.2184191855868</v>
      </c>
      <c r="K119" s="455">
        <f t="shared" ca="1" si="2"/>
        <v>6621.9050424904954</v>
      </c>
      <c r="L119" s="455">
        <f t="shared" ca="1" si="3"/>
        <v>1595879.1152402093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58">
        <f t="shared" ca="1" si="4"/>
        <v>-9900713.2441929504</v>
      </c>
      <c r="C120" s="458">
        <f t="shared" si="0"/>
        <v>0</v>
      </c>
      <c r="D120" s="458">
        <f t="shared" ca="1" si="9"/>
        <v>-88073.97536126888</v>
      </c>
      <c r="E120" s="458">
        <f t="shared" ca="1" si="1"/>
        <v>-9988787.2195542194</v>
      </c>
      <c r="F120" s="442"/>
      <c r="G120" s="470">
        <f t="shared" si="14"/>
        <v>10</v>
      </c>
      <c r="H120" s="470">
        <v>113</v>
      </c>
      <c r="I120" s="455">
        <f t="shared" ca="1" si="5"/>
        <v>1595879.1152402093</v>
      </c>
      <c r="J120" s="455">
        <f t="array" ref="J120">IFERROR(INDEX('Retirement Calculator'!J:J,MATCH('Isaac 401k'!N120,'Retirement Calculator'!A:A,0),0),0)</f>
        <v>7863.2184191855868</v>
      </c>
      <c r="K120" s="455">
        <f t="shared" ca="1" si="2"/>
        <v>6616.7329034209315</v>
      </c>
      <c r="L120" s="455">
        <f t="shared" ca="1" si="3"/>
        <v>1594632.6297244446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58">
        <f t="shared" ca="1" si="4"/>
        <v>-9988787.2195542194</v>
      </c>
      <c r="C121" s="458">
        <f t="shared" si="0"/>
        <v>0</v>
      </c>
      <c r="D121" s="458">
        <f t="shared" ca="1" si="9"/>
        <v>-88073.97536126888</v>
      </c>
      <c r="E121" s="458">
        <f t="shared" ca="1" si="1"/>
        <v>-10076861.194915488</v>
      </c>
      <c r="F121" s="442"/>
      <c r="G121" s="470">
        <f t="shared" si="14"/>
        <v>10</v>
      </c>
      <c r="H121" s="470">
        <v>114</v>
      </c>
      <c r="I121" s="455">
        <f t="shared" ca="1" si="5"/>
        <v>1594632.6297244446</v>
      </c>
      <c r="J121" s="455">
        <f t="array" ref="J121">IFERROR(INDEX('Retirement Calculator'!J:J,MATCH('Isaac 401k'!N121,'Retirement Calculator'!A:A,0),0),0)</f>
        <v>7863.2184191855868</v>
      </c>
      <c r="K121" s="455">
        <f t="shared" ca="1" si="2"/>
        <v>6611.5392137719127</v>
      </c>
      <c r="L121" s="455">
        <f t="shared" ca="1" si="3"/>
        <v>1593380.9505190309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58">
        <f t="shared" ca="1" si="4"/>
        <v>-10076861.194915488</v>
      </c>
      <c r="C122" s="458">
        <f t="shared" si="0"/>
        <v>0</v>
      </c>
      <c r="D122" s="458">
        <f t="shared" ca="1" si="9"/>
        <v>-88073.97536126888</v>
      </c>
      <c r="E122" s="458">
        <f t="shared" ca="1" si="1"/>
        <v>-10164935.170276757</v>
      </c>
      <c r="F122" s="442"/>
      <c r="G122" s="470">
        <f t="shared" si="14"/>
        <v>10</v>
      </c>
      <c r="H122" s="470">
        <v>115</v>
      </c>
      <c r="I122" s="455">
        <f t="shared" ca="1" si="5"/>
        <v>1593380.9505190309</v>
      </c>
      <c r="J122" s="455">
        <f t="array" ref="J122">IFERROR(INDEX('Retirement Calculator'!J:J,MATCH('Isaac 401k'!N122,'Retirement Calculator'!A:A,0),0),0)</f>
        <v>7863.2184191855868</v>
      </c>
      <c r="K122" s="455">
        <f t="shared" ca="1" si="2"/>
        <v>6606.3238837493554</v>
      </c>
      <c r="L122" s="455">
        <f t="shared" ca="1" si="3"/>
        <v>1592124.0559835946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58">
        <f t="shared" ca="1" si="4"/>
        <v>-10164935.170276757</v>
      </c>
      <c r="C123" s="458">
        <f t="shared" si="0"/>
        <v>0</v>
      </c>
      <c r="D123" s="458">
        <f t="shared" ca="1" si="9"/>
        <v>-88073.97536126888</v>
      </c>
      <c r="E123" s="458">
        <f t="shared" ca="1" si="1"/>
        <v>-10253009.145638026</v>
      </c>
      <c r="F123" s="442"/>
      <c r="G123" s="470">
        <f t="shared" si="14"/>
        <v>10</v>
      </c>
      <c r="H123" s="470">
        <v>116</v>
      </c>
      <c r="I123" s="455">
        <f t="shared" ca="1" si="5"/>
        <v>1592124.0559835946</v>
      </c>
      <c r="J123" s="455">
        <f t="array" ref="J123">IFERROR(INDEX('Retirement Calculator'!J:J,MATCH('Isaac 401k'!N123,'Retirement Calculator'!A:A,0),0),0)</f>
        <v>7863.2184191855868</v>
      </c>
      <c r="K123" s="455">
        <f t="shared" ca="1" si="2"/>
        <v>6601.0868231850372</v>
      </c>
      <c r="L123" s="455">
        <f t="shared" ca="1" si="3"/>
        <v>1590861.924387594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58">
        <f t="shared" ca="1" si="4"/>
        <v>-10253009.145638026</v>
      </c>
      <c r="C124" s="458">
        <f t="shared" si="0"/>
        <v>0</v>
      </c>
      <c r="D124" s="458">
        <f t="shared" ca="1" si="9"/>
        <v>-88073.97536126888</v>
      </c>
      <c r="E124" s="458">
        <f t="shared" ca="1" si="1"/>
        <v>-10341083.120999295</v>
      </c>
      <c r="F124" s="442"/>
      <c r="G124" s="470">
        <f t="shared" si="14"/>
        <v>10</v>
      </c>
      <c r="H124" s="470">
        <v>117</v>
      </c>
      <c r="I124" s="455">
        <f t="shared" ca="1" si="5"/>
        <v>1590861.924387594</v>
      </c>
      <c r="J124" s="455">
        <f t="array" ref="J124">IFERROR(INDEX('Retirement Calculator'!J:J,MATCH('Isaac 401k'!N124,'Retirement Calculator'!A:A,0),0),0)</f>
        <v>7863.2184191855868</v>
      </c>
      <c r="K124" s="455">
        <f t="shared" ca="1" si="2"/>
        <v>6595.8279415350344</v>
      </c>
      <c r="L124" s="455">
        <f t="shared" ca="1" si="3"/>
        <v>1589594.5339099434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58">
        <f t="shared" ca="1" si="4"/>
        <v>-10341083.120999295</v>
      </c>
      <c r="C125" s="458">
        <f t="shared" si="0"/>
        <v>0</v>
      </c>
      <c r="D125" s="458">
        <f t="shared" ca="1" si="9"/>
        <v>-88073.97536126888</v>
      </c>
      <c r="E125" s="458">
        <f t="shared" ca="1" si="1"/>
        <v>-10429157.096360564</v>
      </c>
      <c r="F125" s="442"/>
      <c r="G125" s="470">
        <f t="shared" si="14"/>
        <v>10</v>
      </c>
      <c r="H125" s="470">
        <v>118</v>
      </c>
      <c r="I125" s="455">
        <f t="shared" ca="1" si="5"/>
        <v>1589594.5339099434</v>
      </c>
      <c r="J125" s="455">
        <f t="array" ref="J125">IFERROR(INDEX('Retirement Calculator'!J:J,MATCH('Isaac 401k'!N125,'Retirement Calculator'!A:A,0),0),0)</f>
        <v>7863.2184191855868</v>
      </c>
      <c r="K125" s="455">
        <f t="shared" ca="1" si="2"/>
        <v>6590.5471478781574</v>
      </c>
      <c r="L125" s="455">
        <f t="shared" ca="1" si="3"/>
        <v>1588321.862638636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58">
        <f t="shared" ca="1" si="4"/>
        <v>-10429157.096360564</v>
      </c>
      <c r="C126" s="458">
        <f t="shared" si="0"/>
        <v>0</v>
      </c>
      <c r="D126" s="458">
        <f t="shared" ca="1" si="9"/>
        <v>-88073.97536126888</v>
      </c>
      <c r="E126" s="458">
        <f t="shared" ca="1" si="1"/>
        <v>-10517231.071721833</v>
      </c>
      <c r="F126" s="442"/>
      <c r="G126" s="470">
        <f t="shared" si="14"/>
        <v>10</v>
      </c>
      <c r="H126" s="470">
        <v>119</v>
      </c>
      <c r="I126" s="455">
        <f t="shared" ca="1" si="5"/>
        <v>1588321.862638636</v>
      </c>
      <c r="J126" s="455">
        <f t="array" ref="J126">IFERROR(INDEX('Retirement Calculator'!J:J,MATCH('Isaac 401k'!N126,'Retirement Calculator'!A:A,0),0),0)</f>
        <v>7863.2184191855868</v>
      </c>
      <c r="K126" s="455">
        <f t="shared" ca="1" si="2"/>
        <v>6585.2443509143768</v>
      </c>
      <c r="L126" s="455">
        <f t="shared" ca="1" si="3"/>
        <v>1587043.8885703648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58">
        <f t="shared" ca="1" si="4"/>
        <v>-10517231.071721833</v>
      </c>
      <c r="C127" s="458">
        <f t="shared" si="0"/>
        <v>0</v>
      </c>
      <c r="D127" s="458">
        <f t="shared" ca="1" si="9"/>
        <v>-88073.97536126888</v>
      </c>
      <c r="E127" s="458">
        <f t="shared" ca="1" si="1"/>
        <v>-10605305.047083102</v>
      </c>
      <c r="F127" s="442"/>
      <c r="G127" s="470">
        <f t="shared" si="14"/>
        <v>10</v>
      </c>
      <c r="H127" s="470">
        <v>120</v>
      </c>
      <c r="I127" s="455">
        <f t="shared" ca="1" si="5"/>
        <v>1587043.8885703648</v>
      </c>
      <c r="J127" s="455">
        <f t="array" ref="J127">IFERROR(INDEX('Retirement Calculator'!J:J,MATCH('Isaac 401k'!N127,'Retirement Calculator'!A:A,0),0),0)</f>
        <v>7863.2184191855868</v>
      </c>
      <c r="K127" s="455">
        <f t="shared" ca="1" si="2"/>
        <v>6579.9194589632461</v>
      </c>
      <c r="L127" s="455">
        <f t="shared" ca="1" si="3"/>
        <v>1585760.5896101424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58">
        <f t="shared" ca="1" si="4"/>
        <v>-10605305.047083102</v>
      </c>
      <c r="C128" s="458">
        <f t="shared" si="0"/>
        <v>0</v>
      </c>
      <c r="D128" s="458">
        <f t="shared" ca="1" si="9"/>
        <v>-88073.97536126888</v>
      </c>
      <c r="E128" s="458">
        <f t="shared" ca="1" si="1"/>
        <v>-10693379.022444371</v>
      </c>
      <c r="F128" s="442"/>
      <c r="G128" s="470">
        <f>G127+1</f>
        <v>11</v>
      </c>
      <c r="H128" s="470">
        <v>121</v>
      </c>
      <c r="I128" s="455">
        <f t="shared" ca="1" si="5"/>
        <v>1585760.5896101424</v>
      </c>
      <c r="J128" s="455">
        <f t="array" ref="J128">IFERROR(INDEX('Retirement Calculator'!J:J,MATCH('Isaac 401k'!N128,'Retirement Calculator'!A:A,0),0),0)</f>
        <v>7863.2184191855868</v>
      </c>
      <c r="K128" s="455">
        <f t="shared" ca="1" si="2"/>
        <v>6574.5723799623202</v>
      </c>
      <c r="L128" s="455">
        <f t="shared" ca="1" si="3"/>
        <v>1584471.9435709191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58">
        <f t="shared" ca="1" si="4"/>
        <v>-10693379.022444371</v>
      </c>
      <c r="C129" s="458">
        <f t="shared" si="0"/>
        <v>0</v>
      </c>
      <c r="D129" s="458">
        <f t="shared" ca="1" si="9"/>
        <v>-88073.97536126888</v>
      </c>
      <c r="E129" s="458">
        <f t="shared" ca="1" si="1"/>
        <v>-10781452.99780564</v>
      </c>
      <c r="F129" s="442"/>
      <c r="G129" s="470">
        <f t="shared" ref="G129:G139" si="15">G128</f>
        <v>11</v>
      </c>
      <c r="H129" s="470">
        <v>122</v>
      </c>
      <c r="I129" s="455">
        <f t="shared" ca="1" si="5"/>
        <v>1584471.9435709191</v>
      </c>
      <c r="J129" s="455">
        <f t="array" ref="J129">IFERROR(INDEX('Retirement Calculator'!J:J,MATCH('Isaac 401k'!N129,'Retirement Calculator'!A:A,0),0),0)</f>
        <v>7863.2184191855868</v>
      </c>
      <c r="K129" s="455">
        <f t="shared" ca="1" si="2"/>
        <v>6569.203021465556</v>
      </c>
      <c r="L129" s="455">
        <f t="shared" ca="1" si="3"/>
        <v>1583177.9281731991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58">
        <f t="shared" ca="1" si="4"/>
        <v>-10781452.99780564</v>
      </c>
      <c r="C130" s="458">
        <f t="shared" si="0"/>
        <v>0</v>
      </c>
      <c r="D130" s="458">
        <f t="shared" ca="1" si="9"/>
        <v>-88073.97536126888</v>
      </c>
      <c r="E130" s="458">
        <f t="shared" ca="1" si="1"/>
        <v>-10869526.973166909</v>
      </c>
      <c r="F130" s="442"/>
      <c r="G130" s="470">
        <f t="shared" si="15"/>
        <v>11</v>
      </c>
      <c r="H130" s="470">
        <v>123</v>
      </c>
      <c r="I130" s="455">
        <f t="shared" ca="1" si="5"/>
        <v>1583177.9281731991</v>
      </c>
      <c r="J130" s="455">
        <f t="array" ref="J130">IFERROR(INDEX('Retirement Calculator'!J:J,MATCH('Isaac 401k'!N130,'Retirement Calculator'!A:A,0),0),0)</f>
        <v>7863.2184191855868</v>
      </c>
      <c r="K130" s="455">
        <f t="shared" ca="1" si="2"/>
        <v>6563.8112906417227</v>
      </c>
      <c r="L130" s="455">
        <f t="shared" ca="1" si="3"/>
        <v>1581878.5210446552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58">
        <f t="shared" ca="1" si="4"/>
        <v>-10869526.973166909</v>
      </c>
      <c r="C131" s="458">
        <f t="shared" si="0"/>
        <v>0</v>
      </c>
      <c r="D131" s="458">
        <f t="shared" ca="1" si="9"/>
        <v>-88073.97536126888</v>
      </c>
      <c r="E131" s="458">
        <f t="shared" ca="1" si="1"/>
        <v>-10957600.948528178</v>
      </c>
      <c r="F131" s="442"/>
      <c r="G131" s="470">
        <f t="shared" si="15"/>
        <v>11</v>
      </c>
      <c r="H131" s="470">
        <v>124</v>
      </c>
      <c r="I131" s="455">
        <f t="shared" ca="1" si="5"/>
        <v>1581878.5210446552</v>
      </c>
      <c r="J131" s="455">
        <f t="array" ref="J131">IFERROR(INDEX('Retirement Calculator'!J:J,MATCH('Isaac 401k'!N131,'Retirement Calculator'!A:A,0),0),0)</f>
        <v>7863.2184191855868</v>
      </c>
      <c r="K131" s="455">
        <f t="shared" ca="1" si="2"/>
        <v>6558.3970942727901</v>
      </c>
      <c r="L131" s="455">
        <f t="shared" ca="1" si="3"/>
        <v>1580573.6997197424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58">
        <f t="shared" ca="1" si="4"/>
        <v>-10957600.948528178</v>
      </c>
      <c r="C132" s="458">
        <f t="shared" si="0"/>
        <v>0</v>
      </c>
      <c r="D132" s="458">
        <f t="shared" ca="1" si="9"/>
        <v>-88073.97536126888</v>
      </c>
      <c r="E132" s="458">
        <f t="shared" ca="1" si="1"/>
        <v>-11045674.923889447</v>
      </c>
      <c r="F132" s="442"/>
      <c r="G132" s="470">
        <f t="shared" si="15"/>
        <v>11</v>
      </c>
      <c r="H132" s="470">
        <v>125</v>
      </c>
      <c r="I132" s="455">
        <f t="shared" ca="1" si="5"/>
        <v>1580573.6997197424</v>
      </c>
      <c r="J132" s="455">
        <f t="array" ref="J132">IFERROR(INDEX('Retirement Calculator'!J:J,MATCH('Isaac 401k'!N132,'Retirement Calculator'!A:A,0),0),0)</f>
        <v>7863.2184191855868</v>
      </c>
      <c r="K132" s="455">
        <f t="shared" ca="1" si="2"/>
        <v>6552.9603387523202</v>
      </c>
      <c r="L132" s="455">
        <f t="shared" ca="1" si="3"/>
        <v>1579263.4416393091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58">
        <f t="shared" ca="1" si="4"/>
        <v>-11045674.923889447</v>
      </c>
      <c r="C133" s="458">
        <f t="shared" si="0"/>
        <v>0</v>
      </c>
      <c r="D133" s="458">
        <f t="shared" ca="1" si="9"/>
        <v>-88073.97536126888</v>
      </c>
      <c r="E133" s="458">
        <f t="shared" ca="1" si="1"/>
        <v>-11133748.899250716</v>
      </c>
      <c r="F133" s="442"/>
      <c r="G133" s="470">
        <f t="shared" si="15"/>
        <v>11</v>
      </c>
      <c r="H133" s="470">
        <v>126</v>
      </c>
      <c r="I133" s="455">
        <f t="shared" ca="1" si="5"/>
        <v>1579263.4416393091</v>
      </c>
      <c r="J133" s="455">
        <f t="array" ref="J133">IFERROR(INDEX('Retirement Calculator'!J:J,MATCH('Isaac 401k'!N133,'Retirement Calculator'!A:A,0),0),0)</f>
        <v>7863.2184191855868</v>
      </c>
      <c r="K133" s="455">
        <f t="shared" ca="1" si="2"/>
        <v>6547.5009300838474</v>
      </c>
      <c r="L133" s="455">
        <f t="shared" ca="1" si="3"/>
        <v>1577947.7241502074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58">
        <f t="shared" ca="1" si="4"/>
        <v>-11133748.899250716</v>
      </c>
      <c r="C134" s="458">
        <f t="shared" si="0"/>
        <v>0</v>
      </c>
      <c r="D134" s="458">
        <f t="shared" ca="1" si="9"/>
        <v>-88073.97536126888</v>
      </c>
      <c r="E134" s="458">
        <f t="shared" ca="1" si="1"/>
        <v>-11221822.874611985</v>
      </c>
      <c r="F134" s="442"/>
      <c r="G134" s="470">
        <f t="shared" si="15"/>
        <v>11</v>
      </c>
      <c r="H134" s="470">
        <v>127</v>
      </c>
      <c r="I134" s="455">
        <f t="shared" ca="1" si="5"/>
        <v>1577947.7241502074</v>
      </c>
      <c r="J134" s="455">
        <f t="array" ref="J134">IFERROR(INDEX('Retirement Calculator'!J:J,MATCH('Isaac 401k'!N134,'Retirement Calculator'!A:A,0),0),0)</f>
        <v>7863.2184191855868</v>
      </c>
      <c r="K134" s="455">
        <f t="shared" ca="1" si="2"/>
        <v>6542.0187738792574</v>
      </c>
      <c r="L134" s="455">
        <f t="shared" ca="1" si="3"/>
        <v>1576626.5245049009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58">
        <f t="shared" ca="1" si="4"/>
        <v>-11221822.874611985</v>
      </c>
      <c r="C135" s="458">
        <f t="shared" si="0"/>
        <v>0</v>
      </c>
      <c r="D135" s="458">
        <f t="shared" ca="1" si="9"/>
        <v>-88073.97536126888</v>
      </c>
      <c r="E135" s="458">
        <f t="shared" ca="1" si="1"/>
        <v>-11309896.849973254</v>
      </c>
      <c r="F135" s="442"/>
      <c r="G135" s="470">
        <f t="shared" si="15"/>
        <v>11</v>
      </c>
      <c r="H135" s="470">
        <v>128</v>
      </c>
      <c r="I135" s="455">
        <f t="shared" ca="1" si="5"/>
        <v>1576626.5245049009</v>
      </c>
      <c r="J135" s="455">
        <f t="array" ref="J135">IFERROR(INDEX('Retirement Calculator'!J:J,MATCH('Isaac 401k'!N135,'Retirement Calculator'!A:A,0),0),0)</f>
        <v>7863.2184191855868</v>
      </c>
      <c r="K135" s="455">
        <f t="shared" ca="1" si="2"/>
        <v>6536.5137753571471</v>
      </c>
      <c r="L135" s="455">
        <f t="shared" ca="1" si="3"/>
        <v>1575299.8198610723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58">
        <f t="shared" ca="1" si="4"/>
        <v>-11309896.849973254</v>
      </c>
      <c r="C136" s="458">
        <f t="shared" si="0"/>
        <v>0</v>
      </c>
      <c r="D136" s="458">
        <f t="shared" ca="1" si="9"/>
        <v>-88073.97536126888</v>
      </c>
      <c r="E136" s="458">
        <f t="shared" ca="1" si="1"/>
        <v>-11397970.825334523</v>
      </c>
      <c r="F136" s="442"/>
      <c r="G136" s="470">
        <f t="shared" si="15"/>
        <v>11</v>
      </c>
      <c r="H136" s="470">
        <v>129</v>
      </c>
      <c r="I136" s="455">
        <f t="shared" ca="1" si="5"/>
        <v>1575299.8198610723</v>
      </c>
      <c r="J136" s="455">
        <f t="array" ref="J136">IFERROR(INDEX('Retirement Calculator'!J:J,MATCH('Isaac 401k'!N136,'Retirement Calculator'!A:A,0),0),0)</f>
        <v>7863.2184191855868</v>
      </c>
      <c r="K136" s="455">
        <f t="shared" ca="1" si="2"/>
        <v>6530.9858393411951</v>
      </c>
      <c r="L136" s="455">
        <f t="shared" ca="1" si="3"/>
        <v>1573967.587281228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1573967.587281228</v>
      </c>
      <c r="J137" s="455">
        <f t="array" ref="J137">IFERROR(INDEX('Retirement Calculator'!J:J,MATCH('Isaac 401k'!N137,'Retirement Calculator'!A:A,0),0),0)</f>
        <v>7863.2184191855868</v>
      </c>
      <c r="K137" s="455">
        <f t="shared" ca="1" si="2"/>
        <v>6525.4348702585103</v>
      </c>
      <c r="L137" s="455">
        <f t="shared" ca="1" si="3"/>
        <v>1572629.8037323009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1572629.8037323009</v>
      </c>
      <c r="J138" s="455">
        <f t="array" ref="J138">IFERROR(INDEX('Retirement Calculator'!J:J,MATCH('Isaac 401k'!N138,'Retirement Calculator'!A:A,0),0),0)</f>
        <v>7863.2184191855868</v>
      </c>
      <c r="K138" s="455">
        <f t="shared" ca="1" si="2"/>
        <v>6519.8607721379803</v>
      </c>
      <c r="L138" s="455">
        <f t="shared" ca="1" si="3"/>
        <v>1571286.4460852533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1571286.4460852533</v>
      </c>
      <c r="J139" s="455">
        <f t="array" ref="J139">IFERROR(INDEX('Retirement Calculator'!J:J,MATCH('Isaac 401k'!N139,'Retirement Calculator'!A:A,0),0),0)</f>
        <v>7863.2184191855868</v>
      </c>
      <c r="K139" s="455">
        <f t="shared" ca="1" si="2"/>
        <v>6514.2634486086154</v>
      </c>
      <c r="L139" s="455">
        <f t="shared" ca="1" si="3"/>
        <v>1569937.4911146762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1569937.4911146762</v>
      </c>
      <c r="J140" s="455">
        <f t="array" ref="J140">IFERROR(INDEX('Retirement Calculator'!J:J,MATCH('Isaac 401k'!N140,'Retirement Calculator'!A:A,0),0),0)</f>
        <v>7863.2184191855868</v>
      </c>
      <c r="K140" s="455">
        <f t="shared" ca="1" si="2"/>
        <v>6508.6428028978771</v>
      </c>
      <c r="L140" s="455">
        <f t="shared" ca="1" si="3"/>
        <v>1568582.9154983885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1568582.9154983885</v>
      </c>
      <c r="J141" s="455">
        <f t="array" ref="J141">IFERROR(INDEX('Retirement Calculator'!J:J,MATCH('Isaac 401k'!N141,'Retirement Calculator'!A:A,0),0),0)</f>
        <v>7863.2184191855868</v>
      </c>
      <c r="K141" s="455">
        <f t="shared" ca="1" si="2"/>
        <v>6502.998737830012</v>
      </c>
      <c r="L141" s="455">
        <f t="shared" ca="1" si="3"/>
        <v>1567222.6958170328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1567222.6958170328</v>
      </c>
      <c r="J142" s="455">
        <f t="array" ref="J142">IFERROR(INDEX('Retirement Calculator'!J:J,MATCH('Isaac 401k'!N142,'Retirement Calculator'!A:A,0),0),0)</f>
        <v>7863.2184191855868</v>
      </c>
      <c r="K142" s="455">
        <f t="shared" ca="1" si="2"/>
        <v>6497.3311558243631</v>
      </c>
      <c r="L142" s="455">
        <f t="shared" ca="1" si="3"/>
        <v>1565856.8085536717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1565856.8085536717</v>
      </c>
      <c r="J143" s="455">
        <f t="array" ref="J143">IFERROR(INDEX('Retirement Calculator'!J:J,MATCH('Isaac 401k'!N143,'Retirement Calculator'!A:A,0),0),0)</f>
        <v>7863.2184191855868</v>
      </c>
      <c r="K143" s="455">
        <f t="shared" ca="1" si="2"/>
        <v>6491.639958893692</v>
      </c>
      <c r="L143" s="455">
        <f t="shared" ca="1" si="3"/>
        <v>1564485.2300933797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1564485.2300933797</v>
      </c>
      <c r="J144" s="455">
        <f t="array" ref="J144">IFERROR(INDEX('Retirement Calculator'!J:J,MATCH('Isaac 401k'!N144,'Retirement Calculator'!A:A,0),0),0)</f>
        <v>7863.2184191855868</v>
      </c>
      <c r="K144" s="455">
        <f t="shared" ca="1" si="2"/>
        <v>6485.9250486424753</v>
      </c>
      <c r="L144" s="455">
        <f t="shared" ca="1" si="3"/>
        <v>1563107.9367228367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1563107.9367228367</v>
      </c>
      <c r="J145" s="455">
        <f t="array" ref="J145">IFERROR(INDEX('Retirement Calculator'!J:J,MATCH('Isaac 401k'!N145,'Retirement Calculator'!A:A,0),0),0)</f>
        <v>7863.2184191855868</v>
      </c>
      <c r="K145" s="455">
        <f t="shared" ca="1" si="2"/>
        <v>6480.1863262652132</v>
      </c>
      <c r="L145" s="455">
        <f t="shared" ca="1" si="3"/>
        <v>1561724.9046299162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1561724.9046299162</v>
      </c>
      <c r="J146" s="455">
        <f t="array" ref="J146">IFERROR(INDEX('Retirement Calculator'!J:J,MATCH('Isaac 401k'!N146,'Retirement Calculator'!A:A,0),0),0)</f>
        <v>7863.2184191855868</v>
      </c>
      <c r="K146" s="455">
        <f t="shared" ca="1" si="2"/>
        <v>6474.4236925447103</v>
      </c>
      <c r="L146" s="455">
        <f t="shared" ca="1" si="3"/>
        <v>1560336.1099032753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1560336.1099032753</v>
      </c>
      <c r="J147" s="455">
        <f t="array" ref="J147">IFERROR(INDEX('Retirement Calculator'!J:J,MATCH('Isaac 401k'!N147,'Retirement Calculator'!A:A,0),0),0)</f>
        <v>7863.2184191855868</v>
      </c>
      <c r="K147" s="455">
        <f t="shared" ca="1" si="2"/>
        <v>6468.6370478503732</v>
      </c>
      <c r="L147" s="455">
        <f t="shared" ca="1" si="3"/>
        <v>1558941.52853194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1558941.52853194</v>
      </c>
      <c r="J148" s="455">
        <f t="array" ref="J148">IFERROR(INDEX('Retirement Calculator'!J:J,MATCH('Isaac 401k'!N148,'Retirement Calculator'!A:A,0),0),0)</f>
        <v>7863.2184191855868</v>
      </c>
      <c r="K148" s="455">
        <f t="shared" ca="1" si="2"/>
        <v>6462.8262921364767</v>
      </c>
      <c r="L148" s="455">
        <f t="shared" ca="1" si="3"/>
        <v>1557541.1364048908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1557541.1364048908</v>
      </c>
      <c r="J149" s="455">
        <f t="array" ref="J149">IFERROR(INDEX('Retirement Calculator'!J:J,MATCH('Isaac 401k'!N149,'Retirement Calculator'!A:A,0),0),0)</f>
        <v>7863.2184191855868</v>
      </c>
      <c r="K149" s="455">
        <f t="shared" ca="1" si="2"/>
        <v>6456.9913249404381</v>
      </c>
      <c r="L149" s="455">
        <f t="shared" ca="1" si="3"/>
        <v>1556134.9093106457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1556134.9093106457</v>
      </c>
      <c r="J150" s="455">
        <f t="array" ref="J150">IFERROR(INDEX('Retirement Calculator'!J:J,MATCH('Isaac 401k'!N150,'Retirement Calculator'!A:A,0),0),0)</f>
        <v>7863.2184191855868</v>
      </c>
      <c r="K150" s="455">
        <f t="shared" ca="1" si="2"/>
        <v>6451.1320453810831</v>
      </c>
      <c r="L150" s="455">
        <f t="shared" ca="1" si="3"/>
        <v>1554722.8229368411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1554722.8229368411</v>
      </c>
      <c r="J151" s="455">
        <f t="array" ref="J151">IFERROR(INDEX('Retirement Calculator'!J:J,MATCH('Isaac 401k'!N151,'Retirement Calculator'!A:A,0),0),0)</f>
        <v>7863.2184191855868</v>
      </c>
      <c r="K151" s="455">
        <f t="shared" ca="1" si="2"/>
        <v>6445.2483521568975</v>
      </c>
      <c r="L151" s="455">
        <f t="shared" ca="1" si="3"/>
        <v>1553304.8528698124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1553304.8528698124</v>
      </c>
      <c r="J152" s="455">
        <f t="array" ref="J152">IFERROR(INDEX('Retirement Calculator'!J:J,MATCH('Isaac 401k'!N152,'Retirement Calculator'!A:A,0),0),0)</f>
        <v>7863.2184191855868</v>
      </c>
      <c r="K152" s="455">
        <f t="shared" ca="1" si="2"/>
        <v>6439.3401435442784</v>
      </c>
      <c r="L152" s="455">
        <f t="shared" ca="1" si="3"/>
        <v>1551880.9745941712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1551880.9745941712</v>
      </c>
      <c r="J153" s="455">
        <f t="array" ref="J153">IFERROR(INDEX('Retirement Calculator'!J:J,MATCH('Isaac 401k'!N153,'Retirement Calculator'!A:A,0),0),0)</f>
        <v>7863.2184191855868</v>
      </c>
      <c r="K153" s="455">
        <f t="shared" ca="1" si="2"/>
        <v>6433.4073173957731</v>
      </c>
      <c r="L153" s="455">
        <f t="shared" ca="1" si="3"/>
        <v>1550451.1634923813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1550451.1634923813</v>
      </c>
      <c r="J154" s="455">
        <f t="array" ref="J154">IFERROR(INDEX('Retirement Calculator'!J:J,MATCH('Isaac 401k'!N154,'Retirement Calculator'!A:A,0),0),0)</f>
        <v>7863.2184191855868</v>
      </c>
      <c r="K154" s="455">
        <f t="shared" ca="1" si="2"/>
        <v>6427.4497711383156</v>
      </c>
      <c r="L154" s="455">
        <f t="shared" ca="1" si="3"/>
        <v>1549015.3948443341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1549015.3948443341</v>
      </c>
      <c r="J155" s="455">
        <f t="array" ref="J155">IFERROR(INDEX('Retirement Calculator'!J:J,MATCH('Isaac 401k'!N155,'Retirement Calculator'!A:A,0),0),0)</f>
        <v>7863.2184191855868</v>
      </c>
      <c r="K155" s="455">
        <f t="shared" ca="1" si="2"/>
        <v>6421.4674017714524</v>
      </c>
      <c r="L155" s="455">
        <f t="shared" ca="1" si="3"/>
        <v>1547573.6438269198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1547573.6438269198</v>
      </c>
      <c r="J156" s="455">
        <f t="array" ref="J156">IFERROR(INDEX('Retirement Calculator'!J:J,MATCH('Isaac 401k'!N156,'Retirement Calculator'!A:A,0),0),0)</f>
        <v>7863.2184191855868</v>
      </c>
      <c r="K156" s="455">
        <f t="shared" ca="1" si="2"/>
        <v>6415.4601058655589</v>
      </c>
      <c r="L156" s="455">
        <f t="shared" ca="1" si="3"/>
        <v>1546125.8855135997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1546125.8855135997</v>
      </c>
      <c r="J157" s="455">
        <f t="array" ref="J157">IFERROR(INDEX('Retirement Calculator'!J:J,MATCH('Isaac 401k'!N157,'Retirement Calculator'!A:A,0),0),0)</f>
        <v>7863.2184191855868</v>
      </c>
      <c r="K157" s="455">
        <f t="shared" ca="1" si="2"/>
        <v>6409.4277795600592</v>
      </c>
      <c r="L157" s="455">
        <f t="shared" ca="1" si="3"/>
        <v>1544672.0948739741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1544672.0948739741</v>
      </c>
      <c r="J158" s="455">
        <f t="array" ref="J158">IFERROR(INDEX('Retirement Calculator'!J:J,MATCH('Isaac 401k'!N158,'Retirement Calculator'!A:A,0),0),0)</f>
        <v>7863.2184191855868</v>
      </c>
      <c r="K158" s="455">
        <f t="shared" ca="1" si="2"/>
        <v>6403.3703185616187</v>
      </c>
      <c r="L158" s="455">
        <f t="shared" ca="1" si="3"/>
        <v>1543212.2467733501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1543212.2467733501</v>
      </c>
      <c r="J159" s="455">
        <f t="array" ref="J159">IFERROR(INDEX('Retirement Calculator'!J:J,MATCH('Isaac 401k'!N159,'Retirement Calculator'!A:A,0),0),0)</f>
        <v>7863.2184191855868</v>
      </c>
      <c r="K159" s="455">
        <f t="shared" ca="1" si="2"/>
        <v>6397.2876181423517</v>
      </c>
      <c r="L159" s="455">
        <f t="shared" ca="1" si="3"/>
        <v>1541746.3159723068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1541746.3159723068</v>
      </c>
      <c r="J160" s="455">
        <f t="array" ref="J160">IFERROR(INDEX('Retirement Calculator'!J:J,MATCH('Isaac 401k'!N160,'Retirement Calculator'!A:A,0),0),0)</f>
        <v>7863.2184191855868</v>
      </c>
      <c r="K160" s="455">
        <f t="shared" ca="1" si="2"/>
        <v>6391.1795731380043</v>
      </c>
      <c r="L160" s="455">
        <f t="shared" ca="1" si="3"/>
        <v>1540274.2771262592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1540274.2771262592</v>
      </c>
      <c r="J161" s="455">
        <f t="array" ref="J161">IFERROR(INDEX('Retirement Calculator'!J:J,MATCH('Isaac 401k'!N161,'Retirement Calculator'!A:A,0),0),0)</f>
        <v>7863.2184191855868</v>
      </c>
      <c r="K161" s="455">
        <f t="shared" ca="1" si="2"/>
        <v>6385.04607794614</v>
      </c>
      <c r="L161" s="455">
        <f t="shared" ca="1" si="3"/>
        <v>1538796.1047850198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1538796.1047850198</v>
      </c>
      <c r="J162" s="455">
        <f t="array" ref="J162">IFERROR(INDEX('Retirement Calculator'!J:J,MATCH('Isaac 401k'!N162,'Retirement Calculator'!A:A,0),0),0)</f>
        <v>7863.2184191855868</v>
      </c>
      <c r="K162" s="455">
        <f t="shared" ca="1" si="2"/>
        <v>6378.8870265243086</v>
      </c>
      <c r="L162" s="455">
        <f t="shared" ca="1" si="3"/>
        <v>1537311.7733923586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1537311.7733923586</v>
      </c>
      <c r="J163" s="455">
        <f t="array" ref="J163">IFERROR(INDEX('Retirement Calculator'!J:J,MATCH('Isaac 401k'!N163,'Retirement Calculator'!A:A,0),0),0)</f>
        <v>7863.2184191855868</v>
      </c>
      <c r="K163" s="455">
        <f t="shared" ca="1" si="2"/>
        <v>6372.7023123882209</v>
      </c>
      <c r="L163" s="455">
        <f t="shared" ca="1" si="3"/>
        <v>1535821.2572855612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1535821.2572855612</v>
      </c>
      <c r="J164" s="455">
        <f t="array" ref="J164">IFERROR(INDEX('Retirement Calculator'!J:J,MATCH('Isaac 401k'!N164,'Retirement Calculator'!A:A,0),0),0)</f>
        <v>7863.2184191855868</v>
      </c>
      <c r="K164" s="455">
        <f t="shared" ca="1" si="2"/>
        <v>6366.4918286098982</v>
      </c>
      <c r="L164" s="455">
        <f t="shared" ca="1" si="3"/>
        <v>1534324.5306949855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1534324.5306949855</v>
      </c>
      <c r="J165" s="455">
        <f t="array" ref="J165">IFERROR(INDEX('Retirement Calculator'!J:J,MATCH('Isaac 401k'!N165,'Retirement Calculator'!A:A,0),0),0)</f>
        <v>7863.2184191855868</v>
      </c>
      <c r="K165" s="455">
        <f t="shared" ca="1" si="2"/>
        <v>6360.2554678158331</v>
      </c>
      <c r="L165" s="455">
        <f t="shared" ca="1" si="3"/>
        <v>1532821.5677436157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1532821.5677436157</v>
      </c>
      <c r="J166" s="455">
        <f t="array" ref="J166">IFERROR(INDEX('Retirement Calculator'!J:J,MATCH('Isaac 401k'!N166,'Retirement Calculator'!A:A,0),0),0)</f>
        <v>7863.2184191855868</v>
      </c>
      <c r="K166" s="455">
        <f t="shared" ca="1" si="2"/>
        <v>6353.9931221851257</v>
      </c>
      <c r="L166" s="455">
        <f t="shared" ca="1" si="3"/>
        <v>1531312.3424466152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1531312.3424466152</v>
      </c>
      <c r="J167" s="455">
        <f t="array" ref="J167">IFERROR(INDEX('Retirement Calculator'!J:J,MATCH('Isaac 401k'!N167,'Retirement Calculator'!A:A,0),0),0)</f>
        <v>7863.2184191855868</v>
      </c>
      <c r="K167" s="455">
        <f t="shared" ca="1" si="2"/>
        <v>6347.7046834476232</v>
      </c>
      <c r="L167" s="455">
        <f t="shared" ca="1" si="3"/>
        <v>1529796.8287108773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1529796.8287108773</v>
      </c>
      <c r="J168" s="455">
        <f t="array" ref="J168">IFERROR(INDEX('Retirement Calculator'!J:J,MATCH('Isaac 401k'!N168,'Retirement Calculator'!A:A,0),0),0)</f>
        <v>7863.2184191855868</v>
      </c>
      <c r="K168" s="455">
        <f t="shared" ca="1" si="2"/>
        <v>6341.3900428820489</v>
      </c>
      <c r="L168" s="455">
        <f t="shared" ca="1" si="3"/>
        <v>1528275.0003345737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1528275.0003345737</v>
      </c>
      <c r="J169" s="455">
        <f t="array" ref="J169">IFERROR(INDEX('Retirement Calculator'!J:J,MATCH('Isaac 401k'!N169,'Retirement Calculator'!A:A,0),0),0)</f>
        <v>7863.2184191855868</v>
      </c>
      <c r="K169" s="455">
        <f t="shared" ca="1" si="2"/>
        <v>6335.0490913141166</v>
      </c>
      <c r="L169" s="455">
        <f t="shared" ca="1" si="3"/>
        <v>1526746.8310067023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1526746.8310067023</v>
      </c>
      <c r="J170" s="455">
        <f t="array" ref="J170">IFERROR(INDEX('Retirement Calculator'!J:J,MATCH('Isaac 401k'!N170,'Retirement Calculator'!A:A,0),0),0)</f>
        <v>7863.2184191855868</v>
      </c>
      <c r="K170" s="455">
        <f t="shared" ca="1" si="2"/>
        <v>6328.6817191146529</v>
      </c>
      <c r="L170" s="455">
        <f t="shared" ca="1" si="3"/>
        <v>1525212.2943066312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1525212.2943066312</v>
      </c>
      <c r="J171" s="455">
        <f t="array" ref="J171">IFERROR(INDEX('Retirement Calculator'!J:J,MATCH('Isaac 401k'!N171,'Retirement Calculator'!A:A,0),0),0)</f>
        <v>7863.2184191855868</v>
      </c>
      <c r="K171" s="455">
        <f t="shared" ca="1" si="2"/>
        <v>6322.2878161976896</v>
      </c>
      <c r="L171" s="455">
        <f t="shared" ca="1" si="3"/>
        <v>1523671.3637036432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1523671.3637036432</v>
      </c>
      <c r="J172" s="455">
        <f t="array" ref="J172">IFERROR(INDEX('Retirement Calculator'!J:J,MATCH('Isaac 401k'!N172,'Retirement Calculator'!A:A,0),0),0)</f>
        <v>7863.2184191855868</v>
      </c>
      <c r="K172" s="455">
        <f t="shared" ca="1" si="2"/>
        <v>6315.8672720185732</v>
      </c>
      <c r="L172" s="455">
        <f t="shared" ca="1" si="3"/>
        <v>1522124.0125564763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1522124.0125564763</v>
      </c>
      <c r="J173" s="455">
        <f t="array" ref="J173">IFERROR(INDEX('Retirement Calculator'!J:J,MATCH('Isaac 401k'!N173,'Retirement Calculator'!A:A,0),0),0)</f>
        <v>7863.2184191855868</v>
      </c>
      <c r="K173" s="455">
        <f t="shared" ca="1" si="2"/>
        <v>6309.4199755720447</v>
      </c>
      <c r="L173" s="455">
        <f t="shared" ca="1" si="3"/>
        <v>1520570.2141128627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1520570.2141128627</v>
      </c>
      <c r="J174" s="455">
        <f t="array" ref="J174">IFERROR(INDEX('Retirement Calculator'!J:J,MATCH('Isaac 401k'!N174,'Retirement Calculator'!A:A,0),0),0)</f>
        <v>7863.2184191855868</v>
      </c>
      <c r="K174" s="455">
        <f t="shared" ca="1" si="2"/>
        <v>6302.9458153903215</v>
      </c>
      <c r="L174" s="455">
        <f t="shared" ca="1" si="3"/>
        <v>1519009.9415090673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1519009.9415090673</v>
      </c>
      <c r="J175" s="455">
        <f t="array" ref="J175">IFERROR(INDEX('Retirement Calculator'!J:J,MATCH('Isaac 401k'!N175,'Retirement Calculator'!A:A,0),0),0)</f>
        <v>7863.2184191855868</v>
      </c>
      <c r="K175" s="455">
        <f t="shared" ca="1" si="2"/>
        <v>6296.4446795411741</v>
      </c>
      <c r="L175" s="455">
        <f t="shared" ca="1" si="3"/>
        <v>1517443.167769423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1517443.167769423</v>
      </c>
      <c r="J176" s="455">
        <f t="array" ref="J176">IFERROR(INDEX('Retirement Calculator'!J:J,MATCH('Isaac 401k'!N176,'Retirement Calculator'!A:A,0),0),0)</f>
        <v>7863.2184191855868</v>
      </c>
      <c r="K176" s="455">
        <f t="shared" ca="1" si="2"/>
        <v>6289.9164556259893</v>
      </c>
      <c r="L176" s="455">
        <f t="shared" ca="1" si="3"/>
        <v>1515869.8658058634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1515869.8658058634</v>
      </c>
      <c r="J177" s="455">
        <f t="array" ref="J177">IFERROR(INDEX('Retirement Calculator'!J:J,MATCH('Isaac 401k'!N177,'Retirement Calculator'!A:A,0),0),0)</f>
        <v>7863.2184191855868</v>
      </c>
      <c r="K177" s="455">
        <f t="shared" ca="1" si="2"/>
        <v>6283.3610307778245</v>
      </c>
      <c r="L177" s="455">
        <f t="shared" ca="1" si="3"/>
        <v>1514290.0084174557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1514290.0084174557</v>
      </c>
      <c r="J178" s="455">
        <f t="array" ref="J178">IFERROR(INDEX('Retirement Calculator'!J:J,MATCH('Isaac 401k'!N178,'Retirement Calculator'!A:A,0),0),0)</f>
        <v>7863.2184191855868</v>
      </c>
      <c r="K178" s="455">
        <f t="shared" ca="1" si="2"/>
        <v>6276.7782916594588</v>
      </c>
      <c r="L178" s="455">
        <f t="shared" ca="1" si="3"/>
        <v>1512703.5682899295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1512703.5682899295</v>
      </c>
      <c r="J179" s="455">
        <f t="array" ref="J179">IFERROR(INDEX('Retirement Calculator'!J:J,MATCH('Isaac 401k'!N179,'Retirement Calculator'!A:A,0),0),0)</f>
        <v>7863.2184191855868</v>
      </c>
      <c r="K179" s="455">
        <f t="shared" ca="1" si="2"/>
        <v>6270.1681244614329</v>
      </c>
      <c r="L179" s="455">
        <f t="shared" ca="1" si="3"/>
        <v>1511110.5179952055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1511110.5179952055</v>
      </c>
      <c r="J180" s="455">
        <f t="array" ref="J180">IFERROR(INDEX('Retirement Calculator'!J:J,MATCH('Isaac 401k'!N180,'Retirement Calculator'!A:A,0),0),0)</f>
        <v>7863.2184191855868</v>
      </c>
      <c r="K180" s="455">
        <f t="shared" ca="1" si="2"/>
        <v>6263.5304149000831</v>
      </c>
      <c r="L180" s="455">
        <f t="shared" ca="1" si="3"/>
        <v>1509510.8299909199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1509510.8299909199</v>
      </c>
      <c r="J181" s="455">
        <f t="array" ref="J181">IFERROR(INDEX('Retirement Calculator'!J:J,MATCH('Isaac 401k'!N181,'Retirement Calculator'!A:A,0),0),0)</f>
        <v>7863.2184191855868</v>
      </c>
      <c r="K181" s="455">
        <f t="shared" ca="1" si="2"/>
        <v>6256.8650482155599</v>
      </c>
      <c r="L181" s="455">
        <f t="shared" ca="1" si="3"/>
        <v>1507904.4766199498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1507904.4766199498</v>
      </c>
      <c r="J182" s="455">
        <f t="array" ref="J182">IFERROR(INDEX('Retirement Calculator'!J:J,MATCH('Isaac 401k'!N182,'Retirement Calculator'!A:A,0),0),0)</f>
        <v>7863.2184191855868</v>
      </c>
      <c r="K182" s="455">
        <f t="shared" ca="1" si="2"/>
        <v>6250.1719091698506</v>
      </c>
      <c r="L182" s="455">
        <f t="shared" ca="1" si="3"/>
        <v>1506291.430109934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1506291.430109934</v>
      </c>
      <c r="J183" s="455">
        <f t="array" ref="J183">IFERROR(INDEX('Retirement Calculator'!J:J,MATCH('Isaac 401k'!N183,'Retirement Calculator'!A:A,0),0),0)</f>
        <v>7863.2184191855868</v>
      </c>
      <c r="K183" s="455">
        <f t="shared" ca="1" si="2"/>
        <v>6243.4508820447845</v>
      </c>
      <c r="L183" s="455">
        <f t="shared" ca="1" si="3"/>
        <v>1504671.6625727932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1504671.6625727932</v>
      </c>
      <c r="J184" s="455">
        <f t="array" ref="J184">IFERROR(INDEX('Retirement Calculator'!J:J,MATCH('Isaac 401k'!N184,'Retirement Calculator'!A:A,0),0),0)</f>
        <v>7863.2184191855868</v>
      </c>
      <c r="K184" s="455">
        <f t="shared" ca="1" si="2"/>
        <v>6236.7018506400318</v>
      </c>
      <c r="L184" s="455">
        <f t="shared" ca="1" si="3"/>
        <v>1503045.1460042477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1503045.1460042477</v>
      </c>
      <c r="J185" s="455">
        <f t="array" ref="J185">IFERROR(INDEX('Retirement Calculator'!J:J,MATCH('Isaac 401k'!N185,'Retirement Calculator'!A:A,0),0),0)</f>
        <v>7863.2184191855868</v>
      </c>
      <c r="K185" s="455">
        <f t="shared" ca="1" si="2"/>
        <v>6229.924698271092</v>
      </c>
      <c r="L185" s="455">
        <f t="shared" ca="1" si="3"/>
        <v>1501411.8522833332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1501411.8522833332</v>
      </c>
      <c r="J186" s="455">
        <f t="array" ref="J186">IFERROR(INDEX('Retirement Calculator'!J:J,MATCH('Isaac 401k'!N186,'Retirement Calculator'!A:A,0),0),0)</f>
        <v>7863.2184191855868</v>
      </c>
      <c r="K186" s="455">
        <f t="shared" ca="1" si="2"/>
        <v>6223.1193077672815</v>
      </c>
      <c r="L186" s="455">
        <f t="shared" ca="1" si="3"/>
        <v>1499771.753171915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1499771.753171915</v>
      </c>
      <c r="J187" s="455">
        <f t="array" ref="J187">IFERROR(INDEX('Retirement Calculator'!J:J,MATCH('Isaac 401k'!N187,'Retirement Calculator'!A:A,0),0),0)</f>
        <v>7863.2184191855868</v>
      </c>
      <c r="K187" s="455">
        <f t="shared" ca="1" si="2"/>
        <v>6216.2855614697055</v>
      </c>
      <c r="L187" s="455">
        <f t="shared" ca="1" si="3"/>
        <v>1498124.820314199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1498124.820314199</v>
      </c>
      <c r="J188" s="455">
        <f t="array" ref="J188">IFERROR(INDEX('Retirement Calculator'!J:J,MATCH('Isaac 401k'!N188,'Retirement Calculator'!A:A,0),0),0)</f>
        <v>7863.2184191855868</v>
      </c>
      <c r="K188" s="455">
        <f t="shared" ca="1" si="2"/>
        <v>6209.4233412292224</v>
      </c>
      <c r="L188" s="455">
        <f t="shared" ca="1" si="3"/>
        <v>1496471.0252362427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1496471.0252362427</v>
      </c>
      <c r="J189" s="455">
        <f t="array" ref="J189">IFERROR(INDEX('Retirement Calculator'!J:J,MATCH('Isaac 401k'!N189,'Retirement Calculator'!A:A,0),0),0)</f>
        <v>7863.2184191855868</v>
      </c>
      <c r="K189" s="455">
        <f t="shared" ca="1" si="2"/>
        <v>6202.5325284044047</v>
      </c>
      <c r="L189" s="455">
        <f t="shared" ca="1" si="3"/>
        <v>1494810.3393454615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1494810.3393454615</v>
      </c>
      <c r="J190" s="455">
        <f t="array" ref="J190">IFERROR(INDEX('Retirement Calculator'!J:J,MATCH('Isaac 401k'!N190,'Retirement Calculator'!A:A,0),0),0)</f>
        <v>7863.2184191855868</v>
      </c>
      <c r="K190" s="455">
        <f t="shared" ca="1" si="2"/>
        <v>6195.6130038594829</v>
      </c>
      <c r="L190" s="455">
        <f t="shared" ca="1" si="3"/>
        <v>1493142.7339301354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1493142.7339301354</v>
      </c>
      <c r="J191" s="455">
        <f t="array" ref="J191">IFERROR(INDEX('Retirement Calculator'!J:J,MATCH('Isaac 401k'!N191,'Retirement Calculator'!A:A,0),0),0)</f>
        <v>7863.2184191855868</v>
      </c>
      <c r="K191" s="455">
        <f t="shared" ca="1" si="2"/>
        <v>6188.6646479622905</v>
      </c>
      <c r="L191" s="455">
        <f t="shared" ca="1" si="3"/>
        <v>1491468.180158912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1491468.180158912</v>
      </c>
      <c r="J192" s="455">
        <f t="array" ref="J192">IFERROR(INDEX('Retirement Calculator'!J:J,MATCH('Isaac 401k'!N192,'Retirement Calculator'!A:A,0),0),0)</f>
        <v>7863.2184191855868</v>
      </c>
      <c r="K192" s="455">
        <f t="shared" ca="1" si="2"/>
        <v>6181.6873405821934</v>
      </c>
      <c r="L192" s="455">
        <f t="shared" ca="1" si="3"/>
        <v>1489786.6490803086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1489786.6490803086</v>
      </c>
      <c r="J193" s="455">
        <f t="array" ref="J193">IFERROR(INDEX('Retirement Calculator'!J:J,MATCH('Isaac 401k'!N193,'Retirement Calculator'!A:A,0),0),0)</f>
        <v>7863.2184191855868</v>
      </c>
      <c r="K193" s="455">
        <f t="shared" ca="1" si="2"/>
        <v>6174.6809610880127</v>
      </c>
      <c r="L193" s="455">
        <f t="shared" ca="1" si="3"/>
        <v>1488098.1116222111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1488098.1116222111</v>
      </c>
      <c r="J194" s="455">
        <f t="array" ref="J194">IFERROR(INDEX('Retirement Calculator'!J:J,MATCH('Isaac 401k'!N194,'Retirement Calculator'!A:A,0),0),0)</f>
        <v>7863.2184191855868</v>
      </c>
      <c r="K194" s="455">
        <f t="shared" ca="1" si="2"/>
        <v>6167.645388345939</v>
      </c>
      <c r="L194" s="455">
        <f t="shared" ca="1" si="3"/>
        <v>1486402.5385913714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1486402.5385913714</v>
      </c>
      <c r="J195" s="455">
        <f t="array" ref="J195">IFERROR(INDEX('Retirement Calculator'!J:J,MATCH('Isaac 401k'!N195,'Retirement Calculator'!A:A,0),0),0)</f>
        <v>7863.2184191855868</v>
      </c>
      <c r="K195" s="455">
        <f t="shared" ca="1" si="2"/>
        <v>6160.5805007174404</v>
      </c>
      <c r="L195" s="455">
        <f t="shared" ca="1" si="3"/>
        <v>1484699.9006729033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1484699.9006729033</v>
      </c>
      <c r="J196" s="455">
        <f t="array" ref="J196">IFERROR(INDEX('Retirement Calculator'!J:J,MATCH('Isaac 401k'!N196,'Retirement Calculator'!A:A,0),0),0)</f>
        <v>7863.2184191855868</v>
      </c>
      <c r="K196" s="455">
        <f t="shared" ca="1" si="2"/>
        <v>6153.4861760571566</v>
      </c>
      <c r="L196" s="455">
        <f t="shared" ca="1" si="3"/>
        <v>1482990.1684297749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1482990.1684297749</v>
      </c>
      <c r="J197" s="455">
        <f t="array" ref="J197">IFERROR(INDEX('Retirement Calculator'!J:J,MATCH('Isaac 401k'!N197,'Retirement Calculator'!A:A,0),0),0)</f>
        <v>7863.2184191855868</v>
      </c>
      <c r="K197" s="455">
        <f t="shared" ca="1" si="2"/>
        <v>6146.3622917107887</v>
      </c>
      <c r="L197" s="455">
        <f t="shared" ca="1" si="3"/>
        <v>1481273.3123023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1481273.3123023</v>
      </c>
      <c r="J198" s="455">
        <f t="array" ref="J198">IFERROR(INDEX('Retirement Calculator'!J:J,MATCH('Isaac 401k'!N198,'Retirement Calculator'!A:A,0),0),0)</f>
        <v>7863.2184191855868</v>
      </c>
      <c r="K198" s="455">
        <f t="shared" ca="1" si="2"/>
        <v>6139.2087245129769</v>
      </c>
      <c r="L198" s="455">
        <f t="shared" ca="1" si="3"/>
        <v>1479549.3026076274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1479549.3026076274</v>
      </c>
      <c r="J199" s="455">
        <f t="array" ref="J199">IFERROR(INDEX('Retirement Calculator'!J:J,MATCH('Isaac 401k'!N199,'Retirement Calculator'!A:A,0),0),0)</f>
        <v>7863.2184191855868</v>
      </c>
      <c r="K199" s="455">
        <f t="shared" ca="1" si="2"/>
        <v>6132.0253507851739</v>
      </c>
      <c r="L199" s="455">
        <f t="shared" ca="1" si="3"/>
        <v>1477818.1095392269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1477818.1095392269</v>
      </c>
      <c r="J200" s="455">
        <f t="array" ref="J200">IFERROR(INDEX('Retirement Calculator'!J:J,MATCH('Isaac 401k'!N200,'Retirement Calculator'!A:A,0),0),0)</f>
        <v>7863.2184191855868</v>
      </c>
      <c r="K200" s="455">
        <f t="shared" ca="1" si="2"/>
        <v>6124.8120463335054</v>
      </c>
      <c r="L200" s="455">
        <f t="shared" ca="1" si="3"/>
        <v>1476079.7031663747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1476079.7031663747</v>
      </c>
      <c r="J201" s="455">
        <f t="array" ref="J201">IFERROR(INDEX('Retirement Calculator'!J:J,MATCH('Isaac 401k'!N201,'Retirement Calculator'!A:A,0),0),0)</f>
        <v>7863.2184191855868</v>
      </c>
      <c r="K201" s="455">
        <f t="shared" ca="1" si="2"/>
        <v>6117.5686864466215</v>
      </c>
      <c r="L201" s="455">
        <f t="shared" ca="1" si="3"/>
        <v>1474334.0534336357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1474334.0534336357</v>
      </c>
      <c r="J202" s="455">
        <f t="array" ref="J202">IFERROR(INDEX('Retirement Calculator'!J:J,MATCH('Isaac 401k'!N202,'Retirement Calculator'!A:A,0),0),0)</f>
        <v>7863.2184191855868</v>
      </c>
      <c r="K202" s="455">
        <f t="shared" ca="1" si="2"/>
        <v>6110.2951458935422</v>
      </c>
      <c r="L202" s="455">
        <f t="shared" ca="1" si="3"/>
        <v>1472581.1301603436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1472581.1301603436</v>
      </c>
      <c r="J203" s="455">
        <f t="array" ref="J203">IFERROR(INDEX('Retirement Calculator'!J:J,MATCH('Isaac 401k'!N203,'Retirement Calculator'!A:A,0),0),0)</f>
        <v>7863.2184191855868</v>
      </c>
      <c r="K203" s="455">
        <f t="shared" ca="1" si="2"/>
        <v>6102.9912989214918</v>
      </c>
      <c r="L203" s="455">
        <f t="shared" ca="1" si="3"/>
        <v>1470820.9030400794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1470820.9030400794</v>
      </c>
      <c r="J204" s="455">
        <f t="array" ref="J204">IFERROR(INDEX('Retirement Calculator'!J:J,MATCH('Isaac 401k'!N204,'Retirement Calculator'!A:A,0),0),0)</f>
        <v>7863.2184191855868</v>
      </c>
      <c r="K204" s="455">
        <f t="shared" ca="1" si="2"/>
        <v>6095.6570192537238</v>
      </c>
      <c r="L204" s="455">
        <f t="shared" ca="1" si="3"/>
        <v>1469053.3416401476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1469053.3416401476</v>
      </c>
      <c r="J205" s="455">
        <f t="array" ref="J205">IFERROR(INDEX('Retirement Calculator'!J:J,MATCH('Isaac 401k'!N205,'Retirement Calculator'!A:A,0),0),0)</f>
        <v>7863.2184191855868</v>
      </c>
      <c r="K205" s="455">
        <f t="shared" ca="1" si="2"/>
        <v>6088.2921800873419</v>
      </c>
      <c r="L205" s="455">
        <f t="shared" ca="1" si="3"/>
        <v>1467278.4154010494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1467278.4154010494</v>
      </c>
      <c r="J206" s="455">
        <f t="array" ref="J206">IFERROR(INDEX('Retirement Calculator'!J:J,MATCH('Isaac 401k'!N206,'Retirement Calculator'!A:A,0),0),0)</f>
        <v>7863.2184191855868</v>
      </c>
      <c r="K206" s="455">
        <f t="shared" ca="1" si="2"/>
        <v>6080.8966540910988</v>
      </c>
      <c r="L206" s="455">
        <f t="shared" ca="1" si="3"/>
        <v>1465496.0936359549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1465496.0936359549</v>
      </c>
      <c r="J207" s="455">
        <f t="array" ref="J207">IFERROR(INDEX('Retirement Calculator'!J:J,MATCH('Isaac 401k'!N207,'Retirement Calculator'!A:A,0),0),0)</f>
        <v>7863.2184191855868</v>
      </c>
      <c r="K207" s="455">
        <f t="shared" ca="1" si="2"/>
        <v>6073.4703134032052</v>
      </c>
      <c r="L207" s="455">
        <f t="shared" ca="1" si="3"/>
        <v>1463706.3455301726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1463706.3455301726</v>
      </c>
      <c r="J208" s="455">
        <f t="array" ref="J208">IFERROR(INDEX('Retirement Calculator'!J:J,MATCH('Isaac 401k'!N208,'Retirement Calculator'!A:A,0),0),0)</f>
        <v>7863.2184191855868</v>
      </c>
      <c r="K208" s="455">
        <f t="shared" ca="1" si="2"/>
        <v>6066.0130296291127</v>
      </c>
      <c r="L208" s="455">
        <f t="shared" ca="1" si="3"/>
        <v>1461909.1401406161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1461909.1401406161</v>
      </c>
      <c r="J209" s="455">
        <f t="array" ref="J209">IFERROR(INDEX('Retirement Calculator'!J:J,MATCH('Isaac 401k'!N209,'Retirement Calculator'!A:A,0),0),0)</f>
        <v>7863.2184191855868</v>
      </c>
      <c r="K209" s="455">
        <f t="shared" ca="1" si="2"/>
        <v>6058.5246738392934</v>
      </c>
      <c r="L209" s="455">
        <f t="shared" ca="1" si="3"/>
        <v>1460104.4463952698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1460104.4463952698</v>
      </c>
      <c r="J210" s="455">
        <f t="array" ref="J210">IFERROR(INDEX('Retirement Calculator'!J:J,MATCH('Isaac 401k'!N210,'Retirement Calculator'!A:A,0),0),0)</f>
        <v>7863.2184191855868</v>
      </c>
      <c r="K210" s="455">
        <f t="shared" ca="1" si="2"/>
        <v>6051.0051165670175</v>
      </c>
      <c r="L210" s="455">
        <f t="shared" ca="1" si="3"/>
        <v>1458292.2330926512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1458292.2330926512</v>
      </c>
      <c r="J211" s="455">
        <f t="array" ref="J211">IFERROR(INDEX('Retirement Calculator'!J:J,MATCH('Isaac 401k'!N211,'Retirement Calculator'!A:A,0),0),0)</f>
        <v>7863.2184191855868</v>
      </c>
      <c r="K211" s="455">
        <f t="shared" ca="1" si="2"/>
        <v>6043.4542278061072</v>
      </c>
      <c r="L211" s="455">
        <f t="shared" ca="1" si="3"/>
        <v>1456472.4689012717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1456472.4689012717</v>
      </c>
      <c r="J212" s="455">
        <f t="array" ref="J212">IFERROR(INDEX('Retirement Calculator'!J:J,MATCH('Isaac 401k'!N212,'Retirement Calculator'!A:A,0),0),0)</f>
        <v>7863.2184191855868</v>
      </c>
      <c r="K212" s="455">
        <f t="shared" ca="1" si="2"/>
        <v>6035.8718770086916</v>
      </c>
      <c r="L212" s="455">
        <f t="shared" ca="1" si="3"/>
        <v>1454645.1223590947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1454645.1223590947</v>
      </c>
      <c r="J213" s="455">
        <f t="array" ref="J213">IFERROR(INDEX('Retirement Calculator'!J:J,MATCH('Isaac 401k'!N213,'Retirement Calculator'!A:A,0),0),0)</f>
        <v>7863.2184191855868</v>
      </c>
      <c r="K213" s="455">
        <f t="shared" ca="1" si="2"/>
        <v>6028.257933082954</v>
      </c>
      <c r="L213" s="455">
        <f t="shared" ca="1" si="3"/>
        <v>1452810.1618729921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1452810.1618729921</v>
      </c>
      <c r="J214" s="455">
        <f t="array" ref="J214">IFERROR(INDEX('Retirement Calculator'!J:J,MATCH('Isaac 401k'!N214,'Retirement Calculator'!A:A,0),0),0)</f>
        <v>7863.2184191855868</v>
      </c>
      <c r="K214" s="455">
        <f t="shared" ca="1" si="2"/>
        <v>6020.6122643908602</v>
      </c>
      <c r="L214" s="455">
        <f t="shared" ca="1" si="3"/>
        <v>1450967.5557181973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1450967.5557181973</v>
      </c>
      <c r="J215" s="455">
        <f t="array" ref="J215">IFERROR(INDEX('Retirement Calculator'!J:J,MATCH('Isaac 401k'!N215,'Retirement Calculator'!A:A,0),0),0)</f>
        <v>7863.2184191855868</v>
      </c>
      <c r="K215" s="455">
        <f t="shared" ca="1" si="2"/>
        <v>6012.934738745882</v>
      </c>
      <c r="L215" s="455">
        <f t="shared" ca="1" si="3"/>
        <v>1449117.2720377576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1449117.2720377576</v>
      </c>
      <c r="J216" s="455">
        <f t="array" ref="J216">IFERROR(INDEX('Retirement Calculator'!J:J,MATCH('Isaac 401k'!N216,'Retirement Calculator'!A:A,0),0),0)</f>
        <v>7863.2184191855868</v>
      </c>
      <c r="K216" s="455">
        <f t="shared" ca="1" si="2"/>
        <v>6005.2252234107164</v>
      </c>
      <c r="L216" s="455">
        <f t="shared" ca="1" si="3"/>
        <v>1447259.2788419826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1447259.2788419826</v>
      </c>
      <c r="J217" s="455">
        <f t="array" ref="J217">IFERROR(INDEX('Retirement Calculator'!J:J,MATCH('Isaac 401k'!N217,'Retirement Calculator'!A:A,0),0),0)</f>
        <v>7863.2184191855868</v>
      </c>
      <c r="K217" s="455">
        <f t="shared" ca="1" si="2"/>
        <v>5997.4835850949876</v>
      </c>
      <c r="L217" s="455">
        <f t="shared" ca="1" si="3"/>
        <v>1445393.544007892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1445393.544007892</v>
      </c>
      <c r="J218" s="455">
        <f t="array" ref="J218">IFERROR(INDEX('Retirement Calculator'!J:J,MATCH('Isaac 401k'!N218,'Retirement Calculator'!A:A,0),0),0)</f>
        <v>7863.2184191855868</v>
      </c>
      <c r="K218" s="455">
        <f t="shared" ca="1" si="2"/>
        <v>5989.7096899529433</v>
      </c>
      <c r="L218" s="455">
        <f t="shared" ca="1" si="3"/>
        <v>1443520.0352786593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1443520.0352786593</v>
      </c>
      <c r="J219" s="455">
        <f t="array" ref="J219">IFERROR(INDEX('Retirement Calculator'!J:J,MATCH('Isaac 401k'!N219,'Retirement Calculator'!A:A,0),0),0)</f>
        <v>7863.2184191855868</v>
      </c>
      <c r="K219" s="455">
        <f t="shared" ca="1" si="2"/>
        <v>5981.9034035811401</v>
      </c>
      <c r="L219" s="455">
        <f t="shared" ca="1" si="3"/>
        <v>1441638.7202630548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1441638.7202630548</v>
      </c>
      <c r="J220" s="455">
        <f t="array" ref="J220">IFERROR(INDEX('Retirement Calculator'!J:J,MATCH('Isaac 401k'!N220,'Retirement Calculator'!A:A,0),0),0)</f>
        <v>7863.2184191855868</v>
      </c>
      <c r="K220" s="455">
        <f t="shared" ca="1" si="2"/>
        <v>5974.064591016122</v>
      </c>
      <c r="L220" s="455">
        <f t="shared" ca="1" si="3"/>
        <v>1439749.5664348854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1439749.5664348854</v>
      </c>
      <c r="J221" s="455">
        <f t="array" ref="J221">IFERROR(INDEX('Retirement Calculator'!J:J,MATCH('Isaac 401k'!N221,'Retirement Calculator'!A:A,0),0),0)</f>
        <v>7863.2184191855868</v>
      </c>
      <c r="K221" s="455">
        <f t="shared" ca="1" si="2"/>
        <v>5966.1931167320827</v>
      </c>
      <c r="L221" s="455">
        <f t="shared" ca="1" si="3"/>
        <v>1437852.5411324319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1437852.5411324319</v>
      </c>
      <c r="J222" s="455">
        <f t="array" ref="J222">IFERROR(INDEX('Retirement Calculator'!J:J,MATCH('Isaac 401k'!N222,'Retirement Calculator'!A:A,0),0),0)</f>
        <v>7863.2184191855868</v>
      </c>
      <c r="K222" s="455">
        <f t="shared" ca="1" si="2"/>
        <v>5958.2888446385259</v>
      </c>
      <c r="L222" s="455">
        <f t="shared" ca="1" si="3"/>
        <v>1435947.6115578848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1435947.6115578848</v>
      </c>
      <c r="J223" s="455">
        <f t="array" ref="J223">IFERROR(INDEX('Retirement Calculator'!J:J,MATCH('Isaac 401k'!N223,'Retirement Calculator'!A:A,0),0),0)</f>
        <v>7863.2184191855868</v>
      </c>
      <c r="K223" s="455">
        <f t="shared" ca="1" si="2"/>
        <v>5950.3516380779138</v>
      </c>
      <c r="L223" s="455">
        <f t="shared" ca="1" si="3"/>
        <v>1434034.7447767772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1434034.7447767772</v>
      </c>
      <c r="J224" s="455">
        <f t="array" ref="J224">IFERROR(INDEX('Retirement Calculator'!J:J,MATCH('Isaac 401k'!N224,'Retirement Calculator'!A:A,0),0),0)</f>
        <v>7863.2184191855868</v>
      </c>
      <c r="K224" s="455">
        <f t="shared" ca="1" si="2"/>
        <v>5942.3813598232982</v>
      </c>
      <c r="L224" s="455">
        <f t="shared" ca="1" si="3"/>
        <v>1432113.9077174149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1432113.9077174149</v>
      </c>
      <c r="J225" s="455">
        <f t="array" ref="J225">IFERROR(INDEX('Retirement Calculator'!J:J,MATCH('Isaac 401k'!N225,'Retirement Calculator'!A:A,0),0),0)</f>
        <v>7863.2184191855868</v>
      </c>
      <c r="K225" s="455">
        <f t="shared" ca="1" si="2"/>
        <v>5934.3778720759556</v>
      </c>
      <c r="L225" s="455">
        <f t="shared" ca="1" si="3"/>
        <v>1430185.0671703052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1430185.0671703052</v>
      </c>
      <c r="J226" s="455">
        <f t="array" ref="J226">IFERROR(INDEX('Retirement Calculator'!J:J,MATCH('Isaac 401k'!N226,'Retirement Calculator'!A:A,0),0),0)</f>
        <v>7863.2184191855868</v>
      </c>
      <c r="K226" s="455">
        <f t="shared" ca="1" si="2"/>
        <v>5926.3410364629981</v>
      </c>
      <c r="L226" s="455">
        <f t="shared" ca="1" si="3"/>
        <v>1428248.1897875825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1428248.1897875825</v>
      </c>
      <c r="J227" s="455">
        <f t="array" ref="J227">IFERROR(INDEX('Retirement Calculator'!J:J,MATCH('Isaac 401k'!N227,'Retirement Calculator'!A:A,0),0),0)</f>
        <v>7863.2184191855868</v>
      </c>
      <c r="K227" s="455">
        <f t="shared" ca="1" si="2"/>
        <v>5918.2707140349867</v>
      </c>
      <c r="L227" s="455">
        <f t="shared" ca="1" si="3"/>
        <v>1426303.2420824319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1426303.2420824319</v>
      </c>
      <c r="J228" s="455">
        <f t="array" ref="J228">IFERROR(INDEX('Retirement Calculator'!J:J,MATCH('Isaac 401k'!N228,'Retirement Calculator'!A:A,0),0),0)</f>
        <v>7863.2184191855868</v>
      </c>
      <c r="K228" s="455">
        <f t="shared" ca="1" si="2"/>
        <v>5910.166765263526</v>
      </c>
      <c r="L228" s="455">
        <f t="shared" ca="1" si="3"/>
        <v>1424350.1904285098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1424350.1904285098</v>
      </c>
      <c r="J229" s="455">
        <f t="array" ref="J229">IFERROR(INDEX('Retirement Calculator'!J:J,MATCH('Isaac 401k'!N229,'Retirement Calculator'!A:A,0),0),0)</f>
        <v>7863.2184191855868</v>
      </c>
      <c r="K229" s="455">
        <f t="shared" ca="1" si="2"/>
        <v>5902.029050038851</v>
      </c>
      <c r="L229" s="455">
        <f t="shared" ca="1" si="3"/>
        <v>1422389.0010593631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1422389.0010593631</v>
      </c>
      <c r="J230" s="455">
        <f t="array" ref="J230">IFERROR(INDEX('Retirement Calculator'!J:J,MATCH('Isaac 401k'!N230,'Retirement Calculator'!A:A,0),0),0)</f>
        <v>7863.2184191855868</v>
      </c>
      <c r="K230" s="455">
        <f t="shared" ca="1" si="2"/>
        <v>5893.8574276674062</v>
      </c>
      <c r="L230" s="455">
        <f t="shared" ca="1" si="3"/>
        <v>1420419.6400678449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1420419.6400678449</v>
      </c>
      <c r="J231" s="455">
        <f t="array" ref="J231">IFERROR(INDEX('Retirement Calculator'!J:J,MATCH('Isaac 401k'!N231,'Retirement Calculator'!A:A,0),0),0)</f>
        <v>7863.2184191855868</v>
      </c>
      <c r="K231" s="455">
        <f t="shared" ca="1" si="2"/>
        <v>5885.6517568694135</v>
      </c>
      <c r="L231" s="455">
        <f t="shared" ca="1" si="3"/>
        <v>1418442.0734055287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1418442.0734055287</v>
      </c>
      <c r="J232" s="455">
        <f t="array" ref="J232">IFERROR(INDEX('Retirement Calculator'!J:J,MATCH('Isaac 401k'!N232,'Retirement Calculator'!A:A,0),0),0)</f>
        <v>7863.2184191855868</v>
      </c>
      <c r="K232" s="455">
        <f t="shared" ca="1" si="2"/>
        <v>5877.4118957764294</v>
      </c>
      <c r="L232" s="455">
        <f t="shared" ca="1" si="3"/>
        <v>1416456.2668821195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1416456.2668821195</v>
      </c>
      <c r="J233" s="455">
        <f t="array" ref="J233">IFERROR(INDEX('Retirement Calculator'!J:J,MATCH('Isaac 401k'!N233,'Retirement Calculator'!A:A,0),0),0)</f>
        <v>7863.2184191855868</v>
      </c>
      <c r="K233" s="455">
        <f t="shared" ca="1" si="2"/>
        <v>5869.1377019288911</v>
      </c>
      <c r="L233" s="455">
        <f t="shared" ca="1" si="3"/>
        <v>1414462.1861648627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1414462.1861648627</v>
      </c>
      <c r="J234" s="455">
        <f t="array" ref="J234">IFERROR(INDEX('Retirement Calculator'!J:J,MATCH('Isaac 401k'!N234,'Retirement Calculator'!A:A,0),0),0)</f>
        <v>7863.2184191855868</v>
      </c>
      <c r="K234" s="455">
        <f t="shared" ca="1" si="2"/>
        <v>5860.8290322736548</v>
      </c>
      <c r="L234" s="455">
        <f t="shared" ca="1" si="3"/>
        <v>1412459.7967779508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1412459.7967779508</v>
      </c>
      <c r="J235" s="455">
        <f t="array" ref="J235">IFERROR(INDEX('Retirement Calculator'!J:J,MATCH('Isaac 401k'!N235,'Retirement Calculator'!A:A,0),0),0)</f>
        <v>7863.2184191855868</v>
      </c>
      <c r="K235" s="455">
        <f t="shared" ca="1" si="2"/>
        <v>5852.4857431615219</v>
      </c>
      <c r="L235" s="455">
        <f t="shared" ca="1" si="3"/>
        <v>1410449.0641019267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1410449.0641019267</v>
      </c>
      <c r="J236" s="455">
        <f t="array" ref="J236">IFERROR(INDEX('Retirement Calculator'!J:J,MATCH('Isaac 401k'!N236,'Retirement Calculator'!A:A,0),0),0)</f>
        <v>7863.2184191855868</v>
      </c>
      <c r="K236" s="455">
        <f t="shared" ca="1" si="2"/>
        <v>5844.1076903447547</v>
      </c>
      <c r="L236" s="455">
        <f t="shared" ca="1" si="3"/>
        <v>1408429.9533730859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1408429.9533730859</v>
      </c>
      <c r="J237" s="455">
        <f t="array" ref="J237">IFERROR(INDEX('Retirement Calculator'!J:J,MATCH('Isaac 401k'!N237,'Retirement Calculator'!A:A,0),0),0)</f>
        <v>7863.2184191855868</v>
      </c>
      <c r="K237" s="455">
        <f t="shared" ca="1" si="2"/>
        <v>5835.6947289745849</v>
      </c>
      <c r="L237" s="455">
        <f t="shared" ca="1" si="3"/>
        <v>1406402.4296828748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1406402.4296828748</v>
      </c>
      <c r="J238" s="455">
        <f t="array" ref="J238">IFERROR(INDEX('Retirement Calculator'!J:J,MATCH('Isaac 401k'!N238,'Retirement Calculator'!A:A,0),0),0)</f>
        <v>7863.2184191855868</v>
      </c>
      <c r="K238" s="455">
        <f t="shared" ca="1" si="2"/>
        <v>5827.2467135987054</v>
      </c>
      <c r="L238" s="455">
        <f t="shared" ca="1" si="3"/>
        <v>1404366.4579772879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1404366.4579772879</v>
      </c>
      <c r="J239" s="455">
        <f t="array" ref="J239">IFERROR(INDEX('Retirement Calculator'!J:J,MATCH('Isaac 401k'!N239,'Retirement Calculator'!A:A,0),0),0)</f>
        <v>7863.2184191855868</v>
      </c>
      <c r="K239" s="455">
        <f t="shared" ca="1" si="2"/>
        <v>5818.7634981587598</v>
      </c>
      <c r="L239" s="455">
        <f t="shared" ca="1" si="3"/>
        <v>1402322.003056261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1402322.003056261</v>
      </c>
      <c r="J240" s="455">
        <f t="array" ref="J240">IFERROR(INDEX('Retirement Calculator'!J:J,MATCH('Isaac 401k'!N240,'Retirement Calculator'!A:A,0),0),0)</f>
        <v>7863.2184191855868</v>
      </c>
      <c r="K240" s="455">
        <f t="shared" ca="1" si="2"/>
        <v>5810.2449359878137</v>
      </c>
      <c r="L240" s="455">
        <f t="shared" ca="1" si="3"/>
        <v>1400269.0295730631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1400269.0295730631</v>
      </c>
      <c r="J241" s="455">
        <f t="array" ref="J241">IFERROR(INDEX('Retirement Calculator'!J:J,MATCH('Isaac 401k'!N241,'Retirement Calculator'!A:A,0),0),0)</f>
        <v>7863.2184191855868</v>
      </c>
      <c r="K241" s="455">
        <f t="shared" ca="1" si="2"/>
        <v>5801.690879807823</v>
      </c>
      <c r="L241" s="455">
        <f t="shared" ca="1" si="3"/>
        <v>1398207.5020336853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1398207.5020336853</v>
      </c>
      <c r="J242" s="455">
        <f t="array" ref="J242">IFERROR(INDEX('Retirement Calculator'!J:J,MATCH('Isaac 401k'!N242,'Retirement Calculator'!A:A,0),0),0)</f>
        <v>7863.2184191855868</v>
      </c>
      <c r="K242" s="455">
        <f t="shared" ca="1" si="2"/>
        <v>5793.1011817270819</v>
      </c>
      <c r="L242" s="455">
        <f t="shared" ca="1" si="3"/>
        <v>1396137.3847962269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1396137.3847962269</v>
      </c>
      <c r="J243" s="455">
        <f t="array" ref="J243">IFERROR(INDEX('Retirement Calculator'!J:J,MATCH('Isaac 401k'!N243,'Retirement Calculator'!A:A,0),0),0)</f>
        <v>7863.2184191855868</v>
      </c>
      <c r="K243" s="455">
        <f t="shared" ca="1" si="2"/>
        <v>5784.4756932376722</v>
      </c>
      <c r="L243" s="455">
        <f t="shared" ca="1" si="3"/>
        <v>1394058.642070279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1394058.642070279</v>
      </c>
      <c r="J244" s="455">
        <f t="array" ref="J244">IFERROR(INDEX('Retirement Calculator'!J:J,MATCH('Isaac 401k'!N244,'Retirement Calculator'!A:A,0),0),0)</f>
        <v>7863.2184191855868</v>
      </c>
      <c r="K244" s="455">
        <f t="shared" ca="1" si="2"/>
        <v>5775.814265212889</v>
      </c>
      <c r="L244" s="455">
        <f t="shared" ca="1" si="3"/>
        <v>1391971.2379163064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1391971.2379163064</v>
      </c>
      <c r="J245" s="455">
        <f t="array" ref="J245">IFERROR(INDEX('Retirement Calculator'!J:J,MATCH('Isaac 401k'!N245,'Retirement Calculator'!A:A,0),0),0)</f>
        <v>7863.2184191855868</v>
      </c>
      <c r="K245" s="455">
        <f t="shared" ca="1" si="2"/>
        <v>5767.1167479046699</v>
      </c>
      <c r="L245" s="455">
        <f t="shared" ca="1" si="3"/>
        <v>1389875.1362450253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1389875.1362450253</v>
      </c>
      <c r="J246" s="455">
        <f t="array" ref="J246">IFERROR(INDEX('Retirement Calculator'!J:J,MATCH('Isaac 401k'!N246,'Retirement Calculator'!A:A,0),0),0)</f>
        <v>7863.2184191855868</v>
      </c>
      <c r="K246" s="455">
        <f t="shared" ca="1" si="2"/>
        <v>5758.3829909409988</v>
      </c>
      <c r="L246" s="455">
        <f t="shared" ca="1" si="3"/>
        <v>1387770.3008167807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1387770.3008167807</v>
      </c>
      <c r="J247" s="455">
        <f t="array" ref="J247">IFERROR(INDEX('Retirement Calculator'!J:J,MATCH('Isaac 401k'!N247,'Retirement Calculator'!A:A,0),0),0)</f>
        <v>7863.2184191855868</v>
      </c>
      <c r="K247" s="455">
        <f t="shared" ca="1" si="2"/>
        <v>5749.6128433233125</v>
      </c>
      <c r="L247" s="455">
        <f t="shared" ca="1" si="3"/>
        <v>1385656.6952409183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1385656.6952409183</v>
      </c>
      <c r="J248" s="455">
        <f t="array" ref="J248">IFERROR(INDEX('Retirement Calculator'!J:J,MATCH('Isaac 401k'!N248,'Retirement Calculator'!A:A,0),0),0)</f>
        <v>7863.2184191855868</v>
      </c>
      <c r="K248" s="455">
        <f t="shared" ca="1" si="2"/>
        <v>5740.8061534238859</v>
      </c>
      <c r="L248" s="455">
        <f t="shared" ca="1" si="3"/>
        <v>1383534.2829751566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1383534.2829751566</v>
      </c>
      <c r="J249" s="455">
        <f t="array" ref="J249">IFERROR(INDEX('Retirement Calculator'!J:J,MATCH('Isaac 401k'!N249,'Retirement Calculator'!A:A,0),0),0)</f>
        <v>7863.2184191855868</v>
      </c>
      <c r="K249" s="455">
        <f t="shared" ca="1" si="2"/>
        <v>5731.9627689832123</v>
      </c>
      <c r="L249" s="455">
        <f t="shared" ca="1" si="3"/>
        <v>1381403.027324954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1381403.027324954</v>
      </c>
      <c r="J250" s="455">
        <f t="array" ref="J250">IFERROR(INDEX('Retirement Calculator'!J:J,MATCH('Isaac 401k'!N250,'Retirement Calculator'!A:A,0),0),0)</f>
        <v>7863.2184191855868</v>
      </c>
      <c r="K250" s="455">
        <f t="shared" ca="1" si="2"/>
        <v>5723.0825371073688</v>
      </c>
      <c r="L250" s="455">
        <f t="shared" ca="1" si="3"/>
        <v>1379262.8914428758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1379262.8914428758</v>
      </c>
      <c r="J251" s="455">
        <f t="array" ref="J251">IFERROR(INDEX('Retirement Calculator'!J:J,MATCH('Isaac 401k'!N251,'Retirement Calculator'!A:A,0),0),0)</f>
        <v>7863.2184191855868</v>
      </c>
      <c r="K251" s="455">
        <f t="shared" ca="1" si="2"/>
        <v>5714.1653042653761</v>
      </c>
      <c r="L251" s="455">
        <f t="shared" ca="1" si="3"/>
        <v>1377113.8383279557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1377113.8383279557</v>
      </c>
      <c r="J252" s="455">
        <f t="array" ref="J252">IFERROR(INDEX('Retirement Calculator'!J:J,MATCH('Isaac 401k'!N252,'Retirement Calculator'!A:A,0),0),0)</f>
        <v>7863.2184191855868</v>
      </c>
      <c r="K252" s="455">
        <f t="shared" ca="1" si="2"/>
        <v>5705.2109162865418</v>
      </c>
      <c r="L252" s="455">
        <f t="shared" ca="1" si="3"/>
        <v>1374955.8308250566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1374955.8308250566</v>
      </c>
      <c r="J253" s="455">
        <f t="array" ref="J253">IFERROR(INDEX('Retirement Calculator'!J:J,MATCH('Isaac 401k'!N253,'Retirement Calculator'!A:A,0),0),0)</f>
        <v>7863.2184191855868</v>
      </c>
      <c r="K253" s="455">
        <f t="shared" ca="1" si="2"/>
        <v>5696.2192183577963</v>
      </c>
      <c r="L253" s="455">
        <f t="shared" ca="1" si="3"/>
        <v>1372788.8316242287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1372788.8316242287</v>
      </c>
      <c r="J254" s="455">
        <f t="array" ref="J254">IFERROR(INDEX('Retirement Calculator'!J:J,MATCH('Isaac 401k'!N254,'Retirement Calculator'!A:A,0),0),0)</f>
        <v>7863.2184191855868</v>
      </c>
      <c r="K254" s="455">
        <f t="shared" ca="1" si="2"/>
        <v>5687.190055021013</v>
      </c>
      <c r="L254" s="455">
        <f t="shared" ca="1" si="3"/>
        <v>1370612.8032600642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1370612.8032600642</v>
      </c>
      <c r="J255" s="455">
        <f t="array" ref="J255">IFERROR(INDEX('Retirement Calculator'!J:J,MATCH('Isaac 401k'!N255,'Retirement Calculator'!A:A,0),0),0)</f>
        <v>7863.2184191855868</v>
      </c>
      <c r="K255" s="455">
        <f t="shared" ca="1" si="2"/>
        <v>5678.1232701703275</v>
      </c>
      <c r="L255" s="455">
        <f t="shared" ca="1" si="3"/>
        <v>1368427.7081110489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1368427.7081110489</v>
      </c>
      <c r="J256" s="455">
        <f t="array" ref="J256">IFERROR(INDEX('Retirement Calculator'!J:J,MATCH('Isaac 401k'!N256,'Retirement Calculator'!A:A,0),0),0)</f>
        <v>7863.2184191855868</v>
      </c>
      <c r="K256" s="455">
        <f t="shared" ca="1" si="2"/>
        <v>5669.0187070494303</v>
      </c>
      <c r="L256" s="455">
        <f t="shared" ca="1" si="3"/>
        <v>1366233.5083989128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1366233.5083989128</v>
      </c>
      <c r="J257" s="455">
        <f t="array" ref="J257">IFERROR(INDEX('Retirement Calculator'!J:J,MATCH('Isaac 401k'!N257,'Retirement Calculator'!A:A,0),0),0)</f>
        <v>7863.2184191855868</v>
      </c>
      <c r="K257" s="455">
        <f t="shared" ca="1" si="2"/>
        <v>5659.8762082488638</v>
      </c>
      <c r="L257" s="455">
        <f t="shared" ca="1" si="3"/>
        <v>1364030.166187976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1364030.166187976</v>
      </c>
      <c r="J258" s="455">
        <f t="array" ref="J258">IFERROR(INDEX('Retirement Calculator'!J:J,MATCH('Isaac 401k'!N258,'Retirement Calculator'!A:A,0),0),0)</f>
        <v>7863.2184191855868</v>
      </c>
      <c r="K258" s="455">
        <f t="shared" ca="1" si="2"/>
        <v>5650.6956157032937</v>
      </c>
      <c r="L258" s="455">
        <f t="shared" ca="1" si="3"/>
        <v>1361817.6433844937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1361817.6433844937</v>
      </c>
      <c r="J259" s="455">
        <f t="array" ref="J259">IFERROR(INDEX('Retirement Calculator'!J:J,MATCH('Isaac 401k'!N259,'Retirement Calculator'!A:A,0),0),0)</f>
        <v>7863.2184191855868</v>
      </c>
      <c r="K259" s="455">
        <f t="shared" ca="1" si="2"/>
        <v>5641.4767706887833</v>
      </c>
      <c r="L259" s="455">
        <f t="shared" ca="1" si="3"/>
        <v>1359595.9017359968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1359595.9017359968</v>
      </c>
      <c r="J260" s="455">
        <f t="array" ref="J260">IFERROR(INDEX('Retirement Calculator'!J:J,MATCH('Isaac 401k'!N260,'Retirement Calculator'!A:A,0),0),0)</f>
        <v>7863.2184191855868</v>
      </c>
      <c r="K260" s="455">
        <f t="shared" ca="1" si="2"/>
        <v>5632.2195138200468</v>
      </c>
      <c r="L260" s="455">
        <f t="shared" ca="1" si="3"/>
        <v>1357364.9028306312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1357364.9028306312</v>
      </c>
      <c r="J261" s="455">
        <f t="array" ref="J261">IFERROR(INDEX('Retirement Calculator'!J:J,MATCH('Isaac 401k'!N261,'Retirement Calculator'!A:A,0),0),0)</f>
        <v>7863.2184191855868</v>
      </c>
      <c r="K261" s="455">
        <f t="shared" ca="1" si="2"/>
        <v>5622.92368504769</v>
      </c>
      <c r="L261" s="455">
        <f t="shared" ca="1" si="3"/>
        <v>1355124.6080964934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1355124.6080964934</v>
      </c>
      <c r="J262" s="455">
        <f t="array" ref="J262">IFERROR(INDEX('Retirement Calculator'!J:J,MATCH('Isaac 401k'!N262,'Retirement Calculator'!A:A,0),0),0)</f>
        <v>7863.2184191855868</v>
      </c>
      <c r="K262" s="455">
        <f t="shared" ca="1" si="2"/>
        <v>5613.5891236554489</v>
      </c>
      <c r="L262" s="455">
        <f t="shared" ca="1" si="3"/>
        <v>1352874.9788009631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1352874.9788009631</v>
      </c>
      <c r="J263" s="455">
        <f t="array" ref="J263">IFERROR(INDEX('Retirement Calculator'!J:J,MATCH('Isaac 401k'!N263,'Retirement Calculator'!A:A,0),0),0)</f>
        <v>7863.2184191855868</v>
      </c>
      <c r="K263" s="455">
        <f t="shared" ref="K263:K517" ca="1" si="27">IPMT(M263/12,1,12,-I263+J263,,0)</f>
        <v>5604.2156682574059</v>
      </c>
      <c r="L263" s="455">
        <f t="shared" ref="L263:L517" ca="1" si="28">I263-J263+K263</f>
        <v>1350615.9760500349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1350615.9760500349</v>
      </c>
      <c r="J264" s="455">
        <f t="array" ref="J264">IFERROR(INDEX('Retirement Calculator'!J:J,MATCH('Isaac 401k'!N264,'Retirement Calculator'!A:A,0),0),0)</f>
        <v>7863.2184191855868</v>
      </c>
      <c r="K264" s="455">
        <f t="shared" ca="1" si="27"/>
        <v>5594.8031567952048</v>
      </c>
      <c r="L264" s="455">
        <f t="shared" ca="1" si="28"/>
        <v>1348347.5607876445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1348347.5607876445</v>
      </c>
      <c r="J265" s="455">
        <f t="array" ref="J265">IFERROR(INDEX('Retirement Calculator'!J:J,MATCH('Isaac 401k'!N265,'Retirement Calculator'!A:A,0),0),0)</f>
        <v>7863.2184191855868</v>
      </c>
      <c r="K265" s="455">
        <f t="shared" ca="1" si="27"/>
        <v>5585.3514265352451</v>
      </c>
      <c r="L265" s="455">
        <f t="shared" ca="1" si="28"/>
        <v>1346069.6937949941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1346069.6937949941</v>
      </c>
      <c r="J266" s="455">
        <f t="array" ref="J266">IFERROR(INDEX('Retirement Calculator'!J:J,MATCH('Isaac 401k'!N266,'Retirement Calculator'!A:A,0),0),0)</f>
        <v>7863.2184191855868</v>
      </c>
      <c r="K266" s="455">
        <f t="shared" ca="1" si="27"/>
        <v>5575.8603140658688</v>
      </c>
      <c r="L266" s="455">
        <f t="shared" ca="1" si="28"/>
        <v>1343782.3356898744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1343782.3356898744</v>
      </c>
      <c r="J267" s="455">
        <f t="array" ref="J267">IFERROR(INDEX('Retirement Calculator'!J:J,MATCH('Isaac 401k'!N267,'Retirement Calculator'!A:A,0),0),0)</f>
        <v>7863.2184191855868</v>
      </c>
      <c r="K267" s="455">
        <f t="shared" ca="1" si="27"/>
        <v>5566.3296552945367</v>
      </c>
      <c r="L267" s="455">
        <f t="shared" ca="1" si="28"/>
        <v>1341485.4469259833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1341485.4469259833</v>
      </c>
      <c r="J268" s="455">
        <f t="array" ref="J268">IFERROR(INDEX('Retirement Calculator'!J:J,MATCH('Isaac 401k'!N268,'Retirement Calculator'!A:A,0),0),0)</f>
        <v>7863.2184191855868</v>
      </c>
      <c r="K268" s="455">
        <f t="shared" ca="1" si="27"/>
        <v>5556.7592854449904</v>
      </c>
      <c r="L268" s="455">
        <f t="shared" ca="1" si="28"/>
        <v>1339178.9877922428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1339178.9877922428</v>
      </c>
      <c r="J269" s="455">
        <f t="array" ref="J269">IFERROR(INDEX('Retirement Calculator'!J:J,MATCH('Isaac 401k'!N269,'Retirement Calculator'!A:A,0),0),0)</f>
        <v>7863.2184191855868</v>
      </c>
      <c r="K269" s="455">
        <f t="shared" ca="1" si="27"/>
        <v>5547.149039054405</v>
      </c>
      <c r="L269" s="455">
        <f t="shared" ca="1" si="28"/>
        <v>1336862.9184121115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1336862.9184121115</v>
      </c>
      <c r="J270" s="455">
        <f t="array" ref="J270">IFERROR(INDEX('Retirement Calculator'!J:J,MATCH('Isaac 401k'!N270,'Retirement Calculator'!A:A,0),0),0)</f>
        <v>7863.2184191855868</v>
      </c>
      <c r="K270" s="455">
        <f t="shared" ca="1" si="27"/>
        <v>5537.4987499705239</v>
      </c>
      <c r="L270" s="455">
        <f t="shared" ca="1" si="28"/>
        <v>1334537.1987428963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1334537.1987428963</v>
      </c>
      <c r="J271" s="455">
        <f t="array" ref="J271">IFERROR(INDEX('Retirement Calculator'!J:J,MATCH('Isaac 401k'!N271,'Retirement Calculator'!A:A,0),0),0)</f>
        <v>7863.2184191855868</v>
      </c>
      <c r="K271" s="455">
        <f t="shared" ca="1" si="27"/>
        <v>5527.8082513487943</v>
      </c>
      <c r="L271" s="455">
        <f t="shared" ca="1" si="28"/>
        <v>1332201.7885750595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1332201.7885750595</v>
      </c>
      <c r="J272" s="455">
        <f t="array" ref="J272">IFERROR(INDEX('Retirement Calculator'!J:J,MATCH('Isaac 401k'!N272,'Retirement Calculator'!A:A,0),0),0)</f>
        <v>7863.2184191855868</v>
      </c>
      <c r="K272" s="455">
        <f t="shared" ca="1" si="27"/>
        <v>5518.0773756494746</v>
      </c>
      <c r="L272" s="455">
        <f t="shared" ca="1" si="28"/>
        <v>1329856.6475315234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1329856.6475315234</v>
      </c>
      <c r="J273" s="455">
        <f t="array" ref="J273">IFERROR(INDEX('Retirement Calculator'!J:J,MATCH('Isaac 401k'!N273,'Retirement Calculator'!A:A,0),0),0)</f>
        <v>7863.2184191855868</v>
      </c>
      <c r="K273" s="455">
        <f t="shared" ca="1" si="27"/>
        <v>5508.3059546347404</v>
      </c>
      <c r="L273" s="455">
        <f t="shared" ca="1" si="28"/>
        <v>1327501.7350669724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1327501.7350669724</v>
      </c>
      <c r="J274" s="455">
        <f t="array" ref="J274">IFERROR(INDEX('Retirement Calculator'!J:J,MATCH('Isaac 401k'!N274,'Retirement Calculator'!A:A,0),0),0)</f>
        <v>7863.2184191855868</v>
      </c>
      <c r="K274" s="455">
        <f t="shared" ca="1" si="27"/>
        <v>5498.4938193657781</v>
      </c>
      <c r="L274" s="455">
        <f t="shared" ca="1" si="28"/>
        <v>1325137.0104671526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1325137.0104671526</v>
      </c>
      <c r="J275" s="455">
        <f t="array" ref="J275">IFERROR(INDEX('Retirement Calculator'!J:J,MATCH('Isaac 401k'!N275,'Retirement Calculator'!A:A,0),0),0)</f>
        <v>7863.2184191855868</v>
      </c>
      <c r="K275" s="455">
        <f t="shared" ca="1" si="27"/>
        <v>5488.6408001998625</v>
      </c>
      <c r="L275" s="455">
        <f t="shared" ca="1" si="28"/>
        <v>1322762.4328481669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1322762.4328481669</v>
      </c>
      <c r="J276" s="455">
        <f t="array" ref="J276">IFERROR(INDEX('Retirement Calculator'!J:J,MATCH('Isaac 401k'!N276,'Retirement Calculator'!A:A,0),0),0)</f>
        <v>7863.2184191855868</v>
      </c>
      <c r="K276" s="455">
        <f t="shared" ca="1" si="27"/>
        <v>5478.7467267874217</v>
      </c>
      <c r="L276" s="455">
        <f t="shared" ca="1" si="28"/>
        <v>1320377.9611557687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1320377.9611557687</v>
      </c>
      <c r="J277" s="455">
        <f t="array" ref="J277">IFERROR(INDEX('Retirement Calculator'!J:J,MATCH('Isaac 401k'!N277,'Retirement Calculator'!A:A,0),0),0)</f>
        <v>7863.2184191855868</v>
      </c>
      <c r="K277" s="455">
        <f t="shared" ca="1" si="27"/>
        <v>5468.8114280690961</v>
      </c>
      <c r="L277" s="455">
        <f t="shared" ca="1" si="28"/>
        <v>1317983.5541646522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1317983.5541646522</v>
      </c>
      <c r="J278" s="455">
        <f t="array" ref="J278">IFERROR(INDEX('Retirement Calculator'!J:J,MATCH('Isaac 401k'!N278,'Retirement Calculator'!A:A,0),0),0)</f>
        <v>7863.2184191855868</v>
      </c>
      <c r="K278" s="455">
        <f t="shared" ca="1" si="27"/>
        <v>5458.8347322727777</v>
      </c>
      <c r="L278" s="455">
        <f t="shared" ca="1" si="28"/>
        <v>1315579.1704777393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1315579.1704777393</v>
      </c>
      <c r="J279" s="455">
        <f t="array" ref="J279">IFERROR(INDEX('Retirement Calculator'!J:J,MATCH('Isaac 401k'!N279,'Retirement Calculator'!A:A,0),0),0)</f>
        <v>7863.2184191855868</v>
      </c>
      <c r="K279" s="455">
        <f t="shared" ca="1" si="27"/>
        <v>5448.81646691064</v>
      </c>
      <c r="L279" s="455">
        <f t="shared" ca="1" si="28"/>
        <v>1313164.7685254642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1313164.7685254642</v>
      </c>
      <c r="J280" s="455">
        <f t="array" ref="J280">IFERROR(INDEX('Retirement Calculator'!J:J,MATCH('Isaac 401k'!N280,'Retirement Calculator'!A:A,0),0),0)</f>
        <v>7863.2184191855868</v>
      </c>
      <c r="K280" s="455">
        <f t="shared" ca="1" si="27"/>
        <v>5438.7564587761608</v>
      </c>
      <c r="L280" s="455">
        <f t="shared" ca="1" si="28"/>
        <v>1310740.3065650547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1310740.3065650547</v>
      </c>
      <c r="J281" s="455">
        <f t="array" ref="J281">IFERROR(INDEX('Retirement Calculator'!J:J,MATCH('Isaac 401k'!N281,'Retirement Calculator'!A:A,0),0),0)</f>
        <v>7863.2184191855868</v>
      </c>
      <c r="K281" s="455">
        <f t="shared" ca="1" si="27"/>
        <v>5428.6545339411214</v>
      </c>
      <c r="L281" s="455">
        <f t="shared" ca="1" si="28"/>
        <v>1308305.7426798102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1308305.7426798102</v>
      </c>
      <c r="J282" s="455">
        <f t="array" ref="J282">IFERROR(INDEX('Retirement Calculator'!J:J,MATCH('Isaac 401k'!N282,'Retirement Calculator'!A:A,0),0),0)</f>
        <v>7863.2184191855868</v>
      </c>
      <c r="K282" s="455">
        <f t="shared" ca="1" si="27"/>
        <v>5418.510517752602</v>
      </c>
      <c r="L282" s="455">
        <f t="shared" ca="1" si="28"/>
        <v>1305861.034778377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1305861.034778377</v>
      </c>
      <c r="J283" s="455">
        <f t="array" ref="J283">IFERROR(INDEX('Retirement Calculator'!J:J,MATCH('Isaac 401k'!N283,'Retirement Calculator'!A:A,0),0),0)</f>
        <v>7863.2184191855868</v>
      </c>
      <c r="K283" s="455">
        <f t="shared" ca="1" si="27"/>
        <v>5408.3242348299646</v>
      </c>
      <c r="L283" s="455">
        <f t="shared" ca="1" si="28"/>
        <v>1303406.1405940214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1303406.1405940214</v>
      </c>
      <c r="J284" s="455">
        <f t="array" ref="J284">IFERROR(INDEX('Retirement Calculator'!J:J,MATCH('Isaac 401k'!N284,'Retirement Calculator'!A:A,0),0),0)</f>
        <v>7863.2184191855868</v>
      </c>
      <c r="K284" s="455">
        <f t="shared" ca="1" si="27"/>
        <v>5398.0955090618154</v>
      </c>
      <c r="L284" s="455">
        <f t="shared" ca="1" si="28"/>
        <v>1300941.0176838976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1300941.0176838976</v>
      </c>
      <c r="J285" s="455">
        <f t="array" ref="J285">IFERROR(INDEX('Retirement Calculator'!J:J,MATCH('Isaac 401k'!N285,'Retirement Calculator'!A:A,0),0),0)</f>
        <v>7863.2184191855868</v>
      </c>
      <c r="K285" s="455">
        <f t="shared" ca="1" si="27"/>
        <v>5387.824163602967</v>
      </c>
      <c r="L285" s="455">
        <f t="shared" ca="1" si="28"/>
        <v>1298465.6234283149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1298465.6234283149</v>
      </c>
      <c r="J286" s="455">
        <f t="array" ref="J286">IFERROR(INDEX('Retirement Calculator'!J:J,MATCH('Isaac 401k'!N286,'Retirement Calculator'!A:A,0),0),0)</f>
        <v>7863.2184191855868</v>
      </c>
      <c r="K286" s="455">
        <f t="shared" ca="1" si="27"/>
        <v>5377.510020871372</v>
      </c>
      <c r="L286" s="455">
        <f t="shared" ca="1" si="28"/>
        <v>1295979.9150300007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1295979.9150300007</v>
      </c>
      <c r="J287" s="455">
        <f t="array" ref="J287">IFERROR(INDEX('Retirement Calculator'!J:J,MATCH('Isaac 401k'!N287,'Retirement Calculator'!A:A,0),0),0)</f>
        <v>7863.2184191855868</v>
      </c>
      <c r="K287" s="455">
        <f t="shared" ca="1" si="27"/>
        <v>5367.1529025450627</v>
      </c>
      <c r="L287" s="455">
        <f t="shared" ca="1" si="28"/>
        <v>1293483.8495133603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1293483.8495133603</v>
      </c>
      <c r="J288" s="455">
        <f t="array" ref="J288">IFERROR(INDEX('Retirement Calculator'!J:J,MATCH('Isaac 401k'!N288,'Retirement Calculator'!A:A,0),0),0)</f>
        <v>7863.2184191855868</v>
      </c>
      <c r="K288" s="455">
        <f t="shared" ca="1" si="27"/>
        <v>5356.7526295590615</v>
      </c>
      <c r="L288" s="455">
        <f t="shared" ca="1" si="28"/>
        <v>1290977.3837237337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1290977.3837237337</v>
      </c>
      <c r="J289" s="455">
        <f t="array" ref="J289">IFERROR(INDEX('Retirement Calculator'!J:J,MATCH('Isaac 401k'!N289,'Retirement Calculator'!A:A,0),0),0)</f>
        <v>7863.2184191855868</v>
      </c>
      <c r="K289" s="455">
        <f t="shared" ca="1" si="27"/>
        <v>5346.309022102284</v>
      </c>
      <c r="L289" s="455">
        <f t="shared" ca="1" si="28"/>
        <v>1288460.4743266504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1288460.4743266504</v>
      </c>
      <c r="J290" s="455">
        <f t="array" ref="J290">IFERROR(INDEX('Retirement Calculator'!J:J,MATCH('Isaac 401k'!N290,'Retirement Calculator'!A:A,0),0),0)</f>
        <v>7863.2184191855868</v>
      </c>
      <c r="K290" s="455">
        <f t="shared" ca="1" si="27"/>
        <v>5335.8218996144369</v>
      </c>
      <c r="L290" s="455">
        <f t="shared" ca="1" si="28"/>
        <v>1285933.0778070793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1285933.0778070793</v>
      </c>
      <c r="J291" s="455">
        <f t="array" ref="J291">IFERROR(INDEX('Retirement Calculator'!J:J,MATCH('Isaac 401k'!N291,'Retirement Calculator'!A:A,0),0),0)</f>
        <v>7863.2184191855868</v>
      </c>
      <c r="K291" s="455">
        <f t="shared" ca="1" si="27"/>
        <v>5325.2910807828903</v>
      </c>
      <c r="L291" s="455">
        <f t="shared" ca="1" si="28"/>
        <v>1283395.1504686766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1283395.1504686766</v>
      </c>
      <c r="J292" s="455">
        <f t="array" ref="J292">IFERROR(INDEX('Retirement Calculator'!J:J,MATCH('Isaac 401k'!N292,'Retirement Calculator'!A:A,0),0),0)</f>
        <v>7863.2184191855868</v>
      </c>
      <c r="K292" s="455">
        <f t="shared" ca="1" si="27"/>
        <v>5314.7163835395459</v>
      </c>
      <c r="L292" s="455">
        <f t="shared" ca="1" si="28"/>
        <v>1280846.6484330306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1280846.6484330306</v>
      </c>
      <c r="J293" s="455">
        <f t="array" ref="J293">IFERROR(INDEX('Retirement Calculator'!J:J,MATCH('Isaac 401k'!N293,'Retirement Calculator'!A:A,0),0),0)</f>
        <v>7863.2184191855868</v>
      </c>
      <c r="K293" s="455">
        <f t="shared" ca="1" si="27"/>
        <v>5304.0976250576878</v>
      </c>
      <c r="L293" s="455">
        <f t="shared" ca="1" si="28"/>
        <v>1278287.5276389027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1278287.5276389027</v>
      </c>
      <c r="J294" s="455">
        <f t="array" ref="J294">IFERROR(INDEX('Retirement Calculator'!J:J,MATCH('Isaac 401k'!N294,'Retirement Calculator'!A:A,0),0),0)</f>
        <v>7863.2184191855868</v>
      </c>
      <c r="K294" s="455">
        <f t="shared" ca="1" si="27"/>
        <v>5293.434621748821</v>
      </c>
      <c r="L294" s="455">
        <f t="shared" ca="1" si="28"/>
        <v>1275717.7438414658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1275717.7438414658</v>
      </c>
      <c r="J295" s="455">
        <f t="array" ref="J295">IFERROR(INDEX('Retirement Calculator'!J:J,MATCH('Isaac 401k'!N295,'Retirement Calculator'!A:A,0),0),0)</f>
        <v>7863.2184191855868</v>
      </c>
      <c r="K295" s="455">
        <f t="shared" ca="1" si="27"/>
        <v>5282.7271892595008</v>
      </c>
      <c r="L295" s="455">
        <f t="shared" ca="1" si="28"/>
        <v>1273137.2526115398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1273137.2526115398</v>
      </c>
      <c r="J296" s="455">
        <f t="array" ref="J296">IFERROR(INDEX('Retirement Calculator'!J:J,MATCH('Isaac 401k'!N296,'Retirement Calculator'!A:A,0),0),0)</f>
        <v>7863.2184191855868</v>
      </c>
      <c r="K296" s="455">
        <f t="shared" ca="1" si="27"/>
        <v>5271.9751424681426</v>
      </c>
      <c r="L296" s="455">
        <f t="shared" ca="1" si="28"/>
        <v>1270546.0093348224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1270546.0093348224</v>
      </c>
      <c r="J297" s="455">
        <f t="array" ref="J297">IFERROR(INDEX('Retirement Calculator'!J:J,MATCH('Isaac 401k'!N297,'Retirement Calculator'!A:A,0),0),0)</f>
        <v>7863.2184191855868</v>
      </c>
      <c r="K297" s="455">
        <f t="shared" ca="1" si="27"/>
        <v>5261.17829548182</v>
      </c>
      <c r="L297" s="455">
        <f t="shared" ca="1" si="28"/>
        <v>1267943.9692111185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1267943.9692111185</v>
      </c>
      <c r="J298" s="455">
        <f t="array" ref="J298">IFERROR(INDEX('Retirement Calculator'!J:J,MATCH('Isaac 401k'!N298,'Retirement Calculator'!A:A,0),0),0)</f>
        <v>7863.2184191855868</v>
      </c>
      <c r="K298" s="455">
        <f t="shared" ca="1" si="27"/>
        <v>5250.3364616330537</v>
      </c>
      <c r="L298" s="455">
        <f t="shared" ca="1" si="28"/>
        <v>1265331.0872535659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1265331.0872535659</v>
      </c>
      <c r="J299" s="455">
        <f t="array" ref="J299">IFERROR(INDEX('Retirement Calculator'!J:J,MATCH('Isaac 401k'!N299,'Retirement Calculator'!A:A,0),0),0)</f>
        <v>7863.2184191855868</v>
      </c>
      <c r="K299" s="455">
        <f t="shared" ca="1" si="27"/>
        <v>5239.4494534765845</v>
      </c>
      <c r="L299" s="455">
        <f t="shared" ca="1" si="28"/>
        <v>1262707.3182878569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1262707.3182878569</v>
      </c>
      <c r="J300" s="455">
        <f t="array" ref="J300">IFERROR(INDEX('Retirement Calculator'!J:J,MATCH('Isaac 401k'!N300,'Retirement Calculator'!A:A,0),0),0)</f>
        <v>7863.2184191855868</v>
      </c>
      <c r="K300" s="455">
        <f t="shared" ca="1" si="27"/>
        <v>5228.5170827861302</v>
      </c>
      <c r="L300" s="455">
        <f t="shared" ca="1" si="28"/>
        <v>1260072.6169514575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1260072.6169514575</v>
      </c>
      <c r="J301" s="455">
        <f t="array" ref="J301">IFERROR(INDEX('Retirement Calculator'!J:J,MATCH('Isaac 401k'!N301,'Retirement Calculator'!A:A,0),0),0)</f>
        <v>7863.2184191855868</v>
      </c>
      <c r="K301" s="455">
        <f t="shared" ca="1" si="27"/>
        <v>5217.5391605511322</v>
      </c>
      <c r="L301" s="455">
        <f t="shared" ca="1" si="28"/>
        <v>1257426.9376928229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1257426.9376928229</v>
      </c>
      <c r="J302" s="455">
        <f t="array" ref="J302">IFERROR(INDEX('Retirement Calculator'!J:J,MATCH('Isaac 401k'!N302,'Retirement Calculator'!A:A,0),0),0)</f>
        <v>7863.2184191855868</v>
      </c>
      <c r="K302" s="455">
        <f t="shared" ca="1" si="27"/>
        <v>5206.5154969734886</v>
      </c>
      <c r="L302" s="455">
        <f t="shared" ca="1" si="28"/>
        <v>1254770.2347706107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1254770.2347706107</v>
      </c>
      <c r="J303" s="455">
        <f t="array" ref="J303">IFERROR(INDEX('Retirement Calculator'!J:J,MATCH('Isaac 401k'!N303,'Retirement Calculator'!A:A,0),0),0)</f>
        <v>7863.2184191855868</v>
      </c>
      <c r="K303" s="455">
        <f t="shared" ca="1" si="27"/>
        <v>5195.4459014642707</v>
      </c>
      <c r="L303" s="455">
        <f t="shared" ca="1" si="28"/>
        <v>1252102.4622528893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1252102.4622528893</v>
      </c>
      <c r="J304" s="455">
        <f t="array" ref="J304">IFERROR(INDEX('Retirement Calculator'!J:J,MATCH('Isaac 401k'!N304,'Retirement Calculator'!A:A,0),0),0)</f>
        <v>7863.2184191855868</v>
      </c>
      <c r="K304" s="455">
        <f t="shared" ca="1" si="27"/>
        <v>5184.3301826404322</v>
      </c>
      <c r="L304" s="455">
        <f t="shared" ca="1" si="28"/>
        <v>1249423.574016344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1249423.574016344</v>
      </c>
      <c r="J305" s="455">
        <f t="array" ref="J305">IFERROR(INDEX('Retirement Calculator'!J:J,MATCH('Isaac 401k'!N305,'Retirement Calculator'!A:A,0),0),0)</f>
        <v>7863.2184191855868</v>
      </c>
      <c r="K305" s="455">
        <f t="shared" ca="1" si="27"/>
        <v>5173.1681483214934</v>
      </c>
      <c r="L305" s="455">
        <f t="shared" ca="1" si="28"/>
        <v>1246733.52374548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1246733.52374548</v>
      </c>
      <c r="J306" s="455">
        <f t="array" ref="J306">IFERROR(INDEX('Retirement Calculator'!J:J,MATCH('Isaac 401k'!N306,'Retirement Calculator'!A:A,0),0),0)</f>
        <v>7863.2184191855868</v>
      </c>
      <c r="K306" s="455">
        <f t="shared" ca="1" si="27"/>
        <v>5161.9596055262264</v>
      </c>
      <c r="L306" s="455">
        <f t="shared" ca="1" si="28"/>
        <v>1244032.2649318206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1244032.2649318206</v>
      </c>
      <c r="J307" s="455">
        <f t="array" ref="J307">IFERROR(INDEX('Retirement Calculator'!J:J,MATCH('Isaac 401k'!N307,'Retirement Calculator'!A:A,0),0),0)</f>
        <v>7863.2184191855868</v>
      </c>
      <c r="K307" s="455">
        <f t="shared" ca="1" si="27"/>
        <v>5150.7043604693126</v>
      </c>
      <c r="L307" s="455">
        <f t="shared" ca="1" si="28"/>
        <v>1241319.7508731042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1241319.7508731042</v>
      </c>
      <c r="J308" s="455">
        <f t="array" ref="J308">IFERROR(INDEX('Retirement Calculator'!J:J,MATCH('Isaac 401k'!N308,'Retirement Calculator'!A:A,0),0),0)</f>
        <v>7863.2184191855868</v>
      </c>
      <c r="K308" s="455">
        <f t="shared" ca="1" si="27"/>
        <v>5139.4022185579943</v>
      </c>
      <c r="L308" s="455">
        <f t="shared" ca="1" si="28"/>
        <v>1238595.9346724765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1238595.9346724765</v>
      </c>
      <c r="J309" s="455">
        <f t="array" ref="J309">IFERROR(INDEX('Retirement Calculator'!J:J,MATCH('Isaac 401k'!N309,'Retirement Calculator'!A:A,0),0),0)</f>
        <v>7863.2184191855868</v>
      </c>
      <c r="K309" s="455">
        <f t="shared" ca="1" si="27"/>
        <v>5128.0529843887116</v>
      </c>
      <c r="L309" s="455">
        <f t="shared" ca="1" si="28"/>
        <v>1235860.7692376797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1235860.7692376797</v>
      </c>
      <c r="J310" s="455">
        <f t="array" ref="J310">IFERROR(INDEX('Retirement Calculator'!J:J,MATCH('Isaac 401k'!N310,'Retirement Calculator'!A:A,0),0),0)</f>
        <v>7863.2184191855868</v>
      </c>
      <c r="K310" s="455">
        <f t="shared" ca="1" si="27"/>
        <v>5116.6564617437252</v>
      </c>
      <c r="L310" s="455">
        <f t="shared" ca="1" si="28"/>
        <v>1233114.2072802377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1233114.2072802377</v>
      </c>
      <c r="J311" s="455">
        <f t="array" ref="J311">IFERROR(INDEX('Retirement Calculator'!J:J,MATCH('Isaac 401k'!N311,'Retirement Calculator'!A:A,0),0),0)</f>
        <v>7863.2184191855868</v>
      </c>
      <c r="K311" s="455">
        <f t="shared" ca="1" si="27"/>
        <v>5105.2124535877174</v>
      </c>
      <c r="L311" s="455">
        <f t="shared" ca="1" si="28"/>
        <v>1230356.2013146398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1230356.2013146398</v>
      </c>
      <c r="J312" s="455">
        <f t="array" ref="J312">IFERROR(INDEX('Retirement Calculator'!J:J,MATCH('Isaac 401k'!N312,'Retirement Calculator'!A:A,0),0),0)</f>
        <v>7863.2184191855868</v>
      </c>
      <c r="K312" s="455">
        <f t="shared" ca="1" si="27"/>
        <v>5093.7207620643921</v>
      </c>
      <c r="L312" s="455">
        <f t="shared" ca="1" si="28"/>
        <v>1227586.7036575186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1227586.7036575186</v>
      </c>
      <c r="J313" s="455">
        <f t="array" ref="J313">IFERROR(INDEX('Retirement Calculator'!J:J,MATCH('Isaac 401k'!N313,'Retirement Calculator'!A:A,0),0),0)</f>
        <v>7863.2184191855868</v>
      </c>
      <c r="K313" s="455">
        <f t="shared" ca="1" si="27"/>
        <v>5082.1811884930539</v>
      </c>
      <c r="L313" s="455">
        <f t="shared" ca="1" si="28"/>
        <v>1224805.666426826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1224805.666426826</v>
      </c>
      <c r="J314" s="455">
        <f t="array" ref="J314">IFERROR(INDEX('Retirement Calculator'!J:J,MATCH('Isaac 401k'!N314,'Retirement Calculator'!A:A,0),0),0)</f>
        <v>7863.2184191855868</v>
      </c>
      <c r="K314" s="455">
        <f t="shared" ca="1" si="27"/>
        <v>5070.5935333651687</v>
      </c>
      <c r="L314" s="455">
        <f t="shared" ca="1" si="28"/>
        <v>1222013.0415410055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1222013.0415410055</v>
      </c>
      <c r="J315" s="455">
        <f t="array" ref="J315">IFERROR(INDEX('Retirement Calculator'!J:J,MATCH('Isaac 401k'!N315,'Retirement Calculator'!A:A,0),0),0)</f>
        <v>7863.2184191855868</v>
      </c>
      <c r="K315" s="455">
        <f t="shared" ca="1" si="27"/>
        <v>5058.9575963409161</v>
      </c>
      <c r="L315" s="455">
        <f t="shared" ca="1" si="28"/>
        <v>1219208.7807181608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1219208.7807181608</v>
      </c>
      <c r="J316" s="455">
        <f t="array" ref="J316">IFERROR(INDEX('Retirement Calculator'!J:J,MATCH('Isaac 401k'!N316,'Retirement Calculator'!A:A,0),0),0)</f>
        <v>7863.2184191855868</v>
      </c>
      <c r="K316" s="455">
        <f t="shared" ca="1" si="27"/>
        <v>5047.2731762457297</v>
      </c>
      <c r="L316" s="455">
        <f t="shared" ca="1" si="28"/>
        <v>1216392.8354752208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1216392.8354752208</v>
      </c>
      <c r="J317" s="455">
        <f t="array" ref="J317">IFERROR(INDEX('Retirement Calculator'!J:J,MATCH('Isaac 401k'!N317,'Retirement Calculator'!A:A,0),0),0)</f>
        <v>7863.2184191855868</v>
      </c>
      <c r="K317" s="455">
        <f t="shared" ca="1" si="27"/>
        <v>5035.5400710668137</v>
      </c>
      <c r="L317" s="455">
        <f t="shared" ca="1" si="28"/>
        <v>1213565.1571271019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1213565.1571271019</v>
      </c>
      <c r="J318" s="455">
        <f t="array" ref="J318">IFERROR(INDEX('Retirement Calculator'!J:J,MATCH('Isaac 401k'!N318,'Retirement Calculator'!A:A,0),0),0)</f>
        <v>7863.2184191855868</v>
      </c>
      <c r="K318" s="455">
        <f t="shared" ca="1" si="27"/>
        <v>5023.7580779496511</v>
      </c>
      <c r="L318" s="455">
        <f t="shared" ca="1" si="28"/>
        <v>1210725.6967858661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1210725.6967858661</v>
      </c>
      <c r="J319" s="455">
        <f t="array" ref="J319">IFERROR(INDEX('Retirement Calculator'!J:J,MATCH('Isaac 401k'!N319,'Retirement Calculator'!A:A,0),0),0)</f>
        <v>7863.2184191855868</v>
      </c>
      <c r="K319" s="455">
        <f t="shared" ca="1" si="27"/>
        <v>5011.9269931945018</v>
      </c>
      <c r="L319" s="455">
        <f t="shared" ca="1" si="28"/>
        <v>1207874.4053598749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1207874.4053598749</v>
      </c>
      <c r="J320" s="455">
        <f t="array" ref="J320">IFERROR(INDEX('Retirement Calculator'!J:J,MATCH('Isaac 401k'!N320,'Retirement Calculator'!A:A,0),0),0)</f>
        <v>7863.2184191855868</v>
      </c>
      <c r="K320" s="455">
        <f t="shared" ca="1" si="27"/>
        <v>5000.0466122528724</v>
      </c>
      <c r="L320" s="455">
        <f t="shared" ca="1" si="28"/>
        <v>1205011.2335529423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1205011.2335529423</v>
      </c>
      <c r="J321" s="455">
        <f t="array" ref="J321">IFERROR(INDEX('Retirement Calculator'!J:J,MATCH('Isaac 401k'!N321,'Retirement Calculator'!A:A,0),0),0)</f>
        <v>7863.2184191855868</v>
      </c>
      <c r="K321" s="455">
        <f t="shared" ca="1" si="27"/>
        <v>4988.1167297239863</v>
      </c>
      <c r="L321" s="455">
        <f t="shared" ca="1" si="28"/>
        <v>1202136.1318634807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1202136.1318634807</v>
      </c>
      <c r="J322" s="455">
        <f t="array" ref="J322">IFERROR(INDEX('Retirement Calculator'!J:J,MATCH('Isaac 401k'!N322,'Retirement Calculator'!A:A,0),0),0)</f>
        <v>7863.2184191855868</v>
      </c>
      <c r="K322" s="455">
        <f t="shared" ca="1" si="27"/>
        <v>4976.1371393512291</v>
      </c>
      <c r="L322" s="455">
        <f t="shared" ca="1" si="28"/>
        <v>1199249.0505836464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1199249.0505836464</v>
      </c>
      <c r="J323" s="455">
        <f t="array" ref="J323">IFERROR(INDEX('Retirement Calculator'!J:J,MATCH('Isaac 401k'!N323,'Retirement Calculator'!A:A,0),0),0)</f>
        <v>7863.2184191855868</v>
      </c>
      <c r="K323" s="455">
        <f t="shared" ca="1" si="27"/>
        <v>4964.1076340185864</v>
      </c>
      <c r="L323" s="455">
        <f t="shared" ca="1" si="28"/>
        <v>1196349.9397984794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1196349.9397984794</v>
      </c>
      <c r="J324" s="455">
        <f t="array" ref="J324">IFERROR(INDEX('Retirement Calculator'!J:J,MATCH('Isaac 401k'!N324,'Retirement Calculator'!A:A,0),0),0)</f>
        <v>7863.2184191855868</v>
      </c>
      <c r="K324" s="455">
        <f t="shared" ca="1" si="27"/>
        <v>4952.0280057470573</v>
      </c>
      <c r="L324" s="455">
        <f t="shared" ca="1" si="28"/>
        <v>1193438.749385041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1193438.749385041</v>
      </c>
      <c r="J325" s="455">
        <f t="array" ref="J325">IFERROR(INDEX('Retirement Calculator'!J:J,MATCH('Isaac 401k'!N325,'Retirement Calculator'!A:A,0),0),0)</f>
        <v>7863.2184191855868</v>
      </c>
      <c r="K325" s="455">
        <f t="shared" ca="1" si="27"/>
        <v>4939.898045691064</v>
      </c>
      <c r="L325" s="455">
        <f t="shared" ca="1" si="28"/>
        <v>1190515.4290115463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1190515.4290115463</v>
      </c>
      <c r="J326" s="455">
        <f t="array" ref="J326">IFERROR(INDEX('Retirement Calculator'!J:J,MATCH('Isaac 401k'!N326,'Retirement Calculator'!A:A,0),0),0)</f>
        <v>7863.2184191855868</v>
      </c>
      <c r="K326" s="455">
        <f t="shared" ca="1" si="27"/>
        <v>4927.7175441348363</v>
      </c>
      <c r="L326" s="455">
        <f t="shared" ca="1" si="28"/>
        <v>1187579.9281364956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1187579.9281364956</v>
      </c>
      <c r="J327" s="455">
        <f t="array" ref="J327">IFERROR(INDEX('Retirement Calculator'!J:J,MATCH('Isaac 401k'!N327,'Retirement Calculator'!A:A,0),0),0)</f>
        <v>7863.2184191855868</v>
      </c>
      <c r="K327" s="455">
        <f t="shared" ca="1" si="27"/>
        <v>4915.4862904887914</v>
      </c>
      <c r="L327" s="455">
        <f t="shared" ca="1" si="28"/>
        <v>1184632.1960077989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1184632.1960077989</v>
      </c>
      <c r="J328" s="455">
        <f t="array" ref="J328">IFERROR(INDEX('Retirement Calculator'!J:J,MATCH('Isaac 401k'!N328,'Retirement Calculator'!A:A,0),0),0)</f>
        <v>7863.2184191855868</v>
      </c>
      <c r="K328" s="455">
        <f t="shared" ca="1" si="27"/>
        <v>4903.2040732858886</v>
      </c>
      <c r="L328" s="455">
        <f t="shared" ca="1" si="28"/>
        <v>1181672.1816618992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1181672.1816618992</v>
      </c>
      <c r="J329" s="455">
        <f t="array" ref="J329">IFERROR(INDEX('Retirement Calculator'!J:J,MATCH('Isaac 401k'!N329,'Retirement Calculator'!A:A,0),0),0)</f>
        <v>7863.2184191855868</v>
      </c>
      <c r="K329" s="455">
        <f t="shared" ca="1" si="27"/>
        <v>4890.8706801779736</v>
      </c>
      <c r="L329" s="455">
        <f t="shared" ca="1" si="28"/>
        <v>1178699.8339228916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1178699.8339228916</v>
      </c>
      <c r="J330" s="455">
        <f t="array" ref="J330">IFERROR(INDEX('Retirement Calculator'!J:J,MATCH('Isaac 401k'!N330,'Retirement Calculator'!A:A,0),0),0)</f>
        <v>7863.2184191855868</v>
      </c>
      <c r="K330" s="455">
        <f t="shared" ca="1" si="27"/>
        <v>4878.4858979321089</v>
      </c>
      <c r="L330" s="455">
        <f t="shared" ca="1" si="28"/>
        <v>1175715.1014016382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1175715.1014016382</v>
      </c>
      <c r="J331" s="455">
        <f t="array" ref="J331">IFERROR(INDEX('Retirement Calculator'!J:J,MATCH('Isaac 401k'!N331,'Retirement Calculator'!A:A,0),0),0)</f>
        <v>7863.2184191855868</v>
      </c>
      <c r="K331" s="455">
        <f t="shared" ca="1" si="27"/>
        <v>4866.0495124268855</v>
      </c>
      <c r="L331" s="455">
        <f t="shared" ca="1" si="28"/>
        <v>1172717.9324948795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1172717.9324948795</v>
      </c>
      <c r="J332" s="455">
        <f t="array" ref="J332">IFERROR(INDEX('Retirement Calculator'!J:J,MATCH('Isaac 401k'!N332,'Retirement Calculator'!A:A,0),0),0)</f>
        <v>7863.2184191855868</v>
      </c>
      <c r="K332" s="455">
        <f t="shared" ca="1" si="27"/>
        <v>4853.5613086487247</v>
      </c>
      <c r="L332" s="455">
        <f t="shared" ca="1" si="28"/>
        <v>1169708.2753843425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1169708.2753843425</v>
      </c>
      <c r="J333" s="455">
        <f t="array" ref="J333">IFERROR(INDEX('Retirement Calculator'!J:J,MATCH('Isaac 401k'!N333,'Retirement Calculator'!A:A,0),0),0)</f>
        <v>7863.2184191855868</v>
      </c>
      <c r="K333" s="455">
        <f t="shared" ca="1" si="27"/>
        <v>4841.0210706881535</v>
      </c>
      <c r="L333" s="455">
        <f t="shared" ca="1" si="28"/>
        <v>1166686.0780358452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1166686.0780358452</v>
      </c>
      <c r="J334" s="455">
        <f t="array" ref="J334">IFERROR(INDEX('Retirement Calculator'!J:J,MATCH('Isaac 401k'!N334,'Retirement Calculator'!A:A,0),0),0)</f>
        <v>7863.2184191855868</v>
      </c>
      <c r="K334" s="455">
        <f t="shared" ca="1" si="27"/>
        <v>4828.4285817360815</v>
      </c>
      <c r="L334" s="455">
        <f t="shared" ca="1" si="28"/>
        <v>1163651.2881983956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1163651.2881983956</v>
      </c>
      <c r="J335" s="455">
        <f t="array" ref="J335">IFERROR(INDEX('Retirement Calculator'!J:J,MATCH('Isaac 401k'!N335,'Retirement Calculator'!A:A,0),0),0)</f>
        <v>7863.2184191855868</v>
      </c>
      <c r="K335" s="455">
        <f t="shared" ca="1" si="27"/>
        <v>4815.7836240800416</v>
      </c>
      <c r="L335" s="455">
        <f t="shared" ca="1" si="28"/>
        <v>1160603.85340329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1160603.85340329</v>
      </c>
      <c r="J336" s="455">
        <f t="array" ref="J336">IFERROR(INDEX('Retirement Calculator'!J:J,MATCH('Isaac 401k'!N336,'Retirement Calculator'!A:A,0),0),0)</f>
        <v>7863.2184191855868</v>
      </c>
      <c r="K336" s="455">
        <f t="shared" ca="1" si="27"/>
        <v>4803.085979100435</v>
      </c>
      <c r="L336" s="455">
        <f t="shared" ca="1" si="28"/>
        <v>1157543.720963205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1157543.720963205</v>
      </c>
      <c r="J337" s="455">
        <f t="array" ref="J337">IFERROR(INDEX('Retirement Calculator'!J:J,MATCH('Isaac 401k'!N337,'Retirement Calculator'!A:A,0),0),0)</f>
        <v>7863.2184191855868</v>
      </c>
      <c r="K337" s="455">
        <f t="shared" ca="1" si="27"/>
        <v>4790.3354272667475</v>
      </c>
      <c r="L337" s="455">
        <f t="shared" ca="1" si="28"/>
        <v>1154470.8379712861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1154470.8379712861</v>
      </c>
      <c r="J338" s="455">
        <f t="array" ref="J338">IFERROR(INDEX('Retirement Calculator'!J:J,MATCH('Isaac 401k'!N338,'Retirement Calculator'!A:A,0),0),0)</f>
        <v>7863.2184191855868</v>
      </c>
      <c r="K338" s="455">
        <f t="shared" ca="1" si="27"/>
        <v>4777.5317481337524</v>
      </c>
      <c r="L338" s="455">
        <f t="shared" ca="1" si="28"/>
        <v>1151385.1513002343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1151385.1513002343</v>
      </c>
      <c r="J339" s="455">
        <f t="array" ref="J339">IFERROR(INDEX('Retirement Calculator'!J:J,MATCH('Isaac 401k'!N339,'Retirement Calculator'!A:A,0),0),0)</f>
        <v>7863.2184191855868</v>
      </c>
      <c r="K339" s="455">
        <f t="shared" ca="1" si="27"/>
        <v>4764.6747203377026</v>
      </c>
      <c r="L339" s="455">
        <f t="shared" ca="1" si="28"/>
        <v>1148286.6076013863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1148286.6076013863</v>
      </c>
      <c r="J340" s="455">
        <f t="array" ref="J340">IFERROR(INDEX('Retirement Calculator'!J:J,MATCH('Isaac 401k'!N340,'Retirement Calculator'!A:A,0),0),0)</f>
        <v>7863.2184191855868</v>
      </c>
      <c r="K340" s="455">
        <f t="shared" ca="1" si="27"/>
        <v>4751.7641215925023</v>
      </c>
      <c r="L340" s="455">
        <f t="shared" ca="1" si="28"/>
        <v>1145175.1533037932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1145175.1533037932</v>
      </c>
      <c r="J341" s="455">
        <f t="array" ref="J341">IFERROR(INDEX('Retirement Calculator'!J:J,MATCH('Isaac 401k'!N341,'Retirement Calculator'!A:A,0),0),0)</f>
        <v>7863.2184191855868</v>
      </c>
      <c r="K341" s="455">
        <f t="shared" ca="1" si="27"/>
        <v>4738.7997286858645</v>
      </c>
      <c r="L341" s="455">
        <f t="shared" ca="1" si="28"/>
        <v>1142050.7346132933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1142050.7346132933</v>
      </c>
      <c r="J342" s="455">
        <f t="array" ref="J342">IFERROR(INDEX('Retirement Calculator'!J:J,MATCH('Isaac 401k'!N342,'Retirement Calculator'!A:A,0),0),0)</f>
        <v>7863.2184191855868</v>
      </c>
      <c r="K342" s="455">
        <f t="shared" ca="1" si="27"/>
        <v>4725.7813174754483</v>
      </c>
      <c r="L342" s="455">
        <f t="shared" ca="1" si="28"/>
        <v>1138913.2975115832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1138913.2975115832</v>
      </c>
      <c r="J343" s="455">
        <f t="array" ref="J343">IFERROR(INDEX('Retirement Calculator'!J:J,MATCH('Isaac 401k'!N343,'Retirement Calculator'!A:A,0),0),0)</f>
        <v>7863.2184191855868</v>
      </c>
      <c r="K343" s="455">
        <f t="shared" ca="1" si="27"/>
        <v>4712.7086628849902</v>
      </c>
      <c r="L343" s="455">
        <f t="shared" ca="1" si="28"/>
        <v>1135762.7877552826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1135762.7877552826</v>
      </c>
      <c r="J344" s="455">
        <f t="array" ref="J344">IFERROR(INDEX('Retirement Calculator'!J:J,MATCH('Isaac 401k'!N344,'Retirement Calculator'!A:A,0),0),0)</f>
        <v>7863.2184191855868</v>
      </c>
      <c r="K344" s="455">
        <f t="shared" ca="1" si="27"/>
        <v>4699.5815389004038</v>
      </c>
      <c r="L344" s="455">
        <f t="shared" ca="1" si="28"/>
        <v>1132599.1508749975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1132599.1508749975</v>
      </c>
      <c r="J345" s="455">
        <f t="array" ref="J345">IFERROR(INDEX('Retirement Calculator'!J:J,MATCH('Isaac 401k'!N345,'Retirement Calculator'!A:A,0),0),0)</f>
        <v>7863.2184191855868</v>
      </c>
      <c r="K345" s="455">
        <f t="shared" ca="1" si="27"/>
        <v>4686.3997185658827</v>
      </c>
      <c r="L345" s="455">
        <f t="shared" ca="1" si="28"/>
        <v>1129422.3321743777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1129422.3321743777</v>
      </c>
      <c r="J346" s="455">
        <f t="array" ref="J346">IFERROR(INDEX('Retirement Calculator'!J:J,MATCH('Isaac 401k'!N346,'Retirement Calculator'!A:A,0),0),0)</f>
        <v>7863.2184191855868</v>
      </c>
      <c r="K346" s="455">
        <f t="shared" ca="1" si="27"/>
        <v>4673.1629739799673</v>
      </c>
      <c r="L346" s="455">
        <f t="shared" ca="1" si="28"/>
        <v>1126232.2767291721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1126232.2767291721</v>
      </c>
      <c r="J347" s="455">
        <f t="array" ref="J347">IFERROR(INDEX('Retirement Calculator'!J:J,MATCH('Isaac 401k'!N347,'Retirement Calculator'!A:A,0),0),0)</f>
        <v>7863.2184191855868</v>
      </c>
      <c r="K347" s="455">
        <f t="shared" ca="1" si="27"/>
        <v>4659.8710762916107</v>
      </c>
      <c r="L347" s="455">
        <f t="shared" ca="1" si="28"/>
        <v>1123028.9293862781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1123028.9293862781</v>
      </c>
      <c r="J348" s="455">
        <f t="array" ref="J348">IFERROR(INDEX('Retirement Calculator'!J:J,MATCH('Isaac 401k'!N348,'Retirement Calculator'!A:A,0),0),0)</f>
        <v>7863.2184191855868</v>
      </c>
      <c r="K348" s="455">
        <f t="shared" ca="1" si="27"/>
        <v>4646.5237956962192</v>
      </c>
      <c r="L348" s="455">
        <f t="shared" ca="1" si="28"/>
        <v>1119812.2347627888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1119812.2347627888</v>
      </c>
      <c r="J349" s="455">
        <f t="array" ref="J349">IFERROR(INDEX('Retirement Calculator'!J:J,MATCH('Isaac 401k'!N349,'Retirement Calculator'!A:A,0),0),0)</f>
        <v>7863.2184191855868</v>
      </c>
      <c r="K349" s="455">
        <f t="shared" ca="1" si="27"/>
        <v>4633.1209014316801</v>
      </c>
      <c r="L349" s="455">
        <f t="shared" ca="1" si="28"/>
        <v>1116582.1372450348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1116582.1372450348</v>
      </c>
      <c r="J350" s="455">
        <f t="array" ref="J350">IFERROR(INDEX('Retirement Calculator'!J:J,MATCH('Isaac 401k'!N350,'Retirement Calculator'!A:A,0),0),0)</f>
        <v>7863.2184191855868</v>
      </c>
      <c r="K350" s="455">
        <f t="shared" ca="1" si="27"/>
        <v>4619.6621617743713</v>
      </c>
      <c r="L350" s="455">
        <f t="shared" ca="1" si="28"/>
        <v>1113338.5809876237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1113338.5809876237</v>
      </c>
      <c r="J351" s="455">
        <f t="array" ref="J351">IFERROR(INDEX('Retirement Calculator'!J:J,MATCH('Isaac 401k'!N351,'Retirement Calculator'!A:A,0),0),0)</f>
        <v>7863.2184191855868</v>
      </c>
      <c r="K351" s="455">
        <f t="shared" ca="1" si="27"/>
        <v>4606.1473440351583</v>
      </c>
      <c r="L351" s="455">
        <f t="shared" ca="1" si="28"/>
        <v>1110081.5099124731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1110081.5099124731</v>
      </c>
      <c r="J352" s="455">
        <f t="array" ref="J352">IFERROR(INDEX('Retirement Calculator'!J:J,MATCH('Isaac 401k'!N352,'Retirement Calculator'!A:A,0),0),0)</f>
        <v>7863.2184191855868</v>
      </c>
      <c r="K352" s="455">
        <f t="shared" ca="1" si="27"/>
        <v>4592.5762145553645</v>
      </c>
      <c r="L352" s="455">
        <f t="shared" ca="1" si="28"/>
        <v>1106810.867707843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1106810.867707843</v>
      </c>
      <c r="J353" s="455">
        <f t="array" ref="J353">IFERROR(INDEX('Retirement Calculator'!J:J,MATCH('Isaac 401k'!N353,'Retirement Calculator'!A:A,0),0),0)</f>
        <v>7863.2184191855868</v>
      </c>
      <c r="K353" s="455">
        <f t="shared" ca="1" si="27"/>
        <v>4578.9485387027389</v>
      </c>
      <c r="L353" s="455">
        <f t="shared" ca="1" si="28"/>
        <v>1103526.59782736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1103526.59782736</v>
      </c>
      <c r="J354" s="455">
        <f t="array" ref="J354">IFERROR(INDEX('Retirement Calculator'!J:J,MATCH('Isaac 401k'!N354,'Retirement Calculator'!A:A,0),0),0)</f>
        <v>7863.2184191855868</v>
      </c>
      <c r="K354" s="455">
        <f t="shared" ca="1" si="27"/>
        <v>4565.2640808673932</v>
      </c>
      <c r="L354" s="455">
        <f t="shared" ca="1" si="28"/>
        <v>1100228.6434890418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1100228.6434890418</v>
      </c>
      <c r="J355" s="455">
        <f t="array" ref="J355">IFERROR(INDEX('Retirement Calculator'!J:J,MATCH('Isaac 401k'!N355,'Retirement Calculator'!A:A,0),0),0)</f>
        <v>7863.2184191855868</v>
      </c>
      <c r="K355" s="455">
        <f t="shared" ca="1" si="27"/>
        <v>4551.5226044577339</v>
      </c>
      <c r="L355" s="455">
        <f t="shared" ca="1" si="28"/>
        <v>1096916.947674314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1096916.947674314</v>
      </c>
      <c r="J356" s="455">
        <f t="array" ref="J356">IFERROR(INDEX('Retirement Calculator'!J:J,MATCH('Isaac 401k'!N356,'Retirement Calculator'!A:A,0),0),0)</f>
        <v>7863.2184191855868</v>
      </c>
      <c r="K356" s="455">
        <f t="shared" ca="1" si="27"/>
        <v>4537.7238718963681</v>
      </c>
      <c r="L356" s="455">
        <f t="shared" ca="1" si="28"/>
        <v>1093591.4531270247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1093591.4531270247</v>
      </c>
      <c r="J357" s="455">
        <f t="array" ref="J357">IFERROR(INDEX('Retirement Calculator'!J:J,MATCH('Isaac 401k'!N357,'Retirement Calculator'!A:A,0),0),0)</f>
        <v>7863.2184191855868</v>
      </c>
      <c r="K357" s="455">
        <f t="shared" ca="1" si="27"/>
        <v>4523.8676446159961</v>
      </c>
      <c r="L357" s="455">
        <f t="shared" ca="1" si="28"/>
        <v>1090252.102352455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1090252.102352455</v>
      </c>
      <c r="J358" s="455">
        <f t="array" ref="J358">IFERROR(INDEX('Retirement Calculator'!J:J,MATCH('Isaac 401k'!N358,'Retirement Calculator'!A:A,0),0),0)</f>
        <v>7863.2184191855868</v>
      </c>
      <c r="K358" s="455">
        <f t="shared" ca="1" si="27"/>
        <v>4509.9536830552888</v>
      </c>
      <c r="L358" s="455">
        <f t="shared" ca="1" si="28"/>
        <v>1086898.8376163247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1086898.8376163247</v>
      </c>
      <c r="J359" s="455">
        <f t="array" ref="J359">IFERROR(INDEX('Retirement Calculator'!J:J,MATCH('Isaac 401k'!N359,'Retirement Calculator'!A:A,0),0),0)</f>
        <v>7863.2184191855868</v>
      </c>
      <c r="K359" s="455">
        <f t="shared" ca="1" si="27"/>
        <v>4495.9817466547456</v>
      </c>
      <c r="L359" s="455">
        <f t="shared" ca="1" si="28"/>
        <v>1083531.6009437938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1083531.6009437938</v>
      </c>
      <c r="J360" s="455">
        <f t="array" ref="J360">IFERROR(INDEX('Retirement Calculator'!J:J,MATCH('Isaac 401k'!N360,'Retirement Calculator'!A:A,0),0),0)</f>
        <v>7863.2184191855868</v>
      </c>
      <c r="K360" s="455">
        <f t="shared" ca="1" si="27"/>
        <v>4481.9515938525337</v>
      </c>
      <c r="L360" s="455">
        <f t="shared" ca="1" si="28"/>
        <v>1080150.3341184608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1080150.3341184608</v>
      </c>
      <c r="J361" s="455">
        <f t="array" ref="J361">IFERROR(INDEX('Retirement Calculator'!J:J,MATCH('Isaac 401k'!N361,'Retirement Calculator'!A:A,0),0),0)</f>
        <v>7863.2184191855868</v>
      </c>
      <c r="K361" s="455">
        <f t="shared" ca="1" si="27"/>
        <v>4467.8629820803135</v>
      </c>
      <c r="L361" s="455">
        <f t="shared" ca="1" si="28"/>
        <v>1076754.9786813555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1076754.9786813555</v>
      </c>
      <c r="J362" s="455">
        <f t="array" ref="J362">IFERROR(INDEX('Retirement Calculator'!J:J,MATCH('Isaac 401k'!N362,'Retirement Calculator'!A:A,0),0),0)</f>
        <v>7863.2184191855868</v>
      </c>
      <c r="K362" s="455">
        <f t="shared" ca="1" si="27"/>
        <v>4453.715667759041</v>
      </c>
      <c r="L362" s="455">
        <f t="shared" ca="1" si="28"/>
        <v>1073345.4759299289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1073345.4759299289</v>
      </c>
      <c r="J363" s="455">
        <f t="array" ref="J363">IFERROR(INDEX('Retirement Calculator'!J:J,MATCH('Isaac 401k'!N363,'Retirement Calculator'!A:A,0),0),0)</f>
        <v>7863.2184191855868</v>
      </c>
      <c r="K363" s="455">
        <f t="shared" ca="1" si="27"/>
        <v>4439.5094062947637</v>
      </c>
      <c r="L363" s="455">
        <f t="shared" ca="1" si="28"/>
        <v>1069921.766917038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1069921.766917038</v>
      </c>
      <c r="J364" s="455">
        <f t="array" ref="J364">IFERROR(INDEX('Retirement Calculator'!J:J,MATCH('Isaac 401k'!N364,'Retirement Calculator'!A:A,0),0),0)</f>
        <v>7863.2184191855868</v>
      </c>
      <c r="K364" s="455">
        <f t="shared" ca="1" si="27"/>
        <v>4425.2439520743847</v>
      </c>
      <c r="L364" s="455">
        <f t="shared" ca="1" si="28"/>
        <v>1066483.7924499267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1066483.7924499267</v>
      </c>
      <c r="J365" s="455">
        <f t="array" ref="J365">IFERROR(INDEX('Retirement Calculator'!J:J,MATCH('Isaac 401k'!N365,'Retirement Calculator'!A:A,0),0),0)</f>
        <v>7863.2184191855868</v>
      </c>
      <c r="K365" s="455">
        <f t="shared" ca="1" si="27"/>
        <v>4410.9190584614216</v>
      </c>
      <c r="L365" s="455">
        <f t="shared" ca="1" si="28"/>
        <v>1063031.4930892026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1063031.4930892026</v>
      </c>
      <c r="J366" s="455">
        <f t="array" ref="J366">IFERROR(INDEX('Retirement Calculator'!J:J,MATCH('Isaac 401k'!N366,'Retirement Calculator'!A:A,0),0),0)</f>
        <v>7863.2184191855868</v>
      </c>
      <c r="K366" s="455">
        <f t="shared" ca="1" si="27"/>
        <v>4396.5344777917371</v>
      </c>
      <c r="L366" s="455">
        <f t="shared" ca="1" si="28"/>
        <v>1059564.8091478087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1059564.8091478087</v>
      </c>
      <c r="J367" s="455">
        <f t="array" ref="J367">IFERROR(INDEX('Retirement Calculator'!J:J,MATCH('Isaac 401k'!N367,'Retirement Calculator'!A:A,0),0),0)</f>
        <v>7863.2184191855868</v>
      </c>
      <c r="K367" s="455">
        <f t="shared" ca="1" si="27"/>
        <v>4382.0899613692627</v>
      </c>
      <c r="L367" s="455">
        <f t="shared" ca="1" si="28"/>
        <v>1056083.6806899924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1056083.6806899924</v>
      </c>
      <c r="J368" s="455">
        <f t="array" ref="J368">IFERROR(INDEX('Retirement Calculator'!J:J,MATCH('Isaac 401k'!N368,'Retirement Calculator'!A:A,0),0),0)</f>
        <v>7863.2184191855868</v>
      </c>
      <c r="K368" s="455">
        <f t="shared" ca="1" si="27"/>
        <v>4367.5852594616954</v>
      </c>
      <c r="L368" s="455">
        <f t="shared" ca="1" si="28"/>
        <v>1052588.0475302686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1052588.0475302686</v>
      </c>
      <c r="J369" s="455">
        <f t="array" ref="J369">IFERROR(INDEX('Retirement Calculator'!J:J,MATCH('Isaac 401k'!N369,'Retirement Calculator'!A:A,0),0),0)</f>
        <v>7863.2184191855868</v>
      </c>
      <c r="K369" s="455">
        <f t="shared" ca="1" si="27"/>
        <v>4353.0201212961792</v>
      </c>
      <c r="L369" s="455">
        <f t="shared" ca="1" si="28"/>
        <v>1049077.8492323791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1049077.8492323791</v>
      </c>
      <c r="J370" s="455">
        <f t="array" ref="J370">IFERROR(INDEX('Retirement Calculator'!J:J,MATCH('Isaac 401k'!N370,'Retirement Calculator'!A:A,0),0),0)</f>
        <v>7863.2184191855868</v>
      </c>
      <c r="K370" s="455">
        <f t="shared" ca="1" si="27"/>
        <v>4338.3942950549726</v>
      </c>
      <c r="L370" s="455">
        <f t="shared" ca="1" si="28"/>
        <v>1045553.0251082485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1045553.0251082485</v>
      </c>
      <c r="J371" s="455">
        <f t="array" ref="J371">IFERROR(INDEX('Retirement Calculator'!J:J,MATCH('Isaac 401k'!N371,'Retirement Calculator'!A:A,0),0),0)</f>
        <v>7863.2184191855868</v>
      </c>
      <c r="K371" s="455">
        <f t="shared" ca="1" si="27"/>
        <v>4323.7075278710954</v>
      </c>
      <c r="L371" s="455">
        <f t="shared" ca="1" si="28"/>
        <v>1042013.514216934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1042013.514216934</v>
      </c>
      <c r="J372" s="455">
        <f t="array" ref="J372">IFERROR(INDEX('Retirement Calculator'!J:J,MATCH('Isaac 401k'!N372,'Retirement Calculator'!A:A,0),0),0)</f>
        <v>7863.2184191855868</v>
      </c>
      <c r="K372" s="455">
        <f t="shared" ca="1" si="27"/>
        <v>4308.9595658239514</v>
      </c>
      <c r="L372" s="455">
        <f t="shared" ca="1" si="28"/>
        <v>1038459.2553635723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1038459.2553635723</v>
      </c>
      <c r="J373" s="455">
        <f t="array" ref="J373">IFERROR(INDEX('Retirement Calculator'!J:J,MATCH('Isaac 401k'!N373,'Retirement Calculator'!A:A,0),0),0)</f>
        <v>7863.2184191855868</v>
      </c>
      <c r="K373" s="455">
        <f t="shared" ca="1" si="27"/>
        <v>4294.1501539349438</v>
      </c>
      <c r="L373" s="455">
        <f t="shared" ca="1" si="28"/>
        <v>1034890.1870983216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1034890.1870983216</v>
      </c>
      <c r="J374" s="455">
        <f t="array" ref="J374">IFERROR(INDEX('Retirement Calculator'!J:J,MATCH('Isaac 401k'!N374,'Retirement Calculator'!A:A,0),0),0)</f>
        <v>7863.2184191855868</v>
      </c>
      <c r="K374" s="455">
        <f t="shared" ca="1" si="27"/>
        <v>4279.2790361630668</v>
      </c>
      <c r="L374" s="455">
        <f t="shared" ca="1" si="28"/>
        <v>1031306.2477152991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1031306.2477152991</v>
      </c>
      <c r="J375" s="455">
        <f t="array" ref="J375">IFERROR(INDEX('Retirement Calculator'!J:J,MATCH('Isaac 401k'!N375,'Retirement Calculator'!A:A,0),0),0)</f>
        <v>7863.2184191855868</v>
      </c>
      <c r="K375" s="455">
        <f t="shared" ca="1" si="27"/>
        <v>4264.345955400473</v>
      </c>
      <c r="L375" s="455">
        <f t="shared" ca="1" si="28"/>
        <v>1027707.375251514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1027707.375251514</v>
      </c>
      <c r="J376" s="455">
        <f t="array" ref="J376">IFERROR(INDEX('Retirement Calculator'!J:J,MATCH('Isaac 401k'!N376,'Retirement Calculator'!A:A,0),0),0)</f>
        <v>7863.2184191855868</v>
      </c>
      <c r="K376" s="455">
        <f t="shared" ca="1" si="27"/>
        <v>4249.3506534680346</v>
      </c>
      <c r="L376" s="455">
        <f t="shared" ca="1" si="28"/>
        <v>1024093.5074857965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1024093.5074857965</v>
      </c>
      <c r="J377" s="455">
        <f t="array" ref="J377">IFERROR(INDEX('Retirement Calculator'!J:J,MATCH('Isaac 401k'!N377,'Retirement Calculator'!A:A,0),0),0)</f>
        <v>7863.2184191855868</v>
      </c>
      <c r="K377" s="455">
        <f t="shared" ca="1" si="27"/>
        <v>4234.2928711108789</v>
      </c>
      <c r="L377" s="455">
        <f t="shared" ca="1" si="28"/>
        <v>1020464.5819377217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1020464.5819377217</v>
      </c>
      <c r="J378" s="455">
        <f t="array" ref="J378">IFERROR(INDEX('Retirement Calculator'!J:J,MATCH('Isaac 401k'!N378,'Retirement Calculator'!A:A,0),0),0)</f>
        <v>7863.2184191855868</v>
      </c>
      <c r="K378" s="455">
        <f t="shared" ca="1" si="27"/>
        <v>4219.1723479939001</v>
      </c>
      <c r="L378" s="455">
        <f t="shared" ca="1" si="28"/>
        <v>1016820.53586653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1016820.53586653</v>
      </c>
      <c r="J379" s="455">
        <f t="array" ref="J379">IFERROR(INDEX('Retirement Calculator'!J:J,MATCH('Isaac 401k'!N379,'Retirement Calculator'!A:A,0),0),0)</f>
        <v>7863.2184191855868</v>
      </c>
      <c r="K379" s="455">
        <f t="shared" ca="1" si="27"/>
        <v>4203.9888226972689</v>
      </c>
      <c r="L379" s="455">
        <f t="shared" ca="1" si="28"/>
        <v>1013161.3062700417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1013161.3062700417</v>
      </c>
      <c r="J380" s="455">
        <f t="array" ref="J380">IFERROR(INDEX('Retirement Calculator'!J:J,MATCH('Isaac 401k'!N380,'Retirement Calculator'!A:A,0),0),0)</f>
        <v>7863.2184191855868</v>
      </c>
      <c r="K380" s="455">
        <f t="shared" ca="1" si="27"/>
        <v>4188.7420327119007</v>
      </c>
      <c r="L380" s="455">
        <f t="shared" ca="1" si="28"/>
        <v>1009486.829883568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1009486.829883568</v>
      </c>
      <c r="J381" s="455">
        <f t="array" ref="J381">IFERROR(INDEX('Retirement Calculator'!J:J,MATCH('Isaac 401k'!N381,'Retirement Calculator'!A:A,0),0),0)</f>
        <v>7863.2184191855868</v>
      </c>
      <c r="K381" s="455">
        <f t="shared" ca="1" si="27"/>
        <v>4173.4317144349261</v>
      </c>
      <c r="L381" s="455">
        <f t="shared" ca="1" si="28"/>
        <v>1005797.0431788173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1005797.0431788173</v>
      </c>
      <c r="J382" s="455">
        <f t="array" ref="J382">IFERROR(INDEX('Retirement Calculator'!J:J,MATCH('Isaac 401k'!N382,'Retirement Calculator'!A:A,0),0),0)</f>
        <v>7863.2184191855868</v>
      </c>
      <c r="K382" s="455">
        <f t="shared" ca="1" si="27"/>
        <v>4158.0576031651317</v>
      </c>
      <c r="L382" s="455">
        <f t="shared" ca="1" si="28"/>
        <v>1002091.8823627968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1002091.8823627968</v>
      </c>
      <c r="J383" s="455">
        <f t="array" ref="J383">IFERROR(INDEX('Retirement Calculator'!J:J,MATCH('Isaac 401k'!N383,'Retirement Calculator'!A:A,0),0),0)</f>
        <v>7863.2184191855868</v>
      </c>
      <c r="K383" s="455">
        <f t="shared" ca="1" si="27"/>
        <v>4142.6194330983799</v>
      </c>
      <c r="L383" s="455">
        <f t="shared" ca="1" si="28"/>
        <v>998371.28337670956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998371.28337670956</v>
      </c>
      <c r="J384" s="455">
        <f t="array" ref="J384">IFERROR(INDEX('Retirement Calculator'!J:J,MATCH('Isaac 401k'!N384,'Retirement Calculator'!A:A,0),0),0)</f>
        <v>7863.2184191855868</v>
      </c>
      <c r="K384" s="455">
        <f t="shared" ca="1" si="27"/>
        <v>4127.1169373230168</v>
      </c>
      <c r="L384" s="455">
        <f t="shared" ca="1" si="28"/>
        <v>994635.18189484696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994635.18189484696</v>
      </c>
      <c r="J385" s="455">
        <f t="array" ref="J385">IFERROR(INDEX('Retirement Calculator'!J:J,MATCH('Isaac 401k'!N385,'Retirement Calculator'!A:A,0),0),0)</f>
        <v>7863.2184191855868</v>
      </c>
      <c r="K385" s="455">
        <f t="shared" ca="1" si="27"/>
        <v>4111.5498478152558</v>
      </c>
      <c r="L385" s="455">
        <f t="shared" ca="1" si="28"/>
        <v>990883.51332347665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990883.51332347665</v>
      </c>
      <c r="J386" s="455">
        <f t="array" ref="J386">IFERROR(INDEX('Retirement Calculator'!J:J,MATCH('Isaac 401k'!N386,'Retirement Calculator'!A:A,0),0),0)</f>
        <v>7863.2184191855868</v>
      </c>
      <c r="K386" s="455">
        <f t="shared" ca="1" si="27"/>
        <v>4095.9178954345462</v>
      </c>
      <c r="L386" s="455">
        <f t="shared" ca="1" si="28"/>
        <v>987116.21279972559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987116.21279972559</v>
      </c>
      <c r="J387" s="455">
        <f t="array" ref="J387">IFERROR(INDEX('Retirement Calculator'!J:J,MATCH('Isaac 401k'!N387,'Retirement Calculator'!A:A,0),0),0)</f>
        <v>7863.2184191855868</v>
      </c>
      <c r="K387" s="455">
        <f t="shared" ca="1" si="27"/>
        <v>4080.2208099189165</v>
      </c>
      <c r="L387" s="455">
        <f t="shared" ca="1" si="28"/>
        <v>983333.21519045893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983333.21519045893</v>
      </c>
      <c r="J388" s="455">
        <f t="array" ref="J388">IFERROR(INDEX('Retirement Calculator'!J:J,MATCH('Isaac 401k'!N388,'Retirement Calculator'!A:A,0),0),0)</f>
        <v>7863.2184191855868</v>
      </c>
      <c r="K388" s="455">
        <f t="shared" ca="1" si="27"/>
        <v>4064.4583198803052</v>
      </c>
      <c r="L388" s="455">
        <f t="shared" ca="1" si="28"/>
        <v>979534.45509115362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979534.45509115362</v>
      </c>
      <c r="J389" s="455">
        <f t="array" ref="J389">IFERROR(INDEX('Retirement Calculator'!J:J,MATCH('Isaac 401k'!N389,'Retirement Calculator'!A:A,0),0),0)</f>
        <v>7863.2184191855868</v>
      </c>
      <c r="K389" s="455">
        <f t="shared" ca="1" si="27"/>
        <v>4048.6301527998671</v>
      </c>
      <c r="L389" s="455">
        <f t="shared" ca="1" si="28"/>
        <v>975719.8668247679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975719.8668247679</v>
      </c>
      <c r="J390" s="455">
        <f t="array" ref="J390">IFERROR(INDEX('Retirement Calculator'!J:J,MATCH('Isaac 401k'!N390,'Retirement Calculator'!A:A,0),0),0)</f>
        <v>7863.2184191855868</v>
      </c>
      <c r="K390" s="455">
        <f t="shared" ca="1" si="27"/>
        <v>4032.7360350232589</v>
      </c>
      <c r="L390" s="455">
        <f t="shared" ca="1" si="28"/>
        <v>971889.38444060553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971889.38444060553</v>
      </c>
      <c r="J391" s="455">
        <f t="array" ref="J391">IFERROR(INDEX('Retirement Calculator'!J:J,MATCH('Isaac 401k'!N391,'Retirement Calculator'!A:A,0),0),0)</f>
        <v>7863.2184191855868</v>
      </c>
      <c r="K391" s="455">
        <f t="shared" ca="1" si="27"/>
        <v>4016.7756917559163</v>
      </c>
      <c r="L391" s="455">
        <f t="shared" ca="1" si="28"/>
        <v>968042.94171317585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968042.94171317585</v>
      </c>
      <c r="J392" s="455">
        <f t="array" ref="J392">IFERROR(INDEX('Retirement Calculator'!J:J,MATCH('Isaac 401k'!N392,'Retirement Calculator'!A:A,0),0),0)</f>
        <v>7863.2184191855868</v>
      </c>
      <c r="K392" s="455">
        <f t="shared" ca="1" si="27"/>
        <v>4000.7488470582925</v>
      </c>
      <c r="L392" s="455">
        <f t="shared" ca="1" si="28"/>
        <v>964180.47214104852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964180.47214104852</v>
      </c>
      <c r="J393" s="455">
        <f t="array" ref="J393">IFERROR(INDEX('Retirement Calculator'!J:J,MATCH('Isaac 401k'!N393,'Retirement Calculator'!A:A,0),0),0)</f>
        <v>7863.2184191855868</v>
      </c>
      <c r="K393" s="455">
        <f t="shared" ca="1" si="27"/>
        <v>3984.6552238410954</v>
      </c>
      <c r="L393" s="455">
        <f t="shared" ca="1" si="28"/>
        <v>960301.908945704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960301.908945704</v>
      </c>
      <c r="J394" s="455">
        <f t="array" ref="J394">IFERROR(INDEX('Retirement Calculator'!J:J,MATCH('Isaac 401k'!N394,'Retirement Calculator'!A:A,0),0),0)</f>
        <v>7863.2184191855868</v>
      </c>
      <c r="K394" s="455">
        <f t="shared" ca="1" si="27"/>
        <v>3968.4945438604932</v>
      </c>
      <c r="L394" s="455">
        <f t="shared" ca="1" si="28"/>
        <v>956407.18507037894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956407.18507037894</v>
      </c>
      <c r="J395" s="455">
        <f t="array" ref="J395">IFERROR(INDEX('Retirement Calculator'!J:J,MATCH('Isaac 401k'!N395,'Retirement Calculator'!A:A,0),0),0)</f>
        <v>7863.2184191855868</v>
      </c>
      <c r="K395" s="455">
        <f t="shared" ca="1" si="27"/>
        <v>3952.266527713306</v>
      </c>
      <c r="L395" s="455">
        <f t="shared" ca="1" si="28"/>
        <v>952496.23317890661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952496.23317890661</v>
      </c>
      <c r="J396" s="455">
        <f t="array" ref="J396">IFERROR(INDEX('Retirement Calculator'!J:J,MATCH('Isaac 401k'!N396,'Retirement Calculator'!A:A,0),0),0)</f>
        <v>7863.2184191855868</v>
      </c>
      <c r="K396" s="455">
        <f t="shared" ca="1" si="27"/>
        <v>3935.9708948321704</v>
      </c>
      <c r="L396" s="455">
        <f t="shared" ca="1" si="28"/>
        <v>948568.98565455317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948568.98565455317</v>
      </c>
      <c r="J397" s="455">
        <f t="array" ref="J397">IFERROR(INDEX('Retirement Calculator'!J:J,MATCH('Isaac 401k'!N397,'Retirement Calculator'!A:A,0),0),0)</f>
        <v>7863.2184191855868</v>
      </c>
      <c r="K397" s="455">
        <f t="shared" ca="1" si="27"/>
        <v>3919.607363480698</v>
      </c>
      <c r="L397" s="455">
        <f t="shared" ca="1" si="28"/>
        <v>944625.37459884828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944625.37459884828</v>
      </c>
      <c r="J398" s="455">
        <f t="array" ref="J398">IFERROR(INDEX('Retirement Calculator'!J:J,MATCH('Isaac 401k'!N398,'Retirement Calculator'!A:A,0),0),0)</f>
        <v>7863.2184191855868</v>
      </c>
      <c r="K398" s="455">
        <f t="shared" ca="1" si="27"/>
        <v>3903.1756507485943</v>
      </c>
      <c r="L398" s="455">
        <f t="shared" ca="1" si="28"/>
        <v>940665.33183041122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940665.33183041122</v>
      </c>
      <c r="J399" s="455">
        <f t="array" ref="J399">IFERROR(INDEX('Retirement Calculator'!J:J,MATCH('Isaac 401k'!N399,'Retirement Calculator'!A:A,0),0),0)</f>
        <v>7863.2184191855868</v>
      </c>
      <c r="K399" s="455">
        <f t="shared" ca="1" si="27"/>
        <v>3886.6754725467731</v>
      </c>
      <c r="L399" s="455">
        <f t="shared" ca="1" si="28"/>
        <v>936688.78888377233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936688.78888377233</v>
      </c>
      <c r="J400" s="455">
        <f t="array" ref="J400">IFERROR(INDEX('Retirement Calculator'!J:J,MATCH('Isaac 401k'!N400,'Retirement Calculator'!A:A,0),0),0)</f>
        <v>7863.2184191855868</v>
      </c>
      <c r="K400" s="455">
        <f t="shared" ca="1" si="27"/>
        <v>3870.1065436024446</v>
      </c>
      <c r="L400" s="455">
        <f t="shared" ca="1" si="28"/>
        <v>932695.67700818914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932695.67700818914</v>
      </c>
      <c r="J401" s="455">
        <f t="array" ref="J401">IFERROR(INDEX('Retirement Calculator'!J:J,MATCH('Isaac 401k'!N401,'Retirement Calculator'!A:A,0),0),0)</f>
        <v>7863.2184191855868</v>
      </c>
      <c r="K401" s="455">
        <f t="shared" ca="1" si="27"/>
        <v>3853.4685774541813</v>
      </c>
      <c r="L401" s="455">
        <f t="shared" ca="1" si="28"/>
        <v>928685.92716645775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928685.92716645775</v>
      </c>
      <c r="J402" s="455">
        <f t="array" ref="J402">IFERROR(INDEX('Retirement Calculator'!J:J,MATCH('Isaac 401k'!N402,'Retirement Calculator'!A:A,0),0),0)</f>
        <v>7863.2184191855868</v>
      </c>
      <c r="K402" s="455">
        <f t="shared" ca="1" si="27"/>
        <v>3836.761286446967</v>
      </c>
      <c r="L402" s="455">
        <f t="shared" ca="1" si="28"/>
        <v>924659.47003371909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924659.47003371909</v>
      </c>
      <c r="J403" s="455">
        <f t="array" ref="J403">IFERROR(INDEX('Retirement Calculator'!J:J,MATCH('Isaac 401k'!N403,'Retirement Calculator'!A:A,0),0),0)</f>
        <v>7863.2184191855868</v>
      </c>
      <c r="K403" s="455">
        <f t="shared" ca="1" si="27"/>
        <v>3819.9843817272231</v>
      </c>
      <c r="L403" s="455">
        <f t="shared" ca="1" si="28"/>
        <v>920616.23599626066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920616.23599626066</v>
      </c>
      <c r="J404" s="455">
        <f t="array" ref="J404">IFERROR(INDEX('Retirement Calculator'!J:J,MATCH('Isaac 401k'!N404,'Retirement Calculator'!A:A,0),0),0)</f>
        <v>7863.2184191855868</v>
      </c>
      <c r="K404" s="455">
        <f t="shared" ca="1" si="27"/>
        <v>3803.1375732378124</v>
      </c>
      <c r="L404" s="455">
        <f t="shared" ca="1" si="28"/>
        <v>916556.15515031281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916556.15515031281</v>
      </c>
      <c r="J405" s="455">
        <f t="array" ref="J405">IFERROR(INDEX('Retirement Calculator'!J:J,MATCH('Isaac 401k'!N405,'Retirement Calculator'!A:A,0),0),0)</f>
        <v>7863.2184191855868</v>
      </c>
      <c r="K405" s="455">
        <f t="shared" ca="1" si="27"/>
        <v>3786.2205697130303</v>
      </c>
      <c r="L405" s="455">
        <f t="shared" ca="1" si="28"/>
        <v>912479.15730084025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912479.15730084025</v>
      </c>
      <c r="J406" s="455">
        <f t="array" ref="J406">IFERROR(INDEX('Retirement Calculator'!J:J,MATCH('Isaac 401k'!N406,'Retirement Calculator'!A:A,0),0),0)</f>
        <v>7863.2184191855868</v>
      </c>
      <c r="K406" s="455">
        <f t="shared" ca="1" si="27"/>
        <v>3769.2330786735611</v>
      </c>
      <c r="L406" s="455">
        <f t="shared" ca="1" si="28"/>
        <v>908385.17196032824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908385.17196032824</v>
      </c>
      <c r="J407" s="455">
        <f t="array" ref="J407">IFERROR(INDEX('Retirement Calculator'!J:J,MATCH('Isaac 401k'!N407,'Retirement Calculator'!A:A,0),0),0)</f>
        <v>7863.2184191855868</v>
      </c>
      <c r="K407" s="455">
        <f t="shared" ca="1" si="27"/>
        <v>3752.1748064214275</v>
      </c>
      <c r="L407" s="455">
        <f t="shared" ca="1" si="28"/>
        <v>904274.12834756402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904274.12834756402</v>
      </c>
      <c r="J408" s="455">
        <f t="array" ref="J408">IFERROR(INDEX('Retirement Calculator'!J:J,MATCH('Isaac 401k'!N408,'Retirement Calculator'!A:A,0),0),0)</f>
        <v>7863.2184191855868</v>
      </c>
      <c r="K408" s="455">
        <f t="shared" ca="1" si="27"/>
        <v>3735.0454580349096</v>
      </c>
      <c r="L408" s="455">
        <f t="shared" ca="1" si="28"/>
        <v>900145.95538641338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900145.95538641338</v>
      </c>
      <c r="J409" s="455">
        <f t="array" ref="J409">IFERROR(INDEX('Retirement Calculator'!J:J,MATCH('Isaac 401k'!N409,'Retirement Calculator'!A:A,0),0),0)</f>
        <v>7863.2184191855868</v>
      </c>
      <c r="K409" s="455">
        <f t="shared" ca="1" si="27"/>
        <v>3717.844737363449</v>
      </c>
      <c r="L409" s="455">
        <f t="shared" ca="1" si="28"/>
        <v>896000.58170459117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896000.58170459117</v>
      </c>
      <c r="J410" s="455">
        <f t="array" ref="J410">IFERROR(INDEX('Retirement Calculator'!J:J,MATCH('Isaac 401k'!N410,'Retirement Calculator'!A:A,0),0),0)</f>
        <v>7863.2184191855868</v>
      </c>
      <c r="K410" s="455">
        <f t="shared" ca="1" si="27"/>
        <v>3700.5723470225234</v>
      </c>
      <c r="L410" s="455">
        <f t="shared" ca="1" si="28"/>
        <v>891837.93563242804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891837.93563242804</v>
      </c>
      <c r="J411" s="455">
        <f t="array" ref="J411">IFERROR(INDEX('Retirement Calculator'!J:J,MATCH('Isaac 401k'!N411,'Retirement Calculator'!A:A,0),0),0)</f>
        <v>7863.2184191855868</v>
      </c>
      <c r="K411" s="455">
        <f t="shared" ca="1" si="27"/>
        <v>3683.2279883885094</v>
      </c>
      <c r="L411" s="455">
        <f t="shared" ca="1" si="28"/>
        <v>887657.94520163094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887657.94520163094</v>
      </c>
      <c r="J412" s="455">
        <f t="array" ref="J412">IFERROR(INDEX('Retirement Calculator'!J:J,MATCH('Isaac 401k'!N412,'Retirement Calculator'!A:A,0),0),0)</f>
        <v>7863.2184191855868</v>
      </c>
      <c r="K412" s="455">
        <f t="shared" ca="1" si="27"/>
        <v>3665.8113615935222</v>
      </c>
      <c r="L412" s="455">
        <f t="shared" ca="1" si="28"/>
        <v>883460.53814403887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883460.53814403887</v>
      </c>
      <c r="J413" s="455">
        <f t="array" ref="J413">IFERROR(INDEX('Retirement Calculator'!J:J,MATCH('Isaac 401k'!N413,'Retirement Calculator'!A:A,0),0),0)</f>
        <v>7863.2184191855868</v>
      </c>
      <c r="K413" s="455">
        <f t="shared" ca="1" si="27"/>
        <v>3648.3221655202215</v>
      </c>
      <c r="L413" s="455">
        <f t="shared" ca="1" si="28"/>
        <v>879245.64189037355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879245.64189037355</v>
      </c>
      <c r="J414" s="455">
        <f t="array" ref="J414">IFERROR(INDEX('Retirement Calculator'!J:J,MATCH('Isaac 401k'!N414,'Retirement Calculator'!A:A,0),0),0)</f>
        <v>7863.2184191855868</v>
      </c>
      <c r="K414" s="455">
        <f t="shared" ca="1" si="27"/>
        <v>3630.7600977966163</v>
      </c>
      <c r="L414" s="455">
        <f t="shared" ca="1" si="28"/>
        <v>875013.1835689845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875013.1835689845</v>
      </c>
      <c r="J415" s="455">
        <f t="array" ref="J415">IFERROR(INDEX('Retirement Calculator'!J:J,MATCH('Isaac 401k'!N415,'Retirement Calculator'!A:A,0),0),0)</f>
        <v>7863.2184191855868</v>
      </c>
      <c r="K415" s="455">
        <f t="shared" ca="1" si="27"/>
        <v>3613.1248547908281</v>
      </c>
      <c r="L415" s="455">
        <f t="shared" ca="1" si="28"/>
        <v>870763.09000458976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870763.09000458976</v>
      </c>
      <c r="J416" s="455">
        <f t="array" ref="J416">IFERROR(INDEX('Retirement Calculator'!J:J,MATCH('Isaac 401k'!N416,'Retirement Calculator'!A:A,0),0),0)</f>
        <v>7863.2184191855868</v>
      </c>
      <c r="K416" s="455">
        <f t="shared" ca="1" si="27"/>
        <v>3595.4161316058512</v>
      </c>
      <c r="L416" s="455">
        <f t="shared" ca="1" si="28"/>
        <v>866495.28771701001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866495.28771701001</v>
      </c>
      <c r="J417" s="455">
        <f t="array" ref="J417">IFERROR(INDEX('Retirement Calculator'!J:J,MATCH('Isaac 401k'!N417,'Retirement Calculator'!A:A,0),0),0)</f>
        <v>7863.2184191855868</v>
      </c>
      <c r="K417" s="455">
        <f t="shared" ca="1" si="27"/>
        <v>3577.6336220742683</v>
      </c>
      <c r="L417" s="455">
        <f t="shared" ca="1" si="28"/>
        <v>862209.70291989867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862209.70291989867</v>
      </c>
      <c r="J418" s="455">
        <f t="array" ref="J418">IFERROR(INDEX('Retirement Calculator'!J:J,MATCH('Isaac 401k'!N418,'Retirement Calculator'!A:A,0),0),0)</f>
        <v>7863.2184191855868</v>
      </c>
      <c r="K418" s="455">
        <f t="shared" ca="1" si="27"/>
        <v>3559.7770187529709</v>
      </c>
      <c r="L418" s="455">
        <f t="shared" ca="1" si="28"/>
        <v>857906.26151946606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857906.26151946606</v>
      </c>
      <c r="J419" s="455">
        <f t="array" ref="J419">IFERROR(INDEX('Retirement Calculator'!J:J,MATCH('Isaac 401k'!N419,'Retirement Calculator'!A:A,0),0),0)</f>
        <v>7863.2184191855868</v>
      </c>
      <c r="K419" s="455">
        <f t="shared" ca="1" si="27"/>
        <v>3541.8460129178347</v>
      </c>
      <c r="L419" s="455">
        <f t="shared" ca="1" si="28"/>
        <v>853584.88911319827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853584.88911319827</v>
      </c>
      <c r="J420" s="455">
        <f t="array" ref="J420">IFERROR(INDEX('Retirement Calculator'!J:J,MATCH('Isaac 401k'!N420,'Retirement Calculator'!A:A,0),0),0)</f>
        <v>7863.2184191855868</v>
      </c>
      <c r="K420" s="455">
        <f t="shared" ca="1" si="27"/>
        <v>3523.8402945583866</v>
      </c>
      <c r="L420" s="455">
        <f t="shared" ca="1" si="28"/>
        <v>849245.5109885711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849245.5109885711</v>
      </c>
      <c r="J421" s="455">
        <f t="array" ref="J421">IFERROR(INDEX('Retirement Calculator'!J:J,MATCH('Isaac 401k'!N421,'Retirement Calculator'!A:A,0),0),0)</f>
        <v>7863.2184191855868</v>
      </c>
      <c r="K421" s="455">
        <f t="shared" ca="1" si="27"/>
        <v>3505.7595523724394</v>
      </c>
      <c r="L421" s="455">
        <f t="shared" ca="1" si="28"/>
        <v>844888.05212175788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844888.05212175788</v>
      </c>
      <c r="J422" s="455">
        <f t="array" ref="J422">IFERROR(INDEX('Retirement Calculator'!J:J,MATCH('Isaac 401k'!N422,'Retirement Calculator'!A:A,0),0),0)</f>
        <v>7863.2184191855868</v>
      </c>
      <c r="K422" s="455">
        <f t="shared" ca="1" si="27"/>
        <v>3487.6034737607179</v>
      </c>
      <c r="L422" s="455">
        <f t="shared" ca="1" si="28"/>
        <v>840512.43717633304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840512.43717633304</v>
      </c>
      <c r="J423" s="455">
        <f t="array" ref="J423">IFERROR(INDEX('Retirement Calculator'!J:J,MATCH('Isaac 401k'!N423,'Retirement Calculator'!A:A,0),0),0)</f>
        <v>7863.2184191855868</v>
      </c>
      <c r="K423" s="455">
        <f t="shared" ca="1" si="27"/>
        <v>3469.3717448214479</v>
      </c>
      <c r="L423" s="455">
        <f t="shared" ca="1" si="28"/>
        <v>836118.59050196887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836118.59050196887</v>
      </c>
      <c r="J424" s="455">
        <f t="array" ref="J424">IFERROR(INDEX('Retirement Calculator'!J:J,MATCH('Isaac 401k'!N424,'Retirement Calculator'!A:A,0),0),0)</f>
        <v>7863.2184191855868</v>
      </c>
      <c r="K424" s="455">
        <f t="shared" ca="1" si="27"/>
        <v>3451.0640503449304</v>
      </c>
      <c r="L424" s="455">
        <f t="shared" ca="1" si="28"/>
        <v>831706.43613312824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831706.43613312824</v>
      </c>
      <c r="J425" s="455">
        <f t="array" ref="J425">IFERROR(INDEX('Retirement Calculator'!J:J,MATCH('Isaac 401k'!N425,'Retirement Calculator'!A:A,0),0),0)</f>
        <v>7863.2184191855868</v>
      </c>
      <c r="K425" s="455">
        <f t="shared" ca="1" si="27"/>
        <v>3432.6800738080947</v>
      </c>
      <c r="L425" s="455">
        <f t="shared" ca="1" si="28"/>
        <v>827275.8977877507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827275.8977877507</v>
      </c>
      <c r="J426" s="455">
        <f t="array" ref="J426">IFERROR(INDEX('Retirement Calculator'!J:J,MATCH('Isaac 401k'!N426,'Retirement Calculator'!A:A,0),0),0)</f>
        <v>7863.2184191855868</v>
      </c>
      <c r="K426" s="455">
        <f t="shared" ca="1" si="27"/>
        <v>3414.2194973690216</v>
      </c>
      <c r="L426" s="455">
        <f t="shared" ca="1" si="28"/>
        <v>822826.89886593411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822826.89886593411</v>
      </c>
      <c r="J427" s="455">
        <f t="array" ref="J427">IFERROR(INDEX('Retirement Calculator'!J:J,MATCH('Isaac 401k'!N427,'Retirement Calculator'!A:A,0),0),0)</f>
        <v>7863.2184191855868</v>
      </c>
      <c r="K427" s="455">
        <f t="shared" ca="1" si="27"/>
        <v>3395.6820018614521</v>
      </c>
      <c r="L427" s="455">
        <f t="shared" ca="1" si="28"/>
        <v>818359.3624486099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818359.3624486099</v>
      </c>
      <c r="J428" s="455">
        <f t="array" ref="J428">IFERROR(INDEX('Retirement Calculator'!J:J,MATCH('Isaac 401k'!N428,'Retirement Calculator'!A:A,0),0),0)</f>
        <v>7863.2184191855868</v>
      </c>
      <c r="K428" s="455">
        <f t="shared" ca="1" si="27"/>
        <v>3377.0672667892677</v>
      </c>
      <c r="L428" s="455">
        <f t="shared" ca="1" si="28"/>
        <v>813873.21129621356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813873.21129621356</v>
      </c>
      <c r="J429" s="455">
        <f t="array" ref="J429">IFERROR(INDEX('Retirement Calculator'!J:J,MATCH('Isaac 401k'!N429,'Retirement Calculator'!A:A,0),0),0)</f>
        <v>7863.2184191855868</v>
      </c>
      <c r="K429" s="455">
        <f t="shared" ca="1" si="27"/>
        <v>3358.3749703209496</v>
      </c>
      <c r="L429" s="455">
        <f t="shared" ca="1" si="28"/>
        <v>809368.36784734891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809368.36784734891</v>
      </c>
      <c r="J430" s="455">
        <f t="array" ref="J430">IFERROR(INDEX('Retirement Calculator'!J:J,MATCH('Isaac 401k'!N430,'Retirement Calculator'!A:A,0),0),0)</f>
        <v>7863.2184191855868</v>
      </c>
      <c r="K430" s="455">
        <f t="shared" ca="1" si="27"/>
        <v>3339.6047892840138</v>
      </c>
      <c r="L430" s="455">
        <f t="shared" ca="1" si="28"/>
        <v>804844.75421744736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804844.75421744736</v>
      </c>
      <c r="J431" s="455">
        <f t="array" ref="J431">IFERROR(INDEX('Retirement Calculator'!J:J,MATCH('Isaac 401k'!N431,'Retirement Calculator'!A:A,0),0),0)</f>
        <v>7863.2184191855868</v>
      </c>
      <c r="K431" s="455">
        <f t="shared" ca="1" si="27"/>
        <v>3320.7563991594238</v>
      </c>
      <c r="L431" s="455">
        <f t="shared" ca="1" si="28"/>
        <v>800302.29219742119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800302.29219742119</v>
      </c>
      <c r="J432" s="455">
        <f t="array" ref="J432">IFERROR(INDEX('Retirement Calculator'!J:J,MATCH('Isaac 401k'!N432,'Retirement Calculator'!A:A,0),0),0)</f>
        <v>7863.2184191855868</v>
      </c>
      <c r="K432" s="455">
        <f t="shared" ca="1" si="27"/>
        <v>3301.8294740759816</v>
      </c>
      <c r="L432" s="455">
        <f t="shared" ca="1" si="28"/>
        <v>795740.90325231152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795740.90325231152</v>
      </c>
      <c r="J433" s="455">
        <f t="array" ref="J433">IFERROR(INDEX('Retirement Calculator'!J:J,MATCH('Isaac 401k'!N433,'Retirement Calculator'!A:A,0),0),0)</f>
        <v>7863.2184191855868</v>
      </c>
      <c r="K433" s="455">
        <f t="shared" ca="1" si="27"/>
        <v>3282.8236868046911</v>
      </c>
      <c r="L433" s="455">
        <f t="shared" ca="1" si="28"/>
        <v>791160.50851993065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791160.50851993065</v>
      </c>
      <c r="J434" s="455">
        <f t="array" ref="J434">IFERROR(INDEX('Retirement Calculator'!J:J,MATCH('Isaac 401k'!N434,'Retirement Calculator'!A:A,0),0),0)</f>
        <v>7863.2184191855868</v>
      </c>
      <c r="K434" s="455">
        <f t="shared" ca="1" si="27"/>
        <v>3263.7387087531042</v>
      </c>
      <c r="L434" s="455">
        <f t="shared" ca="1" si="28"/>
        <v>786561.02880949818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786561.02880949818</v>
      </c>
      <c r="J435" s="455">
        <f t="array" ref="J435">IFERROR(INDEX('Retirement Calculator'!J:J,MATCH('Isaac 401k'!N435,'Retirement Calculator'!A:A,0),0),0)</f>
        <v>7863.2184191855868</v>
      </c>
      <c r="K435" s="455">
        <f t="shared" ca="1" si="27"/>
        <v>3244.5742099596355</v>
      </c>
      <c r="L435" s="455">
        <f t="shared" ca="1" si="28"/>
        <v>781942.38460027217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781942.38460027217</v>
      </c>
      <c r="J436" s="455">
        <f t="array" ref="J436">IFERROR(INDEX('Retirement Calculator'!J:J,MATCH('Isaac 401k'!N436,'Retirement Calculator'!A:A,0),0),0)</f>
        <v>7863.2184191855868</v>
      </c>
      <c r="K436" s="455">
        <f t="shared" ca="1" si="27"/>
        <v>3225.3298590878608</v>
      </c>
      <c r="L436" s="455">
        <f t="shared" ca="1" si="28"/>
        <v>777304.49604017439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777304.49604017439</v>
      </c>
      <c r="J437" s="455">
        <f t="array" ref="J437">IFERROR(INDEX('Retirement Calculator'!J:J,MATCH('Isaac 401k'!N437,'Retirement Calculator'!A:A,0),0),0)</f>
        <v>7863.2184191855868</v>
      </c>
      <c r="K437" s="455">
        <f t="shared" ca="1" si="27"/>
        <v>3206.0053234207867</v>
      </c>
      <c r="L437" s="455">
        <f t="shared" ca="1" si="28"/>
        <v>772647.28294440953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772647.28294440953</v>
      </c>
      <c r="J438" s="455">
        <f t="array" ref="J438">IFERROR(INDEX('Retirement Calculator'!J:J,MATCH('Isaac 401k'!N438,'Retirement Calculator'!A:A,0),0),0)</f>
        <v>7863.2184191855868</v>
      </c>
      <c r="K438" s="455">
        <f t="shared" ca="1" si="27"/>
        <v>3186.6002688550998</v>
      </c>
      <c r="L438" s="455">
        <f t="shared" ca="1" si="28"/>
        <v>767970.66479407903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767970.66479407903</v>
      </c>
      <c r="J439" s="455">
        <f t="array" ref="J439">IFERROR(INDEX('Retirement Calculator'!J:J,MATCH('Isaac 401k'!N439,'Retirement Calculator'!A:A,0),0),0)</f>
        <v>7863.2184191855868</v>
      </c>
      <c r="K439" s="455">
        <f t="shared" ca="1" si="27"/>
        <v>3167.114359895389</v>
      </c>
      <c r="L439" s="455">
        <f t="shared" ca="1" si="28"/>
        <v>763274.56073478877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763274.56073478877</v>
      </c>
      <c r="J440" s="455">
        <f t="array" ref="J440">IFERROR(INDEX('Retirement Calculator'!J:J,MATCH('Isaac 401k'!N440,'Retirement Calculator'!A:A,0),0),0)</f>
        <v>7863.2184191855868</v>
      </c>
      <c r="K440" s="455">
        <f t="shared" ca="1" si="27"/>
        <v>3147.5472596483464</v>
      </c>
      <c r="L440" s="455">
        <f t="shared" ca="1" si="28"/>
        <v>758558.88957525149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758558.88957525149</v>
      </c>
      <c r="J441" s="455">
        <f t="array" ref="J441">IFERROR(INDEX('Retirement Calculator'!J:J,MATCH('Isaac 401k'!N441,'Retirement Calculator'!A:A,0),0),0)</f>
        <v>7863.2184191855868</v>
      </c>
      <c r="K441" s="455">
        <f t="shared" ca="1" si="27"/>
        <v>3127.8986298169411</v>
      </c>
      <c r="L441" s="455">
        <f t="shared" ca="1" si="28"/>
        <v>753823.56978588284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753823.56978588284</v>
      </c>
      <c r="J442" s="455">
        <f t="array" ref="J442">IFERROR(INDEX('Retirement Calculator'!J:J,MATCH('Isaac 401k'!N442,'Retirement Calculator'!A:A,0),0),0)</f>
        <v>7863.2184191855868</v>
      </c>
      <c r="K442" s="455">
        <f t="shared" ca="1" si="27"/>
        <v>3108.1681306945716</v>
      </c>
      <c r="L442" s="455">
        <f t="shared" ca="1" si="28"/>
        <v>749068.51949739177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749068.51949739177</v>
      </c>
      <c r="J443" s="455">
        <f t="array" ref="J443">IFERROR(INDEX('Retirement Calculator'!J:J,MATCH('Isaac 401k'!N443,'Retirement Calculator'!A:A,0),0),0)</f>
        <v>7863.2184191855868</v>
      </c>
      <c r="K443" s="455">
        <f t="shared" ca="1" si="27"/>
        <v>3088.3554211591922</v>
      </c>
      <c r="L443" s="455">
        <f t="shared" ca="1" si="28"/>
        <v>744293.65649936534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744293.65649936534</v>
      </c>
      <c r="J444" s="455">
        <f t="array" ref="J444">IFERROR(INDEX('Retirement Calculator'!J:J,MATCH('Isaac 401k'!N444,'Retirement Calculator'!A:A,0),0),0)</f>
        <v>7863.2184191855868</v>
      </c>
      <c r="K444" s="455">
        <f t="shared" ca="1" si="27"/>
        <v>3068.4601586674157</v>
      </c>
      <c r="L444" s="455">
        <f t="shared" ca="1" si="28"/>
        <v>739498.89823884715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739498.89823884715</v>
      </c>
      <c r="J445" s="455">
        <f t="array" ref="J445">IFERROR(INDEX('Retirement Calculator'!J:J,MATCH('Isaac 401k'!N445,'Retirement Calculator'!A:A,0),0),0)</f>
        <v>7863.2184191855868</v>
      </c>
      <c r="K445" s="455">
        <f t="shared" ca="1" si="27"/>
        <v>3048.4819992485895</v>
      </c>
      <c r="L445" s="455">
        <f t="shared" ca="1" si="28"/>
        <v>734684.16181891016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734684.16181891016</v>
      </c>
      <c r="J446" s="455">
        <f t="array" ref="J446">IFERROR(INDEX('Retirement Calculator'!J:J,MATCH('Isaac 401k'!N446,'Retirement Calculator'!A:A,0),0),0)</f>
        <v>7863.2184191855868</v>
      </c>
      <c r="K446" s="455">
        <f t="shared" ca="1" si="27"/>
        <v>3028.4205974988522</v>
      </c>
      <c r="L446" s="455">
        <f t="shared" ca="1" si="28"/>
        <v>729849.36399722344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729849.36399722344</v>
      </c>
      <c r="J447" s="455">
        <f t="array" ref="J447">IFERROR(INDEX('Retirement Calculator'!J:J,MATCH('Isaac 401k'!N447,'Retirement Calculator'!A:A,0),0),0)</f>
        <v>7863.2184191855868</v>
      </c>
      <c r="K447" s="455">
        <f t="shared" ca="1" si="27"/>
        <v>3008.2756065751578</v>
      </c>
      <c r="L447" s="455">
        <f t="shared" ca="1" si="28"/>
        <v>724994.42118461302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724994.42118461302</v>
      </c>
      <c r="J448" s="455">
        <f t="array" ref="J448">IFERROR(INDEX('Retirement Calculator'!J:J,MATCH('Isaac 401k'!N448,'Retirement Calculator'!A:A,0),0),0)</f>
        <v>7863.2184191855868</v>
      </c>
      <c r="K448" s="455">
        <f t="shared" ca="1" si="27"/>
        <v>2988.046678189281</v>
      </c>
      <c r="L448" s="455">
        <f t="shared" ca="1" si="28"/>
        <v>720119.24944361672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720119.24944361672</v>
      </c>
      <c r="J449" s="455">
        <f t="array" ref="J449">IFERROR(INDEX('Retirement Calculator'!J:J,MATCH('Isaac 401k'!N449,'Retirement Calculator'!A:A,0),0),0)</f>
        <v>7863.2184191855868</v>
      </c>
      <c r="K449" s="455">
        <f t="shared" ca="1" si="27"/>
        <v>2967.7334626017964</v>
      </c>
      <c r="L449" s="455">
        <f t="shared" ca="1" si="28"/>
        <v>715223.76448703289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715223.76448703289</v>
      </c>
      <c r="J450" s="455">
        <f t="array" ref="J450">IFERROR(INDEX('Retirement Calculator'!J:J,MATCH('Isaac 401k'!N450,'Retirement Calculator'!A:A,0),0),0)</f>
        <v>7863.2184191855868</v>
      </c>
      <c r="K450" s="455">
        <f t="shared" ca="1" si="27"/>
        <v>2947.3356086160302</v>
      </c>
      <c r="L450" s="455">
        <f t="shared" ca="1" si="28"/>
        <v>710307.88167646329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710307.88167646329</v>
      </c>
      <c r="J451" s="455">
        <f t="array" ref="J451">IFERROR(INDEX('Retirement Calculator'!J:J,MATCH('Isaac 401k'!N451,'Retirement Calculator'!A:A,0),0),0)</f>
        <v>7863.2184191855868</v>
      </c>
      <c r="K451" s="455">
        <f t="shared" ca="1" si="27"/>
        <v>2926.8527635719902</v>
      </c>
      <c r="L451" s="455">
        <f t="shared" ca="1" si="28"/>
        <v>705371.5160208497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705371.5160208497</v>
      </c>
      <c r="J452" s="455">
        <f t="array" ref="J452">IFERROR(INDEX('Retirement Calculator'!J:J,MATCH('Isaac 401k'!N452,'Retirement Calculator'!A:A,0),0),0)</f>
        <v>7863.2184191855868</v>
      </c>
      <c r="K452" s="455">
        <f t="shared" ca="1" si="27"/>
        <v>2906.2845733402669</v>
      </c>
      <c r="L452" s="455">
        <f t="shared" ca="1" si="28"/>
        <v>700414.58217500441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700414.58217500441</v>
      </c>
      <c r="J453" s="455">
        <f t="array" ref="J453">IFERROR(INDEX('Retirement Calculator'!J:J,MATCH('Isaac 401k'!N453,'Retirement Calculator'!A:A,0),0),0)</f>
        <v>7863.2184191855868</v>
      </c>
      <c r="K453" s="455">
        <f t="shared" ca="1" si="27"/>
        <v>2885.6306823159116</v>
      </c>
      <c r="L453" s="455">
        <f t="shared" ca="1" si="28"/>
        <v>695436.99443813472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695436.99443813472</v>
      </c>
      <c r="J454" s="455">
        <f t="array" ref="J454">IFERROR(INDEX('Retirement Calculator'!J:J,MATCH('Isaac 401k'!N454,'Retirement Calculator'!A:A,0),0),0)</f>
        <v>7863.2184191855868</v>
      </c>
      <c r="K454" s="455">
        <f t="shared" ca="1" si="27"/>
        <v>2864.8907334122878</v>
      </c>
      <c r="L454" s="455">
        <f t="shared" ca="1" si="28"/>
        <v>690438.66675236134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690438.66675236134</v>
      </c>
      <c r="J455" s="455">
        <f t="array" ref="J455">IFERROR(INDEX('Retirement Calculator'!J:J,MATCH('Isaac 401k'!N455,'Retirement Calculator'!A:A,0),0),0)</f>
        <v>7863.2184191855868</v>
      </c>
      <c r="K455" s="455">
        <f t="shared" ca="1" si="27"/>
        <v>2844.0643680548988</v>
      </c>
      <c r="L455" s="455">
        <f t="shared" ca="1" si="28"/>
        <v>685419.51270123059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685419.51270123059</v>
      </c>
      <c r="J456" s="455">
        <f t="array" ref="J456">IFERROR(INDEX('Retirement Calculator'!J:J,MATCH('Isaac 401k'!N456,'Retirement Calculator'!A:A,0),0),0)</f>
        <v>7863.2184191855868</v>
      </c>
      <c r="K456" s="455">
        <f t="shared" ca="1" si="27"/>
        <v>2823.1512261751873</v>
      </c>
      <c r="L456" s="455">
        <f t="shared" ca="1" si="28"/>
        <v>680379.44550822012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680379.44550822012</v>
      </c>
      <c r="J457" s="455">
        <f t="array" ref="J457">IFERROR(INDEX('Retirement Calculator'!J:J,MATCH('Isaac 401k'!N457,'Retirement Calculator'!A:A,0),0),0)</f>
        <v>7863.2184191855868</v>
      </c>
      <c r="K457" s="455">
        <f t="shared" ca="1" si="27"/>
        <v>2802.1509462043105</v>
      </c>
      <c r="L457" s="455">
        <f t="shared" ca="1" si="28"/>
        <v>675318.37803523883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675318.37803523883</v>
      </c>
      <c r="J458" s="455">
        <f t="array" ref="J458">IFERROR(INDEX('Retirement Calculator'!J:J,MATCH('Isaac 401k'!N458,'Retirement Calculator'!A:A,0),0),0)</f>
        <v>7863.2184191855868</v>
      </c>
      <c r="K458" s="455">
        <f t="shared" ca="1" si="27"/>
        <v>2781.0631650668884</v>
      </c>
      <c r="L458" s="455">
        <f t="shared" ca="1" si="28"/>
        <v>670236.2227811201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670236.2227811201</v>
      </c>
      <c r="J459" s="455">
        <f t="array" ref="J459">IFERROR(INDEX('Retirement Calculator'!J:J,MATCH('Isaac 401k'!N459,'Retirement Calculator'!A:A,0),0),0)</f>
        <v>7863.2184191855868</v>
      </c>
      <c r="K459" s="455">
        <f t="shared" ca="1" si="27"/>
        <v>2759.8875181747271</v>
      </c>
      <c r="L459" s="455">
        <f t="shared" ca="1" si="28"/>
        <v>665132.89188010921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665132.89188010921</v>
      </c>
      <c r="J460" s="455">
        <f t="array" ref="J460">IFERROR(INDEX('Retirement Calculator'!J:J,MATCH('Isaac 401k'!N460,'Retirement Calculator'!A:A,0),0),0)</f>
        <v>7863.2184191855868</v>
      </c>
      <c r="K460" s="455">
        <f t="shared" ca="1" si="27"/>
        <v>2738.6236394205148</v>
      </c>
      <c r="L460" s="455">
        <f t="shared" ca="1" si="28"/>
        <v>660008.29710034409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660008.29710034409</v>
      </c>
      <c r="J461" s="455">
        <f t="array" ref="J461">IFERROR(INDEX('Retirement Calculator'!J:J,MATCH('Isaac 401k'!N461,'Retirement Calculator'!A:A,0),0),0)</f>
        <v>7863.2184191855868</v>
      </c>
      <c r="K461" s="455">
        <f t="shared" ca="1" si="27"/>
        <v>2717.2711611714935</v>
      </c>
      <c r="L461" s="455">
        <f t="shared" ca="1" si="28"/>
        <v>654862.34984232998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654862.34984232998</v>
      </c>
      <c r="J462" s="455">
        <f t="array" ref="J462">IFERROR(INDEX('Retirement Calculator'!J:J,MATCH('Isaac 401k'!N462,'Retirement Calculator'!A:A,0),0),0)</f>
        <v>7863.2184191855868</v>
      </c>
      <c r="K462" s="455">
        <f t="shared" ca="1" si="27"/>
        <v>2695.8297142631013</v>
      </c>
      <c r="L462" s="455">
        <f t="shared" ca="1" si="28"/>
        <v>649694.96113740746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649694.96113740746</v>
      </c>
      <c r="J463" s="455">
        <f t="array" ref="J463">IFERROR(INDEX('Retirement Calculator'!J:J,MATCH('Isaac 401k'!N463,'Retirement Calculator'!A:A,0),0),0)</f>
        <v>7863.2184191855868</v>
      </c>
      <c r="K463" s="455">
        <f t="shared" ca="1" si="27"/>
        <v>2674.298927992591</v>
      </c>
      <c r="L463" s="455">
        <f t="shared" ca="1" si="28"/>
        <v>644506.04164621443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644506.04164621443</v>
      </c>
      <c r="J464" s="455">
        <f t="array" ref="J464">IFERROR(INDEX('Retirement Calculator'!J:J,MATCH('Isaac 401k'!N464,'Retirement Calculator'!A:A,0),0),0)</f>
        <v>7863.2184191855868</v>
      </c>
      <c r="K464" s="455">
        <f t="shared" ca="1" si="27"/>
        <v>2652.6784301126199</v>
      </c>
      <c r="L464" s="455">
        <f t="shared" ca="1" si="28"/>
        <v>639295.50165714149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639295.50165714149</v>
      </c>
      <c r="J465" s="455">
        <f t="array" ref="J465">IFERROR(INDEX('Retirement Calculator'!J:J,MATCH('Isaac 401k'!N465,'Retirement Calculator'!A:A,0),0),0)</f>
        <v>7863.2184191855868</v>
      </c>
      <c r="K465" s="455">
        <f t="shared" ca="1" si="27"/>
        <v>2630.9678468248162</v>
      </c>
      <c r="L465" s="455">
        <f t="shared" ca="1" si="28"/>
        <v>634063.25108478067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634063.25108478067</v>
      </c>
      <c r="J466" s="455">
        <f t="array" ref="J466">IFERROR(INDEX('Retirement Calculator'!J:J,MATCH('Isaac 401k'!N466,'Retirement Calculator'!A:A,0),0),0)</f>
        <v>7863.2184191855868</v>
      </c>
      <c r="K466" s="455">
        <f t="shared" ca="1" si="27"/>
        <v>2609.1668027733126</v>
      </c>
      <c r="L466" s="455">
        <f t="shared" ca="1" si="28"/>
        <v>628809.19946836843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628809.19946836843</v>
      </c>
      <c r="J467" s="455">
        <f t="array" ref="J467">IFERROR(INDEX('Retirement Calculator'!J:J,MATCH('Isaac 401k'!N467,'Retirement Calculator'!A:A,0),0),0)</f>
        <v>7863.2184191855868</v>
      </c>
      <c r="K467" s="455">
        <f t="shared" ca="1" si="27"/>
        <v>2587.2749210382617</v>
      </c>
      <c r="L467" s="455">
        <f t="shared" ca="1" si="28"/>
        <v>623533.25597022113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623533.25597022113</v>
      </c>
      <c r="J468" s="455">
        <f t="array" ref="J468">IFERROR(INDEX('Retirement Calculator'!J:J,MATCH('Isaac 401k'!N468,'Retirement Calculator'!A:A,0),0),0)</f>
        <v>7863.2184191855868</v>
      </c>
      <c r="K468" s="455">
        <f t="shared" ca="1" si="27"/>
        <v>2565.2918231293147</v>
      </c>
      <c r="L468" s="455">
        <f t="shared" ca="1" si="28"/>
        <v>618235.32937416481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618235.32937416481</v>
      </c>
      <c r="J469" s="455">
        <f t="array" ref="J469">IFERROR(INDEX('Retirement Calculator'!J:J,MATCH('Isaac 401k'!N469,'Retirement Calculator'!A:A,0),0),0)</f>
        <v>7863.2184191855868</v>
      </c>
      <c r="K469" s="455">
        <f t="shared" ca="1" si="27"/>
        <v>2543.2171289790799</v>
      </c>
      <c r="L469" s="455">
        <f t="shared" ca="1" si="28"/>
        <v>612915.32808395824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612915.32808395824</v>
      </c>
      <c r="J470" s="455">
        <f t="array" ref="J470">IFERROR(INDEX('Retirement Calculator'!J:J,MATCH('Isaac 401k'!N470,'Retirement Calculator'!A:A,0),0),0)</f>
        <v>7863.2184191855868</v>
      </c>
      <c r="K470" s="455">
        <f t="shared" ca="1" si="27"/>
        <v>2521.0504569365526</v>
      </c>
      <c r="L470" s="455">
        <f t="shared" ca="1" si="28"/>
        <v>607573.16012170922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607573.16012170922</v>
      </c>
      <c r="J471" s="455">
        <f t="array" ref="J471">IFERROR(INDEX('Retirement Calculator'!J:J,MATCH('Isaac 401k'!N471,'Retirement Calculator'!A:A,0),0),0)</f>
        <v>7863.2184191855868</v>
      </c>
      <c r="K471" s="455">
        <f t="shared" ca="1" si="27"/>
        <v>2498.791423760515</v>
      </c>
      <c r="L471" s="455">
        <f t="shared" ca="1" si="28"/>
        <v>602208.73312628409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602208.73312628409</v>
      </c>
      <c r="J472" s="455">
        <f t="array" ref="J472">IFERROR(INDEX('Retirement Calculator'!J:J,MATCH('Isaac 401k'!N472,'Retirement Calculator'!A:A,0),0),0)</f>
        <v>7863.2184191855868</v>
      </c>
      <c r="K472" s="455">
        <f t="shared" ca="1" si="27"/>
        <v>2476.4396446129103</v>
      </c>
      <c r="L472" s="455">
        <f t="shared" ca="1" si="28"/>
        <v>596821.95435171144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596821.95435171144</v>
      </c>
      <c r="J473" s="455">
        <f t="array" ref="J473">IFERROR(INDEX('Retirement Calculator'!J:J,MATCH('Isaac 401k'!N473,'Retirement Calculator'!A:A,0),0),0)</f>
        <v>7863.2184191855868</v>
      </c>
      <c r="K473" s="455">
        <f t="shared" ca="1" si="27"/>
        <v>2453.9947330521909</v>
      </c>
      <c r="L473" s="455">
        <f t="shared" ca="1" si="28"/>
        <v>591412.73066557804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591412.73066557804</v>
      </c>
      <c r="J474" s="455">
        <f t="array" ref="J474">IFERROR(INDEX('Retirement Calculator'!J:J,MATCH('Isaac 401k'!N474,'Retirement Calculator'!A:A,0),0),0)</f>
        <v>7863.2184191855868</v>
      </c>
      <c r="K474" s="455">
        <f t="shared" ca="1" si="27"/>
        <v>2431.4563010266352</v>
      </c>
      <c r="L474" s="455">
        <f t="shared" ca="1" si="28"/>
        <v>585980.96854741906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585980.96854741906</v>
      </c>
      <c r="J475" s="455">
        <f t="array" ref="J475">IFERROR(INDEX('Retirement Calculator'!J:J,MATCH('Isaac 401k'!N475,'Retirement Calculator'!A:A,0),0),0)</f>
        <v>7863.2184191855868</v>
      </c>
      <c r="K475" s="455">
        <f t="shared" ca="1" si="27"/>
        <v>2408.8239588676392</v>
      </c>
      <c r="L475" s="455">
        <f t="shared" ca="1" si="28"/>
        <v>580526.57408710115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580526.57408710115</v>
      </c>
      <c r="J476" s="455">
        <f t="array" ref="J476">IFERROR(INDEX('Retirement Calculator'!J:J,MATCH('Isaac 401k'!N476,'Retirement Calculator'!A:A,0),0),0)</f>
        <v>7863.2184191855868</v>
      </c>
      <c r="K476" s="455">
        <f t="shared" ca="1" si="27"/>
        <v>2386.0973152829815</v>
      </c>
      <c r="L476" s="455">
        <f t="shared" ca="1" si="28"/>
        <v>575049.45298319857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575049.45298319857</v>
      </c>
      <c r="J477" s="455">
        <f t="array" ref="J477">IFERROR(INDEX('Retirement Calculator'!J:J,MATCH('Isaac 401k'!N477,'Retirement Calculator'!A:A,0),0),0)</f>
        <v>7863.2184191855868</v>
      </c>
      <c r="K477" s="455">
        <f t="shared" ca="1" si="27"/>
        <v>2363.2759773500538</v>
      </c>
      <c r="L477" s="455">
        <f t="shared" ca="1" si="28"/>
        <v>569549.51054136304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569549.51054136304</v>
      </c>
      <c r="J478" s="455">
        <f t="array" ref="J478">IFERROR(INDEX('Retirement Calculator'!J:J,MATCH('Isaac 401k'!N478,'Retirement Calculator'!A:A,0),0),0)</f>
        <v>7863.2184191855868</v>
      </c>
      <c r="K478" s="455">
        <f t="shared" ca="1" si="27"/>
        <v>2340.3595505090725</v>
      </c>
      <c r="L478" s="455">
        <f t="shared" ca="1" si="28"/>
        <v>564026.65167268645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564026.65167268645</v>
      </c>
      <c r="J479" s="455">
        <f t="array" ref="J479">IFERROR(INDEX('Retirement Calculator'!J:J,MATCH('Isaac 401k'!N479,'Retirement Calculator'!A:A,0),0),0)</f>
        <v>7863.2184191855868</v>
      </c>
      <c r="K479" s="455">
        <f t="shared" ca="1" si="27"/>
        <v>2317.3476385562535</v>
      </c>
      <c r="L479" s="455">
        <f t="shared" ca="1" si="28"/>
        <v>558480.78089205711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558480.78089205711</v>
      </c>
      <c r="J480" s="455">
        <f t="array" ref="J480">IFERROR(INDEX('Retirement Calculator'!J:J,MATCH('Isaac 401k'!N480,'Retirement Calculator'!A:A,0),0),0)</f>
        <v>7863.2184191855868</v>
      </c>
      <c r="K480" s="455">
        <f t="shared" ca="1" si="27"/>
        <v>2294.2398436369645</v>
      </c>
      <c r="L480" s="455">
        <f t="shared" ca="1" si="28"/>
        <v>552911.80231650849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552911.80231650849</v>
      </c>
      <c r="J481" s="455">
        <f t="array" ref="J481">IFERROR(INDEX('Retirement Calculator'!J:J,MATCH('Isaac 401k'!N481,'Retirement Calculator'!A:A,0),0),0)</f>
        <v>7863.2184191855868</v>
      </c>
      <c r="K481" s="455">
        <f t="shared" ca="1" si="27"/>
        <v>2271.0357662388451</v>
      </c>
      <c r="L481" s="455">
        <f t="shared" ca="1" si="28"/>
        <v>547319.61966356169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547319.61966356169</v>
      </c>
      <c r="J482" s="455">
        <f t="array" ref="J482">IFERROR(INDEX('Retirement Calculator'!J:J,MATCH('Isaac 401k'!N482,'Retirement Calculator'!A:A,0),0),0)</f>
        <v>7863.2184191855868</v>
      </c>
      <c r="K482" s="455">
        <f t="shared" ca="1" si="27"/>
        <v>2247.7350051849003</v>
      </c>
      <c r="L482" s="455">
        <f t="shared" ca="1" si="28"/>
        <v>541704.13624956098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541704.13624956098</v>
      </c>
      <c r="J483" s="455">
        <f t="array" ref="J483">IFERROR(INDEX('Retirement Calculator'!J:J,MATCH('Isaac 401k'!N483,'Retirement Calculator'!A:A,0),0),0)</f>
        <v>7863.2184191855868</v>
      </c>
      <c r="K483" s="455">
        <f t="shared" ca="1" si="27"/>
        <v>2224.337157626564</v>
      </c>
      <c r="L483" s="455">
        <f t="shared" ca="1" si="28"/>
        <v>536065.25498800189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536065.25498800189</v>
      </c>
      <c r="J484" s="455">
        <f t="array" ref="J484">IFERROR(INDEX('Retirement Calculator'!J:J,MATCH('Isaac 401k'!N484,'Retirement Calculator'!A:A,0),0),0)</f>
        <v>7863.2184191855868</v>
      </c>
      <c r="K484" s="455">
        <f t="shared" ca="1" si="27"/>
        <v>2200.8418190367347</v>
      </c>
      <c r="L484" s="455">
        <f t="shared" ca="1" si="28"/>
        <v>530402.87838785304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530402.87838785304</v>
      </c>
      <c r="J485" s="455">
        <f t="array" ref="J485">IFERROR(INDEX('Retirement Calculator'!J:J,MATCH('Isaac 401k'!N485,'Retirement Calculator'!A:A,0),0),0)</f>
        <v>7863.2184191855868</v>
      </c>
      <c r="K485" s="455">
        <f t="shared" ca="1" si="27"/>
        <v>2177.248583202781</v>
      </c>
      <c r="L485" s="455">
        <f t="shared" ca="1" si="28"/>
        <v>524716.90855187026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524716.90855187026</v>
      </c>
      <c r="J486" s="455">
        <f t="array" ref="J486">IFERROR(INDEX('Retirement Calculator'!J:J,MATCH('Isaac 401k'!N486,'Retirement Calculator'!A:A,0),0),0)</f>
        <v>7863.2184191855868</v>
      </c>
      <c r="K486" s="455">
        <f t="shared" ca="1" si="27"/>
        <v>2153.5570422195192</v>
      </c>
      <c r="L486" s="455">
        <f t="shared" ca="1" si="28"/>
        <v>519007.24717490416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519007.24717490416</v>
      </c>
      <c r="J487" s="455">
        <f t="array" ref="J487">IFERROR(INDEX('Retirement Calculator'!J:J,MATCH('Isaac 401k'!N487,'Retirement Calculator'!A:A,0),0),0)</f>
        <v>7863.2184191855868</v>
      </c>
      <c r="K487" s="455">
        <f t="shared" ca="1" si="27"/>
        <v>2129.7667864821606</v>
      </c>
      <c r="L487" s="455">
        <f t="shared" ca="1" si="28"/>
        <v>513273.79554220074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513273.79554220074</v>
      </c>
      <c r="J488" s="455">
        <f t="array" ref="J488">IFERROR(INDEX('Retirement Calculator'!J:J,MATCH('Isaac 401k'!N488,'Retirement Calculator'!A:A,0),0),0)</f>
        <v>7863.2184191855868</v>
      </c>
      <c r="K488" s="455">
        <f t="shared" ca="1" si="27"/>
        <v>2105.8774046792296</v>
      </c>
      <c r="L488" s="455">
        <f t="shared" ca="1" si="28"/>
        <v>507516.45452769438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507516.45452769438</v>
      </c>
      <c r="J489" s="455">
        <f t="array" ref="J489">IFERROR(INDEX('Retirement Calculator'!J:J,MATCH('Isaac 401k'!N489,'Retirement Calculator'!A:A,0),0),0)</f>
        <v>7863.2184191855868</v>
      </c>
      <c r="K489" s="455">
        <f t="shared" ca="1" si="27"/>
        <v>2081.888483785453</v>
      </c>
      <c r="L489" s="455">
        <f t="shared" ca="1" si="28"/>
        <v>501735.12459229422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501735.12459229422</v>
      </c>
      <c r="J490" s="455">
        <f t="array" ref="J490">IFERROR(INDEX('Retirement Calculator'!J:J,MATCH('Isaac 401k'!N490,'Retirement Calculator'!A:A,0),0),0)</f>
        <v>7863.2184191855868</v>
      </c>
      <c r="K490" s="455">
        <f t="shared" ca="1" si="27"/>
        <v>2057.7996090546194</v>
      </c>
      <c r="L490" s="455">
        <f t="shared" ca="1" si="28"/>
        <v>495929.70578216325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495929.70578216325</v>
      </c>
      <c r="J491" s="455">
        <f t="array" ref="J491">IFERROR(INDEX('Retirement Calculator'!J:J,MATCH('Isaac 401k'!N491,'Retirement Calculator'!A:A,0),0),0)</f>
        <v>7863.2184191855868</v>
      </c>
      <c r="K491" s="455">
        <f t="shared" ca="1" si="27"/>
        <v>2033.6103640124068</v>
      </c>
      <c r="L491" s="455">
        <f t="shared" ca="1" si="28"/>
        <v>490100.09772699006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490100.09772699006</v>
      </c>
      <c r="J492" s="455">
        <f t="array" ref="J492">IFERROR(INDEX('Retirement Calculator'!J:J,MATCH('Isaac 401k'!N492,'Retirement Calculator'!A:A,0),0),0)</f>
        <v>7863.2184191855868</v>
      </c>
      <c r="K492" s="455">
        <f t="shared" ca="1" si="27"/>
        <v>2009.3203304491849</v>
      </c>
      <c r="L492" s="455">
        <f t="shared" ca="1" si="28"/>
        <v>484246.19963825366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484246.19963825366</v>
      </c>
      <c r="J493" s="455">
        <f t="array" ref="J493">IFERROR(INDEX('Retirement Calculator'!J:J,MATCH('Isaac 401k'!N493,'Retirement Calculator'!A:A,0),0),0)</f>
        <v>7863.2184191855868</v>
      </c>
      <c r="K493" s="455">
        <f t="shared" ca="1" si="27"/>
        <v>1984.9290884127838</v>
      </c>
      <c r="L493" s="455">
        <f t="shared" ca="1" si="28"/>
        <v>478367.91030748084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478367.91030748084</v>
      </c>
      <c r="J494" s="455">
        <f t="array" ref="J494">IFERROR(INDEX('Retirement Calculator'!J:J,MATCH('Isaac 401k'!N494,'Retirement Calculator'!A:A,0),0),0)</f>
        <v>7863.2184191855868</v>
      </c>
      <c r="K494" s="455">
        <f t="shared" ca="1" si="27"/>
        <v>1960.4362162012303</v>
      </c>
      <c r="L494" s="455">
        <f t="shared" ca="1" si="28"/>
        <v>472465.12810449646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472465.12810449646</v>
      </c>
      <c r="J495" s="455">
        <f t="array" ref="J495">IFERROR(INDEX('Retirement Calculator'!J:J,MATCH('Isaac 401k'!N495,'Retirement Calculator'!A:A,0),0),0)</f>
        <v>7863.2184191855868</v>
      </c>
      <c r="K495" s="455">
        <f t="shared" ca="1" si="27"/>
        <v>1935.8412903554615</v>
      </c>
      <c r="L495" s="455">
        <f t="shared" ca="1" si="28"/>
        <v>466537.75097566633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466537.75097566633</v>
      </c>
      <c r="J496" s="455">
        <f t="array" ref="J496">IFERROR(INDEX('Retirement Calculator'!J:J,MATCH('Isaac 401k'!N496,'Retirement Calculator'!A:A,0),0),0)</f>
        <v>7863.2184191855868</v>
      </c>
      <c r="K496" s="455">
        <f t="shared" ca="1" si="27"/>
        <v>1911.1438856520033</v>
      </c>
      <c r="L496" s="455">
        <f t="shared" ca="1" si="28"/>
        <v>460585.67644213274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460585.67644213274</v>
      </c>
      <c r="J497" s="455">
        <f t="array" ref="J497">IFERROR(INDEX('Retirement Calculator'!J:J,MATCH('Isaac 401k'!N497,'Retirement Calculator'!A:A,0),0),0)</f>
        <v>7863.2184191855868</v>
      </c>
      <c r="K497" s="455">
        <f t="shared" ca="1" si="27"/>
        <v>1886.343575095613</v>
      </c>
      <c r="L497" s="455">
        <f t="shared" ca="1" si="28"/>
        <v>454608.80159804277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454608.80159804277</v>
      </c>
      <c r="J498" s="455">
        <f t="array" ref="J498">IFERROR(INDEX('Retirement Calculator'!J:J,MATCH('Isaac 401k'!N498,'Retirement Calculator'!A:A,0),0),0)</f>
        <v>7863.2184191855868</v>
      </c>
      <c r="K498" s="455">
        <f t="shared" ca="1" si="27"/>
        <v>1861.4399299119045</v>
      </c>
      <c r="L498" s="455">
        <f t="shared" ca="1" si="28"/>
        <v>448607.02310876909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448607.02310876909</v>
      </c>
      <c r="J499" s="455">
        <f t="array" ref="J499">IFERROR(INDEX('Retirement Calculator'!J:J,MATCH('Isaac 401k'!N499,'Retirement Calculator'!A:A,0),0),0)</f>
        <v>7863.2184191855868</v>
      </c>
      <c r="K499" s="455">
        <f t="shared" ca="1" si="27"/>
        <v>1836.4325195399308</v>
      </c>
      <c r="L499" s="455">
        <f t="shared" ca="1" si="28"/>
        <v>442580.23720912344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442580.23720912344</v>
      </c>
      <c r="J500" s="455">
        <f t="array" ref="J500">IFERROR(INDEX('Retirement Calculator'!J:J,MATCH('Isaac 401k'!N500,'Retirement Calculator'!A:A,0),0),0)</f>
        <v>7863.2184191855868</v>
      </c>
      <c r="K500" s="455">
        <f t="shared" ca="1" si="27"/>
        <v>1811.320911624741</v>
      </c>
      <c r="L500" s="455">
        <f t="shared" ca="1" si="28"/>
        <v>436528.3397015626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436528.3397015626</v>
      </c>
      <c r="J501" s="455">
        <f t="array" ref="J501">IFERROR(INDEX('Retirement Calculator'!J:J,MATCH('Isaac 401k'!N501,'Retirement Calculator'!A:A,0),0),0)</f>
        <v>7863.2184191855868</v>
      </c>
      <c r="K501" s="455">
        <f t="shared" ca="1" si="27"/>
        <v>1786.1046720099043</v>
      </c>
      <c r="L501" s="455">
        <f t="shared" ca="1" si="28"/>
        <v>430451.22595438687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430451.22595438687</v>
      </c>
      <c r="J502" s="455">
        <f t="array" ref="J502">IFERROR(INDEX('Retirement Calculator'!J:J,MATCH('Isaac 401k'!N502,'Retirement Calculator'!A:A,0),0),0)</f>
        <v>7863.2184191855868</v>
      </c>
      <c r="K502" s="455">
        <f t="shared" ca="1" si="27"/>
        <v>1760.7833647300051</v>
      </c>
      <c r="L502" s="455">
        <f t="shared" ca="1" si="28"/>
        <v>424348.79089993128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424348.79089993128</v>
      </c>
      <c r="J503" s="455">
        <f t="array" ref="J503">IFERROR(INDEX('Retirement Calculator'!J:J,MATCH('Isaac 401k'!N503,'Retirement Calculator'!A:A,0),0),0)</f>
        <v>7863.2184191855868</v>
      </c>
      <c r="K503" s="455">
        <f t="shared" ca="1" si="27"/>
        <v>1735.356552003107</v>
      </c>
      <c r="L503" s="455">
        <f t="shared" ca="1" si="28"/>
        <v>418220.9290327488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418220.9290327488</v>
      </c>
      <c r="J504" s="455">
        <f t="array" ref="J504">IFERROR(INDEX('Retirement Calculator'!J:J,MATCH('Isaac 401k'!N504,'Retirement Calculator'!A:A,0),0),0)</f>
        <v>7863.2184191855868</v>
      </c>
      <c r="K504" s="455">
        <f t="shared" ca="1" si="27"/>
        <v>1709.8237942231801</v>
      </c>
      <c r="L504" s="455">
        <f t="shared" ca="1" si="28"/>
        <v>412067.53440778638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412067.53440778638</v>
      </c>
      <c r="J505" s="455">
        <f t="array" ref="J505">IFERROR(INDEX('Retirement Calculator'!J:J,MATCH('Isaac 401k'!N505,'Retirement Calculator'!A:A,0),0),0)</f>
        <v>7863.2184191855868</v>
      </c>
      <c r="K505" s="455">
        <f t="shared" ca="1" si="27"/>
        <v>1684.1846499525032</v>
      </c>
      <c r="L505" s="455">
        <f t="shared" ca="1" si="28"/>
        <v>405888.50063855329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405888.50063855329</v>
      </c>
      <c r="J506" s="455">
        <f t="array" ref="J506">IFERROR(INDEX('Retirement Calculator'!J:J,MATCH('Isaac 401k'!N506,'Retirement Calculator'!A:A,0),0),0)</f>
        <v>7863.2184191855868</v>
      </c>
      <c r="K506" s="455">
        <f t="shared" ca="1" si="27"/>
        <v>1658.438675914032</v>
      </c>
      <c r="L506" s="455">
        <f t="shared" ca="1" si="28"/>
        <v>399683.7208952817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399683.7208952817</v>
      </c>
      <c r="J507" s="455">
        <f t="array" ref="J507">IFERROR(INDEX('Retirement Calculator'!J:J,MATCH('Isaac 401k'!N507,'Retirement Calculator'!A:A,0),0),0)</f>
        <v>7863.2184191855868</v>
      </c>
      <c r="K507" s="455">
        <f t="shared" ca="1" si="27"/>
        <v>1632.5854269837337</v>
      </c>
      <c r="L507" s="455">
        <f t="shared" ca="1" si="28"/>
        <v>393453.08790307981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393453.08790307981</v>
      </c>
      <c r="J508" s="455">
        <f t="array" ref="J508">IFERROR(INDEX('Retirement Calculator'!J:J,MATCH('Isaac 401k'!N508,'Retirement Calculator'!A:A,0),0),0)</f>
        <v>7863.2184191855868</v>
      </c>
      <c r="K508" s="455">
        <f t="shared" ca="1" si="27"/>
        <v>1606.6244561828926</v>
      </c>
      <c r="L508" s="455">
        <f t="shared" ca="1" si="28"/>
        <v>387196.49394007708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387196.49394007708</v>
      </c>
      <c r="J509" s="455">
        <f t="array" ref="J509">IFERROR(INDEX('Retirement Calculator'!J:J,MATCH('Isaac 401k'!N509,'Retirement Calculator'!A:A,0),0),0)</f>
        <v>7863.2184191855868</v>
      </c>
      <c r="K509" s="455">
        <f t="shared" ca="1" si="27"/>
        <v>1580.5553146703812</v>
      </c>
      <c r="L509" s="455">
        <f t="shared" ca="1" si="28"/>
        <v>380913.83083556185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380913.83083556185</v>
      </c>
      <c r="J510" s="455">
        <f t="array" ref="J510">IFERROR(INDEX('Retirement Calculator'!J:J,MATCH('Isaac 401k'!N510,'Retirement Calculator'!A:A,0),0),0)</f>
        <v>7863.2184191855868</v>
      </c>
      <c r="K510" s="455">
        <f t="shared" ca="1" si="27"/>
        <v>1554.3775517349011</v>
      </c>
      <c r="L510" s="455">
        <f t="shared" ca="1" si="28"/>
        <v>374604.98996811116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374604.98996811116</v>
      </c>
      <c r="J511" s="455">
        <f t="array" ref="J511">IFERROR(INDEX('Retirement Calculator'!J:J,MATCH('Isaac 401k'!N511,'Retirement Calculator'!A:A,0),0),0)</f>
        <v>7863.2184191855868</v>
      </c>
      <c r="K511" s="455">
        <f t="shared" ca="1" si="27"/>
        <v>1528.0907147871899</v>
      </c>
      <c r="L511" s="455">
        <f t="shared" ca="1" si="28"/>
        <v>368269.86226371274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368269.86226371274</v>
      </c>
      <c r="J512" s="455">
        <f t="array" ref="J512">IFERROR(INDEX('Retirement Calculator'!J:J,MATCH('Isaac 401k'!N512,'Retirement Calculator'!A:A,0),0),0)</f>
        <v>7863.2184191855868</v>
      </c>
      <c r="K512" s="455">
        <f t="shared" ca="1" si="27"/>
        <v>1501.6943493521965</v>
      </c>
      <c r="L512" s="455">
        <f t="shared" ca="1" si="28"/>
        <v>361908.33819387935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361908.33819387935</v>
      </c>
      <c r="J513" s="455">
        <f t="array" ref="J513">IFERROR(INDEX('Retirement Calculator'!J:J,MATCH('Isaac 401k'!N513,'Retirement Calculator'!A:A,0),0),0)</f>
        <v>7863.2184191855868</v>
      </c>
      <c r="K513" s="455">
        <f t="shared" ca="1" si="27"/>
        <v>1475.187999061224</v>
      </c>
      <c r="L513" s="455">
        <f t="shared" ca="1" si="28"/>
        <v>355520.30777375499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355520.30777375499</v>
      </c>
      <c r="J514" s="455">
        <f t="array" ref="J514">IFERROR(INDEX('Retirement Calculator'!J:J,MATCH('Isaac 401k'!N514,'Retirement Calculator'!A:A,0),0),0)</f>
        <v>7863.2184191855868</v>
      </c>
      <c r="K514" s="455">
        <f t="shared" ca="1" si="27"/>
        <v>1448.5712056440391</v>
      </c>
      <c r="L514" s="455">
        <f t="shared" ca="1" si="28"/>
        <v>349105.66056021344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349105.66056021344</v>
      </c>
      <c r="J515" s="455">
        <f t="array" ref="J515">IFERROR(INDEX('Retirement Calculator'!J:J,MATCH('Isaac 401k'!N515,'Retirement Calculator'!A:A,0),0),0)</f>
        <v>7863.2184191855868</v>
      </c>
      <c r="K515" s="455">
        <f t="shared" ca="1" si="27"/>
        <v>1421.8435089209493</v>
      </c>
      <c r="L515" s="455">
        <f t="shared" ca="1" si="28"/>
        <v>342664.28564994875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342664.28564994875</v>
      </c>
      <c r="J516" s="455">
        <f t="array" ref="J516">IFERROR(INDEX('Retirement Calculator'!J:J,MATCH('Isaac 401k'!N516,'Retirement Calculator'!A:A,0),0),0)</f>
        <v>7863.2184191855868</v>
      </c>
      <c r="K516" s="455">
        <f t="shared" ca="1" si="27"/>
        <v>1395.0044467948464</v>
      </c>
      <c r="L516" s="455">
        <f t="shared" ca="1" si="28"/>
        <v>336196.07167755801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336196.07167755801</v>
      </c>
      <c r="J517" s="455">
        <f t="array" ref="J517">IFERROR(INDEX('Retirement Calculator'!J:J,MATCH('Isaac 401k'!N517,'Retirement Calculator'!A:A,0),0),0)</f>
        <v>7863.2184191855868</v>
      </c>
      <c r="K517" s="455">
        <f t="shared" ca="1" si="27"/>
        <v>1368.0535552432184</v>
      </c>
      <c r="L517" s="455">
        <f t="shared" ca="1" si="28"/>
        <v>329700.90681361564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329700.90681361564</v>
      </c>
      <c r="J518" s="455">
        <f t="array" ref="J518">IFERROR(INDEX('Retirement Calculator'!J:J,MATCH('Isaac 401k'!N518,'Retirement Calculator'!A:A,0),0),0)</f>
        <v>7863.2184191855868</v>
      </c>
      <c r="K518" s="455">
        <f t="shared" ref="K518:K772" ca="1" si="53">IPMT(M518/12,1,12,-I518+J518,,0)</f>
        <v>1340.9903683101252</v>
      </c>
      <c r="L518" s="455">
        <f t="shared" ref="L518:L772" ca="1" si="54">I518-J518+K518</f>
        <v>323178.67876274016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323178.67876274016</v>
      </c>
      <c r="J519" s="455">
        <f t="array" ref="J519">IFERROR(INDEX('Retirement Calculator'!J:J,MATCH('Isaac 401k'!N519,'Retirement Calculator'!A:A,0),0),0)</f>
        <v>7863.2184191855868</v>
      </c>
      <c r="K519" s="455">
        <f t="shared" ca="1" si="53"/>
        <v>1313.814418098144</v>
      </c>
      <c r="L519" s="455">
        <f t="shared" ca="1" si="54"/>
        <v>316629.27476165269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316629.27476165269</v>
      </c>
      <c r="J520" s="455">
        <f t="array" ref="J520">IFERROR(INDEX('Retirement Calculator'!J:J,MATCH('Isaac 401k'!N520,'Retirement Calculator'!A:A,0),0),0)</f>
        <v>7863.2184191855868</v>
      </c>
      <c r="K520" s="455">
        <f t="shared" ca="1" si="53"/>
        <v>1286.5252347602795</v>
      </c>
      <c r="L520" s="455">
        <f t="shared" ca="1" si="54"/>
        <v>310052.58157722733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310052.58157722733</v>
      </c>
      <c r="J521" s="455">
        <f t="array" ref="J521">IFERROR(INDEX('Retirement Calculator'!J:J,MATCH('Isaac 401k'!N521,'Retirement Calculator'!A:A,0),0),0)</f>
        <v>7863.2184191855868</v>
      </c>
      <c r="K521" s="455">
        <f t="shared" ca="1" si="53"/>
        <v>1259.1223464918405</v>
      </c>
      <c r="L521" s="455">
        <f t="shared" ca="1" si="54"/>
        <v>303448.48550453357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303448.48550453357</v>
      </c>
      <c r="J522" s="455">
        <f t="array" ref="J522">IFERROR(INDEX('Retirement Calculator'!J:J,MATCH('Isaac 401k'!N522,'Retirement Calculator'!A:A,0),0),0)</f>
        <v>7863.2184191855868</v>
      </c>
      <c r="K522" s="455">
        <f t="shared" ca="1" si="53"/>
        <v>1231.6052795222831</v>
      </c>
      <c r="L522" s="455">
        <f t="shared" ca="1" si="54"/>
        <v>296816.87236487027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296816.87236487027</v>
      </c>
      <c r="J523" s="455">
        <f t="array" ref="J523">IFERROR(INDEX('Retirement Calculator'!J:J,MATCH('Isaac 401k'!N523,'Retirement Calculator'!A:A,0),0),0)</f>
        <v>7863.2184191855868</v>
      </c>
      <c r="K523" s="455">
        <f t="shared" ca="1" si="53"/>
        <v>1203.9735581070195</v>
      </c>
      <c r="L523" s="455">
        <f t="shared" ca="1" si="54"/>
        <v>290157.62750379171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290157.62750379171</v>
      </c>
      <c r="J524" s="455">
        <f t="array" ref="J524">IFERROR(INDEX('Retirement Calculator'!J:J,MATCH('Isaac 401k'!N524,'Retirement Calculator'!A:A,0),0),0)</f>
        <v>7863.2184191855868</v>
      </c>
      <c r="K524" s="455">
        <f t="shared" ca="1" si="53"/>
        <v>1176.226704519192</v>
      </c>
      <c r="L524" s="455">
        <f t="shared" ca="1" si="54"/>
        <v>283470.63578912528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283470.63578912528</v>
      </c>
      <c r="J525" s="455">
        <f t="array" ref="J525">IFERROR(INDEX('Retirement Calculator'!J:J,MATCH('Isaac 401k'!N525,'Retirement Calculator'!A:A,0),0),0)</f>
        <v>7863.2184191855868</v>
      </c>
      <c r="K525" s="455">
        <f t="shared" ca="1" si="53"/>
        <v>1148.3642390414152</v>
      </c>
      <c r="L525" s="455">
        <f t="shared" ca="1" si="54"/>
        <v>276755.78160898108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276755.78160898108</v>
      </c>
      <c r="J526" s="455">
        <f t="array" ref="J526">IFERROR(INDEX('Retirement Calculator'!J:J,MATCH('Isaac 401k'!N526,'Retirement Calculator'!A:A,0),0),0)</f>
        <v>7863.2184191855868</v>
      </c>
      <c r="K526" s="455">
        <f t="shared" ca="1" si="53"/>
        <v>1120.3856799574812</v>
      </c>
      <c r="L526" s="455">
        <f t="shared" ca="1" si="54"/>
        <v>270012.94886975293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270012.94886975293</v>
      </c>
      <c r="J527" s="455">
        <f t="array" ref="J527">IFERROR(INDEX('Retirement Calculator'!J:J,MATCH('Isaac 401k'!N527,'Retirement Calculator'!A:A,0),0),0)</f>
        <v>7863.2184191855868</v>
      </c>
      <c r="K527" s="455">
        <f t="shared" ca="1" si="53"/>
        <v>1092.2905435440305</v>
      </c>
      <c r="L527" s="455">
        <f t="shared" ca="1" si="54"/>
        <v>263242.02099411137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263242.02099411137</v>
      </c>
      <c r="J528" s="455">
        <f t="array" ref="J528">IFERROR(INDEX('Retirement Calculator'!J:J,MATCH('Isaac 401k'!N528,'Retirement Calculator'!A:A,0),0),0)</f>
        <v>7863.2184191855868</v>
      </c>
      <c r="K528" s="455">
        <f t="shared" ca="1" si="53"/>
        <v>1064.0783440621908</v>
      </c>
      <c r="L528" s="455">
        <f t="shared" ca="1" si="54"/>
        <v>256442.880918988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256442.880918988</v>
      </c>
      <c r="J529" s="455">
        <f t="array" ref="J529">IFERROR(INDEX('Retirement Calculator'!J:J,MATCH('Isaac 401k'!N529,'Retirement Calculator'!A:A,0),0),0)</f>
        <v>7863.2184191855868</v>
      </c>
      <c r="K529" s="455">
        <f t="shared" ca="1" si="53"/>
        <v>1035.7485937491765</v>
      </c>
      <c r="L529" s="455">
        <f t="shared" ca="1" si="54"/>
        <v>249615.41109355161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249615.41109355161</v>
      </c>
      <c r="J530" s="455">
        <f t="array" ref="J530">IFERROR(INDEX('Retirement Calculator'!J:J,MATCH('Isaac 401k'!N530,'Retirement Calculator'!A:A,0),0),0)</f>
        <v>7863.2184191855868</v>
      </c>
      <c r="K530" s="455">
        <f t="shared" ca="1" si="53"/>
        <v>1007.3008028098584</v>
      </c>
      <c r="L530" s="455">
        <f t="shared" ca="1" si="54"/>
        <v>242759.49347717589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242759.49347717589</v>
      </c>
      <c r="J531" s="455">
        <f t="array" ref="J531">IFERROR(INDEX('Retirement Calculator'!J:J,MATCH('Isaac 401k'!N531,'Retirement Calculator'!A:A,0),0),0)</f>
        <v>7863.2184191855868</v>
      </c>
      <c r="K531" s="455">
        <f t="shared" ca="1" si="53"/>
        <v>978.73447940829305</v>
      </c>
      <c r="L531" s="455">
        <f t="shared" ca="1" si="54"/>
        <v>235875.00953739861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235875.00953739861</v>
      </c>
      <c r="J532" s="455">
        <f t="array" ref="J532">IFERROR(INDEX('Retirement Calculator'!J:J,MATCH('Isaac 401k'!N532,'Retirement Calculator'!A:A,0),0),0)</f>
        <v>7863.2184191855868</v>
      </c>
      <c r="K532" s="455">
        <f t="shared" ca="1" si="53"/>
        <v>950.04912965922097</v>
      </c>
      <c r="L532" s="455">
        <f t="shared" ca="1" si="54"/>
        <v>228961.84024787226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228961.84024787226</v>
      </c>
      <c r="J533" s="455">
        <f t="array" ref="J533">IFERROR(INDEX('Retirement Calculator'!J:J,MATCH('Isaac 401k'!N533,'Retirement Calculator'!A:A,0),0),0)</f>
        <v>7863.2184191855868</v>
      </c>
      <c r="K533" s="455">
        <f t="shared" ca="1" si="53"/>
        <v>921.24425761952784</v>
      </c>
      <c r="L533" s="455">
        <f t="shared" ca="1" si="54"/>
        <v>222019.8660863062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222019.8660863062</v>
      </c>
      <c r="J534" s="455">
        <f t="array" ref="J534">IFERROR(INDEX('Retirement Calculator'!J:J,MATCH('Isaac 401k'!N534,'Retirement Calculator'!A:A,0),0),0)</f>
        <v>7863.2184191855868</v>
      </c>
      <c r="K534" s="455">
        <f t="shared" ca="1" si="53"/>
        <v>892.31936527966923</v>
      </c>
      <c r="L534" s="455">
        <f t="shared" ca="1" si="54"/>
        <v>215048.96703240028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215048.96703240028</v>
      </c>
      <c r="J535" s="455">
        <f t="array" ref="J535">IFERROR(INDEX('Retirement Calculator'!J:J,MATCH('Isaac 401k'!N535,'Retirement Calculator'!A:A,0),0),0)</f>
        <v>7863.2184191855868</v>
      </c>
      <c r="K535" s="455">
        <f t="shared" ca="1" si="53"/>
        <v>863.27395255506133</v>
      </c>
      <c r="L535" s="455">
        <f t="shared" ca="1" si="54"/>
        <v>208049.02256576976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208049.02256576976</v>
      </c>
      <c r="J536" s="455">
        <f t="array" ref="J536">IFERROR(INDEX('Retirement Calculator'!J:J,MATCH('Isaac 401k'!N536,'Retirement Calculator'!A:A,0),0),0)</f>
        <v>7863.2184191855868</v>
      </c>
      <c r="K536" s="455">
        <f t="shared" ca="1" si="53"/>
        <v>834.10751727743411</v>
      </c>
      <c r="L536" s="455">
        <f t="shared" ca="1" si="54"/>
        <v>201019.91166386163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201019.91166386163</v>
      </c>
      <c r="J537" s="455">
        <f t="array" ref="J537">IFERROR(INDEX('Retirement Calculator'!J:J,MATCH('Isaac 401k'!N537,'Retirement Calculator'!A:A,0),0),0)</f>
        <v>7863.2184191855868</v>
      </c>
      <c r="K537" s="455">
        <f t="shared" ca="1" si="53"/>
        <v>804.81955518615018</v>
      </c>
      <c r="L537" s="455">
        <f t="shared" ca="1" si="54"/>
        <v>193961.51279986219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193961.51279986219</v>
      </c>
      <c r="J538" s="455">
        <f t="array" ref="J538">IFERROR(INDEX('Retirement Calculator'!J:J,MATCH('Isaac 401k'!N538,'Retirement Calculator'!A:A,0),0),0)</f>
        <v>7863.2184191855868</v>
      </c>
      <c r="K538" s="455">
        <f t="shared" ca="1" si="53"/>
        <v>775.4095599194859</v>
      </c>
      <c r="L538" s="455">
        <f t="shared" ca="1" si="54"/>
        <v>186873.70394059611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186873.70394059611</v>
      </c>
      <c r="J539" s="455">
        <f t="array" ref="J539">IFERROR(INDEX('Retirement Calculator'!J:J,MATCH('Isaac 401k'!N539,'Retirement Calculator'!A:A,0),0),0)</f>
        <v>7863.2184191855868</v>
      </c>
      <c r="K539" s="455">
        <f t="shared" ca="1" si="53"/>
        <v>745.87702300587716</v>
      </c>
      <c r="L539" s="455">
        <f t="shared" ca="1" si="54"/>
        <v>179756.36254441642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179756.36254441642</v>
      </c>
      <c r="J540" s="455">
        <f t="array" ref="J540">IFERROR(INDEX('Retirement Calculator'!J:J,MATCH('Isaac 401k'!N540,'Retirement Calculator'!A:A,0),0),0)</f>
        <v>7863.2184191855868</v>
      </c>
      <c r="K540" s="455">
        <f t="shared" ca="1" si="53"/>
        <v>716.22143385512845</v>
      </c>
      <c r="L540" s="455">
        <f t="shared" ca="1" si="54"/>
        <v>172609.36555908597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172609.36555908597</v>
      </c>
      <c r="J541" s="455">
        <f t="array" ref="J541">IFERROR(INDEX('Retirement Calculator'!J:J,MATCH('Isaac 401k'!N541,'Retirement Calculator'!A:A,0),0),0)</f>
        <v>7863.2184191855868</v>
      </c>
      <c r="K541" s="455">
        <f t="shared" ca="1" si="53"/>
        <v>686.44227974958494</v>
      </c>
      <c r="L541" s="455">
        <f t="shared" ca="1" si="54"/>
        <v>165432.58941964997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165432.58941964997</v>
      </c>
      <c r="J542" s="455">
        <f t="array" ref="J542">IFERROR(INDEX('Retirement Calculator'!J:J,MATCH('Isaac 401k'!N542,'Retirement Calculator'!A:A,0),0),0)</f>
        <v>7863.2184191855868</v>
      </c>
      <c r="K542" s="455">
        <f t="shared" ca="1" si="53"/>
        <v>656.53904583526833</v>
      </c>
      <c r="L542" s="455">
        <f t="shared" ca="1" si="54"/>
        <v>158225.91004629966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158225.91004629966</v>
      </c>
      <c r="J543" s="455">
        <f t="array" ref="J543">IFERROR(INDEX('Retirement Calculator'!J:J,MATCH('Isaac 401k'!N543,'Retirement Calculator'!A:A,0),0),0)</f>
        <v>7863.2184191855868</v>
      </c>
      <c r="K543" s="455">
        <f t="shared" ca="1" si="53"/>
        <v>626.51121511297538</v>
      </c>
      <c r="L543" s="455">
        <f t="shared" ca="1" si="54"/>
        <v>150989.20284222707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150989.20284222707</v>
      </c>
      <c r="J544" s="455">
        <f t="array" ref="J544">IFERROR(INDEX('Retirement Calculator'!J:J,MATCH('Isaac 401k'!N544,'Retirement Calculator'!A:A,0),0),0)</f>
        <v>7863.2184191855868</v>
      </c>
      <c r="K544" s="455">
        <f t="shared" ca="1" si="53"/>
        <v>596.35826842933955</v>
      </c>
      <c r="L544" s="455">
        <f t="shared" ca="1" si="54"/>
        <v>143722.34269147084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143722.34269147084</v>
      </c>
      <c r="J545" s="455">
        <f t="array" ref="J545">IFERROR(INDEX('Retirement Calculator'!J:J,MATCH('Isaac 401k'!N545,'Retirement Calculator'!A:A,0),0),0)</f>
        <v>7863.2184191855868</v>
      </c>
      <c r="K545" s="455">
        <f t="shared" ca="1" si="53"/>
        <v>566.07968446785526</v>
      </c>
      <c r="L545" s="455">
        <f t="shared" ca="1" si="54"/>
        <v>136425.20395675313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136425.20395675313</v>
      </c>
      <c r="J546" s="455">
        <f t="array" ref="J546">IFERROR(INDEX('Retirement Calculator'!J:J,MATCH('Isaac 401k'!N546,'Retirement Calculator'!A:A,0),0),0)</f>
        <v>7863.2184191855868</v>
      </c>
      <c r="K546" s="455">
        <f t="shared" ca="1" si="53"/>
        <v>535.67493973986473</v>
      </c>
      <c r="L546" s="455">
        <f t="shared" ca="1" si="54"/>
        <v>129097.66047730741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129097.66047730741</v>
      </c>
      <c r="J547" s="455">
        <f t="array" ref="J547">IFERROR(INDEX('Retirement Calculator'!J:J,MATCH('Isaac 401k'!N547,'Retirement Calculator'!A:A,0),0),0)</f>
        <v>7863.2184191855868</v>
      </c>
      <c r="K547" s="455">
        <f t="shared" ca="1" si="53"/>
        <v>505.14350857550761</v>
      </c>
      <c r="L547" s="455">
        <f t="shared" ca="1" si="54"/>
        <v>121739.58556669732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121739.58556669732</v>
      </c>
      <c r="J548" s="455">
        <f t="array" ref="J548">IFERROR(INDEX('Retirement Calculator'!J:J,MATCH('Isaac 401k'!N548,'Retirement Calculator'!A:A,0),0),0)</f>
        <v>7863.2184191855868</v>
      </c>
      <c r="K548" s="455">
        <f t="shared" ca="1" si="53"/>
        <v>474.48486311463228</v>
      </c>
      <c r="L548" s="455">
        <f t="shared" ca="1" si="54"/>
        <v>114350.85201062636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114350.85201062636</v>
      </c>
      <c r="J549" s="455">
        <f t="array" ref="J549">IFERROR(INDEX('Retirement Calculator'!J:J,MATCH('Isaac 401k'!N549,'Retirement Calculator'!A:A,0),0),0)</f>
        <v>7863.2184191855868</v>
      </c>
      <c r="K549" s="455">
        <f t="shared" ca="1" si="53"/>
        <v>443.69847329766986</v>
      </c>
      <c r="L549" s="455">
        <f t="shared" ca="1" si="54"/>
        <v>106931.33206473844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106931.33206473844</v>
      </c>
      <c r="J550" s="455">
        <f t="array" ref="J550">IFERROR(INDEX('Retirement Calculator'!J:J,MATCH('Isaac 401k'!N550,'Retirement Calculator'!A:A,0),0),0)</f>
        <v>7863.2184191855868</v>
      </c>
      <c r="K550" s="455">
        <f t="shared" ca="1" si="53"/>
        <v>412.78380685647016</v>
      </c>
      <c r="L550" s="455">
        <f t="shared" ca="1" si="54"/>
        <v>99480.897452409321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99480.897452409321</v>
      </c>
      <c r="J551" s="455">
        <f t="array" ref="J551">IFERROR(INDEX('Retirement Calculator'!J:J,MATCH('Isaac 401k'!N551,'Retirement Calculator'!A:A,0),0),0)</f>
        <v>7863.2184191855868</v>
      </c>
      <c r="K551" s="455">
        <f t="shared" ca="1" si="53"/>
        <v>381.74032930509884</v>
      </c>
      <c r="L551" s="455">
        <f t="shared" ca="1" si="54"/>
        <v>91999.419362528832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91999.419362528832</v>
      </c>
      <c r="J552" s="455">
        <f t="array" ref="J552">IFERROR(INDEX('Retirement Calculator'!J:J,MATCH('Isaac 401k'!N552,'Retirement Calculator'!A:A,0),0),0)</f>
        <v>7863.2184191855868</v>
      </c>
      <c r="K552" s="455">
        <f t="shared" ca="1" si="53"/>
        <v>350.56750393059684</v>
      </c>
      <c r="L552" s="455">
        <f t="shared" ca="1" si="54"/>
        <v>84486.768447273833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84486.768447273833</v>
      </c>
      <c r="J553" s="455">
        <f t="array" ref="J553">IFERROR(INDEX('Retirement Calculator'!J:J,MATCH('Isaac 401k'!N553,'Retirement Calculator'!A:A,0),0),0)</f>
        <v>7863.2184191855868</v>
      </c>
      <c r="K553" s="455">
        <f t="shared" ca="1" si="53"/>
        <v>319.26479178370101</v>
      </c>
      <c r="L553" s="455">
        <f t="shared" ca="1" si="54"/>
        <v>76942.814819871943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76942.814819871943</v>
      </c>
      <c r="J554" s="455">
        <f t="array" ref="J554">IFERROR(INDEX('Retirement Calculator'!J:J,MATCH('Isaac 401k'!N554,'Retirement Calculator'!A:A,0),0),0)</f>
        <v>7863.2184191855868</v>
      </c>
      <c r="K554" s="455">
        <f t="shared" ca="1" si="53"/>
        <v>287.83165166952648</v>
      </c>
      <c r="L554" s="455">
        <f t="shared" ca="1" si="54"/>
        <v>69367.42805235587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69367.42805235587</v>
      </c>
      <c r="J555" s="455">
        <f t="array" ref="J555">IFERROR(INDEX('Retirement Calculator'!J:J,MATCH('Isaac 401k'!N555,'Retirement Calculator'!A:A,0),0),0)</f>
        <v>7863.2184191855868</v>
      </c>
      <c r="K555" s="455">
        <f t="shared" ca="1" si="53"/>
        <v>256.26754013820954</v>
      </c>
      <c r="L555" s="455">
        <f t="shared" ca="1" si="54"/>
        <v>61760.477173308493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61760.477173308493</v>
      </c>
      <c r="J556" s="455">
        <f t="array" ref="J556">IFERROR(INDEX('Retirement Calculator'!J:J,MATCH('Isaac 401k'!N556,'Retirement Calculator'!A:A,0),0),0)</f>
        <v>7863.2184191855868</v>
      </c>
      <c r="K556" s="455">
        <f t="shared" ca="1" si="53"/>
        <v>224.57191147551211</v>
      </c>
      <c r="L556" s="455">
        <f t="shared" ca="1" si="54"/>
        <v>54121.83066559842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54121.83066559842</v>
      </c>
      <c r="J557" s="455">
        <f t="array" ref="J557">IFERROR(INDEX('Retirement Calculator'!J:J,MATCH('Isaac 401k'!N557,'Retirement Calculator'!A:A,0),0),0)</f>
        <v>7863.2184191855868</v>
      </c>
      <c r="K557" s="455">
        <f t="shared" ca="1" si="53"/>
        <v>192.74421769338682</v>
      </c>
      <c r="L557" s="455">
        <f t="shared" ca="1" si="54"/>
        <v>46451.356464106218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46451.356464106218</v>
      </c>
      <c r="J558" s="455">
        <f t="array" ref="J558">IFERROR(INDEX('Retirement Calculator'!J:J,MATCH('Isaac 401k'!N558,'Retirement Calculator'!A:A,0),0),0)</f>
        <v>7863.2184191855868</v>
      </c>
      <c r="K558" s="455">
        <f t="shared" ca="1" si="53"/>
        <v>160.78390852050265</v>
      </c>
      <c r="L558" s="455">
        <f t="shared" ca="1" si="54"/>
        <v>38748.921953441139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38748.921953441139</v>
      </c>
      <c r="J559" s="455">
        <f t="array" ref="J559">IFERROR(INDEX('Retirement Calculator'!J:J,MATCH('Isaac 401k'!N559,'Retirement Calculator'!A:A,0),0),0)</f>
        <v>7863.2184191855868</v>
      </c>
      <c r="K559" s="455">
        <f t="shared" ca="1" si="53"/>
        <v>128.69043139273145</v>
      </c>
      <c r="L559" s="455">
        <f t="shared" ca="1" si="54"/>
        <v>31014.393965648283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31014.393965648283</v>
      </c>
      <c r="J560" s="455">
        <f t="array" ref="J560">IFERROR(INDEX('Retirement Calculator'!J:J,MATCH('Isaac 401k'!N560,'Retirement Calculator'!A:A,0),0),0)</f>
        <v>7863.2184191855868</v>
      </c>
      <c r="K560" s="455">
        <f t="shared" ca="1" si="53"/>
        <v>96.46323144359458</v>
      </c>
      <c r="L560" s="455">
        <f t="shared" ca="1" si="54"/>
        <v>23247.638777906293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23247.638777906293</v>
      </c>
      <c r="J561" s="455">
        <f t="array" ref="J561">IFERROR(INDEX('Retirement Calculator'!J:J,MATCH('Isaac 401k'!N561,'Retirement Calculator'!A:A,0),0),0)</f>
        <v>7863.2184191855868</v>
      </c>
      <c r="K561" s="455">
        <f t="shared" ca="1" si="53"/>
        <v>64.101751494669614</v>
      </c>
      <c r="L561" s="455">
        <f t="shared" ca="1" si="54"/>
        <v>15448.522110215376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15448.522110215376</v>
      </c>
      <c r="J562" s="455">
        <f t="array" ref="J562">IFERROR(INDEX('Retirement Calculator'!J:J,MATCH('Isaac 401k'!N562,'Retirement Calculator'!A:A,0),0),0)</f>
        <v>7863.2184191855868</v>
      </c>
      <c r="K562" s="455">
        <f t="shared" ca="1" si="53"/>
        <v>31.605432045957453</v>
      </c>
      <c r="L562" s="455">
        <f t="shared" ca="1" si="54"/>
        <v>7616.9091230757458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7616.9091230757458</v>
      </c>
      <c r="J563" s="455">
        <f t="array" ref="J563">IFERROR(INDEX('Retirement Calculator'!J:J,MATCH('Isaac 401k'!N563,'Retirement Calculator'!A:A,0),0),0)</f>
        <v>7863.2184191855868</v>
      </c>
      <c r="K563" s="455">
        <f t="shared" ca="1" si="53"/>
        <v>-1.0262887337910038</v>
      </c>
      <c r="L563" s="455">
        <f t="shared" ca="1" si="54"/>
        <v>-247.33558484363195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-247.33558484363195</v>
      </c>
      <c r="J564" s="455">
        <f t="array" ref="J564">IFERROR(INDEX('Retirement Calculator'!J:J,MATCH('Isaac 401k'!N564,'Retirement Calculator'!A:A,0),0),0)</f>
        <v>7863.2184191855868</v>
      </c>
      <c r="K564" s="455">
        <f t="shared" ca="1" si="53"/>
        <v>-33.793975016788409</v>
      </c>
      <c r="L564" s="455">
        <f t="shared" ca="1" si="54"/>
        <v>-8144.3479790460078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-8144.3479790460078</v>
      </c>
      <c r="J565" s="455">
        <f t="array" ref="J565">IFERROR(INDEX('Retirement Calculator'!J:J,MATCH('Isaac 401k'!N565,'Retirement Calculator'!A:A,0),0),0)</f>
        <v>7863.2184191855868</v>
      </c>
      <c r="K565" s="455">
        <f t="shared" ca="1" si="53"/>
        <v>-66.698193325964979</v>
      </c>
      <c r="L565" s="455">
        <f t="shared" ca="1" si="54"/>
        <v>-16074.264591557559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-16074.264591557559</v>
      </c>
      <c r="J566" s="455">
        <f t="array" ref="J566">IFERROR(INDEX('Retirement Calculator'!J:J,MATCH('Isaac 401k'!N566,'Retirement Calculator'!A:A,0),0),0)</f>
        <v>7863.2184191855868</v>
      </c>
      <c r="K566" s="455">
        <f t="shared" ca="1" si="53"/>
        <v>-99.739512544763116</v>
      </c>
      <c r="L566" s="455">
        <f t="shared" ca="1" si="54"/>
        <v>-24037.22252328791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-24037.22252328791</v>
      </c>
      <c r="J567" s="455">
        <f t="array" ref="J567">IFERROR(INDEX('Retirement Calculator'!J:J,MATCH('Isaac 401k'!N567,'Retirement Calculator'!A:A,0),0),0)</f>
        <v>7863.2184191855868</v>
      </c>
      <c r="K567" s="455">
        <f t="shared" ca="1" si="53"/>
        <v>-132.91850392697293</v>
      </c>
      <c r="L567" s="455">
        <f t="shared" ca="1" si="54"/>
        <v>-32033.359446400471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-32033.359446400471</v>
      </c>
      <c r="J568" s="455">
        <f t="array" ref="J568">IFERROR(INDEX('Retirement Calculator'!J:J,MATCH('Isaac 401k'!N568,'Retirement Calculator'!A:A,0),0),0)</f>
        <v>7863.2184191855868</v>
      </c>
      <c r="K568" s="455">
        <f t="shared" ca="1" si="53"/>
        <v>-166.23574110660857</v>
      </c>
      <c r="L568" s="455">
        <f t="shared" ca="1" si="54"/>
        <v>-40062.813606692667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-40062.813606692667</v>
      </c>
      <c r="J569" s="455">
        <f t="array" ref="J569">IFERROR(INDEX('Retirement Calculator'!J:J,MATCH('Isaac 401k'!N569,'Retirement Calculator'!A:A,0),0),0)</f>
        <v>7863.2184191855868</v>
      </c>
      <c r="K569" s="455">
        <f t="shared" ca="1" si="53"/>
        <v>-199.69180010782605</v>
      </c>
      <c r="L569" s="455">
        <f t="shared" ca="1" si="54"/>
        <v>-48125.723825986075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-48125.723825986075</v>
      </c>
      <c r="J570" s="455">
        <f t="array" ref="J570">IFERROR(INDEX('Retirement Calculator'!J:J,MATCH('Isaac 401k'!N570,'Retirement Calculator'!A:A,0),0),0)</f>
        <v>7863.2184191855868</v>
      </c>
      <c r="K570" s="455">
        <f t="shared" ca="1" si="53"/>
        <v>-233.28725935488194</v>
      </c>
      <c r="L570" s="455">
        <f t="shared" ca="1" si="54"/>
        <v>-56222.229504526542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-56222.229504526542</v>
      </c>
      <c r="J571" s="455">
        <f t="array" ref="J571">IFERROR(INDEX('Retirement Calculator'!J:J,MATCH('Isaac 401k'!N571,'Retirement Calculator'!A:A,0),0),0)</f>
        <v>7863.2184191855868</v>
      </c>
      <c r="K571" s="455">
        <f t="shared" ca="1" si="53"/>
        <v>-267.0226996821338</v>
      </c>
      <c r="L571" s="455">
        <f t="shared" ca="1" si="54"/>
        <v>-64352.470623394263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-64352.470623394263</v>
      </c>
      <c r="J572" s="455">
        <f t="array" ref="J572">IFERROR(INDEX('Retirement Calculator'!J:J,MATCH('Isaac 401k'!N572,'Retirement Calculator'!A:A,0),0),0)</f>
        <v>7863.2184191855868</v>
      </c>
      <c r="K572" s="455">
        <f t="shared" ca="1" si="53"/>
        <v>-300.89870434408272</v>
      </c>
      <c r="L572" s="455">
        <f t="shared" ca="1" si="54"/>
        <v>-72516.587746923935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-72516.587746923935</v>
      </c>
      <c r="J573" s="455">
        <f t="array" ref="J573">IFERROR(INDEX('Retirement Calculator'!J:J,MATCH('Isaac 401k'!N573,'Retirement Calculator'!A:A,0),0),0)</f>
        <v>7863.2184191855868</v>
      </c>
      <c r="K573" s="455">
        <f t="shared" ca="1" si="53"/>
        <v>-334.91585902545637</v>
      </c>
      <c r="L573" s="455">
        <f t="shared" ca="1" si="54"/>
        <v>-80714.722025134979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-80714.722025134979</v>
      </c>
      <c r="J574" s="455">
        <f t="array" ref="J574">IFERROR(INDEX('Retirement Calculator'!J:J,MATCH('Isaac 401k'!N574,'Retirement Calculator'!A:A,0),0),0)</f>
        <v>7863.2184191855868</v>
      </c>
      <c r="K574" s="455">
        <f t="shared" ca="1" si="53"/>
        <v>-369.07475185133569</v>
      </c>
      <c r="L574" s="455">
        <f t="shared" ca="1" si="54"/>
        <v>-88947.015196171909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-88947.015196171909</v>
      </c>
      <c r="J575" s="455">
        <f t="array" ref="J575">IFERROR(INDEX('Retirement Calculator'!J:J,MATCH('Isaac 401k'!N575,'Retirement Calculator'!A:A,0),0),0)</f>
        <v>7863.2184191855868</v>
      </c>
      <c r="K575" s="455">
        <f t="shared" ca="1" si="53"/>
        <v>-403.37597339732292</v>
      </c>
      <c r="L575" s="455">
        <f t="shared" ca="1" si="54"/>
        <v>-97213.609588754829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-97213.609588754829</v>
      </c>
      <c r="J576" s="455">
        <f t="array" ref="J576">IFERROR(INDEX('Retirement Calculator'!J:J,MATCH('Isaac 401k'!N576,'Retirement Calculator'!A:A,0),0),0)</f>
        <v>7863.2184191855868</v>
      </c>
      <c r="K576" s="455">
        <f t="shared" ca="1" si="53"/>
        <v>-437.82011669975174</v>
      </c>
      <c r="L576" s="455">
        <f t="shared" ca="1" si="54"/>
        <v>-105514.64812464017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-105514.64812464017</v>
      </c>
      <c r="J577" s="455">
        <f t="array" ref="J577">IFERROR(INDEX('Retirement Calculator'!J:J,MATCH('Isaac 401k'!N577,'Retirement Calculator'!A:A,0),0),0)</f>
        <v>7863.2184191855868</v>
      </c>
      <c r="K577" s="455">
        <f t="shared" ca="1" si="53"/>
        <v>-472.40777726594058</v>
      </c>
      <c r="L577" s="455">
        <f t="shared" ca="1" si="54"/>
        <v>-113850.2743210917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-113850.2743210917</v>
      </c>
      <c r="J578" s="455">
        <f t="array" ref="J578">IFERROR(INDEX('Retirement Calculator'!J:J,MATCH('Isaac 401k'!N578,'Retirement Calculator'!A:A,0),0),0)</f>
        <v>7863.2184191855868</v>
      </c>
      <c r="K578" s="455">
        <f t="shared" ca="1" si="53"/>
        <v>-507.13955308448868</v>
      </c>
      <c r="L578" s="455">
        <f t="shared" ca="1" si="54"/>
        <v>-122220.63229336178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-122220.63229336178</v>
      </c>
      <c r="J579" s="455">
        <f t="array" ref="J579">IFERROR(INDEX('Retirement Calculator'!J:J,MATCH('Isaac 401k'!N579,'Retirement Calculator'!A:A,0),0),0)</f>
        <v>7863.2184191855868</v>
      </c>
      <c r="K579" s="455">
        <f t="shared" ca="1" si="53"/>
        <v>-542.01604463561398</v>
      </c>
      <c r="L579" s="455">
        <f t="shared" ca="1" si="54"/>
        <v>-130625.86675718299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-130625.86675718299</v>
      </c>
      <c r="J580" s="455">
        <f t="array" ref="J580">IFERROR(INDEX('Retirement Calculator'!J:J,MATCH('Isaac 401k'!N580,'Retirement Calculator'!A:A,0),0),0)</f>
        <v>7863.2184191855868</v>
      </c>
      <c r="K580" s="455">
        <f t="shared" ca="1" si="53"/>
        <v>-577.03785490153564</v>
      </c>
      <c r="L580" s="455">
        <f t="shared" ca="1" si="54"/>
        <v>-139066.12303127011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-139066.12303127011</v>
      </c>
      <c r="J581" s="455">
        <f t="array" ref="J581">IFERROR(INDEX('Retirement Calculator'!J:J,MATCH('Isaac 401k'!N581,'Retirement Calculator'!A:A,0),0),0)</f>
        <v>7863.2184191855868</v>
      </c>
      <c r="K581" s="455">
        <f t="shared" ca="1" si="53"/>
        <v>-612.20558937689873</v>
      </c>
      <c r="L581" s="455">
        <f t="shared" ca="1" si="54"/>
        <v>-147541.54703983257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-147541.54703983257</v>
      </c>
      <c r="J582" s="455">
        <f t="array" ref="J582">IFERROR(INDEX('Retirement Calculator'!J:J,MATCH('Isaac 401k'!N582,'Retirement Calculator'!A:A,0),0),0)</f>
        <v>7863.2184191855868</v>
      </c>
      <c r="K582" s="455">
        <f t="shared" ca="1" si="53"/>
        <v>-647.51985607924223</v>
      </c>
      <c r="L582" s="455">
        <f t="shared" ca="1" si="54"/>
        <v>-156052.2853150974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-156052.2853150974</v>
      </c>
      <c r="J583" s="455">
        <f t="array" ref="J583">IFERROR(INDEX('Retirement Calculator'!J:J,MATCH('Isaac 401k'!N583,'Retirement Calculator'!A:A,0),0),0)</f>
        <v>7863.2184191855868</v>
      </c>
      <c r="K583" s="455">
        <f t="shared" ca="1" si="53"/>
        <v>-682.98126555951239</v>
      </c>
      <c r="L583" s="455">
        <f t="shared" ca="1" si="54"/>
        <v>-164598.48499984248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-164598.48499984248</v>
      </c>
      <c r="J584" s="455">
        <f t="array" ref="J584">IFERROR(INDEX('Retirement Calculator'!J:J,MATCH('Isaac 401k'!N584,'Retirement Calculator'!A:A,0),0),0)</f>
        <v>7863.2184191855868</v>
      </c>
      <c r="K584" s="455">
        <f t="shared" ca="1" si="53"/>
        <v>-718.59043091261685</v>
      </c>
      <c r="L584" s="455">
        <f t="shared" ca="1" si="54"/>
        <v>-173180.29384994067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-173180.29384994067</v>
      </c>
      <c r="J585" s="455">
        <f t="array" ref="J585">IFERROR(INDEX('Retirement Calculator'!J:J,MATCH('Isaac 401k'!N585,'Retirement Calculator'!A:A,0),0),0)</f>
        <v>7863.2184191855868</v>
      </c>
      <c r="K585" s="455">
        <f t="shared" ca="1" si="53"/>
        <v>-754.34796778802604</v>
      </c>
      <c r="L585" s="455">
        <f t="shared" ca="1" si="54"/>
        <v>-181797.86023691428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-181797.86023691428</v>
      </c>
      <c r="J586" s="455">
        <f t="array" ref="J586">IFERROR(INDEX('Retirement Calculator'!J:J,MATCH('Isaac 401k'!N586,'Retirement Calculator'!A:A,0),0),0)</f>
        <v>7863.2184191855868</v>
      </c>
      <c r="K586" s="455">
        <f t="shared" ca="1" si="53"/>
        <v>-790.25449440041609</v>
      </c>
      <c r="L586" s="455">
        <f t="shared" ca="1" si="54"/>
        <v>-190451.33315050026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-190451.33315050026</v>
      </c>
      <c r="J587" s="455">
        <f t="array" ref="J587">IFERROR(INDEX('Retirement Calculator'!J:J,MATCH('Isaac 401k'!N587,'Retirement Calculator'!A:A,0),0),0)</f>
        <v>7863.2184191855868</v>
      </c>
      <c r="K587" s="455">
        <f t="shared" ca="1" si="53"/>
        <v>-826.31063154035758</v>
      </c>
      <c r="L587" s="455">
        <f t="shared" ca="1" si="54"/>
        <v>-199140.86220122621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-199140.86220122621</v>
      </c>
      <c r="J588" s="455">
        <f t="array" ref="J588">IFERROR(INDEX('Retirement Calculator'!J:J,MATCH('Isaac 401k'!N588,'Retirement Calculator'!A:A,0),0),0)</f>
        <v>7863.2184191855868</v>
      </c>
      <c r="K588" s="455">
        <f t="shared" ca="1" si="53"/>
        <v>-862.51700258504911</v>
      </c>
      <c r="L588" s="455">
        <f t="shared" ca="1" si="54"/>
        <v>-207866.59762299684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-207866.59762299684</v>
      </c>
      <c r="J589" s="455">
        <f t="array" ref="J589">IFERROR(INDEX('Retirement Calculator'!J:J,MATCH('Isaac 401k'!N589,'Retirement Calculator'!A:A,0),0),0)</f>
        <v>7863.2184191855868</v>
      </c>
      <c r="K589" s="455">
        <f t="shared" ca="1" si="53"/>
        <v>-898.87423350909341</v>
      </c>
      <c r="L589" s="455">
        <f t="shared" ca="1" si="54"/>
        <v>-216628.69027569151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-216628.69027569151</v>
      </c>
      <c r="J590" s="455">
        <f t="array" ref="J590">IFERROR(INDEX('Retirement Calculator'!J:J,MATCH('Isaac 401k'!N590,'Retirement Calculator'!A:A,0),0),0)</f>
        <v>7863.2184191855868</v>
      </c>
      <c r="K590" s="455">
        <f t="shared" ca="1" si="53"/>
        <v>-935.38295289532118</v>
      </c>
      <c r="L590" s="455">
        <f t="shared" ca="1" si="54"/>
        <v>-225427.29164777242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-225427.29164777242</v>
      </c>
      <c r="J591" s="455">
        <f t="array" ref="J591">IFERROR(INDEX('Retirement Calculator'!J:J,MATCH('Isaac 401k'!N591,'Retirement Calculator'!A:A,0),0),0)</f>
        <v>7863.2184191855868</v>
      </c>
      <c r="K591" s="455">
        <f t="shared" ca="1" si="53"/>
        <v>-972.04379194565831</v>
      </c>
      <c r="L591" s="455">
        <f t="shared" ca="1" si="54"/>
        <v>-234262.55385890364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-234262.55385890364</v>
      </c>
      <c r="J592" s="455">
        <f t="array" ref="J592">IFERROR(INDEX('Retirement Calculator'!J:J,MATCH('Isaac 401k'!N592,'Retirement Calculator'!A:A,0),0),0)</f>
        <v>7863.2184191855868</v>
      </c>
      <c r="K592" s="455">
        <f t="shared" ca="1" si="53"/>
        <v>-1008.8573844920385</v>
      </c>
      <c r="L592" s="455">
        <f t="shared" ca="1" si="54"/>
        <v>-243134.62966258125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-243134.62966258125</v>
      </c>
      <c r="J593" s="455">
        <f t="array" ref="J593">IFERROR(INDEX('Retirement Calculator'!J:J,MATCH('Isaac 401k'!N593,'Retirement Calculator'!A:A,0),0),0)</f>
        <v>7863.2184191855868</v>
      </c>
      <c r="K593" s="455">
        <f t="shared" ca="1" si="53"/>
        <v>-1045.8243670073618</v>
      </c>
      <c r="L593" s="455">
        <f t="shared" ca="1" si="54"/>
        <v>-252043.67244877419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-252043.67244877419</v>
      </c>
      <c r="J594" s="455">
        <f t="array" ref="J594">IFERROR(INDEX('Retirement Calculator'!J:J,MATCH('Isaac 401k'!N594,'Retirement Calculator'!A:A,0),0),0)</f>
        <v>7863.2184191855868</v>
      </c>
      <c r="K594" s="455">
        <f t="shared" ca="1" si="53"/>
        <v>-1082.9453786164991</v>
      </c>
      <c r="L594" s="455">
        <f t="shared" ca="1" si="54"/>
        <v>-260989.83624657628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-260989.83624657628</v>
      </c>
      <c r="J595" s="455">
        <f t="array" ref="J595">IFERROR(INDEX('Retirement Calculator'!J:J,MATCH('Isaac 401k'!N595,'Retirement Calculator'!A:A,0),0),0)</f>
        <v>7863.2184191855868</v>
      </c>
      <c r="K595" s="455">
        <f t="shared" ca="1" si="53"/>
        <v>-1120.2210611073413</v>
      </c>
      <c r="L595" s="455">
        <f t="shared" ca="1" si="54"/>
        <v>-269973.27572686924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-269973.27572686924</v>
      </c>
      <c r="J596" s="455">
        <f t="array" ref="J596">IFERROR(INDEX('Retirement Calculator'!J:J,MATCH('Isaac 401k'!N596,'Retirement Calculator'!A:A,0),0),0)</f>
        <v>7863.2184191855868</v>
      </c>
      <c r="K596" s="455">
        <f t="shared" ca="1" si="53"/>
        <v>-1157.6520589418951</v>
      </c>
      <c r="L596" s="455">
        <f t="shared" ca="1" si="54"/>
        <v>-278994.14620499674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-278994.14620499674</v>
      </c>
      <c r="J597" s="455">
        <f t="array" ref="J597">IFERROR(INDEX('Retirement Calculator'!J:J,MATCH('Isaac 401k'!N597,'Retirement Calculator'!A:A,0),0),0)</f>
        <v>7863.2184191855868</v>
      </c>
      <c r="K597" s="455">
        <f t="shared" ca="1" si="53"/>
        <v>-1195.2390192674263</v>
      </c>
      <c r="L597" s="455">
        <f t="shared" ca="1" si="54"/>
        <v>-288052.60364344978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-288052.60364344978</v>
      </c>
      <c r="J598" s="455">
        <f t="array" ref="J598">IFERROR(INDEX('Retirement Calculator'!J:J,MATCH('Isaac 401k'!N598,'Retirement Calculator'!A:A,0),0),0)</f>
        <v>7863.2184191855868</v>
      </c>
      <c r="K598" s="455">
        <f t="shared" ca="1" si="53"/>
        <v>-1232.9825919276475</v>
      </c>
      <c r="L598" s="455">
        <f t="shared" ca="1" si="54"/>
        <v>-297148.80465456302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-297148.80465456302</v>
      </c>
      <c r="J599" s="455">
        <f t="array" ref="J599">IFERROR(INDEX('Retirement Calculator'!J:J,MATCH('Isaac 401k'!N599,'Retirement Calculator'!A:A,0),0),0)</f>
        <v>7863.2184191855868</v>
      </c>
      <c r="K599" s="455">
        <f t="shared" ca="1" si="53"/>
        <v>-1270.8834294739527</v>
      </c>
      <c r="L599" s="455">
        <f t="shared" ca="1" si="54"/>
        <v>-306282.90650322259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-306282.90650322259</v>
      </c>
      <c r="J600" s="455">
        <f t="array" ref="J600">IFERROR(INDEX('Retirement Calculator'!J:J,MATCH('Isaac 401k'!N600,'Retirement Calculator'!A:A,0),0),0)</f>
        <v>7863.2184191855868</v>
      </c>
      <c r="K600" s="455">
        <f t="shared" ca="1" si="53"/>
        <v>-1308.9421871767008</v>
      </c>
      <c r="L600" s="455">
        <f t="shared" ca="1" si="54"/>
        <v>-315455.06710958492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-315455.06710958492</v>
      </c>
      <c r="J601" s="455">
        <f t="array" ref="J601">IFERROR(INDEX('Retirement Calculator'!J:J,MATCH('Isaac 401k'!N601,'Retirement Calculator'!A:A,0),0),0)</f>
        <v>7863.2184191855868</v>
      </c>
      <c r="K601" s="455">
        <f t="shared" ca="1" si="53"/>
        <v>-1347.1595230365438</v>
      </c>
      <c r="L601" s="455">
        <f t="shared" ca="1" si="54"/>
        <v>-324665.4450518071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-324665.4450518071</v>
      </c>
      <c r="J602" s="455">
        <f t="array" ref="J602">IFERROR(INDEX('Retirement Calculator'!J:J,MATCH('Isaac 401k'!N602,'Retirement Calculator'!A:A,0),0),0)</f>
        <v>7863.2184191855868</v>
      </c>
      <c r="K602" s="455">
        <f t="shared" ca="1" si="53"/>
        <v>-1385.536097795803</v>
      </c>
      <c r="L602" s="455">
        <f t="shared" ca="1" si="54"/>
        <v>-333914.19956878852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-333914.19956878852</v>
      </c>
      <c r="J603" s="455">
        <f t="array" ref="J603">IFERROR(INDEX('Retirement Calculator'!J:J,MATCH('Isaac 401k'!N603,'Retirement Calculator'!A:A,0),0),0)</f>
        <v>7863.2184191855868</v>
      </c>
      <c r="K603" s="455">
        <f t="shared" ca="1" si="53"/>
        <v>-1424.0725749498922</v>
      </c>
      <c r="L603" s="455">
        <f t="shared" ca="1" si="54"/>
        <v>-343201.49056292401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-343201.49056292401</v>
      </c>
      <c r="J604" s="455">
        <f t="array" ref="J604">IFERROR(INDEX('Retirement Calculator'!J:J,MATCH('Isaac 401k'!N604,'Retirement Calculator'!A:A,0),0),0)</f>
        <v>7863.2184191855868</v>
      </c>
      <c r="K604" s="455">
        <f t="shared" ca="1" si="53"/>
        <v>-1462.7696207587901</v>
      </c>
      <c r="L604" s="455">
        <f t="shared" ca="1" si="54"/>
        <v>-352527.47860286839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-352527.47860286839</v>
      </c>
      <c r="J605" s="455">
        <f t="array" ref="J605">IFERROR(INDEX('Retirement Calculator'!J:J,MATCH('Isaac 401k'!N605,'Retirement Calculator'!A:A,0),0),0)</f>
        <v>7863.2184191855868</v>
      </c>
      <c r="K605" s="455">
        <f t="shared" ca="1" si="53"/>
        <v>-1501.6279042585584</v>
      </c>
      <c r="L605" s="455">
        <f t="shared" ca="1" si="54"/>
        <v>-361892.32492631255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-361892.32492631255</v>
      </c>
      <c r="J606" s="455">
        <f t="array" ref="J606">IFERROR(INDEX('Retirement Calculator'!J:J,MATCH('Isaac 401k'!N606,'Retirement Calculator'!A:A,0),0),0)</f>
        <v>7863.2184191855868</v>
      </c>
      <c r="K606" s="455">
        <f t="shared" ca="1" si="53"/>
        <v>-1540.6480972729089</v>
      </c>
      <c r="L606" s="455">
        <f t="shared" ca="1" si="54"/>
        <v>-371296.19144277106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-371296.19144277106</v>
      </c>
      <c r="J607" s="455">
        <f t="array" ref="J607">IFERROR(INDEX('Retirement Calculator'!J:J,MATCH('Isaac 401k'!N607,'Retirement Calculator'!A:A,0),0),0)</f>
        <v>7863.2184191855868</v>
      </c>
      <c r="K607" s="455">
        <f t="shared" ca="1" si="53"/>
        <v>-1579.8308744248195</v>
      </c>
      <c r="L607" s="455">
        <f t="shared" ca="1" si="54"/>
        <v>-380739.2407363815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-380739.2407363815</v>
      </c>
      <c r="J608" s="455">
        <f t="array" ref="J608">IFERROR(INDEX('Retirement Calculator'!J:J,MATCH('Isaac 401k'!N608,'Retirement Calculator'!A:A,0),0),0)</f>
        <v>7863.2184191855868</v>
      </c>
      <c r="K608" s="455">
        <f t="shared" ca="1" si="53"/>
        <v>-1619.1769131481963</v>
      </c>
      <c r="L608" s="455">
        <f t="shared" ca="1" si="54"/>
        <v>-390221.63606871531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-390221.63606871531</v>
      </c>
      <c r="J609" s="455">
        <f t="array" ref="J609">IFERROR(INDEX('Retirement Calculator'!J:J,MATCH('Isaac 401k'!N609,'Retirement Calculator'!A:A,0),0),0)</f>
        <v>7863.2184191855868</v>
      </c>
      <c r="K609" s="455">
        <f t="shared" ca="1" si="53"/>
        <v>-1658.686893699587</v>
      </c>
      <c r="L609" s="455">
        <f t="shared" ca="1" si="54"/>
        <v>-399743.54138160049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-399743.54138160049</v>
      </c>
      <c r="J610" s="455">
        <f t="array" ref="J610">IFERROR(INDEX('Retirement Calculator'!J:J,MATCH('Isaac 401k'!N610,'Retirement Calculator'!A:A,0),0),0)</f>
        <v>7863.2184191855868</v>
      </c>
      <c r="K610" s="455">
        <f t="shared" ca="1" si="53"/>
        <v>-1698.3614991699421</v>
      </c>
      <c r="L610" s="455">
        <f t="shared" ca="1" si="54"/>
        <v>-409305.12129995605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-409305.12129995605</v>
      </c>
      <c r="J611" s="455">
        <f t="array" ref="J611">IFERROR(INDEX('Retirement Calculator'!J:J,MATCH('Isaac 401k'!N611,'Retirement Calculator'!A:A,0),0),0)</f>
        <v>7863.2184191855868</v>
      </c>
      <c r="K611" s="455">
        <f t="shared" ca="1" si="53"/>
        <v>-1738.2014154964236</v>
      </c>
      <c r="L611" s="455">
        <f t="shared" ca="1" si="54"/>
        <v>-418906.54113463807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-418906.54113463807</v>
      </c>
      <c r="J612" s="455">
        <f t="array" ref="J612">IFERROR(INDEX('Retirement Calculator'!J:J,MATCH('Isaac 401k'!N612,'Retirement Calculator'!A:A,0),0),0)</f>
        <v>7863.2184191855868</v>
      </c>
      <c r="K612" s="455">
        <f t="shared" ca="1" si="53"/>
        <v>-1778.2073314742654</v>
      </c>
      <c r="L612" s="455">
        <f t="shared" ca="1" si="54"/>
        <v>-428547.96688529797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-428547.96688529797</v>
      </c>
      <c r="J613" s="455">
        <f t="array" ref="J613">IFERROR(INDEX('Retirement Calculator'!J:J,MATCH('Isaac 401k'!N613,'Retirement Calculator'!A:A,0),0),0)</f>
        <v>7863.2184191855868</v>
      </c>
      <c r="K613" s="455">
        <f t="shared" ca="1" si="53"/>
        <v>-1818.3799387686815</v>
      </c>
      <c r="L613" s="455">
        <f t="shared" ca="1" si="54"/>
        <v>-438229.56524325226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-438229.56524325226</v>
      </c>
      <c r="J614" s="455">
        <f t="array" ref="J614">IFERROR(INDEX('Retirement Calculator'!J:J,MATCH('Isaac 401k'!N614,'Retirement Calculator'!A:A,0),0),0)</f>
        <v>7863.2184191855868</v>
      </c>
      <c r="K614" s="455">
        <f t="shared" ca="1" si="53"/>
        <v>-1858.7199319268248</v>
      </c>
      <c r="L614" s="455">
        <f t="shared" ca="1" si="54"/>
        <v>-447951.50359436468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-447951.50359436468</v>
      </c>
      <c r="J615" s="455">
        <f t="array" ref="J615">IFERROR(INDEX('Retirement Calculator'!J:J,MATCH('Isaac 401k'!N615,'Retirement Calculator'!A:A,0),0),0)</f>
        <v>7863.2184191855868</v>
      </c>
      <c r="K615" s="455">
        <f t="shared" ca="1" si="53"/>
        <v>-1899.2280083897929</v>
      </c>
      <c r="L615" s="455">
        <f t="shared" ca="1" si="54"/>
        <v>-457713.95002194005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-457713.95002194005</v>
      </c>
      <c r="J616" s="455">
        <f t="array" ref="J616">IFERROR(INDEX('Retirement Calculator'!J:J,MATCH('Isaac 401k'!N616,'Retirement Calculator'!A:A,0),0),0)</f>
        <v>7863.2184191855868</v>
      </c>
      <c r="K616" s="455">
        <f t="shared" ca="1" si="53"/>
        <v>-1939.9048685046905</v>
      </c>
      <c r="L616" s="455">
        <f t="shared" ca="1" si="54"/>
        <v>-467517.07330963033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-467517.07330963033</v>
      </c>
      <c r="J617" s="455">
        <f t="array" ref="J617">IFERROR(INDEX('Retirement Calculator'!J:J,MATCH('Isaac 401k'!N617,'Retirement Calculator'!A:A,0),0),0)</f>
        <v>7863.2184191855868</v>
      </c>
      <c r="K617" s="455">
        <f t="shared" ca="1" si="53"/>
        <v>-1980.7512155367333</v>
      </c>
      <c r="L617" s="455">
        <f t="shared" ca="1" si="54"/>
        <v>-477361.04294435267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-477361.04294435267</v>
      </c>
      <c r="J618" s="455">
        <f t="array" ref="J618">IFERROR(INDEX('Retirement Calculator'!J:J,MATCH('Isaac 401k'!N618,'Retirement Calculator'!A:A,0),0),0)</f>
        <v>7863.2184191855868</v>
      </c>
      <c r="K618" s="455">
        <f t="shared" ca="1" si="53"/>
        <v>-2021.7677556814092</v>
      </c>
      <c r="L618" s="455">
        <f t="shared" ca="1" si="54"/>
        <v>-487246.02911921969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-487246.02911921969</v>
      </c>
      <c r="J619" s="455">
        <f t="array" ref="J619">IFERROR(INDEX('Retirement Calculator'!J:J,MATCH('Isaac 401k'!N619,'Retirement Calculator'!A:A,0),0),0)</f>
        <v>7863.2184191855868</v>
      </c>
      <c r="K619" s="455">
        <f t="shared" ca="1" si="53"/>
        <v>-2062.9551980766887</v>
      </c>
      <c r="L619" s="455">
        <f t="shared" ca="1" si="54"/>
        <v>-497172.20273648197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-497172.20273648197</v>
      </c>
      <c r="J620" s="455">
        <f t="array" ref="J620">IFERROR(INDEX('Retirement Calculator'!J:J,MATCH('Isaac 401k'!N620,'Retirement Calculator'!A:A,0),0),0)</f>
        <v>7863.2184191855868</v>
      </c>
      <c r="K620" s="455">
        <f t="shared" ca="1" si="53"/>
        <v>-2104.3142548152819</v>
      </c>
      <c r="L620" s="455">
        <f t="shared" ca="1" si="54"/>
        <v>-507139.73541048286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-507139.73541048286</v>
      </c>
      <c r="J621" s="455">
        <f t="array" ref="J621">IFERROR(INDEX('Retirement Calculator'!J:J,MATCH('Isaac 401k'!N621,'Retirement Calculator'!A:A,0),0),0)</f>
        <v>7863.2184191855868</v>
      </c>
      <c r="K621" s="455">
        <f t="shared" ca="1" si="53"/>
        <v>-2145.8456409569517</v>
      </c>
      <c r="L621" s="455">
        <f t="shared" ca="1" si="54"/>
        <v>-517148.79947062541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-517148.79947062541</v>
      </c>
      <c r="J622" s="455">
        <f t="array" ref="J622">IFERROR(INDEX('Retirement Calculator'!J:J,MATCH('Isaac 401k'!N622,'Retirement Calculator'!A:A,0),0),0)</f>
        <v>7863.2184191855868</v>
      </c>
      <c r="K622" s="455">
        <f t="shared" ca="1" si="53"/>
        <v>-2187.550074540879</v>
      </c>
      <c r="L622" s="455">
        <f t="shared" ca="1" si="54"/>
        <v>-527199.56796435185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-527199.56796435185</v>
      </c>
      <c r="J623" s="455">
        <f t="array" ref="J623">IFERROR(INDEX('Retirement Calculator'!J:J,MATCH('Isaac 401k'!N623,'Retirement Calculator'!A:A,0),0),0)</f>
        <v>7863.2184191855868</v>
      </c>
      <c r="K623" s="455">
        <f t="shared" ca="1" si="53"/>
        <v>-2229.4282765980729</v>
      </c>
      <c r="L623" s="455">
        <f t="shared" ca="1" si="54"/>
        <v>-537292.21466013556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-537292.21466013556</v>
      </c>
      <c r="J624" s="455">
        <f t="array" ref="J624">IFERROR(INDEX('Retirement Calculator'!J:J,MATCH('Isaac 401k'!N624,'Retirement Calculator'!A:A,0),0),0)</f>
        <v>7863.2184191855868</v>
      </c>
      <c r="K624" s="455">
        <f t="shared" ca="1" si="53"/>
        <v>-2271.4809711638381</v>
      </c>
      <c r="L624" s="455">
        <f t="shared" ca="1" si="54"/>
        <v>-547426.91405048501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-547426.91405048501</v>
      </c>
      <c r="J625" s="455">
        <f t="array" ref="J625">IFERROR(INDEX('Retirement Calculator'!J:J,MATCH('Isaac 401k'!N625,'Retirement Calculator'!A:A,0),0),0)</f>
        <v>7863.2184191855868</v>
      </c>
      <c r="K625" s="455">
        <f t="shared" ca="1" si="53"/>
        <v>-2313.7088852902943</v>
      </c>
      <c r="L625" s="455">
        <f t="shared" ca="1" si="54"/>
        <v>-557603.84135496092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-557603.84135496092</v>
      </c>
      <c r="J626" s="455">
        <f t="array" ref="J626">IFERROR(INDEX('Retirement Calculator'!J:J,MATCH('Isaac 401k'!N626,'Retirement Calculator'!A:A,0),0),0)</f>
        <v>7863.2184191855868</v>
      </c>
      <c r="K626" s="455">
        <f t="shared" ca="1" si="53"/>
        <v>-2356.1127490589438</v>
      </c>
      <c r="L626" s="455">
        <f t="shared" ca="1" si="54"/>
        <v>-567823.17252320552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-567823.17252320552</v>
      </c>
      <c r="J627" s="455">
        <f t="array" ref="J627">IFERROR(INDEX('Retirement Calculator'!J:J,MATCH('Isaac 401k'!N627,'Retirement Calculator'!A:A,0),0),0)</f>
        <v>7863.2184191855868</v>
      </c>
      <c r="K627" s="455">
        <f t="shared" ca="1" si="53"/>
        <v>-2398.6932955932962</v>
      </c>
      <c r="L627" s="455">
        <f t="shared" ca="1" si="54"/>
        <v>-578085.08423798438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-578085.08423798438</v>
      </c>
      <c r="J628" s="455">
        <f t="array" ref="J628">IFERROR(INDEX('Retirement Calculator'!J:J,MATCH('Isaac 401k'!N628,'Retirement Calculator'!A:A,0),0),0)</f>
        <v>7863.2184191855868</v>
      </c>
      <c r="K628" s="455">
        <f t="shared" ca="1" si="53"/>
        <v>-2441.4512610715415</v>
      </c>
      <c r="L628" s="455">
        <f t="shared" ca="1" si="54"/>
        <v>-588389.75391824148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-588389.75391824148</v>
      </c>
      <c r="J629" s="455">
        <f t="array" ref="J629">IFERROR(INDEX('Retirement Calculator'!J:J,MATCH('Isaac 401k'!N629,'Retirement Calculator'!A:A,0),0),0)</f>
        <v>7863.2184191855868</v>
      </c>
      <c r="K629" s="455">
        <f t="shared" ca="1" si="53"/>
        <v>-2484.3873847392797</v>
      </c>
      <c r="L629" s="455">
        <f t="shared" ca="1" si="54"/>
        <v>-598737.35972216632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-598737.35972216632</v>
      </c>
      <c r="J630" s="455">
        <f t="array" ref="J630">IFERROR(INDEX('Retirement Calculator'!J:J,MATCH('Isaac 401k'!N630,'Retirement Calculator'!A:A,0),0),0)</f>
        <v>7863.2184191855868</v>
      </c>
      <c r="K630" s="455">
        <f t="shared" ca="1" si="53"/>
        <v>-2527.5024089222998</v>
      </c>
      <c r="L630" s="455">
        <f t="shared" ca="1" si="54"/>
        <v>-609128.08055027423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-609128.08055027423</v>
      </c>
      <c r="J631" s="455">
        <f t="array" ref="J631">IFERROR(INDEX('Retirement Calculator'!J:J,MATCH('Isaac 401k'!N631,'Retirement Calculator'!A:A,0),0),0)</f>
        <v>7863.2184191855868</v>
      </c>
      <c r="K631" s="455">
        <f t="shared" ca="1" si="53"/>
        <v>-2570.7970790394161</v>
      </c>
      <c r="L631" s="455">
        <f t="shared" ca="1" si="54"/>
        <v>-619562.09604849922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-619562.09604849922</v>
      </c>
      <c r="J632" s="455">
        <f t="array" ref="J632">IFERROR(INDEX('Retirement Calculator'!J:J,MATCH('Isaac 401k'!N632,'Retirement Calculator'!A:A,0),0),0)</f>
        <v>7863.2184191855868</v>
      </c>
      <c r="K632" s="455">
        <f t="shared" ca="1" si="53"/>
        <v>-2614.2721436153533</v>
      </c>
      <c r="L632" s="455">
        <f t="shared" ca="1" si="54"/>
        <v>-630039.58661130024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-630039.58661130024</v>
      </c>
      <c r="J633" s="455">
        <f t="array" ref="J633">IFERROR(INDEX('Retirement Calculator'!J:J,MATCH('Isaac 401k'!N633,'Retirement Calculator'!A:A,0),0),0)</f>
        <v>7863.2184191855868</v>
      </c>
      <c r="K633" s="455">
        <f t="shared" ca="1" si="53"/>
        <v>-2657.928354293691</v>
      </c>
      <c r="L633" s="455">
        <f t="shared" ca="1" si="54"/>
        <v>-640560.73338477954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-640560.73338477954</v>
      </c>
      <c r="J634" s="455">
        <f t="array" ref="J634">IFERROR(INDEX('Retirement Calculator'!J:J,MATCH('Isaac 401k'!N634,'Retirement Calculator'!A:A,0),0),0)</f>
        <v>7863.2184191855868</v>
      </c>
      <c r="K634" s="455">
        <f t="shared" ca="1" si="53"/>
        <v>-2701.7664658498547</v>
      </c>
      <c r="L634" s="455">
        <f t="shared" ca="1" si="54"/>
        <v>-651125.71826981497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-651125.71826981497</v>
      </c>
      <c r="J635" s="455">
        <f t="array" ref="J635">IFERROR(INDEX('Retirement Calculator'!J:J,MATCH('Isaac 401k'!N635,'Retirement Calculator'!A:A,0),0),0)</f>
        <v>7863.2184191855868</v>
      </c>
      <c r="K635" s="455">
        <f t="shared" ca="1" si="53"/>
        <v>-2745.7872362041689</v>
      </c>
      <c r="L635" s="455">
        <f t="shared" ca="1" si="54"/>
        <v>-661734.72392520471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-661734.72392520471</v>
      </c>
      <c r="J636" s="455">
        <f t="array" ref="J636">IFERROR(INDEX('Retirement Calculator'!J:J,MATCH('Isaac 401k'!N636,'Retirement Calculator'!A:A,0),0),0)</f>
        <v>7863.2184191855868</v>
      </c>
      <c r="K636" s="455">
        <f t="shared" ca="1" si="53"/>
        <v>-2789.9914264349595</v>
      </c>
      <c r="L636" s="455">
        <f t="shared" ca="1" si="54"/>
        <v>-672387.93377082527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-672387.93377082527</v>
      </c>
      <c r="J637" s="455">
        <f t="array" ref="J637">IFERROR(INDEX('Retirement Calculator'!J:J,MATCH('Isaac 401k'!N637,'Retirement Calculator'!A:A,0),0),0)</f>
        <v>7863.2184191855868</v>
      </c>
      <c r="K637" s="455">
        <f t="shared" ca="1" si="53"/>
        <v>-2834.3798007917121</v>
      </c>
      <c r="L637" s="455">
        <f t="shared" ca="1" si="54"/>
        <v>-683085.53199080261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-683085.53199080261</v>
      </c>
      <c r="J638" s="455">
        <f t="array" ref="J638">IFERROR(INDEX('Retirement Calculator'!J:J,MATCH('Isaac 401k'!N638,'Retirement Calculator'!A:A,0),0),0)</f>
        <v>7863.2184191855868</v>
      </c>
      <c r="K638" s="455">
        <f t="shared" ca="1" si="53"/>
        <v>-2878.9531267082843</v>
      </c>
      <c r="L638" s="455">
        <f t="shared" ca="1" si="54"/>
        <v>-693827.7035366965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-693827.7035366965</v>
      </c>
      <c r="J639" s="455">
        <f t="array" ref="J639">IFERROR(INDEX('Retirement Calculator'!J:J,MATCH('Isaac 401k'!N639,'Retirement Calculator'!A:A,0),0),0)</f>
        <v>7863.2184191855868</v>
      </c>
      <c r="K639" s="455">
        <f t="shared" ca="1" si="53"/>
        <v>-2923.7121748161753</v>
      </c>
      <c r="L639" s="455">
        <f t="shared" ca="1" si="54"/>
        <v>-704614.63413069828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-704614.63413069828</v>
      </c>
      <c r="J640" s="455">
        <f t="array" ref="J640">IFERROR(INDEX('Retirement Calculator'!J:J,MATCH('Isaac 401k'!N640,'Retirement Calculator'!A:A,0),0),0)</f>
        <v>7863.2184191855868</v>
      </c>
      <c r="K640" s="455">
        <f t="shared" ca="1" si="53"/>
        <v>-2968.6577189578493</v>
      </c>
      <c r="L640" s="455">
        <f t="shared" ca="1" si="54"/>
        <v>-715446.51026884175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-715446.51026884175</v>
      </c>
      <c r="J641" s="455">
        <f t="array" ref="J641">IFERROR(INDEX('Retirement Calculator'!J:J,MATCH('Isaac 401k'!N641,'Retirement Calculator'!A:A,0),0),0)</f>
        <v>7863.2184191855868</v>
      </c>
      <c r="K641" s="455">
        <f t="shared" ca="1" si="53"/>
        <v>-3013.7905362001138</v>
      </c>
      <c r="L641" s="455">
        <f t="shared" ca="1" si="54"/>
        <v>-726323.51922422752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-726323.51922422752</v>
      </c>
      <c r="J642" s="455">
        <f t="array" ref="J642">IFERROR(INDEX('Retirement Calculator'!J:J,MATCH('Isaac 401k'!N642,'Retirement Calculator'!A:A,0),0),0)</f>
        <v>7863.2184191855868</v>
      </c>
      <c r="K642" s="455">
        <f t="shared" ca="1" si="53"/>
        <v>-3059.1114068475545</v>
      </c>
      <c r="L642" s="455">
        <f t="shared" ca="1" si="54"/>
        <v>-737245.84905026073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-737245.84905026073</v>
      </c>
      <c r="J643" s="455">
        <f t="array" ref="J643">IFERROR(INDEX('Retirement Calculator'!J:J,MATCH('Isaac 401k'!N643,'Retirement Calculator'!A:A,0),0),0)</f>
        <v>7863.2184191855868</v>
      </c>
      <c r="K643" s="455">
        <f t="shared" ca="1" si="53"/>
        <v>-3104.6211144560266</v>
      </c>
      <c r="L643" s="455">
        <f t="shared" ca="1" si="54"/>
        <v>-748213.68858390232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-748213.68858390232</v>
      </c>
      <c r="J644" s="455">
        <f t="array" ref="J644">IFERROR(INDEX('Retirement Calculator'!J:J,MATCH('Isaac 401k'!N644,'Retirement Calculator'!A:A,0),0),0)</f>
        <v>7863.2184191855868</v>
      </c>
      <c r="K644" s="455">
        <f t="shared" ca="1" si="53"/>
        <v>-3150.3204458461996</v>
      </c>
      <c r="L644" s="455">
        <f t="shared" ca="1" si="54"/>
        <v>-759227.22744893411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-759227.22744893411</v>
      </c>
      <c r="J645" s="455">
        <f t="array" ref="J645">IFERROR(INDEX('Retirement Calculator'!J:J,MATCH('Isaac 401k'!N645,'Retirement Calculator'!A:A,0),0),0)</f>
        <v>7863.2184191855868</v>
      </c>
      <c r="K645" s="455">
        <f t="shared" ca="1" si="53"/>
        <v>-3196.2101911171653</v>
      </c>
      <c r="L645" s="455">
        <f t="shared" ca="1" si="54"/>
        <v>-770286.65605923685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-770286.65605923685</v>
      </c>
      <c r="J646" s="455">
        <f t="array" ref="J646">IFERROR(INDEX('Retirement Calculator'!J:J,MATCH('Isaac 401k'!N646,'Retirement Calculator'!A:A,0),0),0)</f>
        <v>7863.2184191855868</v>
      </c>
      <c r="K646" s="455">
        <f t="shared" ca="1" si="53"/>
        <v>-3242.2911436600934</v>
      </c>
      <c r="L646" s="455">
        <f t="shared" ca="1" si="54"/>
        <v>-781392.16562208254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-781392.16562208254</v>
      </c>
      <c r="J647" s="455">
        <f t="array" ref="J647">IFERROR(INDEX('Retirement Calculator'!J:J,MATCH('Isaac 401k'!N647,'Retirement Calculator'!A:A,0),0),0)</f>
        <v>7863.2184191855868</v>
      </c>
      <c r="K647" s="455">
        <f t="shared" ca="1" si="53"/>
        <v>-3288.5641001719505</v>
      </c>
      <c r="L647" s="455">
        <f t="shared" ca="1" si="54"/>
        <v>-792543.94814144005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-792543.94814144005</v>
      </c>
      <c r="J648" s="455">
        <f t="array" ref="J648">IFERROR(INDEX('Retirement Calculator'!J:J,MATCH('Isaac 401k'!N648,'Retirement Calculator'!A:A,0),0),0)</f>
        <v>7863.2184191855868</v>
      </c>
      <c r="K648" s="455">
        <f t="shared" ca="1" si="53"/>
        <v>-3335.0298606692736</v>
      </c>
      <c r="L648" s="455">
        <f t="shared" ca="1" si="54"/>
        <v>-803742.19642129494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-803742.19642129494</v>
      </c>
      <c r="J649" s="455">
        <f t="array" ref="J649">IFERROR(INDEX('Retirement Calculator'!J:J,MATCH('Isaac 401k'!N649,'Retirement Calculator'!A:A,0),0),0)</f>
        <v>7863.2184191855868</v>
      </c>
      <c r="K649" s="455">
        <f t="shared" ca="1" si="53"/>
        <v>-3381.6892285020022</v>
      </c>
      <c r="L649" s="455">
        <f t="shared" ca="1" si="54"/>
        <v>-814987.10406898253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-814987.10406898253</v>
      </c>
      <c r="J650" s="455">
        <f t="array" ref="J650">IFERROR(INDEX('Retirement Calculator'!J:J,MATCH('Isaac 401k'!N650,'Retirement Calculator'!A:A,0),0),0)</f>
        <v>7863.2184191855868</v>
      </c>
      <c r="K650" s="455">
        <f t="shared" ca="1" si="53"/>
        <v>-3428.5430103673671</v>
      </c>
      <c r="L650" s="455">
        <f t="shared" ca="1" si="54"/>
        <v>-826278.86549853545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-826278.86549853545</v>
      </c>
      <c r="J651" s="455">
        <f t="array" ref="J651">IFERROR(INDEX('Retirement Calculator'!J:J,MATCH('Isaac 401k'!N651,'Retirement Calculator'!A:A,0),0),0)</f>
        <v>7863.2184191855868</v>
      </c>
      <c r="K651" s="455">
        <f t="shared" ca="1" si="53"/>
        <v>-3475.5920163238375</v>
      </c>
      <c r="L651" s="455">
        <f t="shared" ca="1" si="54"/>
        <v>-837617.67593404488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-837617.67593404488</v>
      </c>
      <c r="J652" s="455">
        <f t="array" ref="J652">IFERROR(INDEX('Retirement Calculator'!J:J,MATCH('Isaac 401k'!N652,'Retirement Calculator'!A:A,0),0),0)</f>
        <v>7863.2184191855868</v>
      </c>
      <c r="K652" s="455">
        <f t="shared" ca="1" si="53"/>
        <v>-3522.837059805127</v>
      </c>
      <c r="L652" s="455">
        <f t="shared" ca="1" si="54"/>
        <v>-849003.73141303565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-849003.73141303565</v>
      </c>
      <c r="J653" s="455">
        <f t="array" ref="J653">IFERROR(INDEX('Retirement Calculator'!J:J,MATCH('Isaac 401k'!N653,'Retirement Calculator'!A:A,0),0),0)</f>
        <v>7863.2184191855868</v>
      </c>
      <c r="K653" s="455">
        <f t="shared" ca="1" si="53"/>
        <v>-3570.2789576342552</v>
      </c>
      <c r="L653" s="455">
        <f t="shared" ca="1" si="54"/>
        <v>-860437.22878985549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-860437.22878985549</v>
      </c>
      <c r="J654" s="455">
        <f t="array" ref="J654">IFERROR(INDEX('Retirement Calculator'!J:J,MATCH('Isaac 401k'!N654,'Retirement Calculator'!A:A,0),0),0)</f>
        <v>7863.2184191855868</v>
      </c>
      <c r="K654" s="455">
        <f t="shared" ca="1" si="53"/>
        <v>-3617.9185300376712</v>
      </c>
      <c r="L654" s="455">
        <f t="shared" ca="1" si="54"/>
        <v>-871918.36573907873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-871918.36573907873</v>
      </c>
      <c r="J655" s="455">
        <f t="array" ref="J655">IFERROR(INDEX('Retirement Calculator'!J:J,MATCH('Isaac 401k'!N655,'Retirement Calculator'!A:A,0),0),0)</f>
        <v>7863.2184191855868</v>
      </c>
      <c r="K655" s="455">
        <f t="shared" ca="1" si="53"/>
        <v>-3665.7566006594348</v>
      </c>
      <c r="L655" s="455">
        <f t="shared" ca="1" si="54"/>
        <v>-883447.34075892379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-883447.34075892379</v>
      </c>
      <c r="J656" s="455">
        <f t="array" ref="J656">IFERROR(INDEX('Retirement Calculator'!J:J,MATCH('Isaac 401k'!N656,'Retirement Calculator'!A:A,0),0),0)</f>
        <v>7863.2184191855868</v>
      </c>
      <c r="K656" s="455">
        <f t="shared" ca="1" si="53"/>
        <v>-3713.7939965754558</v>
      </c>
      <c r="L656" s="455">
        <f t="shared" ca="1" si="54"/>
        <v>-895024.3531746848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-895024.3531746848</v>
      </c>
      <c r="J657" s="455">
        <f t="array" ref="J657">IFERROR(INDEX('Retirement Calculator'!J:J,MATCH('Isaac 401k'!N657,'Retirement Calculator'!A:A,0),0),0)</f>
        <v>7863.2184191855868</v>
      </c>
      <c r="K657" s="455">
        <f t="shared" ca="1" si="53"/>
        <v>-3762.0315483077934</v>
      </c>
      <c r="L657" s="455">
        <f t="shared" ca="1" si="54"/>
        <v>-906649.60314217815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-906649.60314217815</v>
      </c>
      <c r="J658" s="455">
        <f t="array" ref="J658">IFERROR(INDEX('Retirement Calculator'!J:J,MATCH('Isaac 401k'!N658,'Retirement Calculator'!A:A,0),0),0)</f>
        <v>7863.2184191855868</v>
      </c>
      <c r="K658" s="455">
        <f t="shared" ca="1" si="53"/>
        <v>-3810.4700898390156</v>
      </c>
      <c r="L658" s="455">
        <f t="shared" ca="1" si="54"/>
        <v>-918323.29165120283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-918323.29165120283</v>
      </c>
      <c r="J659" s="455">
        <f t="array" ref="J659">IFERROR(INDEX('Retirement Calculator'!J:J,MATCH('Isaac 401k'!N659,'Retirement Calculator'!A:A,0),0),0)</f>
        <v>7863.2184191855868</v>
      </c>
      <c r="K659" s="455">
        <f t="shared" ca="1" si="53"/>
        <v>-3859.1104586266179</v>
      </c>
      <c r="L659" s="455">
        <f t="shared" ca="1" si="54"/>
        <v>-930045.62052901508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-930045.62052901508</v>
      </c>
      <c r="J660" s="455">
        <f t="array" ref="J660">IFERROR(INDEX('Retirement Calculator'!J:J,MATCH('Isaac 401k'!N660,'Retirement Calculator'!A:A,0),0),0)</f>
        <v>7863.2184191855868</v>
      </c>
      <c r="K660" s="455">
        <f t="shared" ca="1" si="53"/>
        <v>-3907.953495617503</v>
      </c>
      <c r="L660" s="455">
        <f t="shared" ca="1" si="54"/>
        <v>-941816.79244381818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-941816.79244381818</v>
      </c>
      <c r="J661" s="455">
        <f t="array" ref="J661">IFERROR(INDEX('Retirement Calculator'!J:J,MATCH('Isaac 401k'!N661,'Retirement Calculator'!A:A,0),0),0)</f>
        <v>7863.2184191855868</v>
      </c>
      <c r="K661" s="455">
        <f t="shared" ca="1" si="53"/>
        <v>-3957.0000452625159</v>
      </c>
      <c r="L661" s="455">
        <f t="shared" ca="1" si="54"/>
        <v>-953637.0109082663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-953637.0109082663</v>
      </c>
      <c r="J662" s="455">
        <f t="array" ref="J662">IFERROR(INDEX('Retirement Calculator'!J:J,MATCH('Isaac 401k'!N662,'Retirement Calculator'!A:A,0),0),0)</f>
        <v>7863.2184191855868</v>
      </c>
      <c r="K662" s="455">
        <f t="shared" ca="1" si="53"/>
        <v>-4006.2509555310498</v>
      </c>
      <c r="L662" s="455">
        <f t="shared" ca="1" si="54"/>
        <v>-965506.48028298293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-965506.48028298293</v>
      </c>
      <c r="J663" s="455">
        <f t="array" ref="J663">IFERROR(INDEX('Retirement Calculator'!J:J,MATCH('Isaac 401k'!N663,'Retirement Calculator'!A:A,0),0),0)</f>
        <v>7863.2184191855868</v>
      </c>
      <c r="K663" s="455">
        <f t="shared" ca="1" si="53"/>
        <v>-4055.7070779257024</v>
      </c>
      <c r="L663" s="455">
        <f t="shared" ca="1" si="54"/>
        <v>-977425.40578009421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-977425.40578009421</v>
      </c>
      <c r="J664" s="455">
        <f t="array" ref="J664">IFERROR(INDEX('Retirement Calculator'!J:J,MATCH('Isaac 401k'!N664,'Retirement Calculator'!A:A,0),0),0)</f>
        <v>7863.2184191855868</v>
      </c>
      <c r="K664" s="455">
        <f t="shared" ca="1" si="53"/>
        <v>-4105.3692674969989</v>
      </c>
      <c r="L664" s="455">
        <f t="shared" ca="1" si="54"/>
        <v>-989393.9934667768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-989393.9934667768</v>
      </c>
      <c r="J665" s="455">
        <f t="array" ref="J665">IFERROR(INDEX('Retirement Calculator'!J:J,MATCH('Isaac 401k'!N665,'Retirement Calculator'!A:A,0),0),0)</f>
        <v>7863.2184191855868</v>
      </c>
      <c r="K665" s="455">
        <f t="shared" ca="1" si="53"/>
        <v>-4155.2383828581769</v>
      </c>
      <c r="L665" s="455">
        <f t="shared" ca="1" si="54"/>
        <v>-1001412.4502688206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-1001412.4502688206</v>
      </c>
      <c r="J666" s="455">
        <f t="array" ref="J666">IFERROR(INDEX('Retirement Calculator'!J:J,MATCH('Isaac 401k'!N666,'Retirement Calculator'!A:A,0),0),0)</f>
        <v>7863.2184191855868</v>
      </c>
      <c r="K666" s="455">
        <f t="shared" ca="1" si="53"/>
        <v>-4205.3152862000261</v>
      </c>
      <c r="L666" s="455">
        <f t="shared" ca="1" si="54"/>
        <v>-1013480.9839742063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-1013480.9839742063</v>
      </c>
      <c r="J667" s="455">
        <f t="array" ref="J667">IFERROR(INDEX('Retirement Calculator'!J:J,MATCH('Isaac 401k'!N667,'Retirement Calculator'!A:A,0),0),0)</f>
        <v>7863.2184191855868</v>
      </c>
      <c r="K667" s="455">
        <f t="shared" ca="1" si="53"/>
        <v>-4255.6008433057996</v>
      </c>
      <c r="L667" s="455">
        <f t="shared" ca="1" si="54"/>
        <v>-1025599.8032366977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-1025599.8032366977</v>
      </c>
      <c r="J668" s="455">
        <f t="array" ref="J668">IFERROR(INDEX('Retirement Calculator'!J:J,MATCH('Isaac 401k'!N668,'Retirement Calculator'!A:A,0),0),0)</f>
        <v>7863.2184191855868</v>
      </c>
      <c r="K668" s="455">
        <f t="shared" ca="1" si="53"/>
        <v>-4306.0959235661803</v>
      </c>
      <c r="L668" s="455">
        <f t="shared" ca="1" si="54"/>
        <v>-1037769.1175794494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-1037769.1175794494</v>
      </c>
      <c r="J669" s="455">
        <f t="array" ref="J669">IFERROR(INDEX('Retirement Calculator'!J:J,MATCH('Isaac 401k'!N669,'Retirement Calculator'!A:A,0),0),0)</f>
        <v>7863.2184191855868</v>
      </c>
      <c r="K669" s="455">
        <f t="shared" ca="1" si="53"/>
        <v>-4356.8013999943123</v>
      </c>
      <c r="L669" s="455">
        <f t="shared" ca="1" si="54"/>
        <v>-1049989.1373986294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-1049989.1373986294</v>
      </c>
      <c r="J670" s="455">
        <f t="array" ref="J670">IFERROR(INDEX('Retirement Calculator'!J:J,MATCH('Isaac 401k'!N670,'Retirement Calculator'!A:A,0),0),0)</f>
        <v>7863.2184191855868</v>
      </c>
      <c r="K670" s="455">
        <f t="shared" ca="1" si="53"/>
        <v>-4407.7181492408963</v>
      </c>
      <c r="L670" s="455">
        <f t="shared" ca="1" si="54"/>
        <v>-1062260.0739670559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-1062260.0739670559</v>
      </c>
      <c r="J671" s="455">
        <f t="array" ref="J671">IFERROR(INDEX('Retirement Calculator'!J:J,MATCH('Isaac 401k'!N671,'Retirement Calculator'!A:A,0),0),0)</f>
        <v>7863.2184191855868</v>
      </c>
      <c r="K671" s="455">
        <f t="shared" ca="1" si="53"/>
        <v>-4458.8470516093394</v>
      </c>
      <c r="L671" s="455">
        <f t="shared" ca="1" si="54"/>
        <v>-1074582.1394378508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-1074582.1394378508</v>
      </c>
      <c r="J672" s="455">
        <f t="array" ref="J672">IFERROR(INDEX('Retirement Calculator'!J:J,MATCH('Isaac 401k'!N672,'Retirement Calculator'!A:A,0),0),0)</f>
        <v>7863.2184191855868</v>
      </c>
      <c r="K672" s="455">
        <f t="shared" ca="1" si="53"/>
        <v>-4510.1889910709851</v>
      </c>
      <c r="L672" s="455">
        <f t="shared" ca="1" si="54"/>
        <v>-1086955.5468481074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-1086955.5468481074</v>
      </c>
      <c r="J673" s="455">
        <f t="array" ref="J673">IFERROR(INDEX('Retirement Calculator'!J:J,MATCH('Isaac 401k'!N673,'Retirement Calculator'!A:A,0),0),0)</f>
        <v>7863.2184191855868</v>
      </c>
      <c r="K673" s="455">
        <f t="shared" ca="1" si="53"/>
        <v>-4561.7448552803871</v>
      </c>
      <c r="L673" s="455">
        <f t="shared" ca="1" si="54"/>
        <v>-1099380.5101225735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-1099380.5101225735</v>
      </c>
      <c r="J674" s="455">
        <f t="array" ref="J674">IFERROR(INDEX('Retirement Calculator'!J:J,MATCH('Isaac 401k'!N674,'Retirement Calculator'!A:A,0),0),0)</f>
        <v>7863.2184191855868</v>
      </c>
      <c r="K674" s="455">
        <f t="shared" ca="1" si="53"/>
        <v>-4613.5155355906627</v>
      </c>
      <c r="L674" s="455">
        <f t="shared" ca="1" si="54"/>
        <v>-1111857.2440773498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-1111857.2440773498</v>
      </c>
      <c r="J675" s="455">
        <f t="array" ref="J675">IFERROR(INDEX('Retirement Calculator'!J:J,MATCH('Isaac 401k'!N675,'Retirement Calculator'!A:A,0),0),0)</f>
        <v>7863.2184191855868</v>
      </c>
      <c r="K675" s="455">
        <f t="shared" ca="1" si="53"/>
        <v>-4665.5019270688972</v>
      </c>
      <c r="L675" s="455">
        <f t="shared" ca="1" si="54"/>
        <v>-1124385.9644236043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-1124385.9644236043</v>
      </c>
      <c r="J676" s="455">
        <f t="array" ref="J676">IFERROR(INDEX('Retirement Calculator'!J:J,MATCH('Isaac 401k'!N676,'Retirement Calculator'!A:A,0),0),0)</f>
        <v>7863.2184191855868</v>
      </c>
      <c r="K676" s="455">
        <f t="shared" ca="1" si="53"/>
        <v>-4717.7049285116245</v>
      </c>
      <c r="L676" s="455">
        <f t="shared" ca="1" si="54"/>
        <v>-1136966.8877713014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-1136966.8877713014</v>
      </c>
      <c r="J677" s="455">
        <f t="array" ref="J677">IFERROR(INDEX('Retirement Calculator'!J:J,MATCH('Isaac 401k'!N677,'Retirement Calculator'!A:A,0),0),0)</f>
        <v>7863.2184191855868</v>
      </c>
      <c r="K677" s="455">
        <f t="shared" ca="1" si="53"/>
        <v>-4770.125442460363</v>
      </c>
      <c r="L677" s="455">
        <f t="shared" ca="1" si="54"/>
        <v>-1149600.2316329475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-1149600.2316329475</v>
      </c>
      <c r="J678" s="455">
        <f t="array" ref="J678">IFERROR(INDEX('Retirement Calculator'!J:J,MATCH('Isaac 401k'!N678,'Retirement Calculator'!A:A,0),0),0)</f>
        <v>7863.2184191855868</v>
      </c>
      <c r="K678" s="455">
        <f t="shared" ca="1" si="53"/>
        <v>-4822.7643752172207</v>
      </c>
      <c r="L678" s="455">
        <f t="shared" ca="1" si="54"/>
        <v>-1162286.2144273503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-1162286.2144273503</v>
      </c>
      <c r="J679" s="455">
        <f t="array" ref="J679">IFERROR(INDEX('Retirement Calculator'!J:J,MATCH('Isaac 401k'!N679,'Retirement Calculator'!A:A,0),0),0)</f>
        <v>7863.2184191855868</v>
      </c>
      <c r="K679" s="455">
        <f t="shared" ca="1" si="53"/>
        <v>-4875.6226368605667</v>
      </c>
      <c r="L679" s="455">
        <f t="shared" ca="1" si="54"/>
        <v>-1175025.0554833964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-1175025.0554833964</v>
      </c>
      <c r="J680" s="455">
        <f t="array" ref="J680">IFERROR(INDEX('Retirement Calculator'!J:J,MATCH('Isaac 401k'!N680,'Retirement Calculator'!A:A,0),0),0)</f>
        <v>7863.2184191855868</v>
      </c>
      <c r="K680" s="455">
        <f t="shared" ca="1" si="53"/>
        <v>-4928.701141260758</v>
      </c>
      <c r="L680" s="455">
        <f t="shared" ca="1" si="54"/>
        <v>-1187816.9750438428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-1187816.9750438428</v>
      </c>
      <c r="J681" s="455">
        <f t="array" ref="J681">IFERROR(INDEX('Retirement Calculator'!J:J,MATCH('Isaac 401k'!N681,'Retirement Calculator'!A:A,0),0),0)</f>
        <v>7863.2184191855868</v>
      </c>
      <c r="K681" s="455">
        <f t="shared" ca="1" si="53"/>
        <v>-4982.0008060959517</v>
      </c>
      <c r="L681" s="455">
        <f t="shared" ca="1" si="54"/>
        <v>-1200662.1942691244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-1200662.1942691244</v>
      </c>
      <c r="J682" s="455">
        <f t="array" ref="J682">IFERROR(INDEX('Retirement Calculator'!J:J,MATCH('Isaac 401k'!N682,'Retirement Calculator'!A:A,0),0),0)</f>
        <v>7863.2184191855868</v>
      </c>
      <c r="K682" s="455">
        <f t="shared" ca="1" si="53"/>
        <v>-5035.5225528679584</v>
      </c>
      <c r="L682" s="455">
        <f t="shared" ca="1" si="54"/>
        <v>-1213560.9352411779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-1213560.9352411779</v>
      </c>
      <c r="J683" s="455">
        <f t="array" ref="J683">IFERROR(INDEX('Retirement Calculator'!J:J,MATCH('Isaac 401k'!N683,'Retirement Calculator'!A:A,0),0),0)</f>
        <v>7863.2184191855868</v>
      </c>
      <c r="K683" s="455">
        <f t="shared" ca="1" si="53"/>
        <v>-5089.267306918181</v>
      </c>
      <c r="L683" s="455">
        <f t="shared" ca="1" si="54"/>
        <v>-1226513.4209672818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-1226513.4209672818</v>
      </c>
      <c r="J684" s="455">
        <f t="array" ref="J684">IFERROR(INDEX('Retirement Calculator'!J:J,MATCH('Isaac 401k'!N684,'Retirement Calculator'!A:A,0),0),0)</f>
        <v>7863.2184191855868</v>
      </c>
      <c r="K684" s="455">
        <f t="shared" ca="1" si="53"/>
        <v>-5143.235997443614</v>
      </c>
      <c r="L684" s="455">
        <f t="shared" ca="1" si="54"/>
        <v>-1239519.875383911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-1239519.875383911</v>
      </c>
      <c r="J685" s="455">
        <f t="array" ref="J685">IFERROR(INDEX('Retirement Calculator'!J:J,MATCH('Isaac 401k'!N685,'Retirement Calculator'!A:A,0),0),0)</f>
        <v>7863.2184191855868</v>
      </c>
      <c r="K685" s="455">
        <f t="shared" ca="1" si="53"/>
        <v>-5197.4295575129026</v>
      </c>
      <c r="L685" s="455">
        <f t="shared" ca="1" si="54"/>
        <v>-1252580.5233606095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-1252580.5233606095</v>
      </c>
      <c r="J686" s="455">
        <f t="array" ref="J686">IFERROR(INDEX('Retirement Calculator'!J:J,MATCH('Isaac 401k'!N686,'Retirement Calculator'!A:A,0),0),0)</f>
        <v>7863.2184191855868</v>
      </c>
      <c r="K686" s="455">
        <f t="shared" ca="1" si="53"/>
        <v>-5251.8489240824802</v>
      </c>
      <c r="L686" s="455">
        <f t="shared" ca="1" si="54"/>
        <v>-1265695.5907038776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-1265695.5907038776</v>
      </c>
      <c r="J687" s="455">
        <f t="array" ref="J687">IFERROR(INDEX('Retirement Calculator'!J:J,MATCH('Isaac 401k'!N687,'Retirement Calculator'!A:A,0),0),0)</f>
        <v>7863.2184191855868</v>
      </c>
      <c r="K687" s="455">
        <f t="shared" ca="1" si="53"/>
        <v>-5306.495038012763</v>
      </c>
      <c r="L687" s="455">
        <f t="shared" ca="1" si="54"/>
        <v>-1278865.304161076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-1278865.304161076</v>
      </c>
      <c r="J688" s="455">
        <f t="array" ref="J688">IFERROR(INDEX('Retirement Calculator'!J:J,MATCH('Isaac 401k'!N688,'Retirement Calculator'!A:A,0),0),0)</f>
        <v>7863.2184191855868</v>
      </c>
      <c r="K688" s="455">
        <f t="shared" ca="1" si="53"/>
        <v>-5361.3688440844235</v>
      </c>
      <c r="L688" s="455">
        <f t="shared" ca="1" si="54"/>
        <v>-1292089.891424346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-1292089.891424346</v>
      </c>
      <c r="J689" s="455">
        <f t="array" ref="J689">IFERROR(INDEX('Retirement Calculator'!J:J,MATCH('Isaac 401k'!N689,'Retirement Calculator'!A:A,0),0),0)</f>
        <v>7863.2184191855868</v>
      </c>
      <c r="K689" s="455">
        <f t="shared" ca="1" si="53"/>
        <v>-5416.4712910147155</v>
      </c>
      <c r="L689" s="455">
        <f t="shared" ca="1" si="54"/>
        <v>-1305369.5811345463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-1305369.5811345463</v>
      </c>
      <c r="J690" s="455">
        <f t="array" ref="J690">IFERROR(INDEX('Retirement Calculator'!J:J,MATCH('Isaac 401k'!N690,'Retirement Calculator'!A:A,0),0),0)</f>
        <v>7863.2184191855868</v>
      </c>
      <c r="K690" s="455">
        <f t="shared" ca="1" si="53"/>
        <v>-5471.8033314738832</v>
      </c>
      <c r="L690" s="455">
        <f t="shared" ca="1" si="54"/>
        <v>-1318704.6028852058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-1318704.6028852058</v>
      </c>
      <c r="J691" s="455">
        <f t="array" ref="J691">IFERROR(INDEX('Retirement Calculator'!J:J,MATCH('Isaac 401k'!N691,'Retirement Calculator'!A:A,0),0),0)</f>
        <v>7863.2184191855868</v>
      </c>
      <c r="K691" s="455">
        <f t="shared" ca="1" si="53"/>
        <v>-5527.3659221016305</v>
      </c>
      <c r="L691" s="455">
        <f t="shared" ca="1" si="54"/>
        <v>-1332095.1872264929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-1332095.1872264929</v>
      </c>
      <c r="J692" s="455">
        <f t="array" ref="J692">IFERROR(INDEX('Retirement Calculator'!J:J,MATCH('Isaac 401k'!N692,'Retirement Calculator'!A:A,0),0),0)</f>
        <v>7863.2184191855868</v>
      </c>
      <c r="K692" s="455">
        <f t="shared" ca="1" si="53"/>
        <v>-5583.1600235236601</v>
      </c>
      <c r="L692" s="455">
        <f t="shared" ca="1" si="54"/>
        <v>-1345541.5656692022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-1345541.5656692022</v>
      </c>
      <c r="J693" s="455">
        <f t="array" ref="J693">IFERROR(INDEX('Retirement Calculator'!J:J,MATCH('Isaac 401k'!N693,'Retirement Calculator'!A:A,0),0),0)</f>
        <v>7863.2184191855868</v>
      </c>
      <c r="K693" s="455">
        <f t="shared" ca="1" si="53"/>
        <v>-5639.1866003682826</v>
      </c>
      <c r="L693" s="455">
        <f t="shared" ca="1" si="54"/>
        <v>-1359043.9706887561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-1359043.9706887561</v>
      </c>
      <c r="J694" s="455">
        <f t="array" ref="J694">IFERROR(INDEX('Retirement Calculator'!J:J,MATCH('Isaac 401k'!N694,'Retirement Calculator'!A:A,0),0),0)</f>
        <v>7863.2184191855868</v>
      </c>
      <c r="K694" s="455">
        <f t="shared" ca="1" si="53"/>
        <v>-5695.4466212830903</v>
      </c>
      <c r="L694" s="455">
        <f t="shared" ca="1" si="54"/>
        <v>-1372602.6357292249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-1372602.6357292249</v>
      </c>
      <c r="J695" s="455">
        <f t="array" ref="J695">IFERROR(INDEX('Retirement Calculator'!J:J,MATCH('Isaac 401k'!N695,'Retirement Calculator'!A:A,0),0),0)</f>
        <v>7863.2184191855868</v>
      </c>
      <c r="K695" s="455">
        <f t="shared" ca="1" si="53"/>
        <v>-5751.9410589517101</v>
      </c>
      <c r="L695" s="455">
        <f t="shared" ca="1" si="54"/>
        <v>-1386217.7952073622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-1386217.7952073622</v>
      </c>
      <c r="J696" s="455">
        <f t="array" ref="J696">IFERROR(INDEX('Retirement Calculator'!J:J,MATCH('Isaac 401k'!N696,'Retirement Calculator'!A:A,0),0),0)</f>
        <v>7863.2184191855868</v>
      </c>
      <c r="K696" s="455">
        <f t="shared" ca="1" si="53"/>
        <v>-5808.6708901106158</v>
      </c>
      <c r="L696" s="455">
        <f t="shared" ca="1" si="54"/>
        <v>-1399889.6845166583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-1399889.6845166583</v>
      </c>
      <c r="J697" s="455">
        <f t="array" ref="J697">IFERROR(INDEX('Retirement Calculator'!J:J,MATCH('Isaac 401k'!N697,'Retirement Calculator'!A:A,0),0),0)</f>
        <v>7863.2184191855868</v>
      </c>
      <c r="K697" s="455">
        <f t="shared" ca="1" si="53"/>
        <v>-5865.6370955660159</v>
      </c>
      <c r="L697" s="455">
        <f t="shared" ca="1" si="54"/>
        <v>-1413618.5400314098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-1413618.5400314098</v>
      </c>
      <c r="J698" s="455">
        <f t="array" ref="J698">IFERROR(INDEX('Retirement Calculator'!J:J,MATCH('Isaac 401k'!N698,'Retirement Calculator'!A:A,0),0),0)</f>
        <v>7863.2184191855868</v>
      </c>
      <c r="K698" s="455">
        <f t="shared" ca="1" si="53"/>
        <v>-5922.8406602108143</v>
      </c>
      <c r="L698" s="455">
        <f t="shared" ca="1" si="54"/>
        <v>-1427404.5991108061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-1427404.5991108061</v>
      </c>
      <c r="J699" s="455">
        <f t="array" ref="J699">IFERROR(INDEX('Retirement Calculator'!J:J,MATCH('Isaac 401k'!N699,'Retirement Calculator'!A:A,0),0),0)</f>
        <v>7863.2184191855868</v>
      </c>
      <c r="K699" s="455">
        <f t="shared" ca="1" si="53"/>
        <v>-5980.2825730416325</v>
      </c>
      <c r="L699" s="455">
        <f t="shared" ca="1" si="54"/>
        <v>-1441248.1001030335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-1441248.1001030335</v>
      </c>
      <c r="J700" s="455">
        <f t="array" ref="J700">IFERROR(INDEX('Retirement Calculator'!J:J,MATCH('Isaac 401k'!N700,'Retirement Calculator'!A:A,0),0),0)</f>
        <v>7863.2184191855868</v>
      </c>
      <c r="K700" s="455">
        <f t="shared" ca="1" si="53"/>
        <v>-6037.9638271759131</v>
      </c>
      <c r="L700" s="455">
        <f t="shared" ca="1" si="54"/>
        <v>-1455149.2823493951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-1455149.2823493951</v>
      </c>
      <c r="J701" s="455">
        <f t="array" ref="J701">IFERROR(INDEX('Retirement Calculator'!J:J,MATCH('Isaac 401k'!N701,'Retirement Calculator'!A:A,0),0),0)</f>
        <v>7863.2184191855868</v>
      </c>
      <c r="K701" s="455">
        <f t="shared" ca="1" si="53"/>
        <v>-6095.885419869086</v>
      </c>
      <c r="L701" s="455">
        <f t="shared" ca="1" si="54"/>
        <v>-1469108.3861884498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-1469108.3861884498</v>
      </c>
      <c r="J702" s="455">
        <f t="array" ref="J702">IFERROR(INDEX('Retirement Calculator'!J:J,MATCH('Isaac 401k'!N702,'Retirement Calculator'!A:A,0),0),0)</f>
        <v>7863.2184191855868</v>
      </c>
      <c r="K702" s="455">
        <f t="shared" ca="1" si="53"/>
        <v>-6154.0483525318141</v>
      </c>
      <c r="L702" s="455">
        <f t="shared" ca="1" si="54"/>
        <v>-1483125.6529601673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-1483125.6529601673</v>
      </c>
      <c r="J703" s="455">
        <f t="array" ref="J703">IFERROR(INDEX('Retirement Calculator'!J:J,MATCH('Isaac 401k'!N703,'Retirement Calculator'!A:A,0),0),0)</f>
        <v>7863.2184191855868</v>
      </c>
      <c r="K703" s="455">
        <f t="shared" ca="1" si="53"/>
        <v>-6212.4536307473036</v>
      </c>
      <c r="L703" s="455">
        <f t="shared" ca="1" si="54"/>
        <v>-1497201.3250101001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-1497201.3250101001</v>
      </c>
      <c r="J704" s="455">
        <f t="array" ref="J704">IFERROR(INDEX('Retirement Calculator'!J:J,MATCH('Isaac 401k'!N704,'Retirement Calculator'!A:A,0),0),0)</f>
        <v>7863.2184191855868</v>
      </c>
      <c r="K704" s="455">
        <f t="shared" ca="1" si="53"/>
        <v>-6271.102264288691</v>
      </c>
      <c r="L704" s="455">
        <f t="shared" ca="1" si="54"/>
        <v>-1511335.6456935743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-1511335.6456935743</v>
      </c>
      <c r="J705" s="455">
        <f t="array" ref="J705">IFERROR(INDEX('Retirement Calculator'!J:J,MATCH('Isaac 401k'!N705,'Retirement Calculator'!A:A,0),0),0)</f>
        <v>7863.2184191855868</v>
      </c>
      <c r="K705" s="455">
        <f t="shared" ca="1" si="53"/>
        <v>-6329.9952671364999</v>
      </c>
      <c r="L705" s="455">
        <f t="shared" ca="1" si="54"/>
        <v>-1525528.8593798964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-1525528.8593798964</v>
      </c>
      <c r="J706" s="455">
        <f t="array" ref="J706">IFERROR(INDEX('Retirement Calculator'!J:J,MATCH('Isaac 401k'!N706,'Retirement Calculator'!A:A,0),0),0)</f>
        <v>7863.2184191855868</v>
      </c>
      <c r="K706" s="455">
        <f t="shared" ca="1" si="53"/>
        <v>-6389.1336574961751</v>
      </c>
      <c r="L706" s="455">
        <f t="shared" ca="1" si="54"/>
        <v>-1539781.2114565782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-1539781.2114565782</v>
      </c>
      <c r="J707" s="455">
        <f t="array" ref="J707">IFERROR(INDEX('Retirement Calculator'!J:J,MATCH('Isaac 401k'!N707,'Retirement Calculator'!A:A,0),0),0)</f>
        <v>7863.2184191855868</v>
      </c>
      <c r="K707" s="455">
        <f t="shared" ca="1" si="53"/>
        <v>-6448.5184578156823</v>
      </c>
      <c r="L707" s="455">
        <f t="shared" ca="1" si="54"/>
        <v>-1554092.9483335796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-1554092.9483335796</v>
      </c>
      <c r="J708" s="455">
        <f t="array" ref="J708">IFERROR(INDEX('Retirement Calculator'!J:J,MATCH('Isaac 401k'!N708,'Retirement Calculator'!A:A,0),0),0)</f>
        <v>7863.2184191855868</v>
      </c>
      <c r="K708" s="455">
        <f t="shared" ca="1" si="53"/>
        <v>-6508.1506948031883</v>
      </c>
      <c r="L708" s="455">
        <f t="shared" ca="1" si="54"/>
        <v>-1568464.3174475683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-1568464.3174475683</v>
      </c>
      <c r="J709" s="455">
        <f t="array" ref="J709">IFERROR(INDEX('Retirement Calculator'!J:J,MATCH('Isaac 401k'!N709,'Retirement Calculator'!A:A,0),0),0)</f>
        <v>7863.2184191855868</v>
      </c>
      <c r="K709" s="455">
        <f t="shared" ca="1" si="53"/>
        <v>-6568.0313994448079</v>
      </c>
      <c r="L709" s="455">
        <f t="shared" ca="1" si="54"/>
        <v>-1582895.5672661988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-1582895.5672661988</v>
      </c>
      <c r="J710" s="455">
        <f t="array" ref="J710">IFERROR(INDEX('Retirement Calculator'!J:J,MATCH('Isaac 401k'!N710,'Retirement Calculator'!A:A,0),0),0)</f>
        <v>7863.2184191855868</v>
      </c>
      <c r="K710" s="455">
        <f t="shared" ca="1" si="53"/>
        <v>-6628.1616070224345</v>
      </c>
      <c r="L710" s="455">
        <f t="shared" ca="1" si="54"/>
        <v>-1597386.9472924068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-1597386.9472924068</v>
      </c>
      <c r="J711" s="455">
        <f t="array" ref="J711">IFERROR(INDEX('Retirement Calculator'!J:J,MATCH('Isaac 401k'!N711,'Retirement Calculator'!A:A,0),0),0)</f>
        <v>7863.2184191855868</v>
      </c>
      <c r="K711" s="455">
        <f t="shared" ca="1" si="53"/>
        <v>-6688.5423571316351</v>
      </c>
      <c r="L711" s="455">
        <f t="shared" ca="1" si="54"/>
        <v>-1611938.708068724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-1611938.708068724</v>
      </c>
      <c r="J712" s="455">
        <f t="array" ref="J712">IFERROR(INDEX('Retirement Calculator'!J:J,MATCH('Isaac 401k'!N712,'Retirement Calculator'!A:A,0),0),0)</f>
        <v>7863.2184191855868</v>
      </c>
      <c r="K712" s="455">
        <f t="shared" ca="1" si="53"/>
        <v>-6749.1746936996233</v>
      </c>
      <c r="L712" s="455">
        <f t="shared" ca="1" si="54"/>
        <v>-1626551.1011816093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-1626551.1011816093</v>
      </c>
      <c r="J713" s="455">
        <f t="array" ref="J713">IFERROR(INDEX('Retirement Calculator'!J:J,MATCH('Isaac 401k'!N713,'Retirement Calculator'!A:A,0),0),0)</f>
        <v>7863.2184191855868</v>
      </c>
      <c r="K713" s="455">
        <f t="shared" ca="1" si="53"/>
        <v>-6810.0596650033121</v>
      </c>
      <c r="L713" s="455">
        <f t="shared" ca="1" si="54"/>
        <v>-1641224.3792657983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-1641224.3792657983</v>
      </c>
      <c r="J714" s="455">
        <f t="array" ref="J714">IFERROR(INDEX('Retirement Calculator'!J:J,MATCH('Isaac 401k'!N714,'Retirement Calculator'!A:A,0),0),0)</f>
        <v>7863.2184191855868</v>
      </c>
      <c r="K714" s="455">
        <f t="shared" ca="1" si="53"/>
        <v>-6871.198323687433</v>
      </c>
      <c r="L714" s="455">
        <f t="shared" ca="1" si="54"/>
        <v>-1655958.7960086714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-1655958.7960086714</v>
      </c>
      <c r="J715" s="455">
        <f t="array" ref="J715">IFERROR(INDEX('Retirement Calculator'!J:J,MATCH('Isaac 401k'!N715,'Retirement Calculator'!A:A,0),0),0)</f>
        <v>7863.2184191855868</v>
      </c>
      <c r="K715" s="455">
        <f t="shared" ca="1" si="53"/>
        <v>-6932.5917267827363</v>
      </c>
      <c r="L715" s="455">
        <f t="shared" ca="1" si="54"/>
        <v>-1670754.6061546397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-1670754.6061546397</v>
      </c>
      <c r="J716" s="455">
        <f t="array" ref="J716">IFERROR(INDEX('Retirement Calculator'!J:J,MATCH('Isaac 401k'!N716,'Retirement Calculator'!A:A,0),0),0)</f>
        <v>7863.2184191855868</v>
      </c>
      <c r="K716" s="455">
        <f t="shared" ca="1" si="53"/>
        <v>-6994.2409357242714</v>
      </c>
      <c r="L716" s="455">
        <f t="shared" ca="1" si="54"/>
        <v>-1685612.0655095496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-1685612.0655095496</v>
      </c>
      <c r="J717" s="455">
        <f t="array" ref="J717">IFERROR(INDEX('Retirement Calculator'!J:J,MATCH('Isaac 401k'!N717,'Retirement Calculator'!A:A,0),0),0)</f>
        <v>7863.2184191855868</v>
      </c>
      <c r="K717" s="455">
        <f t="shared" ca="1" si="53"/>
        <v>-7056.1470163697304</v>
      </c>
      <c r="L717" s="455">
        <f t="shared" ca="1" si="54"/>
        <v>-1700531.4309451049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-1700531.4309451049</v>
      </c>
      <c r="J718" s="455">
        <f t="array" ref="J718">IFERROR(INDEX('Retirement Calculator'!J:J,MATCH('Isaac 401k'!N718,'Retirement Calculator'!A:A,0),0),0)</f>
        <v>7863.2184191855868</v>
      </c>
      <c r="K718" s="455">
        <f t="shared" ca="1" si="53"/>
        <v>-7118.3110390178772</v>
      </c>
      <c r="L718" s="455">
        <f t="shared" ca="1" si="54"/>
        <v>-1715512.9604033085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-1715512.9604033085</v>
      </c>
      <c r="J719" s="455">
        <f t="array" ref="J719">IFERROR(INDEX('Retirement Calculator'!J:J,MATCH('Isaac 401k'!N719,'Retirement Calculator'!A:A,0),0),0)</f>
        <v>7863.2184191855868</v>
      </c>
      <c r="K719" s="455">
        <f t="shared" ca="1" si="53"/>
        <v>-7180.73407842706</v>
      </c>
      <c r="L719" s="455">
        <f t="shared" ca="1" si="54"/>
        <v>-1730556.9129009212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-1730556.9129009212</v>
      </c>
      <c r="J720" s="455">
        <f t="array" ref="J720">IFERROR(INDEX('Retirement Calculator'!J:J,MATCH('Isaac 401k'!N720,'Retirement Calculator'!A:A,0),0),0)</f>
        <v>7863.2184191855868</v>
      </c>
      <c r="K720" s="455">
        <f t="shared" ca="1" si="53"/>
        <v>-7243.4172138337772</v>
      </c>
      <c r="L720" s="455">
        <f t="shared" ca="1" si="54"/>
        <v>-1745663.5485339407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-1745663.5485339407</v>
      </c>
      <c r="J721" s="455">
        <f t="array" ref="J721">IFERROR(INDEX('Retirement Calculator'!J:J,MATCH('Isaac 401k'!N721,'Retirement Calculator'!A:A,0),0),0)</f>
        <v>7863.2184191855868</v>
      </c>
      <c r="K721" s="455">
        <f t="shared" ca="1" si="53"/>
        <v>-7306.3615289713598</v>
      </c>
      <c r="L721" s="455">
        <f t="shared" ca="1" si="54"/>
        <v>-1760833.1284820978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-1760833.1284820978</v>
      </c>
      <c r="J722" s="455">
        <f t="array" ref="J722">IFERROR(INDEX('Retirement Calculator'!J:J,MATCH('Isaac 401k'!N722,'Retirement Calculator'!A:A,0),0),0)</f>
        <v>7863.2184191855868</v>
      </c>
      <c r="K722" s="455">
        <f t="shared" ca="1" si="53"/>
        <v>-7369.5681120886811</v>
      </c>
      <c r="L722" s="455">
        <f t="shared" ca="1" si="54"/>
        <v>-1776065.915013372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-1776065.915013372</v>
      </c>
      <c r="J723" s="455">
        <f t="array" ref="J723">IFERROR(INDEX('Retirement Calculator'!J:J,MATCH('Isaac 401k'!N723,'Retirement Calculator'!A:A,0),0),0)</f>
        <v>7863.2184191855868</v>
      </c>
      <c r="K723" s="455">
        <f t="shared" ca="1" si="53"/>
        <v>-7433.0380559689884</v>
      </c>
      <c r="L723" s="455">
        <f t="shared" ca="1" si="54"/>
        <v>-1791362.1714885265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-1791362.1714885265</v>
      </c>
      <c r="J724" s="455">
        <f t="array" ref="J724">IFERROR(INDEX('Retirement Calculator'!J:J,MATCH('Isaac 401k'!N724,'Retirement Calculator'!A:A,0),0),0)</f>
        <v>7863.2184191855868</v>
      </c>
      <c r="K724" s="455">
        <f t="shared" ca="1" si="53"/>
        <v>-7496.7724579488004</v>
      </c>
      <c r="L724" s="455">
        <f t="shared" ca="1" si="54"/>
        <v>-1806722.162365661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-1806722.162365661</v>
      </c>
      <c r="J725" s="455">
        <f t="array" ref="J725">IFERROR(INDEX('Retirement Calculator'!J:J,MATCH('Isaac 401k'!N725,'Retirement Calculator'!A:A,0),0),0)</f>
        <v>7863.2184191855868</v>
      </c>
      <c r="K725" s="455">
        <f t="shared" ca="1" si="53"/>
        <v>-7560.7724199368595</v>
      </c>
      <c r="L725" s="455">
        <f t="shared" ca="1" si="54"/>
        <v>-1822146.1532047836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-1822146.1532047836</v>
      </c>
      <c r="J726" s="455">
        <f t="array" ref="J726">IFERROR(INDEX('Retirement Calculator'!J:J,MATCH('Isaac 401k'!N726,'Retirement Calculator'!A:A,0),0),0)</f>
        <v>7863.2184191855868</v>
      </c>
      <c r="K726" s="455">
        <f t="shared" ca="1" si="53"/>
        <v>-7625.0390484332056</v>
      </c>
      <c r="L726" s="455">
        <f t="shared" ca="1" si="54"/>
        <v>-1837634.4106724025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-1837634.4106724025</v>
      </c>
      <c r="J727" s="455">
        <f t="array" ref="J727">IFERROR(INDEX('Retirement Calculator'!J:J,MATCH('Isaac 401k'!N727,'Retirement Calculator'!A:A,0),0),0)</f>
        <v>7863.2184191855868</v>
      </c>
      <c r="K727" s="455">
        <f t="shared" ca="1" si="53"/>
        <v>-7689.5734545482837</v>
      </c>
      <c r="L727" s="455">
        <f t="shared" ca="1" si="54"/>
        <v>-1853187.2025461365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-1853187.2025461365</v>
      </c>
      <c r="J728" s="455">
        <f t="array" ref="J728">IFERROR(INDEX('Retirement Calculator'!J:J,MATCH('Isaac 401k'!N728,'Retirement Calculator'!A:A,0),0),0)</f>
        <v>7863.2184191855868</v>
      </c>
      <c r="K728" s="455">
        <f t="shared" ca="1" si="53"/>
        <v>-7754.3767540221761</v>
      </c>
      <c r="L728" s="455">
        <f t="shared" ca="1" si="54"/>
        <v>-1868804.7977193443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-1868804.7977193443</v>
      </c>
      <c r="J729" s="455">
        <f t="array" ref="J729">IFERROR(INDEX('Retirement Calculator'!J:J,MATCH('Isaac 401k'!N729,'Retirement Calculator'!A:A,0),0),0)</f>
        <v>7863.2184191855868</v>
      </c>
      <c r="K729" s="455">
        <f t="shared" ca="1" si="53"/>
        <v>-7819.4500672438753</v>
      </c>
      <c r="L729" s="455">
        <f t="shared" ca="1" si="54"/>
        <v>-1884487.4662057736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-1884487.4662057736</v>
      </c>
      <c r="J730" s="455">
        <f t="array" ref="J730">IFERROR(INDEX('Retirement Calculator'!J:J,MATCH('Isaac 401k'!N730,'Retirement Calculator'!A:A,0),0),0)</f>
        <v>7863.2184191855868</v>
      </c>
      <c r="K730" s="455">
        <f t="shared" ca="1" si="53"/>
        <v>-7884.7945192706638</v>
      </c>
      <c r="L730" s="455">
        <f t="shared" ca="1" si="54"/>
        <v>-1900235.47914423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-1900235.47914423</v>
      </c>
      <c r="J731" s="455">
        <f t="array" ref="J731">IFERROR(INDEX('Retirement Calculator'!J:J,MATCH('Isaac 401k'!N731,'Retirement Calculator'!A:A,0),0),0)</f>
        <v>7863.2184191855868</v>
      </c>
      <c r="K731" s="455">
        <f t="shared" ca="1" si="53"/>
        <v>-7950.4112398475636</v>
      </c>
      <c r="L731" s="455">
        <f t="shared" ca="1" si="54"/>
        <v>-1916049.1088032632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-1916049.1088032632</v>
      </c>
      <c r="J732" s="455">
        <f t="array" ref="J732">IFERROR(INDEX('Retirement Calculator'!J:J,MATCH('Isaac 401k'!N732,'Retirement Calculator'!A:A,0),0),0)</f>
        <v>7863.2184191855868</v>
      </c>
      <c r="K732" s="455">
        <f t="shared" ca="1" si="53"/>
        <v>-8016.30136342687</v>
      </c>
      <c r="L732" s="455">
        <f t="shared" ca="1" si="54"/>
        <v>-1931928.6285858757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-1931928.6285858757</v>
      </c>
      <c r="J733" s="455">
        <f t="array" ref="J733">IFERROR(INDEX('Retirement Calculator'!J:J,MATCH('Isaac 401k'!N733,'Retirement Calculator'!A:A,0),0),0)</f>
        <v>7863.2184191855868</v>
      </c>
      <c r="K733" s="455">
        <f t="shared" ca="1" si="53"/>
        <v>-8082.4660291877562</v>
      </c>
      <c r="L733" s="455">
        <f t="shared" ca="1" si="54"/>
        <v>-1947874.313034249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-1947874.313034249</v>
      </c>
      <c r="J734" s="455">
        <f t="array" ref="J734">IFERROR(INDEX('Retirement Calculator'!J:J,MATCH('Isaac 401k'!N734,'Retirement Calculator'!A:A,0),0),0)</f>
        <v>7863.2184191855868</v>
      </c>
      <c r="K734" s="455">
        <f t="shared" ca="1" si="53"/>
        <v>-8148.9063810559765</v>
      </c>
      <c r="L734" s="455">
        <f t="shared" ca="1" si="54"/>
        <v>-1963886.4378344906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-1963886.4378344906</v>
      </c>
      <c r="J735" s="455">
        <f t="array" ref="J735">IFERROR(INDEX('Retirement Calculator'!J:J,MATCH('Isaac 401k'!N735,'Retirement Calculator'!A:A,0),0),0)</f>
        <v>7863.2184191855868</v>
      </c>
      <c r="K735" s="455">
        <f t="shared" ca="1" si="53"/>
        <v>-8215.6235677236509</v>
      </c>
      <c r="L735" s="455">
        <f t="shared" ca="1" si="54"/>
        <v>-1979965.2798213998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-1979965.2798213998</v>
      </c>
      <c r="J736" s="455">
        <f t="array" ref="J736">IFERROR(INDEX('Retirement Calculator'!J:J,MATCH('Isaac 401k'!N736,'Retirement Calculator'!A:A,0),0),0)</f>
        <v>7863.2184191855868</v>
      </c>
      <c r="K736" s="455">
        <f t="shared" ca="1" si="53"/>
        <v>-8282.6187426691067</v>
      </c>
      <c r="L736" s="455">
        <f t="shared" ca="1" si="54"/>
        <v>-1996111.1169832544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-1996111.1169832544</v>
      </c>
      <c r="J737" s="455">
        <f t="array" ref="J737">IFERROR(INDEX('Retirement Calculator'!J:J,MATCH('Isaac 401k'!N737,'Retirement Calculator'!A:A,0),0),0)</f>
        <v>7863.2184191855868</v>
      </c>
      <c r="K737" s="455">
        <f t="shared" ca="1" si="53"/>
        <v>-8349.8930641768329</v>
      </c>
      <c r="L737" s="455">
        <f t="shared" ca="1" si="54"/>
        <v>-2012324.2284666169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-2012324.2284666169</v>
      </c>
      <c r="J738" s="455">
        <f t="array" ref="J738">IFERROR(INDEX('Retirement Calculator'!J:J,MATCH('Isaac 401k'!N738,'Retirement Calculator'!A:A,0),0),0)</f>
        <v>7863.2184191855868</v>
      </c>
      <c r="K738" s="455">
        <f t="shared" ca="1" si="53"/>
        <v>-8417.4476953575122</v>
      </c>
      <c r="L738" s="455">
        <f t="shared" ca="1" si="54"/>
        <v>-2028604.89458116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-2028604.89458116</v>
      </c>
      <c r="J739" s="455">
        <f t="array" ref="J739">IFERROR(INDEX('Retirement Calculator'!J:J,MATCH('Isaac 401k'!N739,'Retirement Calculator'!A:A,0),0),0)</f>
        <v>7863.2184191855868</v>
      </c>
      <c r="K739" s="455">
        <f t="shared" ca="1" si="53"/>
        <v>-8485.2838041681061</v>
      </c>
      <c r="L739" s="455">
        <f t="shared" ca="1" si="54"/>
        <v>-2044953.3968045136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-2044953.3968045136</v>
      </c>
      <c r="J740" s="455">
        <f t="array" ref="J740">IFERROR(INDEX('Retirement Calculator'!J:J,MATCH('Isaac 401k'!N740,'Retirement Calculator'!A:A,0),0),0)</f>
        <v>7863.2184191855868</v>
      </c>
      <c r="K740" s="455">
        <f t="shared" ca="1" si="53"/>
        <v>-8553.4025634320806</v>
      </c>
      <c r="L740" s="455">
        <f t="shared" ca="1" si="54"/>
        <v>-2061370.0177871312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-2061370.0177871312</v>
      </c>
      <c r="J741" s="455">
        <f t="array" ref="J741">IFERROR(INDEX('Retirement Calculator'!J:J,MATCH('Isaac 401k'!N741,'Retirement Calculator'!A:A,0),0),0)</f>
        <v>7863.2184191855868</v>
      </c>
      <c r="K741" s="455">
        <f t="shared" ca="1" si="53"/>
        <v>-8621.8051508596545</v>
      </c>
      <c r="L741" s="455">
        <f t="shared" ca="1" si="54"/>
        <v>-2077855.0413571766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-2077855.0413571766</v>
      </c>
      <c r="J742" s="455">
        <f t="array" ref="J742">IFERROR(INDEX('Retirement Calculator'!J:J,MATCH('Isaac 401k'!N742,'Retirement Calculator'!A:A,0),0),0)</f>
        <v>7863.2184191855868</v>
      </c>
      <c r="K742" s="455">
        <f t="shared" ca="1" si="53"/>
        <v>-8690.4927490681766</v>
      </c>
      <c r="L742" s="455">
        <f t="shared" ca="1" si="54"/>
        <v>-2094408.7525254304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-2094408.7525254304</v>
      </c>
      <c r="J743" s="455">
        <f t="array" ref="J743">IFERROR(INDEX('Retirement Calculator'!J:J,MATCH('Isaac 401k'!N743,'Retirement Calculator'!A:A,0),0),0)</f>
        <v>7863.2184191855868</v>
      </c>
      <c r="K743" s="455">
        <f t="shared" ca="1" si="53"/>
        <v>-8759.4665456025668</v>
      </c>
      <c r="L743" s="455">
        <f t="shared" ca="1" si="54"/>
        <v>-2111031.4374902188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-2111031.4374902188</v>
      </c>
      <c r="J744" s="455">
        <f t="array" ref="J744">IFERROR(INDEX('Retirement Calculator'!J:J,MATCH('Isaac 401k'!N744,'Retirement Calculator'!A:A,0),0),0)</f>
        <v>7863.2184191855868</v>
      </c>
      <c r="K744" s="455">
        <f t="shared" ca="1" si="53"/>
        <v>-8828.727732955851</v>
      </c>
      <c r="L744" s="455">
        <f t="shared" ca="1" si="54"/>
        <v>-2127723.3836423601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-2127723.3836423601</v>
      </c>
      <c r="J745" s="455">
        <f t="array" ref="J745">IFERROR(INDEX('Retirement Calculator'!J:J,MATCH('Isaac 401k'!N745,'Retirement Calculator'!A:A,0),0),0)</f>
        <v>7863.2184191855868</v>
      </c>
      <c r="K745" s="455">
        <f t="shared" ca="1" si="53"/>
        <v>-8898.277508589772</v>
      </c>
      <c r="L745" s="455">
        <f t="shared" ca="1" si="54"/>
        <v>-2144484.8795701354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-2144484.8795701354</v>
      </c>
      <c r="J746" s="455">
        <f t="array" ref="J746">IFERROR(INDEX('Retirement Calculator'!J:J,MATCH('Isaac 401k'!N746,'Retirement Calculator'!A:A,0),0),0)</f>
        <v>7863.2184191855868</v>
      </c>
      <c r="K746" s="455">
        <f t="shared" ca="1" si="53"/>
        <v>-8968.1170749555022</v>
      </c>
      <c r="L746" s="455">
        <f t="shared" ca="1" si="54"/>
        <v>-2161316.2150642765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-2161316.2150642765</v>
      </c>
      <c r="J747" s="455">
        <f t="array" ref="J747">IFERROR(INDEX('Retirement Calculator'!J:J,MATCH('Isaac 401k'!N747,'Retirement Calculator'!A:A,0),0),0)</f>
        <v>7863.2184191855868</v>
      </c>
      <c r="K747" s="455">
        <f t="shared" ca="1" si="53"/>
        <v>-9038.247639514424</v>
      </c>
      <c r="L747" s="455">
        <f t="shared" ca="1" si="54"/>
        <v>-2178217.6811229764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-2178217.6811229764</v>
      </c>
      <c r="J748" s="455">
        <f t="array" ref="J748">IFERROR(INDEX('Retirement Calculator'!J:J,MATCH('Isaac 401k'!N748,'Retirement Calculator'!A:A,0),0),0)</f>
        <v>7863.2184191855868</v>
      </c>
      <c r="K748" s="455">
        <f t="shared" ca="1" si="53"/>
        <v>-9108.6704147590062</v>
      </c>
      <c r="L748" s="455">
        <f t="shared" ca="1" si="54"/>
        <v>-2195189.5699569206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-2195189.5699569206</v>
      </c>
      <c r="J749" s="455">
        <f t="array" ref="J749">IFERROR(INDEX('Retirement Calculator'!J:J,MATCH('Isaac 401k'!N749,'Retirement Calculator'!A:A,0),0),0)</f>
        <v>7863.2184191855868</v>
      </c>
      <c r="K749" s="455">
        <f t="shared" ca="1" si="53"/>
        <v>-9179.3866182337752</v>
      </c>
      <c r="L749" s="455">
        <f t="shared" ca="1" si="54"/>
        <v>-2212232.1749943397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-2212232.1749943397</v>
      </c>
      <c r="J750" s="455">
        <f t="array" ref="J750">IFERROR(INDEX('Retirement Calculator'!J:J,MATCH('Isaac 401k'!N750,'Retirement Calculator'!A:A,0),0),0)</f>
        <v>7863.2184191855868</v>
      </c>
      <c r="K750" s="455">
        <f t="shared" ca="1" si="53"/>
        <v>-9250.3974725563548</v>
      </c>
      <c r="L750" s="455">
        <f t="shared" ca="1" si="54"/>
        <v>-2229345.7908860813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-2229345.7908860813</v>
      </c>
      <c r="J751" s="455">
        <f t="array" ref="J751">IFERROR(INDEX('Retirement Calculator'!J:J,MATCH('Isaac 401k'!N751,'Retirement Calculator'!A:A,0),0),0)</f>
        <v>7863.2184191855868</v>
      </c>
      <c r="K751" s="455">
        <f t="shared" ca="1" si="53"/>
        <v>-9321.7042054386111</v>
      </c>
      <c r="L751" s="455">
        <f t="shared" ca="1" si="54"/>
        <v>-2246530.7135107052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-2246530.7135107052</v>
      </c>
      <c r="J752" s="455">
        <f t="array" ref="J752">IFERROR(INDEX('Retirement Calculator'!J:J,MATCH('Isaac 401k'!N752,'Retirement Calculator'!A:A,0),0),0)</f>
        <v>7863.2184191855868</v>
      </c>
      <c r="K752" s="455">
        <f t="shared" ca="1" si="53"/>
        <v>-9393.3080497078772</v>
      </c>
      <c r="L752" s="455">
        <f t="shared" ca="1" si="54"/>
        <v>-2263787.2399795982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-2263787.2399795982</v>
      </c>
      <c r="J753" s="455">
        <f t="array" ref="J753">IFERROR(INDEX('Retirement Calculator'!J:J,MATCH('Isaac 401k'!N753,'Retirement Calculator'!A:A,0),0),0)</f>
        <v>7863.2184191855868</v>
      </c>
      <c r="K753" s="455">
        <f t="shared" ca="1" si="53"/>
        <v>-9465.2102433282653</v>
      </c>
      <c r="L753" s="455">
        <f t="shared" ca="1" si="54"/>
        <v>-2281115.6686421121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-2281115.6686421121</v>
      </c>
      <c r="J754" s="455">
        <f t="array" ref="J754">IFERROR(INDEX('Retirement Calculator'!J:J,MATCH('Isaac 401k'!N754,'Retirement Calculator'!A:A,0),0),0)</f>
        <v>7863.2184191855868</v>
      </c>
      <c r="K754" s="455">
        <f t="shared" ca="1" si="53"/>
        <v>-9537.412029422072</v>
      </c>
      <c r="L754" s="455">
        <f t="shared" ca="1" si="54"/>
        <v>-2298516.2990907193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-2298516.2990907193</v>
      </c>
      <c r="J755" s="455">
        <f t="array" ref="J755">IFERROR(INDEX('Retirement Calculator'!J:J,MATCH('Isaac 401k'!N755,'Retirement Calculator'!A:A,0),0),0)</f>
        <v>7863.2184191855868</v>
      </c>
      <c r="K755" s="455">
        <f t="shared" ca="1" si="53"/>
        <v>-9609.9146562912701</v>
      </c>
      <c r="L755" s="455">
        <f t="shared" ca="1" si="54"/>
        <v>-2315989.4321661959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-2315989.4321661959</v>
      </c>
      <c r="J756" s="455">
        <f t="array" ref="J756">IFERROR(INDEX('Retirement Calculator'!J:J,MATCH('Isaac 401k'!N756,'Retirement Calculator'!A:A,0),0),0)</f>
        <v>7863.2184191855868</v>
      </c>
      <c r="K756" s="455">
        <f t="shared" ca="1" si="53"/>
        <v>-9682.7193774390889</v>
      </c>
      <c r="L756" s="455">
        <f t="shared" ca="1" si="54"/>
        <v>-2333535.3699628203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-2333535.3699628203</v>
      </c>
      <c r="J757" s="455">
        <f t="array" ref="J757">IFERROR(INDEX('Retirement Calculator'!J:J,MATCH('Isaac 401k'!N757,'Retirement Calculator'!A:A,0),0),0)</f>
        <v>7863.2184191855868</v>
      </c>
      <c r="K757" s="455">
        <f t="shared" ca="1" si="53"/>
        <v>-9755.827451591691</v>
      </c>
      <c r="L757" s="455">
        <f t="shared" ca="1" si="54"/>
        <v>-2351154.4158335975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-2351154.4158335975</v>
      </c>
      <c r="J758" s="455">
        <f t="array" ref="J758">IFERROR(INDEX('Retirement Calculator'!J:J,MATCH('Isaac 401k'!N758,'Retirement Calculator'!A:A,0),0),0)</f>
        <v>7863.2184191855868</v>
      </c>
      <c r="K758" s="455">
        <f t="shared" ca="1" si="53"/>
        <v>-9829.2401427199293</v>
      </c>
      <c r="L758" s="455">
        <f t="shared" ca="1" si="54"/>
        <v>-2368846.8743955027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-2368846.8743955027</v>
      </c>
      <c r="J759" s="455">
        <f t="array" ref="J759">IFERROR(INDEX('Retirement Calculator'!J:J,MATCH('Isaac 401k'!N759,'Retirement Calculator'!A:A,0),0),0)</f>
        <v>7863.2184191855868</v>
      </c>
      <c r="K759" s="455">
        <f t="shared" ca="1" si="53"/>
        <v>-9902.9587200612004</v>
      </c>
      <c r="L759" s="455">
        <f t="shared" ca="1" si="54"/>
        <v>-2386613.0515347491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-2386613.0515347491</v>
      </c>
      <c r="J760" s="455">
        <f t="array" ref="J760">IFERROR(INDEX('Retirement Calculator'!J:J,MATCH('Isaac 401k'!N760,'Retirement Calculator'!A:A,0),0),0)</f>
        <v>7863.2184191855868</v>
      </c>
      <c r="K760" s="455">
        <f t="shared" ca="1" si="53"/>
        <v>-9976.9844581413927</v>
      </c>
      <c r="L760" s="455">
        <f t="shared" ca="1" si="54"/>
        <v>-2404453.254412076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-2404453.254412076</v>
      </c>
      <c r="J761" s="455">
        <f t="array" ref="J761">IFERROR(INDEX('Retirement Calculator'!J:J,MATCH('Isaac 401k'!N761,'Retirement Calculator'!A:A,0),0),0)</f>
        <v>7863.2184191855868</v>
      </c>
      <c r="K761" s="455">
        <f t="shared" ca="1" si="53"/>
        <v>-10051.318636796923</v>
      </c>
      <c r="L761" s="455">
        <f t="shared" ca="1" si="54"/>
        <v>-2422367.7914680582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-2422367.7914680582</v>
      </c>
      <c r="J762" s="455">
        <f t="array" ref="J762">IFERROR(INDEX('Retirement Calculator'!J:J,MATCH('Isaac 401k'!N762,'Retirement Calculator'!A:A,0),0),0)</f>
        <v>7863.2184191855868</v>
      </c>
      <c r="K762" s="455">
        <f t="shared" ca="1" si="53"/>
        <v>-10125.962541196848</v>
      </c>
      <c r="L762" s="455">
        <f t="shared" ca="1" si="54"/>
        <v>-2440356.9724284406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-2440356.9724284406</v>
      </c>
      <c r="J763" s="455">
        <f t="array" ref="J763">IFERROR(INDEX('Retirement Calculator'!J:J,MATCH('Isaac 401k'!N763,'Retirement Calculator'!A:A,0),0),0)</f>
        <v>7863.2184191855868</v>
      </c>
      <c r="K763" s="455">
        <f t="shared" ca="1" si="53"/>
        <v>-10200.917461865109</v>
      </c>
      <c r="L763" s="455">
        <f t="shared" ca="1" si="54"/>
        <v>-2458421.1083094911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-2458421.1083094911</v>
      </c>
      <c r="J764" s="455">
        <f t="array" ref="J764">IFERROR(INDEX('Retirement Calculator'!J:J,MATCH('Isaac 401k'!N764,'Retirement Calculator'!A:A,0),0),0)</f>
        <v>7863.2184191855868</v>
      </c>
      <c r="K764" s="455">
        <f t="shared" ca="1" si="53"/>
        <v>-10276.184694702819</v>
      </c>
      <c r="L764" s="455">
        <f t="shared" ca="1" si="54"/>
        <v>-2476560.5114233792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-2476560.5114233792</v>
      </c>
      <c r="J765" s="455">
        <f t="array" ref="J765">IFERROR(INDEX('Retirement Calculator'!J:J,MATCH('Isaac 401k'!N765,'Retirement Calculator'!A:A,0),0),0)</f>
        <v>7863.2184191855868</v>
      </c>
      <c r="K765" s="455">
        <f t="shared" ca="1" si="53"/>
        <v>-10351.765541010685</v>
      </c>
      <c r="L765" s="455">
        <f t="shared" ca="1" si="54"/>
        <v>-2494775.4953835751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-2494775.4953835751</v>
      </c>
      <c r="J766" s="455">
        <f t="array" ref="J766">IFERROR(INDEX('Retirement Calculator'!J:J,MATCH('Isaac 401k'!N766,'Retirement Calculator'!A:A,0),0),0)</f>
        <v>7863.2184191855868</v>
      </c>
      <c r="K766" s="455">
        <f t="shared" ca="1" si="53"/>
        <v>-10427.661307511502</v>
      </c>
      <c r="L766" s="455">
        <f t="shared" ca="1" si="54"/>
        <v>-2513066.3751102719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-2513066.3751102719</v>
      </c>
      <c r="J767" s="455">
        <f t="array" ref="J767">IFERROR(INDEX('Retirement Calculator'!J:J,MATCH('Isaac 401k'!N767,'Retirement Calculator'!A:A,0),0),0)</f>
        <v>7863.2184191855868</v>
      </c>
      <c r="K767" s="455">
        <f t="shared" ca="1" si="53"/>
        <v>-10503.873306372738</v>
      </c>
      <c r="L767" s="455">
        <f t="shared" ca="1" si="54"/>
        <v>-2531433.4668358299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-2531433.4668358299</v>
      </c>
      <c r="J768" s="455">
        <f t="array" ref="J768">IFERROR(INDEX('Retirement Calculator'!J:J,MATCH('Isaac 401k'!N768,'Retirement Calculator'!A:A,0),0),0)</f>
        <v>7863.2184191855868</v>
      </c>
      <c r="K768" s="455">
        <f t="shared" ca="1" si="53"/>
        <v>-10580.402855229229</v>
      </c>
      <c r="L768" s="455">
        <f t="shared" ca="1" si="54"/>
        <v>-2549877.0881102444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-2549877.0881102444</v>
      </c>
      <c r="J769" s="455">
        <f t="array" ref="J769">IFERROR(INDEX('Retirement Calculator'!J:J,MATCH('Isaac 401k'!N769,'Retirement Calculator'!A:A,0),0),0)</f>
        <v>7863.2184191855868</v>
      </c>
      <c r="K769" s="455">
        <f t="shared" ca="1" si="53"/>
        <v>-10657.251277205956</v>
      </c>
      <c r="L769" s="455">
        <f t="shared" ca="1" si="54"/>
        <v>-2568397.5578066357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-2568397.5578066357</v>
      </c>
      <c r="J770" s="455">
        <f t="array" ref="J770">IFERROR(INDEX('Retirement Calculator'!J:J,MATCH('Isaac 401k'!N770,'Retirement Calculator'!A:A,0),0),0)</f>
        <v>7863.2184191855868</v>
      </c>
      <c r="K770" s="455">
        <f t="shared" ca="1" si="53"/>
        <v>-10734.41990094092</v>
      </c>
      <c r="L770" s="455">
        <f t="shared" ca="1" si="54"/>
        <v>-2586995.1961267618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-2586995.1961267618</v>
      </c>
      <c r="J771" s="455">
        <f t="array" ref="J771">IFERROR(INDEX('Retirement Calculator'!J:J,MATCH('Isaac 401k'!N771,'Retirement Calculator'!A:A,0),0),0)</f>
        <v>7863.2184191855868</v>
      </c>
      <c r="K771" s="455">
        <f t="shared" ca="1" si="53"/>
        <v>-10811.910060608114</v>
      </c>
      <c r="L771" s="455">
        <f t="shared" ca="1" si="54"/>
        <v>-2605670.3246065555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-2605670.3246065555</v>
      </c>
      <c r="J772" s="455">
        <f t="array" ref="J772">IFERROR(INDEX('Retirement Calculator'!J:J,MATCH('Isaac 401k'!N772,'Retirement Calculator'!A:A,0),0),0)</f>
        <v>7863.2184191855868</v>
      </c>
      <c r="K772" s="455">
        <f t="shared" ca="1" si="53"/>
        <v>-10889.723095940586</v>
      </c>
      <c r="L772" s="455">
        <f t="shared" ca="1" si="54"/>
        <v>-2624423.2661216813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-2624423.2661216813</v>
      </c>
      <c r="J773" s="455">
        <f t="array" ref="J773">IFERROR(INDEX('Retirement Calculator'!J:J,MATCH('Isaac 401k'!N773,'Retirement Calculator'!A:A,0),0),0)</f>
        <v>7863.2184191855868</v>
      </c>
      <c r="K773" s="455">
        <f t="shared" ref="K773:K1027" ca="1" si="79">IPMT(M773/12,1,12,-I773+J773,,0)</f>
        <v>-10967.86035225361</v>
      </c>
      <c r="L773" s="455">
        <f t="shared" ref="L773:L1027" ca="1" si="80">I773-J773+K773</f>
        <v>-2643254.3448931202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-2643254.3448931202</v>
      </c>
      <c r="J774" s="455">
        <f t="array" ref="J774">IFERROR(INDEX('Retirement Calculator'!J:J,MATCH('Isaac 401k'!N774,'Retirement Calculator'!A:A,0),0),0)</f>
        <v>7863.2184191855868</v>
      </c>
      <c r="K774" s="455">
        <f t="shared" ca="1" si="79"/>
        <v>-11046.32318046794</v>
      </c>
      <c r="L774" s="455">
        <f t="shared" ca="1" si="80"/>
        <v>-2662163.8864927734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-2662163.8864927734</v>
      </c>
      <c r="J775" s="455">
        <f t="array" ref="J775">IFERROR(INDEX('Retirement Calculator'!J:J,MATCH('Isaac 401k'!N775,'Retirement Calculator'!A:A,0),0),0)</f>
        <v>7863.2184191855868</v>
      </c>
      <c r="K775" s="455">
        <f t="shared" ca="1" si="79"/>
        <v>-11125.112937133161</v>
      </c>
      <c r="L775" s="455">
        <f t="shared" ca="1" si="80"/>
        <v>-2681152.2178490921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-2681152.2178490921</v>
      </c>
      <c r="J776" s="455">
        <f t="array" ref="J776">IFERROR(INDEX('Retirement Calculator'!J:J,MATCH('Isaac 401k'!N776,'Retirement Calculator'!A:A,0),0),0)</f>
        <v>7863.2184191855868</v>
      </c>
      <c r="K776" s="455">
        <f t="shared" ca="1" si="79"/>
        <v>-11204.230984451156</v>
      </c>
      <c r="L776" s="455">
        <f t="shared" ca="1" si="80"/>
        <v>-2700219.6672527287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-2700219.6672527287</v>
      </c>
      <c r="J777" s="455">
        <f t="array" ref="J777">IFERROR(INDEX('Retirement Calculator'!J:J,MATCH('Isaac 401k'!N777,'Retirement Calculator'!A:A,0),0),0)</f>
        <v>7863.2184191855868</v>
      </c>
      <c r="K777" s="455">
        <f t="shared" ca="1" si="79"/>
        <v>-11283.678690299643</v>
      </c>
      <c r="L777" s="455">
        <f t="shared" ca="1" si="80"/>
        <v>-2719366.5643622139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-2719366.5643622139</v>
      </c>
      <c r="J778" s="455">
        <f t="array" ref="J778">IFERROR(INDEX('Retirement Calculator'!J:J,MATCH('Isaac 401k'!N778,'Retirement Calculator'!A:A,0),0),0)</f>
        <v>7863.2184191855868</v>
      </c>
      <c r="K778" s="455">
        <f t="shared" ca="1" si="79"/>
        <v>-11363.45742825583</v>
      </c>
      <c r="L778" s="455">
        <f t="shared" ca="1" si="80"/>
        <v>-2738593.2402096554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-2738593.2402096554</v>
      </c>
      <c r="J779" s="455">
        <f t="array" ref="J779">IFERROR(INDEX('Retirement Calculator'!J:J,MATCH('Isaac 401k'!N779,'Retirement Calculator'!A:A,0),0),0)</f>
        <v>7863.2184191855868</v>
      </c>
      <c r="K779" s="455">
        <f t="shared" ca="1" si="79"/>
        <v>-11443.56857762017</v>
      </c>
      <c r="L779" s="455">
        <f t="shared" ca="1" si="80"/>
        <v>-2757900.0272064609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-2757900.0272064609</v>
      </c>
      <c r="J780" s="455">
        <f t="array" ref="J780">IFERROR(INDEX('Retirement Calculator'!J:J,MATCH('Isaac 401k'!N780,'Retirement Calculator'!A:A,0),0),0)</f>
        <v>7863.2184191855868</v>
      </c>
      <c r="K780" s="455">
        <f t="shared" ca="1" si="79"/>
        <v>-11524.013523440193</v>
      </c>
      <c r="L780" s="455">
        <f t="shared" ca="1" si="80"/>
        <v>-2777287.2591490867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-2777287.2591490867</v>
      </c>
      <c r="J781" s="455">
        <f t="array" ref="J781">IFERROR(INDEX('Retirement Calculator'!J:J,MATCH('Isaac 401k'!N781,'Retirement Calculator'!A:A,0),0),0)</f>
        <v>7863.2184191855868</v>
      </c>
      <c r="K781" s="455">
        <f t="shared" ca="1" si="79"/>
        <v>-11604.793656534466</v>
      </c>
      <c r="L781" s="455">
        <f t="shared" ca="1" si="80"/>
        <v>-2796755.2712248066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-2796755.2712248066</v>
      </c>
      <c r="J782" s="455">
        <f t="array" ref="J782">IFERROR(INDEX('Retirement Calculator'!J:J,MATCH('Isaac 401k'!N782,'Retirement Calculator'!A:A,0),0),0)</f>
        <v>7863.2184191855868</v>
      </c>
      <c r="K782" s="455">
        <f t="shared" ca="1" si="79"/>
        <v>-11685.910373516634</v>
      </c>
      <c r="L782" s="455">
        <f t="shared" ca="1" si="80"/>
        <v>-2816304.4000175088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-2816304.4000175088</v>
      </c>
      <c r="J783" s="455">
        <f t="array" ref="J783">IFERROR(INDEX('Retirement Calculator'!J:J,MATCH('Isaac 401k'!N783,'Retirement Calculator'!A:A,0),0),0)</f>
        <v>7863.2184191855868</v>
      </c>
      <c r="K783" s="455">
        <f t="shared" ca="1" si="79"/>
        <v>-11767.365076819558</v>
      </c>
      <c r="L783" s="455">
        <f t="shared" ca="1" si="80"/>
        <v>-2835934.9835135136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-2835934.9835135136</v>
      </c>
      <c r="J784" s="455">
        <f t="array" ref="J784">IFERROR(INDEX('Retirement Calculator'!J:J,MATCH('Isaac 401k'!N784,'Retirement Calculator'!A:A,0),0),0)</f>
        <v>7863.2184191855868</v>
      </c>
      <c r="K784" s="455">
        <f t="shared" ca="1" si="79"/>
        <v>-11849.159174719578</v>
      </c>
      <c r="L784" s="455">
        <f t="shared" ca="1" si="80"/>
        <v>-2855647.3611074183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-2855647.3611074183</v>
      </c>
      <c r="J785" s="455">
        <f t="array" ref="J785">IFERROR(INDEX('Retirement Calculator'!J:J,MATCH('Isaac 401k'!N785,'Retirement Calculator'!A:A,0),0),0)</f>
        <v>7863.2184191855868</v>
      </c>
      <c r="K785" s="455">
        <f t="shared" ca="1" si="79"/>
        <v>-11931.294081360849</v>
      </c>
      <c r="L785" s="455">
        <f t="shared" ca="1" si="80"/>
        <v>-2875441.8736079647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-2875441.8736079647</v>
      </c>
      <c r="J786" s="455">
        <f t="array" ref="J786">IFERROR(INDEX('Retirement Calculator'!J:J,MATCH('Isaac 401k'!N786,'Retirement Calculator'!A:A,0),0),0)</f>
        <v>7863.2184191855868</v>
      </c>
      <c r="K786" s="455">
        <f t="shared" ca="1" si="79"/>
        <v>-12013.771216779793</v>
      </c>
      <c r="L786" s="455">
        <f t="shared" ca="1" si="80"/>
        <v>-2895318.86324393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-2895318.86324393</v>
      </c>
      <c r="J787" s="455">
        <f t="array" ref="J787">IFERROR(INDEX('Retirement Calculator'!J:J,MATCH('Isaac 401k'!N787,'Retirement Calculator'!A:A,0),0),0)</f>
        <v>7863.2184191855868</v>
      </c>
      <c r="K787" s="455">
        <f t="shared" ca="1" si="79"/>
        <v>-12096.592006929648</v>
      </c>
      <c r="L787" s="455">
        <f t="shared" ca="1" si="80"/>
        <v>-2915278.6736700451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-2915278.6736700451</v>
      </c>
      <c r="J788" s="455">
        <f t="array" ref="J788">IFERROR(INDEX('Retirement Calculator'!J:J,MATCH('Isaac 401k'!N788,'Retirement Calculator'!A:A,0),0),0)</f>
        <v>7863.2184191855868</v>
      </c>
      <c r="K788" s="455">
        <f t="shared" ca="1" si="79"/>
        <v>-12179.757883705126</v>
      </c>
      <c r="L788" s="455">
        <f t="shared" ca="1" si="80"/>
        <v>-2935321.6499729357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-2935321.6499729357</v>
      </c>
      <c r="J789" s="455">
        <f t="array" ref="J789">IFERROR(INDEX('Retirement Calculator'!J:J,MATCH('Isaac 401k'!N789,'Retirement Calculator'!A:A,0),0),0)</f>
        <v>7863.2184191855868</v>
      </c>
      <c r="K789" s="455">
        <f t="shared" ca="1" si="79"/>
        <v>-12263.270284967171</v>
      </c>
      <c r="L789" s="455">
        <f t="shared" ca="1" si="80"/>
        <v>-2955448.1386770881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-2955448.1386770881</v>
      </c>
      <c r="J790" s="455">
        <f t="array" ref="J790">IFERROR(INDEX('Retirement Calculator'!J:J,MATCH('Isaac 401k'!N790,'Retirement Calculator'!A:A,0),0),0)</f>
        <v>7863.2184191855868</v>
      </c>
      <c r="K790" s="455">
        <f t="shared" ca="1" si="79"/>
        <v>-12347.130654567805</v>
      </c>
      <c r="L790" s="455">
        <f t="shared" ca="1" si="80"/>
        <v>-2975658.4877508413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-2975658.4877508413</v>
      </c>
      <c r="J791" s="455">
        <f t="array" ref="J791">IFERROR(INDEX('Retirement Calculator'!J:J,MATCH('Isaac 401k'!N791,'Retirement Calculator'!A:A,0),0),0)</f>
        <v>7863.2184191855868</v>
      </c>
      <c r="K791" s="455">
        <f t="shared" ca="1" si="79"/>
        <v>-12431.340442375111</v>
      </c>
      <c r="L791" s="455">
        <f t="shared" ca="1" si="80"/>
        <v>-2995953.046612402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-2995953.046612402</v>
      </c>
      <c r="J792" s="455">
        <f t="array" ref="J792">IFERROR(INDEX('Retirement Calculator'!J:J,MATCH('Isaac 401k'!N792,'Retirement Calculator'!A:A,0),0),0)</f>
        <v>7863.2184191855868</v>
      </c>
      <c r="K792" s="455">
        <f t="shared" ca="1" si="79"/>
        <v>-12515.90110429828</v>
      </c>
      <c r="L792" s="455">
        <f t="shared" ca="1" si="80"/>
        <v>-3016332.1661358858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-3016332.1661358858</v>
      </c>
      <c r="J793" s="455">
        <f t="array" ref="J793">IFERROR(INDEX('Retirement Calculator'!J:J,MATCH('Isaac 401k'!N793,'Retirement Calculator'!A:A,0),0),0)</f>
        <v>7863.2184191855868</v>
      </c>
      <c r="K793" s="455">
        <f t="shared" ca="1" si="79"/>
        <v>-12600.814102312796</v>
      </c>
      <c r="L793" s="455">
        <f t="shared" ca="1" si="80"/>
        <v>-3036796.1986573841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-3036796.1986573841</v>
      </c>
      <c r="J794" s="455">
        <f t="array" ref="J794">IFERROR(INDEX('Retirement Calculator'!J:J,MATCH('Isaac 401k'!N794,'Retirement Calculator'!A:A,0),0),0)</f>
        <v>7863.2184191855868</v>
      </c>
      <c r="K794" s="455">
        <f t="shared" ca="1" si="79"/>
        <v>-12686.080904485707</v>
      </c>
      <c r="L794" s="455">
        <f t="shared" ca="1" si="80"/>
        <v>-3057345.4979810552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-3057345.4979810552</v>
      </c>
      <c r="J795" s="455">
        <f t="array" ref="J795">IFERROR(INDEX('Retirement Calculator'!J:J,MATCH('Isaac 401k'!N795,'Retirement Calculator'!A:A,0),0),0)</f>
        <v>7863.2184191855868</v>
      </c>
      <c r="K795" s="455">
        <f t="shared" ca="1" si="79"/>
        <v>-12771.702985001002</v>
      </c>
      <c r="L795" s="455">
        <f t="shared" ca="1" si="80"/>
        <v>-3077980.4193852413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-3077980.4193852413</v>
      </c>
      <c r="J796" s="455">
        <f t="array" ref="J796">IFERROR(INDEX('Retirement Calculator'!J:J,MATCH('Isaac 401k'!N796,'Retirement Calculator'!A:A,0),0),0)</f>
        <v>7863.2184191855868</v>
      </c>
      <c r="K796" s="455">
        <f t="shared" ca="1" si="79"/>
        <v>-12857.681824185111</v>
      </c>
      <c r="L796" s="455">
        <f t="shared" ca="1" si="80"/>
        <v>-3098701.3196286117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-3098701.3196286117</v>
      </c>
      <c r="J797" s="455">
        <f t="array" ref="J797">IFERROR(INDEX('Retirement Calculator'!J:J,MATCH('Isaac 401k'!N797,'Retirement Calculator'!A:A,0),0),0)</f>
        <v>7863.2184191855868</v>
      </c>
      <c r="K797" s="455">
        <f t="shared" ca="1" si="79"/>
        <v>-12944.018908532487</v>
      </c>
      <c r="L797" s="455">
        <f t="shared" ca="1" si="80"/>
        <v>-3119508.5569563294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-3119508.5569563294</v>
      </c>
      <c r="J798" s="455">
        <f t="array" ref="J798">IFERROR(INDEX('Retirement Calculator'!J:J,MATCH('Isaac 401k'!N798,'Retirement Calculator'!A:A,0),0),0)</f>
        <v>7863.2184191855868</v>
      </c>
      <c r="K798" s="455">
        <f t="shared" ca="1" si="79"/>
        <v>-13030.715730731312</v>
      </c>
      <c r="L798" s="455">
        <f t="shared" ca="1" si="80"/>
        <v>-3140402.4911062461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-3140402.4911062461</v>
      </c>
      <c r="J799" s="455">
        <f t="array" ref="J799">IFERROR(INDEX('Retirement Calculator'!J:J,MATCH('Isaac 401k'!N799,'Retirement Calculator'!A:A,0),0),0)</f>
        <v>7863.2184191855868</v>
      </c>
      <c r="K799" s="455">
        <f t="shared" ca="1" si="79"/>
        <v>-13117.773789689298</v>
      </c>
      <c r="L799" s="455">
        <f t="shared" ca="1" si="80"/>
        <v>-3161383.4833151209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-3161383.4833151209</v>
      </c>
      <c r="J800" s="455">
        <f t="array" ref="J800">IFERROR(INDEX('Retirement Calculator'!J:J,MATCH('Isaac 401k'!N800,'Retirement Calculator'!A:A,0),0),0)</f>
        <v>7863.2184191855868</v>
      </c>
      <c r="K800" s="455">
        <f t="shared" ca="1" si="79"/>
        <v>-13205.194590559609</v>
      </c>
      <c r="L800" s="455">
        <f t="shared" ca="1" si="80"/>
        <v>-3182451.896324866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-3182451.896324866</v>
      </c>
      <c r="J801" s="455">
        <f t="array" ref="J801">IFERROR(INDEX('Retirement Calculator'!J:J,MATCH('Isaac 401k'!N801,'Retirement Calculator'!A:A,0),0),0)</f>
        <v>7863.2184191855868</v>
      </c>
      <c r="K801" s="455">
        <f t="shared" ca="1" si="79"/>
        <v>-13292.97964476688</v>
      </c>
      <c r="L801" s="455">
        <f t="shared" ca="1" si="80"/>
        <v>-3203608.0943888184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-3203608.0943888184</v>
      </c>
      <c r="J802" s="455">
        <f t="array" ref="J802">IFERROR(INDEX('Retirement Calculator'!J:J,MATCH('Isaac 401k'!N802,'Retirement Calculator'!A:A,0),0),0)</f>
        <v>7863.2184191855868</v>
      </c>
      <c r="K802" s="455">
        <f t="shared" ca="1" si="79"/>
        <v>-13381.130470033349</v>
      </c>
      <c r="L802" s="455">
        <f t="shared" ca="1" si="80"/>
        <v>-3224852.443278037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-3224852.443278037</v>
      </c>
      <c r="J803" s="455">
        <f t="array" ref="J803">IFERROR(INDEX('Retirement Calculator'!J:J,MATCH('Isaac 401k'!N803,'Retirement Calculator'!A:A,0),0),0)</f>
        <v>7863.2184191855868</v>
      </c>
      <c r="K803" s="455">
        <f t="shared" ca="1" si="79"/>
        <v>-13469.648590405093</v>
      </c>
      <c r="L803" s="455">
        <f t="shared" ca="1" si="80"/>
        <v>-3246185.3102876274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-3246185.3102876274</v>
      </c>
      <c r="J804" s="455">
        <f t="array" ref="J804">IFERROR(INDEX('Retirement Calculator'!J:J,MATCH('Isaac 401k'!N804,'Retirement Calculator'!A:A,0),0),0)</f>
        <v>7863.2184191855868</v>
      </c>
      <c r="K804" s="455">
        <f t="shared" ca="1" si="79"/>
        <v>-13558.535536278387</v>
      </c>
      <c r="L804" s="455">
        <f t="shared" ca="1" si="80"/>
        <v>-3267607.0642430913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-3267607.0642430913</v>
      </c>
      <c r="J805" s="455">
        <f t="array" ref="J805">IFERROR(INDEX('Retirement Calculator'!J:J,MATCH('Isaac 401k'!N805,'Retirement Calculator'!A:A,0),0),0)</f>
        <v>7863.2184191855868</v>
      </c>
      <c r="K805" s="455">
        <f t="shared" ca="1" si="79"/>
        <v>-13647.792844426152</v>
      </c>
      <c r="L805" s="455">
        <f t="shared" ca="1" si="80"/>
        <v>-3289118.075506703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-3289118.075506703</v>
      </c>
      <c r="J806" s="455">
        <f t="array" ref="J806">IFERROR(INDEX('Retirement Calculator'!J:J,MATCH('Isaac 401k'!N806,'Retirement Calculator'!A:A,0),0),0)</f>
        <v>7863.2184191855868</v>
      </c>
      <c r="K806" s="455">
        <f t="shared" ca="1" si="79"/>
        <v>-13737.422058024535</v>
      </c>
      <c r="L806" s="455">
        <f t="shared" ca="1" si="80"/>
        <v>-3310718.7159839128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-3310718.7159839128</v>
      </c>
      <c r="J807" s="455">
        <f t="array" ref="J807">IFERROR(INDEX('Retirement Calculator'!J:J,MATCH('Isaac 401k'!N807,'Retirement Calculator'!A:A,0),0),0)</f>
        <v>7863.2184191855868</v>
      </c>
      <c r="K807" s="455">
        <f t="shared" ca="1" si="79"/>
        <v>-13827.424726679576</v>
      </c>
      <c r="L807" s="455">
        <f t="shared" ca="1" si="80"/>
        <v>-3332409.3591297776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-3332409.3591297776</v>
      </c>
      <c r="J808" s="455">
        <f t="array" ref="J808">IFERROR(INDEX('Retirement Calculator'!J:J,MATCH('Isaac 401k'!N808,'Retirement Calculator'!A:A,0),0),0)</f>
        <v>7863.2184191855868</v>
      </c>
      <c r="K808" s="455">
        <f t="shared" ca="1" si="79"/>
        <v>-13917.802406454013</v>
      </c>
      <c r="L808" s="455">
        <f t="shared" ca="1" si="80"/>
        <v>-3354190.379955417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-3354190.379955417</v>
      </c>
      <c r="J809" s="455">
        <f t="array" ref="J809">IFERROR(INDEX('Retirement Calculator'!J:J,MATCH('Isaac 401k'!N809,'Retirement Calculator'!A:A,0),0),0)</f>
        <v>7863.2184191855868</v>
      </c>
      <c r="K809" s="455">
        <f t="shared" ca="1" si="79"/>
        <v>-14008.556659894177</v>
      </c>
      <c r="L809" s="455">
        <f t="shared" ca="1" si="80"/>
        <v>-3376062.1550344964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-3376062.1550344964</v>
      </c>
      <c r="J810" s="455">
        <f t="array" ref="J810">IFERROR(INDEX('Retirement Calculator'!J:J,MATCH('Isaac 401k'!N810,'Retirement Calculator'!A:A,0),0),0)</f>
        <v>7863.2184191855868</v>
      </c>
      <c r="K810" s="455">
        <f t="shared" ca="1" si="79"/>
        <v>-14099.689056057008</v>
      </c>
      <c r="L810" s="455">
        <f t="shared" ca="1" si="80"/>
        <v>-3398025.0625097388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-3398025.0625097388</v>
      </c>
      <c r="J811" s="455">
        <f t="array" ref="J811">IFERROR(INDEX('Retirement Calculator'!J:J,MATCH('Isaac 401k'!N811,'Retirement Calculator'!A:A,0),0),0)</f>
        <v>7863.2184191855868</v>
      </c>
      <c r="K811" s="455">
        <f t="shared" ca="1" si="79"/>
        <v>-14191.201170537182</v>
      </c>
      <c r="L811" s="455">
        <f t="shared" ca="1" si="80"/>
        <v>-3420079.4820994614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-3420079.4820994614</v>
      </c>
      <c r="J812" s="455">
        <f t="array" ref="J812">IFERROR(INDEX('Retirement Calculator'!J:J,MATCH('Isaac 401k'!N812,'Retirement Calculator'!A:A,0),0),0)</f>
        <v>7863.2184191855868</v>
      </c>
      <c r="K812" s="455">
        <f t="shared" ca="1" si="79"/>
        <v>-14283.094585494364</v>
      </c>
      <c r="L812" s="455">
        <f t="shared" ca="1" si="80"/>
        <v>-3442225.7951041409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-3442225.7951041409</v>
      </c>
      <c r="J813" s="455">
        <f t="array" ref="J813">IFERROR(INDEX('Retirement Calculator'!J:J,MATCH('Isaac 401k'!N813,'Retirement Calculator'!A:A,0),0),0)</f>
        <v>7863.2184191855868</v>
      </c>
      <c r="K813" s="455">
        <f t="shared" ca="1" si="79"/>
        <v>-14375.370889680526</v>
      </c>
      <c r="L813" s="455">
        <f t="shared" ca="1" si="80"/>
        <v>-3464464.3844130067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-3464464.3844130067</v>
      </c>
      <c r="J814" s="455">
        <f t="array" ref="J814">IFERROR(INDEX('Retirement Calculator'!J:J,MATCH('Isaac 401k'!N814,'Retirement Calculator'!A:A,0),0),0)</f>
        <v>7863.2184191855868</v>
      </c>
      <c r="K814" s="455">
        <f t="shared" ca="1" si="79"/>
        <v>-14468.031678467467</v>
      </c>
      <c r="L814" s="455">
        <f t="shared" ca="1" si="80"/>
        <v>-3486795.6345106596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-3486795.6345106596</v>
      </c>
      <c r="J815" s="455">
        <f t="array" ref="J815">IFERROR(INDEX('Retirement Calculator'!J:J,MATCH('Isaac 401k'!N815,'Retirement Calculator'!A:A,0),0),0)</f>
        <v>7863.2184191855868</v>
      </c>
      <c r="K815" s="455">
        <f t="shared" ca="1" si="79"/>
        <v>-14561.078553874353</v>
      </c>
      <c r="L815" s="455">
        <f t="shared" ca="1" si="80"/>
        <v>-3509219.9314837195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-3509219.9314837195</v>
      </c>
      <c r="J816" s="455">
        <f t="array" ref="J816">IFERROR(INDEX('Retirement Calculator'!J:J,MATCH('Isaac 401k'!N816,'Retirement Calculator'!A:A,0),0),0)</f>
        <v>7863.2184191855868</v>
      </c>
      <c r="K816" s="455">
        <f t="shared" ca="1" si="79"/>
        <v>-14654.513124595436</v>
      </c>
      <c r="L816" s="455">
        <f t="shared" ca="1" si="80"/>
        <v>-3531737.6630275003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-3531737.6630275003</v>
      </c>
      <c r="J817" s="455">
        <f t="array" ref="J817">IFERROR(INDEX('Retirement Calculator'!J:J,MATCH('Isaac 401k'!N817,'Retirement Calculator'!A:A,0),0),0)</f>
        <v>7863.2184191855868</v>
      </c>
      <c r="K817" s="455">
        <f t="shared" ca="1" si="79"/>
        <v>-14748.337006027856</v>
      </c>
      <c r="L817" s="455">
        <f t="shared" ca="1" si="80"/>
        <v>-3554349.2184527135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-3554349.2184527135</v>
      </c>
      <c r="J818" s="455">
        <f t="array" ref="J818">IFERROR(INDEX('Retirement Calculator'!J:J,MATCH('Isaac 401k'!N818,'Retirement Calculator'!A:A,0),0),0)</f>
        <v>7863.2184191855868</v>
      </c>
      <c r="K818" s="455">
        <f t="shared" ca="1" si="79"/>
        <v>-14842.551820299581</v>
      </c>
      <c r="L818" s="455">
        <f t="shared" ca="1" si="80"/>
        <v>-3577054.9886921984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-3577054.9886921984</v>
      </c>
      <c r="J819" s="455">
        <f t="array" ref="J819">IFERROR(INDEX('Retirement Calculator'!J:J,MATCH('Isaac 401k'!N819,'Retirement Calculator'!A:A,0),0),0)</f>
        <v>7863.2184191855868</v>
      </c>
      <c r="K819" s="455">
        <f t="shared" ca="1" si="79"/>
        <v>-14937.159196297433</v>
      </c>
      <c r="L819" s="455">
        <f t="shared" ca="1" si="80"/>
        <v>-3599855.3663076814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-3599855.3663076814</v>
      </c>
      <c r="J820" s="455">
        <f t="array" ref="J820">IFERROR(INDEX('Retirement Calculator'!J:J,MATCH('Isaac 401k'!N820,'Retirement Calculator'!A:A,0),0),0)</f>
        <v>7863.2184191855868</v>
      </c>
      <c r="K820" s="455">
        <f t="shared" ca="1" si="79"/>
        <v>-15032.160769695278</v>
      </c>
      <c r="L820" s="455">
        <f t="shared" ca="1" si="80"/>
        <v>-3622750.7454965622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-3622750.7454965622</v>
      </c>
      <c r="J821" s="455">
        <f t="array" ref="J821">IFERROR(INDEX('Retirement Calculator'!J:J,MATCH('Isaac 401k'!N821,'Retirement Calculator'!A:A,0),0),0)</f>
        <v>7863.2184191855868</v>
      </c>
      <c r="K821" s="455">
        <f t="shared" ca="1" si="79"/>
        <v>-15127.558182982279</v>
      </c>
      <c r="L821" s="455">
        <f t="shared" ca="1" si="80"/>
        <v>-3645741.5220987299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-3645741.5220987299</v>
      </c>
      <c r="J822" s="455">
        <f t="array" ref="J822">IFERROR(INDEX('Retirement Calculator'!J:J,MATCH('Isaac 401k'!N822,'Retirement Calculator'!A:A,0),0),0)</f>
        <v>7863.2184191855868</v>
      </c>
      <c r="K822" s="455">
        <f t="shared" ca="1" si="79"/>
        <v>-15223.353085491313</v>
      </c>
      <c r="L822" s="455">
        <f t="shared" ca="1" si="80"/>
        <v>-3668828.0936034066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-3668828.0936034066</v>
      </c>
      <c r="J823" s="455">
        <f t="array" ref="J823">IFERROR(INDEX('Retirement Calculator'!J:J,MATCH('Isaac 401k'!N823,'Retirement Calculator'!A:A,0),0),0)</f>
        <v>7863.2184191855868</v>
      </c>
      <c r="K823" s="455">
        <f t="shared" ca="1" si="79"/>
        <v>-15319.547133427466</v>
      </c>
      <c r="L823" s="455">
        <f t="shared" ca="1" si="80"/>
        <v>-3692010.8591560195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-3692010.8591560195</v>
      </c>
      <c r="J824" s="455">
        <f t="array" ref="J824">IFERROR(INDEX('Retirement Calculator'!J:J,MATCH('Isaac 401k'!N824,'Retirement Calculator'!A:A,0),0),0)</f>
        <v>7863.2184191855868</v>
      </c>
      <c r="K824" s="455">
        <f t="shared" ca="1" si="79"/>
        <v>-15416.141989896685</v>
      </c>
      <c r="L824" s="455">
        <f t="shared" ca="1" si="80"/>
        <v>-3715290.2195651014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-3715290.2195651014</v>
      </c>
      <c r="J825" s="455">
        <f t="array" ref="J825">IFERROR(INDEX('Retirement Calculator'!J:J,MATCH('Isaac 401k'!N825,'Retirement Calculator'!A:A,0),0),0)</f>
        <v>7863.2184191855868</v>
      </c>
      <c r="K825" s="455">
        <f t="shared" ca="1" si="79"/>
        <v>-15513.139324934527</v>
      </c>
      <c r="L825" s="455">
        <f t="shared" ca="1" si="80"/>
        <v>-3738666.5773092215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-3738666.5773092215</v>
      </c>
      <c r="J826" s="455">
        <f t="array" ref="J826">IFERROR(INDEX('Retirement Calculator'!J:J,MATCH('Isaac 401k'!N826,'Retirement Calculator'!A:A,0),0),0)</f>
        <v>7863.2184191855868</v>
      </c>
      <c r="K826" s="455">
        <f t="shared" ca="1" si="79"/>
        <v>-15610.540815535031</v>
      </c>
      <c r="L826" s="455">
        <f t="shared" ca="1" si="80"/>
        <v>-3762140.3365439419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-3762140.3365439419</v>
      </c>
      <c r="J827" s="455">
        <f t="array" ref="J827">IFERROR(INDEX('Retirement Calculator'!J:J,MATCH('Isaac 401k'!N827,'Retirement Calculator'!A:A,0),0),0)</f>
        <v>7863.2184191855868</v>
      </c>
      <c r="K827" s="455">
        <f t="shared" ca="1" si="79"/>
        <v>-15708.348145679694</v>
      </c>
      <c r="L827" s="455">
        <f t="shared" ca="1" si="80"/>
        <v>-3785711.9031088068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-3785711.9031088068</v>
      </c>
      <c r="J828" s="455">
        <f t="array" ref="J828">IFERROR(INDEX('Retirement Calculator'!J:J,MATCH('Isaac 401k'!N828,'Retirement Calculator'!A:A,0),0),0)</f>
        <v>7863.2184191855868</v>
      </c>
      <c r="K828" s="455">
        <f t="shared" ca="1" si="79"/>
        <v>-15806.563006366636</v>
      </c>
      <c r="L828" s="455">
        <f t="shared" ca="1" si="80"/>
        <v>-3809381.6845343588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-3809381.6845343588</v>
      </c>
      <c r="J829" s="455">
        <f t="array" ref="J829">IFERROR(INDEX('Retirement Calculator'!J:J,MATCH('Isaac 401k'!N829,'Retirement Calculator'!A:A,0),0),0)</f>
        <v>7863.2184191855868</v>
      </c>
      <c r="K829" s="455">
        <f t="shared" ca="1" si="79"/>
        <v>-15905.187095639767</v>
      </c>
      <c r="L829" s="455">
        <f t="shared" ca="1" si="80"/>
        <v>-3833150.0900491839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-3833150.0900491839</v>
      </c>
      <c r="J830" s="455">
        <f t="array" ref="J830">IFERROR(INDEX('Retirement Calculator'!J:J,MATCH('Isaac 401k'!N830,'Retirement Calculator'!A:A,0),0),0)</f>
        <v>7863.2184191855868</v>
      </c>
      <c r="K830" s="455">
        <f t="shared" ca="1" si="79"/>
        <v>-16004.222118618205</v>
      </c>
      <c r="L830" s="455">
        <f t="shared" ca="1" si="80"/>
        <v>-3857017.5305869877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-3857017.5305869877</v>
      </c>
      <c r="J831" s="455">
        <f t="array" ref="J831">IFERROR(INDEX('Retirement Calculator'!J:J,MATCH('Isaac 401k'!N831,'Retirement Calculator'!A:A,0),0),0)</f>
        <v>7863.2184191855868</v>
      </c>
      <c r="K831" s="455">
        <f t="shared" ca="1" si="79"/>
        <v>-16103.66978752572</v>
      </c>
      <c r="L831" s="455">
        <f t="shared" ca="1" si="80"/>
        <v>-3880984.4187936988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-3880984.4187936988</v>
      </c>
      <c r="J832" s="455">
        <f t="array" ref="J832">IFERROR(INDEX('Retirement Calculator'!J:J,MATCH('Isaac 401k'!N832,'Retirement Calculator'!A:A,0),0),0)</f>
        <v>7863.2184191855868</v>
      </c>
      <c r="K832" s="455">
        <f t="shared" ca="1" si="79"/>
        <v>-16203.531821720351</v>
      </c>
      <c r="L832" s="455">
        <f t="shared" ca="1" si="80"/>
        <v>-3905051.1690346044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-3905051.1690346044</v>
      </c>
      <c r="J833" s="455">
        <f t="array" ref="J833">IFERROR(INDEX('Retirement Calculator'!J:J,MATCH('Isaac 401k'!N833,'Retirement Calculator'!A:A,0),0),0)</f>
        <v>7863.2184191855868</v>
      </c>
      <c r="K833" s="455">
        <f t="shared" ca="1" si="79"/>
        <v>-16303.809947724125</v>
      </c>
      <c r="L833" s="455">
        <f t="shared" ca="1" si="80"/>
        <v>-3929218.1974015138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-3929218.1974015138</v>
      </c>
      <c r="J834" s="455">
        <f t="array" ref="J834">IFERROR(INDEX('Retirement Calculator'!J:J,MATCH('Isaac 401k'!N834,'Retirement Calculator'!A:A,0),0),0)</f>
        <v>7863.2184191855868</v>
      </c>
      <c r="K834" s="455">
        <f t="shared" ca="1" si="79"/>
        <v>-16404.505899252912</v>
      </c>
      <c r="L834" s="455">
        <f t="shared" ca="1" si="80"/>
        <v>-3953485.921719952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-3953485.921719952</v>
      </c>
      <c r="J835" s="455">
        <f t="array" ref="J835">IFERROR(INDEX('Retirement Calculator'!J:J,MATCH('Isaac 401k'!N835,'Retirement Calculator'!A:A,0),0),0)</f>
        <v>7863.2184191855868</v>
      </c>
      <c r="K835" s="455">
        <f t="shared" ca="1" si="79"/>
        <v>-16505.621417246406</v>
      </c>
      <c r="L835" s="455">
        <f t="shared" ca="1" si="80"/>
        <v>-3977854.7615563837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-3977854.7615563837</v>
      </c>
      <c r="J836" s="455">
        <f t="array" ref="J836">IFERROR(INDEX('Retirement Calculator'!J:J,MATCH('Isaac 401k'!N836,'Retirement Calculator'!A:A,0),0),0)</f>
        <v>7863.2184191855868</v>
      </c>
      <c r="K836" s="455">
        <f t="shared" ca="1" si="79"/>
        <v>-16607.158249898206</v>
      </c>
      <c r="L836" s="455">
        <f t="shared" ca="1" si="80"/>
        <v>-4002325.1382254674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-4002325.1382254674</v>
      </c>
      <c r="J837" s="455">
        <f t="array" ref="J837">IFERROR(INDEX('Retirement Calculator'!J:J,MATCH('Isaac 401k'!N837,'Retirement Calculator'!A:A,0),0),0)</f>
        <v>7863.2184191855868</v>
      </c>
      <c r="K837" s="455">
        <f t="shared" ca="1" si="79"/>
        <v>-16709.118152686053</v>
      </c>
      <c r="L837" s="455">
        <f t="shared" ca="1" si="80"/>
        <v>-4026897.4747973387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-4026897.4747973387</v>
      </c>
      <c r="J838" s="455">
        <f t="array" ref="J838">IFERROR(INDEX('Retirement Calculator'!J:J,MATCH('Isaac 401k'!N838,'Retirement Calculator'!A:A,0),0),0)</f>
        <v>7863.2184191855868</v>
      </c>
      <c r="K838" s="455">
        <f t="shared" ca="1" si="79"/>
        <v>-16811.502888402185</v>
      </c>
      <c r="L838" s="455">
        <f t="shared" ca="1" si="80"/>
        <v>-4051572.1961049261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-4051572.1961049261</v>
      </c>
      <c r="J839" s="455">
        <f t="array" ref="J839">IFERROR(INDEX('Retirement Calculator'!J:J,MATCH('Isaac 401k'!N839,'Retirement Calculator'!A:A,0),0),0)</f>
        <v>7863.2184191855868</v>
      </c>
      <c r="K839" s="455">
        <f t="shared" ca="1" si="79"/>
        <v>-16914.314227183801</v>
      </c>
      <c r="L839" s="455">
        <f t="shared" ca="1" si="80"/>
        <v>-4076349.7287512952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-4076349.7287512952</v>
      </c>
      <c r="J840" s="455">
        <f t="array" ref="J840">IFERROR(INDEX('Retirement Calculator'!J:J,MATCH('Isaac 401k'!N840,'Retirement Calculator'!A:A,0),0),0)</f>
        <v>7863.2184191855868</v>
      </c>
      <c r="K840" s="455">
        <f t="shared" ca="1" si="79"/>
        <v>-17017.55394654367</v>
      </c>
      <c r="L840" s="455">
        <f t="shared" ca="1" si="80"/>
        <v>-4101230.5011170241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-4101230.5011170241</v>
      </c>
      <c r="J841" s="455">
        <f t="array" ref="J841">IFERROR(INDEX('Retirement Calculator'!J:J,MATCH('Isaac 401k'!N841,'Retirement Calculator'!A:A,0),0),0)</f>
        <v>7863.2184191855868</v>
      </c>
      <c r="K841" s="455">
        <f t="shared" ca="1" si="79"/>
        <v>-17121.223831400872</v>
      </c>
      <c r="L841" s="455">
        <f t="shared" ca="1" si="80"/>
        <v>-4126214.9433676102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-4126214.9433676102</v>
      </c>
      <c r="J842" s="455">
        <f t="array" ref="J842">IFERROR(INDEX('Retirement Calculator'!J:J,MATCH('Isaac 401k'!N842,'Retirement Calculator'!A:A,0),0),0)</f>
        <v>7863.2184191855868</v>
      </c>
      <c r="K842" s="455">
        <f t="shared" ca="1" si="79"/>
        <v>-17225.325674111649</v>
      </c>
      <c r="L842" s="455">
        <f t="shared" ca="1" si="80"/>
        <v>-4151303.4874609071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-4151303.4874609071</v>
      </c>
      <c r="J843" s="455">
        <f t="array" ref="J843">IFERROR(INDEX('Retirement Calculator'!J:J,MATCH('Isaac 401k'!N843,'Retirement Calculator'!A:A,0),0),0)</f>
        <v>7863.2184191855868</v>
      </c>
      <c r="K843" s="455">
        <f t="shared" ca="1" si="79"/>
        <v>-17329.861274500388</v>
      </c>
      <c r="L843" s="455">
        <f t="shared" ca="1" si="80"/>
        <v>-4176496.5671545928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-4176496.5671545928</v>
      </c>
      <c r="J844" s="455">
        <f t="array" ref="J844">IFERROR(INDEX('Retirement Calculator'!J:J,MATCH('Isaac 401k'!N844,'Retirement Calculator'!A:A,0),0),0)</f>
        <v>7863.2184191855868</v>
      </c>
      <c r="K844" s="455">
        <f t="shared" ca="1" si="79"/>
        <v>-17434.832439890743</v>
      </c>
      <c r="L844" s="455">
        <f t="shared" ca="1" si="80"/>
        <v>-4201794.6180136688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-4201794.6180136688</v>
      </c>
      <c r="J845" s="455">
        <f t="array" ref="J845">IFERROR(INDEX('Retirement Calculator'!J:J,MATCH('Isaac 401k'!N845,'Retirement Calculator'!A:A,0),0),0)</f>
        <v>7863.2184191855868</v>
      </c>
      <c r="K845" s="455">
        <f t="shared" ca="1" si="79"/>
        <v>-17540.240985136894</v>
      </c>
      <c r="L845" s="455">
        <f t="shared" ca="1" si="80"/>
        <v>-4227198.0774179911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-4227198.0774179911</v>
      </c>
      <c r="J846" s="455">
        <f t="array" ref="J846">IFERROR(INDEX('Retirement Calculator'!J:J,MATCH('Isaac 401k'!N846,'Retirement Calculator'!A:A,0),0),0)</f>
        <v>7863.2184191855868</v>
      </c>
      <c r="K846" s="455">
        <f t="shared" ca="1" si="79"/>
        <v>-17646.088732654905</v>
      </c>
      <c r="L846" s="455">
        <f t="shared" ca="1" si="80"/>
        <v>-4252707.3845698321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-4252707.3845698321</v>
      </c>
      <c r="J847" s="455">
        <f t="array" ref="J847">IFERROR(INDEX('Retirement Calculator'!J:J,MATCH('Isaac 401k'!N847,'Retirement Calculator'!A:A,0),0),0)</f>
        <v>7863.2184191855868</v>
      </c>
      <c r="K847" s="455">
        <f t="shared" ca="1" si="79"/>
        <v>-17752.377512454241</v>
      </c>
      <c r="L847" s="455">
        <f t="shared" ca="1" si="80"/>
        <v>-4278322.980501472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-4278322.980501472</v>
      </c>
      <c r="J848" s="455">
        <f t="array" ref="J848">IFERROR(INDEX('Retirement Calculator'!J:J,MATCH('Isaac 401k'!N848,'Retirement Calculator'!A:A,0),0),0)</f>
        <v>7863.2184191855868</v>
      </c>
      <c r="K848" s="455">
        <f t="shared" ca="1" si="79"/>
        <v>-17859.109162169407</v>
      </c>
      <c r="L848" s="455">
        <f t="shared" ca="1" si="80"/>
        <v>-4304045.3080828274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-4304045.3080828274</v>
      </c>
      <c r="J849" s="455">
        <f t="array" ref="J849">IFERROR(INDEX('Retirement Calculator'!J:J,MATCH('Isaac 401k'!N849,'Retirement Calculator'!A:A,0),0),0)</f>
        <v>7863.2184191855868</v>
      </c>
      <c r="K849" s="455">
        <f t="shared" ca="1" si="79"/>
        <v>-17966.285527091721</v>
      </c>
      <c r="L849" s="455">
        <f t="shared" ca="1" si="80"/>
        <v>-4329874.8120291047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-4329874.8120291047</v>
      </c>
      <c r="J850" s="455">
        <f t="array" ref="J850">IFERROR(INDEX('Retirement Calculator'!J:J,MATCH('Isaac 401k'!N850,'Retirement Calculator'!A:A,0),0),0)</f>
        <v>7863.2184191855868</v>
      </c>
      <c r="K850" s="455">
        <f t="shared" ca="1" si="79"/>
        <v>-18073.908460201212</v>
      </c>
      <c r="L850" s="455">
        <f t="shared" ca="1" si="80"/>
        <v>-4355811.9389084913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-4355811.9389084913</v>
      </c>
      <c r="J851" s="455">
        <f t="array" ref="J851">IFERROR(INDEX('Retirement Calculator'!J:J,MATCH('Isaac 401k'!N851,'Retirement Calculator'!A:A,0),0),0)</f>
        <v>7863.2184191855868</v>
      </c>
      <c r="K851" s="455">
        <f t="shared" ca="1" si="79"/>
        <v>-18181.979822198653</v>
      </c>
      <c r="L851" s="455">
        <f t="shared" ca="1" si="80"/>
        <v>-4381857.137149876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-4381857.137149876</v>
      </c>
      <c r="J852" s="455">
        <f t="array" ref="J852">IFERROR(INDEX('Retirement Calculator'!J:J,MATCH('Isaac 401k'!N852,'Retirement Calculator'!A:A,0),0),0)</f>
        <v>7863.2184191855868</v>
      </c>
      <c r="K852" s="455">
        <f t="shared" ca="1" si="79"/>
        <v>-18290.501481537758</v>
      </c>
      <c r="L852" s="455">
        <f t="shared" ca="1" si="80"/>
        <v>-4408010.8570505995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-4408010.8570505995</v>
      </c>
      <c r="J853" s="455">
        <f t="array" ref="J853">IFERROR(INDEX('Retirement Calculator'!J:J,MATCH('Isaac 401k'!N853,'Retirement Calculator'!A:A,0),0),0)</f>
        <v>7863.2184191855868</v>
      </c>
      <c r="K853" s="455">
        <f t="shared" ca="1" si="79"/>
        <v>-18399.475314457439</v>
      </c>
      <c r="L853" s="455">
        <f t="shared" ca="1" si="80"/>
        <v>-4434273.5507842433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-4434273.5507842433</v>
      </c>
      <c r="J854" s="455">
        <f t="array" ref="J854">IFERROR(INDEX('Retirement Calculator'!J:J,MATCH('Isaac 401k'!N854,'Retirement Calculator'!A:A,0),0),0)</f>
        <v>7863.2184191855868</v>
      </c>
      <c r="K854" s="455">
        <f t="shared" ca="1" si="79"/>
        <v>-18508.903205014289</v>
      </c>
      <c r="L854" s="455">
        <f t="shared" ca="1" si="80"/>
        <v>-4460645.6724084429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-4460645.6724084429</v>
      </c>
      <c r="J855" s="455">
        <f t="array" ref="J855">IFERROR(INDEX('Retirement Calculator'!J:J,MATCH('Isaac 401k'!N855,'Retirement Calculator'!A:A,0),0),0)</f>
        <v>7863.2184191855868</v>
      </c>
      <c r="K855" s="455">
        <f t="shared" ca="1" si="79"/>
        <v>-18618.787045115121</v>
      </c>
      <c r="L855" s="455">
        <f t="shared" ca="1" si="80"/>
        <v>-4487127.6778727435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-4487127.6778727435</v>
      </c>
      <c r="J856" s="455">
        <f t="array" ref="J856">IFERROR(INDEX('Retirement Calculator'!J:J,MATCH('Isaac 401k'!N856,'Retirement Calculator'!A:A,0),0),0)</f>
        <v>7863.2184191855868</v>
      </c>
      <c r="K856" s="455">
        <f t="shared" ca="1" si="79"/>
        <v>-18729.128734549704</v>
      </c>
      <c r="L856" s="455">
        <f t="shared" ca="1" si="80"/>
        <v>-4513720.0250264788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-4513720.0250264788</v>
      </c>
      <c r="J857" s="455">
        <f t="array" ref="J857">IFERROR(INDEX('Retirement Calculator'!J:J,MATCH('Isaac 401k'!N857,'Retirement Calculator'!A:A,0),0),0)</f>
        <v>7863.2184191855868</v>
      </c>
      <c r="K857" s="455">
        <f t="shared" ca="1" si="79"/>
        <v>-18839.930181023603</v>
      </c>
      <c r="L857" s="455">
        <f t="shared" ca="1" si="80"/>
        <v>-4540423.1736266883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-4540423.1736266883</v>
      </c>
      <c r="J858" s="455">
        <f t="array" ref="J858">IFERROR(INDEX('Retirement Calculator'!J:J,MATCH('Isaac 401k'!N858,'Retirement Calculator'!A:A,0),0),0)</f>
        <v>7863.2184191855868</v>
      </c>
      <c r="K858" s="455">
        <f t="shared" ca="1" si="79"/>
        <v>-18951.193300191142</v>
      </c>
      <c r="L858" s="455">
        <f t="shared" ca="1" si="80"/>
        <v>-4567237.5853460655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-4567237.5853460655</v>
      </c>
      <c r="J859" s="455">
        <f t="array" ref="J859">IFERROR(INDEX('Retirement Calculator'!J:J,MATCH('Isaac 401k'!N859,'Retirement Calculator'!A:A,0),0),0)</f>
        <v>7863.2184191855868</v>
      </c>
      <c r="K859" s="455">
        <f t="shared" ca="1" si="79"/>
        <v>-19062.920015688545</v>
      </c>
      <c r="L859" s="455">
        <f t="shared" ca="1" si="80"/>
        <v>-4594163.7237809403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-4594163.7237809403</v>
      </c>
      <c r="J860" s="455">
        <f t="array" ref="J860">IFERROR(INDEX('Retirement Calculator'!J:J,MATCH('Isaac 401k'!N860,'Retirement Calculator'!A:A,0),0),0)</f>
        <v>7863.2184191855868</v>
      </c>
      <c r="K860" s="455">
        <f t="shared" ca="1" si="79"/>
        <v>-19175.112259167192</v>
      </c>
      <c r="L860" s="455">
        <f t="shared" ca="1" si="80"/>
        <v>-4621202.0544592934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-4621202.0544592934</v>
      </c>
      <c r="J861" s="455">
        <f t="array" ref="J861">IFERROR(INDEX('Retirement Calculator'!J:J,MATCH('Isaac 401k'!N861,'Retirement Calculator'!A:A,0),0),0)</f>
        <v>7863.2184191855868</v>
      </c>
      <c r="K861" s="455">
        <f t="shared" ca="1" si="79"/>
        <v>-19287.771970326998</v>
      </c>
      <c r="L861" s="455">
        <f t="shared" ca="1" si="80"/>
        <v>-4648353.0448488062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-4648353.0448488062</v>
      </c>
      <c r="J862" s="455">
        <f t="array" ref="J862">IFERROR(INDEX('Retirement Calculator'!J:J,MATCH('Isaac 401k'!N862,'Retirement Calculator'!A:A,0),0),0)</f>
        <v>7863.2184191855868</v>
      </c>
      <c r="K862" s="455">
        <f t="shared" ca="1" si="79"/>
        <v>-19400.901096949965</v>
      </c>
      <c r="L862" s="455">
        <f t="shared" ca="1" si="80"/>
        <v>-4675617.1643649423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-4675617.1643649423</v>
      </c>
      <c r="J863" s="455">
        <f t="array" ref="J863">IFERROR(INDEX('Retirement Calculator'!J:J,MATCH('Isaac 401k'!N863,'Retirement Calculator'!A:A,0),0),0)</f>
        <v>7863.2184191855868</v>
      </c>
      <c r="K863" s="455">
        <f t="shared" ca="1" si="79"/>
        <v>-19514.501594933867</v>
      </c>
      <c r="L863" s="455">
        <f t="shared" ca="1" si="80"/>
        <v>-4702994.8843790619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-4702994.8843790619</v>
      </c>
      <c r="J864" s="455">
        <f t="array" ref="J864">IFERROR(INDEX('Retirement Calculator'!J:J,MATCH('Isaac 401k'!N864,'Retirement Calculator'!A:A,0),0),0)</f>
        <v>7863.2184191855868</v>
      </c>
      <c r="K864" s="455">
        <f t="shared" ca="1" si="79"/>
        <v>-19628.575428326032</v>
      </c>
      <c r="L864" s="455">
        <f t="shared" ca="1" si="80"/>
        <v>-4730486.6782265734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-4730486.6782265734</v>
      </c>
      <c r="J865" s="455">
        <f t="array" ref="J865">IFERROR(INDEX('Retirement Calculator'!J:J,MATCH('Isaac 401k'!N865,'Retirement Calculator'!A:A,0),0),0)</f>
        <v>7863.2184191855868</v>
      </c>
      <c r="K865" s="455">
        <f t="shared" ca="1" si="79"/>
        <v>-19743.124569357329</v>
      </c>
      <c r="L865" s="455">
        <f t="shared" ca="1" si="80"/>
        <v>-4758093.0212151166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-4758093.0212151166</v>
      </c>
      <c r="J866" s="455">
        <f t="array" ref="J866">IFERROR(INDEX('Retirement Calculator'!J:J,MATCH('Isaac 401k'!N866,'Retirement Calculator'!A:A,0),0),0)</f>
        <v>7863.2184191855868</v>
      </c>
      <c r="K866" s="455">
        <f t="shared" ca="1" si="79"/>
        <v>-19858.15099847626</v>
      </c>
      <c r="L866" s="455">
        <f t="shared" ca="1" si="80"/>
        <v>-4785814.3906327784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-4785814.3906327784</v>
      </c>
      <c r="J867" s="455">
        <f t="array" ref="J867">IFERROR(INDEX('Retirement Calculator'!J:J,MATCH('Isaac 401k'!N867,'Retirement Calculator'!A:A,0),0),0)</f>
        <v>7863.2184191855868</v>
      </c>
      <c r="K867" s="455">
        <f t="shared" ca="1" si="79"/>
        <v>-19973.656704383186</v>
      </c>
      <c r="L867" s="455">
        <f t="shared" ca="1" si="80"/>
        <v>-4813651.2657563472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-4813651.2657563472</v>
      </c>
      <c r="J868" s="455">
        <f t="array" ref="J868">IFERROR(INDEX('Retirement Calculator'!J:J,MATCH('Isaac 401k'!N868,'Retirement Calculator'!A:A,0),0),0)</f>
        <v>7863.2184191855868</v>
      </c>
      <c r="K868" s="455">
        <f t="shared" ca="1" si="79"/>
        <v>-20089.643684064722</v>
      </c>
      <c r="L868" s="455">
        <f t="shared" ca="1" si="80"/>
        <v>-4841604.127859598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-4841604.127859598</v>
      </c>
      <c r="J869" s="455">
        <f t="array" ref="J869">IFERROR(INDEX('Retirement Calculator'!J:J,MATCH('Isaac 401k'!N869,'Retirement Calculator'!A:A,0),0),0)</f>
        <v>7863.2184191855868</v>
      </c>
      <c r="K869" s="455">
        <f t="shared" ca="1" si="79"/>
        <v>-20206.113942828266</v>
      </c>
      <c r="L869" s="455">
        <f t="shared" ca="1" si="80"/>
        <v>-4869673.4602216119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-4869673.4602216119</v>
      </c>
      <c r="J870" s="455">
        <f t="array" ref="J870">IFERROR(INDEX('Retirement Calculator'!J:J,MATCH('Isaac 401k'!N870,'Retirement Calculator'!A:A,0),0),0)</f>
        <v>7863.2184191855868</v>
      </c>
      <c r="K870" s="455">
        <f t="shared" ca="1" si="79"/>
        <v>-20323.069494336658</v>
      </c>
      <c r="L870" s="455">
        <f t="shared" ca="1" si="80"/>
        <v>-4897859.7481351346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-4897859.7481351346</v>
      </c>
      <c r="J871" s="455">
        <f t="array" ref="J871">IFERROR(INDEX('Retirement Calculator'!J:J,MATCH('Isaac 401k'!N871,'Retirement Calculator'!A:A,0),0),0)</f>
        <v>7863.2184191855868</v>
      </c>
      <c r="K871" s="455">
        <f t="shared" ca="1" si="79"/>
        <v>-20440.512360643002</v>
      </c>
      <c r="L871" s="455">
        <f t="shared" ca="1" si="80"/>
        <v>-4926163.4789149631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-4926163.4789149631</v>
      </c>
      <c r="J872" s="455">
        <f t="array" ref="J872">IFERROR(INDEX('Retirement Calculator'!J:J,MATCH('Isaac 401k'!N872,'Retirement Calculator'!A:A,0),0),0)</f>
        <v>7863.2184191855868</v>
      </c>
      <c r="K872" s="455">
        <f t="shared" ca="1" si="79"/>
        <v>-20558.444572225621</v>
      </c>
      <c r="L872" s="455">
        <f t="shared" ca="1" si="80"/>
        <v>-4954585.1419063741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-4954585.1419063741</v>
      </c>
      <c r="J873" s="455">
        <f t="array" ref="J873">IFERROR(INDEX('Retirement Calculator'!J:J,MATCH('Isaac 401k'!N873,'Retirement Calculator'!A:A,0),0),0)</f>
        <v>7863.2184191855868</v>
      </c>
      <c r="K873" s="455">
        <f t="shared" ca="1" si="79"/>
        <v>-20676.868168023168</v>
      </c>
      <c r="L873" s="455">
        <f t="shared" ca="1" si="80"/>
        <v>-4983125.2284935834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-4983125.2284935834</v>
      </c>
      <c r="J874" s="455">
        <f t="array" ref="J874">IFERROR(INDEX('Retirement Calculator'!J:J,MATCH('Isaac 401k'!N874,'Retirement Calculator'!A:A,0),0),0)</f>
        <v>7863.2184191855868</v>
      </c>
      <c r="K874" s="455">
        <f t="shared" ca="1" si="79"/>
        <v>-20795.785195469871</v>
      </c>
      <c r="L874" s="455">
        <f t="shared" ca="1" si="80"/>
        <v>-5011784.2321082391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-5011784.2321082391</v>
      </c>
      <c r="J875" s="455">
        <f t="array" ref="J875">IFERROR(INDEX('Retirement Calculator'!J:J,MATCH('Isaac 401k'!N875,'Retirement Calculator'!A:A,0),0),0)</f>
        <v>7863.2184191855868</v>
      </c>
      <c r="K875" s="455">
        <f t="shared" ca="1" si="79"/>
        <v>-20915.197710530938</v>
      </c>
      <c r="L875" s="455">
        <f t="shared" ca="1" si="80"/>
        <v>-5040562.6482379558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-5040562.6482379558</v>
      </c>
      <c r="J876" s="455">
        <f t="array" ref="J876">IFERROR(INDEX('Retirement Calculator'!J:J,MATCH('Isaac 401k'!N876,'Retirement Calculator'!A:A,0),0),0)</f>
        <v>7863.2184191855868</v>
      </c>
      <c r="K876" s="455">
        <f t="shared" ca="1" si="79"/>
        <v>-21035.107777738089</v>
      </c>
      <c r="L876" s="455">
        <f t="shared" ca="1" si="80"/>
        <v>-5069460.9744348796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-5069460.9744348796</v>
      </c>
      <c r="J877" s="455">
        <f t="array" ref="J877">IFERROR(INDEX('Retirement Calculator'!J:J,MATCH('Isaac 401k'!N877,'Retirement Calculator'!A:A,0),0),0)</f>
        <v>7863.2184191855868</v>
      </c>
      <c r="K877" s="455">
        <f t="shared" ca="1" si="79"/>
        <v>-21155.517470225273</v>
      </c>
      <c r="L877" s="455">
        <f t="shared" ca="1" si="80"/>
        <v>-5098479.7103242911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-5098479.7103242911</v>
      </c>
      <c r="J878" s="455">
        <f t="array" ref="J878">IFERROR(INDEX('Retirement Calculator'!J:J,MATCH('Isaac 401k'!N878,'Retirement Calculator'!A:A,0),0),0)</f>
        <v>7863.2184191855868</v>
      </c>
      <c r="K878" s="455">
        <f t="shared" ca="1" si="79"/>
        <v>-21276.428869764488</v>
      </c>
      <c r="L878" s="455">
        <f t="shared" ca="1" si="80"/>
        <v>-5127619.3576132413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-5127619.3576132413</v>
      </c>
      <c r="J879" s="455">
        <f t="array" ref="J879">IFERROR(INDEX('Retirement Calculator'!J:J,MATCH('Isaac 401k'!N879,'Retirement Calculator'!A:A,0),0),0)</f>
        <v>7863.2184191855868</v>
      </c>
      <c r="K879" s="455">
        <f t="shared" ca="1" si="79"/>
        <v>-21397.844066801779</v>
      </c>
      <c r="L879" s="455">
        <f t="shared" ca="1" si="80"/>
        <v>-5156880.4200992286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-5156880.4200992286</v>
      </c>
      <c r="J880" s="455">
        <f t="array" ref="J880">IFERROR(INDEX('Retirement Calculator'!J:J,MATCH('Isaac 401k'!N880,'Retirement Calculator'!A:A,0),0),0)</f>
        <v>7863.2184191855868</v>
      </c>
      <c r="K880" s="455">
        <f t="shared" ca="1" si="79"/>
        <v>-21519.765160493393</v>
      </c>
      <c r="L880" s="455">
        <f t="shared" ca="1" si="80"/>
        <v>-5186263.403678908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-5186263.403678908</v>
      </c>
      <c r="J881" s="455">
        <f t="array" ref="J881">IFERROR(INDEX('Retirement Calculator'!J:J,MATCH('Isaac 401k'!N881,'Retirement Calculator'!A:A,0),0),0)</f>
        <v>7863.2184191855868</v>
      </c>
      <c r="K881" s="455">
        <f t="shared" ca="1" si="79"/>
        <v>-21642.194258742056</v>
      </c>
      <c r="L881" s="455">
        <f t="shared" ca="1" si="80"/>
        <v>-5215768.8163568359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-5215768.8163568359</v>
      </c>
      <c r="J882" s="455">
        <f t="array" ref="J882">IFERROR(INDEX('Retirement Calculator'!J:J,MATCH('Isaac 401k'!N882,'Retirement Calculator'!A:A,0),0),0)</f>
        <v>7863.2184191855868</v>
      </c>
      <c r="K882" s="455">
        <f t="shared" ca="1" si="79"/>
        <v>-21765.133478233423</v>
      </c>
      <c r="L882" s="455">
        <f t="shared" ca="1" si="80"/>
        <v>-5245397.1682542553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-5245397.1682542553</v>
      </c>
      <c r="J883" s="455">
        <f t="array" ref="J883">IFERROR(INDEX('Retirement Calculator'!J:J,MATCH('Isaac 401k'!N883,'Retirement Calculator'!A:A,0),0),0)</f>
        <v>7863.2184191855868</v>
      </c>
      <c r="K883" s="455">
        <f t="shared" ca="1" si="79"/>
        <v>-21888.58494447267</v>
      </c>
      <c r="L883" s="455">
        <f t="shared" ca="1" si="80"/>
        <v>-5275148.9716179138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-5275148.9716179138</v>
      </c>
      <c r="J884" s="455">
        <f t="array" ref="J884">IFERROR(INDEX('Retirement Calculator'!J:J,MATCH('Isaac 401k'!N884,'Retirement Calculator'!A:A,0),0),0)</f>
        <v>7863.2184191855868</v>
      </c>
      <c r="K884" s="455">
        <f t="shared" ca="1" si="79"/>
        <v>-22012.55079182125</v>
      </c>
      <c r="L884" s="455">
        <f t="shared" ca="1" si="80"/>
        <v>-5305024.7408289211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-5305024.7408289211</v>
      </c>
      <c r="J885" s="455">
        <f t="array" ref="J885">IFERROR(INDEX('Retirement Calculator'!J:J,MATCH('Isaac 401k'!N885,'Retirement Calculator'!A:A,0),0),0)</f>
        <v>7863.2184191855868</v>
      </c>
      <c r="K885" s="455">
        <f t="shared" ca="1" si="79"/>
        <v>-22137.033163533779</v>
      </c>
      <c r="L885" s="455">
        <f t="shared" ca="1" si="80"/>
        <v>-5335024.9924116405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-5335024.9924116405</v>
      </c>
      <c r="J886" s="455">
        <f t="array" ref="J886">IFERROR(INDEX('Retirement Calculator'!J:J,MATCH('Isaac 401k'!N886,'Retirement Calculator'!A:A,0),0),0)</f>
        <v>7863.2184191855868</v>
      </c>
      <c r="K886" s="455">
        <f t="shared" ca="1" si="79"/>
        <v>-22262.034211795108</v>
      </c>
      <c r="L886" s="455">
        <f t="shared" ca="1" si="80"/>
        <v>-5365150.2450426212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-5365150.2450426212</v>
      </c>
      <c r="J887" s="455">
        <f t="array" ref="J887">IFERROR(INDEX('Retirement Calculator'!J:J,MATCH('Isaac 401k'!N887,'Retirement Calculator'!A:A,0),0),0)</f>
        <v>7863.2184191855868</v>
      </c>
      <c r="K887" s="455">
        <f t="shared" ca="1" si="79"/>
        <v>-22387.55609775753</v>
      </c>
      <c r="L887" s="455">
        <f t="shared" ca="1" si="80"/>
        <v>-5395401.0195595641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-5395401.0195595641</v>
      </c>
      <c r="J888" s="455">
        <f t="array" ref="J888">IFERROR(INDEX('Retirement Calculator'!J:J,MATCH('Isaac 401k'!N888,'Retirement Calculator'!A:A,0),0),0)</f>
        <v>7863.2184191855868</v>
      </c>
      <c r="K888" s="455">
        <f t="shared" ca="1" si="79"/>
        <v>-22513.600991578125</v>
      </c>
      <c r="L888" s="455">
        <f t="shared" ca="1" si="80"/>
        <v>-5425777.8389703277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-5425777.8389703277</v>
      </c>
      <c r="J889" s="455">
        <f t="array" ref="J889">IFERROR(INDEX('Retirement Calculator'!J:J,MATCH('Isaac 401k'!N889,'Retirement Calculator'!A:A,0),0),0)</f>
        <v>7863.2184191855868</v>
      </c>
      <c r="K889" s="455">
        <f t="shared" ca="1" si="79"/>
        <v>-22640.171072456305</v>
      </c>
      <c r="L889" s="455">
        <f t="shared" ca="1" si="80"/>
        <v>-5456281.2284619696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-5456281.2284619696</v>
      </c>
      <c r="J890" s="455">
        <f t="array" ref="J890">IFERROR(INDEX('Retirement Calculator'!J:J,MATCH('Isaac 401k'!N890,'Retirement Calculator'!A:A,0),0),0)</f>
        <v>7863.2184191855868</v>
      </c>
      <c r="K890" s="455">
        <f t="shared" ca="1" si="79"/>
        <v>-22767.26852867148</v>
      </c>
      <c r="L890" s="455">
        <f t="shared" ca="1" si="80"/>
        <v>-5486911.7154098274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-5486911.7154098274</v>
      </c>
      <c r="J891" s="455">
        <f t="array" ref="J891">IFERROR(INDEX('Retirement Calculator'!J:J,MATCH('Isaac 401k'!N891,'Retirement Calculator'!A:A,0),0),0)</f>
        <v>7863.2184191855868</v>
      </c>
      <c r="K891" s="455">
        <f t="shared" ca="1" si="79"/>
        <v>-22894.89555762089</v>
      </c>
      <c r="L891" s="455">
        <f t="shared" ca="1" si="80"/>
        <v>-5517669.8293866338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-5517669.8293866338</v>
      </c>
      <c r="J892" s="455">
        <f t="array" ref="J892">IFERROR(INDEX('Retirement Calculator'!J:J,MATCH('Isaac 401k'!N892,'Retirement Calculator'!A:A,0),0),0)</f>
        <v>7863.2184191855868</v>
      </c>
      <c r="K892" s="455">
        <f t="shared" ca="1" si="79"/>
        <v>-23023.054365857581</v>
      </c>
      <c r="L892" s="455">
        <f t="shared" ca="1" si="80"/>
        <v>-5548556.1021716772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-5548556.1021716772</v>
      </c>
      <c r="J893" s="455">
        <f t="array" ref="J893">IFERROR(INDEX('Retirement Calculator'!J:J,MATCH('Isaac 401k'!N893,'Retirement Calculator'!A:A,0),0),0)</f>
        <v>7863.2184191855868</v>
      </c>
      <c r="K893" s="455">
        <f t="shared" ca="1" si="79"/>
        <v>-23151.747169128597</v>
      </c>
      <c r="L893" s="455">
        <f t="shared" ca="1" si="80"/>
        <v>-5579571.0677599916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-5579571.0677599916</v>
      </c>
      <c r="J894" s="455">
        <f t="array" ref="J894">IFERROR(INDEX('Retirement Calculator'!J:J,MATCH('Isaac 401k'!N894,'Retirement Calculator'!A:A,0),0),0)</f>
        <v>7863.2184191855868</v>
      </c>
      <c r="K894" s="455">
        <f t="shared" ca="1" si="79"/>
        <v>-23280.97619241324</v>
      </c>
      <c r="L894" s="455">
        <f t="shared" ca="1" si="80"/>
        <v>-5610715.2623715904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-5610715.2623715904</v>
      </c>
      <c r="J895" s="455">
        <f t="array" ref="J895">IFERROR(INDEX('Retirement Calculator'!J:J,MATCH('Isaac 401k'!N895,'Retirement Calculator'!A:A,0),0),0)</f>
        <v>7863.2184191855868</v>
      </c>
      <c r="K895" s="455">
        <f t="shared" ca="1" si="79"/>
        <v>-23410.743669961568</v>
      </c>
      <c r="L895" s="455">
        <f t="shared" ca="1" si="80"/>
        <v>-5641989.2244607378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-5641989.2244607378</v>
      </c>
      <c r="J896" s="455">
        <f t="array" ref="J896">IFERROR(INDEX('Retirement Calculator'!J:J,MATCH('Isaac 401k'!N896,'Retirement Calculator'!A:A,0),0),0)</f>
        <v>7863.2184191855868</v>
      </c>
      <c r="K896" s="455">
        <f t="shared" ca="1" si="79"/>
        <v>-23541.051845333015</v>
      </c>
      <c r="L896" s="455">
        <f t="shared" ca="1" si="80"/>
        <v>-5673393.4947252562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-5673393.4947252562</v>
      </c>
      <c r="J897" s="455">
        <f t="array" ref="J897">IFERROR(INDEX('Retirement Calculator'!J:J,MATCH('Isaac 401k'!N897,'Retirement Calculator'!A:A,0),0),0)</f>
        <v>7863.2184191855868</v>
      </c>
      <c r="K897" s="455">
        <f t="shared" ca="1" si="79"/>
        <v>-23671.902971435175</v>
      </c>
      <c r="L897" s="455">
        <f t="shared" ca="1" si="80"/>
        <v>-5704928.6161158774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-5704928.6161158774</v>
      </c>
      <c r="J898" s="455">
        <f t="array" ref="J898">IFERROR(INDEX('Retirement Calculator'!J:J,MATCH('Isaac 401k'!N898,'Retirement Calculator'!A:A,0),0),0)</f>
        <v>7863.2184191855868</v>
      </c>
      <c r="K898" s="455">
        <f t="shared" ca="1" si="79"/>
        <v>-23803.299310562765</v>
      </c>
      <c r="L898" s="455">
        <f t="shared" ca="1" si="80"/>
        <v>-5736595.1338456264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-5736595.1338456264</v>
      </c>
      <c r="J899" s="455">
        <f t="array" ref="J899">IFERROR(INDEX('Retirement Calculator'!J:J,MATCH('Isaac 401k'!N899,'Retirement Calculator'!A:A,0),0),0)</f>
        <v>7863.2184191855868</v>
      </c>
      <c r="K899" s="455">
        <f t="shared" ca="1" si="79"/>
        <v>-23935.243134436718</v>
      </c>
      <c r="L899" s="455">
        <f t="shared" ca="1" si="80"/>
        <v>-5768393.5953992493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-5768393.5953992493</v>
      </c>
      <c r="J900" s="455">
        <f t="array" ref="J900">IFERROR(INDEX('Retirement Calculator'!J:J,MATCH('Isaac 401k'!N900,'Retirement Calculator'!A:A,0),0),0)</f>
        <v>7863.2184191855868</v>
      </c>
      <c r="K900" s="455">
        <f t="shared" ca="1" si="79"/>
        <v>-24067.736724243481</v>
      </c>
      <c r="L900" s="455">
        <f t="shared" ca="1" si="80"/>
        <v>-5800324.5505426787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-5800324.5505426787</v>
      </c>
      <c r="J901" s="455">
        <f t="array" ref="J901">IFERROR(INDEX('Retirement Calculator'!J:J,MATCH('Isaac 401k'!N901,'Retirement Calculator'!A:A,0),0),0)</f>
        <v>7863.2184191855868</v>
      </c>
      <c r="K901" s="455">
        <f t="shared" ca="1" si="79"/>
        <v>-24200.782370674435</v>
      </c>
      <c r="L901" s="455">
        <f t="shared" ca="1" si="80"/>
        <v>-5832388.5513325389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-5832388.5513325389</v>
      </c>
      <c r="J902" s="455">
        <f t="array" ref="J902">IFERROR(INDEX('Retirement Calculator'!J:J,MATCH('Isaac 401k'!N902,'Retirement Calculator'!A:A,0),0),0)</f>
        <v>7863.2184191855868</v>
      </c>
      <c r="K902" s="455">
        <f t="shared" ca="1" si="79"/>
        <v>-24334.38237396552</v>
      </c>
      <c r="L902" s="455">
        <f t="shared" ca="1" si="80"/>
        <v>-5864586.1521256901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-5864586.1521256901</v>
      </c>
      <c r="J903" s="455">
        <f t="array" ref="J903">IFERROR(INDEX('Retirement Calculator'!J:J,MATCH('Isaac 401k'!N903,'Retirement Calculator'!A:A,0),0),0)</f>
        <v>7863.2184191855868</v>
      </c>
      <c r="K903" s="455">
        <f t="shared" ca="1" si="79"/>
        <v>-24468.539043936984</v>
      </c>
      <c r="L903" s="455">
        <f t="shared" ca="1" si="80"/>
        <v>-5896917.9095888129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-5896917.9095888129</v>
      </c>
      <c r="J904" s="455">
        <f t="array" ref="J904">IFERROR(INDEX('Retirement Calculator'!J:J,MATCH('Isaac 401k'!N904,'Retirement Calculator'!A:A,0),0),0)</f>
        <v>7863.2184191855868</v>
      </c>
      <c r="K904" s="455">
        <f t="shared" ca="1" si="79"/>
        <v>-24603.254700033329</v>
      </c>
      <c r="L904" s="455">
        <f t="shared" ca="1" si="80"/>
        <v>-5929384.3827080317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-5929384.3827080317</v>
      </c>
      <c r="J905" s="455">
        <f t="array" ref="J905">IFERROR(INDEX('Retirement Calculator'!J:J,MATCH('Isaac 401k'!N905,'Retirement Calculator'!A:A,0),0),0)</f>
        <v>7863.2184191855868</v>
      </c>
      <c r="K905" s="455">
        <f t="shared" ca="1" si="79"/>
        <v>-24738.531671363406</v>
      </c>
      <c r="L905" s="455">
        <f t="shared" ca="1" si="80"/>
        <v>-5961986.1327985814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-5961986.1327985814</v>
      </c>
      <c r="J906" s="455">
        <f t="array" ref="J906">IFERROR(INDEX('Retirement Calculator'!J:J,MATCH('Isaac 401k'!N906,'Retirement Calculator'!A:A,0),0),0)</f>
        <v>7863.2184191855868</v>
      </c>
      <c r="K906" s="455">
        <f t="shared" ca="1" si="79"/>
        <v>-24874.372296740697</v>
      </c>
      <c r="L906" s="455">
        <f t="shared" ca="1" si="80"/>
        <v>-5994723.7235145075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-5994723.7235145075</v>
      </c>
      <c r="J907" s="455">
        <f t="array" ref="J907">IFERROR(INDEX('Retirement Calculator'!J:J,MATCH('Isaac 401k'!N907,'Retirement Calculator'!A:A,0),0),0)</f>
        <v>7863.2184191855868</v>
      </c>
      <c r="K907" s="455">
        <f t="shared" ca="1" si="79"/>
        <v>-25010.778924723723</v>
      </c>
      <c r="L907" s="455">
        <f t="shared" ca="1" si="80"/>
        <v>-6027597.7208584175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-6027597.7208584175</v>
      </c>
      <c r="J908" s="455">
        <f t="array" ref="J908">IFERROR(INDEX('Retirement Calculator'!J:J,MATCH('Isaac 401k'!N908,'Retirement Calculator'!A:A,0),0),0)</f>
        <v>7863.2184191855868</v>
      </c>
      <c r="K908" s="455">
        <f t="shared" ca="1" si="79"/>
        <v>-25147.753913656681</v>
      </c>
      <c r="L908" s="455">
        <f t="shared" ca="1" si="80"/>
        <v>-6060608.6931912601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-6060608.6931912601</v>
      </c>
      <c r="J909" s="455">
        <f t="array" ref="J909">IFERROR(INDEX('Retirement Calculator'!J:J,MATCH('Isaac 401k'!N909,'Retirement Calculator'!A:A,0),0),0)</f>
        <v>7863.2184191855868</v>
      </c>
      <c r="K909" s="455">
        <f t="shared" ca="1" si="79"/>
        <v>-25285.29963171019</v>
      </c>
      <c r="L909" s="455">
        <f t="shared" ca="1" si="80"/>
        <v>-6093757.2112421561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-6093757.2112421561</v>
      </c>
      <c r="J910" s="455">
        <f t="array" ref="J910">IFERROR(INDEX('Retirement Calculator'!J:J,MATCH('Isaac 401k'!N910,'Retirement Calculator'!A:A,0),0),0)</f>
        <v>7863.2184191855868</v>
      </c>
      <c r="K910" s="455">
        <f t="shared" ca="1" si="79"/>
        <v>-25423.418456922256</v>
      </c>
      <c r="L910" s="455">
        <f t="shared" ca="1" si="80"/>
        <v>-6127043.8481182642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-6127043.8481182642</v>
      </c>
      <c r="J911" s="455">
        <f t="array" ref="J911">IFERROR(INDEX('Retirement Calculator'!J:J,MATCH('Isaac 401k'!N911,'Retirement Calculator'!A:A,0),0),0)</f>
        <v>7863.2184191855868</v>
      </c>
      <c r="K911" s="455">
        <f t="shared" ca="1" si="79"/>
        <v>-25562.112777239374</v>
      </c>
      <c r="L911" s="455">
        <f t="shared" ca="1" si="80"/>
        <v>-6160469.1793146897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-6160469.1793146897</v>
      </c>
      <c r="J912" s="455">
        <f t="array" ref="J912">IFERROR(INDEX('Retirement Calculator'!J:J,MATCH('Isaac 401k'!N912,'Retirement Calculator'!A:A,0),0),0)</f>
        <v>7863.2184191855868</v>
      </c>
      <c r="K912" s="455">
        <f t="shared" ca="1" si="79"/>
        <v>-25701.384990557814</v>
      </c>
      <c r="L912" s="455">
        <f t="shared" ca="1" si="80"/>
        <v>-6194033.7827244336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-6194033.7827244336</v>
      </c>
      <c r="J913" s="455">
        <f t="array" ref="J913">IFERROR(INDEX('Retirement Calculator'!J:J,MATCH('Isaac 401k'!N913,'Retirement Calculator'!A:A,0),0),0)</f>
        <v>7863.2184191855868</v>
      </c>
      <c r="K913" s="455">
        <f t="shared" ca="1" si="79"/>
        <v>-25841.237504765082</v>
      </c>
      <c r="L913" s="455">
        <f t="shared" ca="1" si="80"/>
        <v>-6227738.2386483848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-6227738.2386483848</v>
      </c>
      <c r="J914" s="455">
        <f t="array" ref="J914">IFERROR(INDEX('Retirement Calculator'!J:J,MATCH('Isaac 401k'!N914,'Retirement Calculator'!A:A,0),0),0)</f>
        <v>7863.2184191855868</v>
      </c>
      <c r="K914" s="455">
        <f t="shared" ca="1" si="79"/>
        <v>-25981.672737781544</v>
      </c>
      <c r="L914" s="455">
        <f t="shared" ca="1" si="80"/>
        <v>-6261583.1298053525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-6261583.1298053525</v>
      </c>
      <c r="J915" s="455">
        <f t="array" ref="J915">IFERROR(INDEX('Retirement Calculator'!J:J,MATCH('Isaac 401k'!N915,'Retirement Calculator'!A:A,0),0),0)</f>
        <v>7863.2184191855868</v>
      </c>
      <c r="K915" s="455">
        <f t="shared" ca="1" si="79"/>
        <v>-26122.693117602244</v>
      </c>
      <c r="L915" s="455">
        <f t="shared" ca="1" si="80"/>
        <v>-6295569.0413421402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-6295569.0413421402</v>
      </c>
      <c r="J916" s="455">
        <f t="array" ref="J916">IFERROR(INDEX('Retirement Calculator'!J:J,MATCH('Isaac 401k'!N916,'Retirement Calculator'!A:A,0),0),0)</f>
        <v>7863.2184191855868</v>
      </c>
      <c r="K916" s="455">
        <f t="shared" ca="1" si="79"/>
        <v>-26264.301082338858</v>
      </c>
      <c r="L916" s="455">
        <f t="shared" ca="1" si="80"/>
        <v>-6329696.5608436652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-6329696.5608436652</v>
      </c>
      <c r="J917" s="455">
        <f t="array" ref="J917">IFERROR(INDEX('Retirement Calculator'!J:J,MATCH('Isaac 401k'!N917,'Retirement Calculator'!A:A,0),0),0)</f>
        <v>7863.2184191855868</v>
      </c>
      <c r="K917" s="455">
        <f t="shared" ca="1" si="79"/>
        <v>-26406.499080261878</v>
      </c>
      <c r="L917" s="455">
        <f t="shared" ca="1" si="80"/>
        <v>-6363966.2783431131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-6363966.2783431131</v>
      </c>
      <c r="J918" s="455">
        <f t="array" ref="J918">IFERROR(INDEX('Retirement Calculator'!J:J,MATCH('Isaac 401k'!N918,'Retirement Calculator'!A:A,0),0),0)</f>
        <v>7863.2184191855868</v>
      </c>
      <c r="K918" s="455">
        <f t="shared" ca="1" si="79"/>
        <v>-26549.289569842913</v>
      </c>
      <c r="L918" s="455">
        <f t="shared" ca="1" si="80"/>
        <v>-6398378.7863321416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-6398378.7863321416</v>
      </c>
      <c r="J919" s="455">
        <f t="array" ref="J919">IFERROR(INDEX('Retirement Calculator'!J:J,MATCH('Isaac 401k'!N919,'Retirement Calculator'!A:A,0),0),0)</f>
        <v>7863.2184191855868</v>
      </c>
      <c r="K919" s="455">
        <f t="shared" ca="1" si="79"/>
        <v>-26692.675019797196</v>
      </c>
      <c r="L919" s="455">
        <f t="shared" ca="1" si="80"/>
        <v>-6432934.6797711244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-6432934.6797711244</v>
      </c>
      <c r="J920" s="455">
        <f t="array" ref="J920">IFERROR(INDEX('Retirement Calculator'!J:J,MATCH('Isaac 401k'!N920,'Retirement Calculator'!A:A,0),0),0)</f>
        <v>7863.2184191855868</v>
      </c>
      <c r="K920" s="455">
        <f t="shared" ca="1" si="79"/>
        <v>-26836.657909126294</v>
      </c>
      <c r="L920" s="455">
        <f t="shared" ca="1" si="80"/>
        <v>-6467634.5560994362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-6467634.5560994362</v>
      </c>
      <c r="J921" s="455">
        <f t="array" ref="J921">IFERROR(INDEX('Retirement Calculator'!J:J,MATCH('Isaac 401k'!N921,'Retirement Calculator'!A:A,0),0),0)</f>
        <v>7863.2184191855868</v>
      </c>
      <c r="K921" s="455">
        <f t="shared" ca="1" si="79"/>
        <v>-26981.240727160926</v>
      </c>
      <c r="L921" s="455">
        <f t="shared" ca="1" si="80"/>
        <v>-6502479.0152457831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-6502479.0152457831</v>
      </c>
      <c r="J922" s="455">
        <f t="array" ref="J922">IFERROR(INDEX('Retirement Calculator'!J:J,MATCH('Isaac 401k'!N922,'Retirement Calculator'!A:A,0),0),0)</f>
        <v>7863.2184191855868</v>
      </c>
      <c r="K922" s="455">
        <f t="shared" ca="1" si="79"/>
        <v>-27126.425973604037</v>
      </c>
      <c r="L922" s="455">
        <f t="shared" ca="1" si="80"/>
        <v>-6537468.6596385734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-6537468.6596385734</v>
      </c>
      <c r="J923" s="455">
        <f t="array" ref="J923">IFERROR(INDEX('Retirement Calculator'!J:J,MATCH('Isaac 401k'!N923,'Retirement Calculator'!A:A,0),0),0)</f>
        <v>7863.2184191855868</v>
      </c>
      <c r="K923" s="455">
        <f t="shared" ca="1" si="79"/>
        <v>-27272.216158574</v>
      </c>
      <c r="L923" s="455">
        <f t="shared" ca="1" si="80"/>
        <v>-6572604.0942163337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-6572604.0942163337</v>
      </c>
      <c r="J924" s="455">
        <f t="array" ref="J924">IFERROR(INDEX('Retirement Calculator'!J:J,MATCH('Isaac 401k'!N924,'Retirement Calculator'!A:A,0),0),0)</f>
        <v>7863.2184191855868</v>
      </c>
      <c r="K924" s="455">
        <f t="shared" ca="1" si="79"/>
        <v>-27418.613802647997</v>
      </c>
      <c r="L924" s="455">
        <f t="shared" ca="1" si="80"/>
        <v>-6607885.9264381677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-6607885.9264381677</v>
      </c>
      <c r="J925" s="455">
        <f t="array" ref="J925">IFERROR(INDEX('Retirement Calculator'!J:J,MATCH('Isaac 401k'!N925,'Retirement Calculator'!A:A,0),0),0)</f>
        <v>7863.2184191855868</v>
      </c>
      <c r="K925" s="455">
        <f t="shared" ca="1" si="79"/>
        <v>-27565.621436905643</v>
      </c>
      <c r="L925" s="455">
        <f t="shared" ca="1" si="80"/>
        <v>-6643314.7662942596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-6643314.7662942596</v>
      </c>
      <c r="J926" s="455">
        <f t="array" ref="J926">IFERROR(INDEX('Retirement Calculator'!J:J,MATCH('Isaac 401k'!N926,'Retirement Calculator'!A:A,0),0),0)</f>
        <v>7863.2184191855868</v>
      </c>
      <c r="K926" s="455">
        <f t="shared" ca="1" si="79"/>
        <v>-27713.241602972692</v>
      </c>
      <c r="L926" s="455">
        <f t="shared" ca="1" si="80"/>
        <v>-6678891.2263164185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-6678891.2263164185</v>
      </c>
      <c r="J927" s="455">
        <f t="array" ref="J927">IFERROR(INDEX('Retirement Calculator'!J:J,MATCH('Isaac 401k'!N927,'Retirement Calculator'!A:A,0),0),0)</f>
        <v>7863.2184191855868</v>
      </c>
      <c r="K927" s="455">
        <f t="shared" ca="1" si="79"/>
        <v>-27861.476853065018</v>
      </c>
      <c r="L927" s="455">
        <f t="shared" ca="1" si="80"/>
        <v>-6714615.9215886695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-6714615.9215886695</v>
      </c>
      <c r="J928" s="455">
        <f t="array" ref="J928">IFERROR(INDEX('Retirement Calculator'!J:J,MATCH('Isaac 401k'!N928,'Retirement Calculator'!A:A,0),0),0)</f>
        <v>7863.2184191855868</v>
      </c>
      <c r="K928" s="455">
        <f t="shared" ca="1" si="79"/>
        <v>-28010.329750032728</v>
      </c>
      <c r="L928" s="455">
        <f t="shared" ca="1" si="80"/>
        <v>-6750489.4697578885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-6750489.4697578885</v>
      </c>
      <c r="J929" s="455">
        <f t="array" ref="J929">IFERROR(INDEX('Retirement Calculator'!J:J,MATCH('Isaac 401k'!N929,'Retirement Calculator'!A:A,0),0),0)</f>
        <v>7863.2184191855868</v>
      </c>
      <c r="K929" s="455">
        <f t="shared" ca="1" si="79"/>
        <v>-28159.802867404476</v>
      </c>
      <c r="L929" s="455">
        <f t="shared" ca="1" si="80"/>
        <v>-6786512.4910444785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-6786512.4910444785</v>
      </c>
      <c r="J930" s="455">
        <f t="array" ref="J930">IFERROR(INDEX('Retirement Calculator'!J:J,MATCH('Isaac 401k'!N930,'Retirement Calculator'!A:A,0),0),0)</f>
        <v>7863.2184191855868</v>
      </c>
      <c r="K930" s="455">
        <f t="shared" ca="1" si="79"/>
        <v>-28309.89878943194</v>
      </c>
      <c r="L930" s="455">
        <f t="shared" ca="1" si="80"/>
        <v>-6822685.6082530962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-6822685.6082530962</v>
      </c>
      <c r="J931" s="455">
        <f t="array" ref="J931">IFERROR(INDEX('Retirement Calculator'!J:J,MATCH('Isaac 401k'!N931,'Retirement Calculator'!A:A,0),0),0)</f>
        <v>7863.2184191855868</v>
      </c>
      <c r="K931" s="455">
        <f t="shared" ca="1" si="79"/>
        <v>-28460.620111134504</v>
      </c>
      <c r="L931" s="455">
        <f t="shared" ca="1" si="80"/>
        <v>-6859009.4467834169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-6859009.4467834169</v>
      </c>
      <c r="J932" s="455">
        <f t="array" ref="J932">IFERROR(INDEX('Retirement Calculator'!J:J,MATCH('Isaac 401k'!N932,'Retirement Calculator'!A:A,0),0),0)</f>
        <v>7863.2184191855868</v>
      </c>
      <c r="K932" s="455">
        <f t="shared" ca="1" si="79"/>
        <v>-28611.969438344178</v>
      </c>
      <c r="L932" s="455">
        <f t="shared" ca="1" si="80"/>
        <v>-6895484.634640947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-6895484.634640947</v>
      </c>
      <c r="J933" s="455">
        <f t="array" ref="J933">IFERROR(INDEX('Retirement Calculator'!J:J,MATCH('Isaac 401k'!N933,'Retirement Calculator'!A:A,0),0),0)</f>
        <v>7863.2184191855868</v>
      </c>
      <c r="K933" s="455">
        <f t="shared" ca="1" si="79"/>
        <v>-28763.949387750556</v>
      </c>
      <c r="L933" s="455">
        <f t="shared" ca="1" si="80"/>
        <v>-6932111.8024478834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-6932111.8024478834</v>
      </c>
      <c r="J934" s="455">
        <f t="array" ref="J934">IFERROR(INDEX('Retirement Calculator'!J:J,MATCH('Isaac 401k'!N934,'Retirement Calculator'!A:A,0),0),0)</f>
        <v>7863.2184191855868</v>
      </c>
      <c r="K934" s="455">
        <f t="shared" ca="1" si="79"/>
        <v>-28916.562586946122</v>
      </c>
      <c r="L934" s="455">
        <f t="shared" ca="1" si="80"/>
        <v>-6968891.5834540157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-6968891.5834540157</v>
      </c>
      <c r="J935" s="455">
        <f t="array" ref="J935">IFERROR(INDEX('Retirement Calculator'!J:J,MATCH('Isaac 401k'!N935,'Retirement Calculator'!A:A,0),0),0)</f>
        <v>7863.2184191855868</v>
      </c>
      <c r="K935" s="455">
        <f t="shared" ca="1" si="79"/>
        <v>-29069.811674471675</v>
      </c>
      <c r="L935" s="455">
        <f t="shared" ca="1" si="80"/>
        <v>-7005824.6135476734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-7005824.6135476734</v>
      </c>
      <c r="J936" s="455">
        <f t="array" ref="J936">IFERROR(INDEX('Retirement Calculator'!J:J,MATCH('Isaac 401k'!N936,'Retirement Calculator'!A:A,0),0),0)</f>
        <v>7863.2184191855868</v>
      </c>
      <c r="K936" s="455">
        <f t="shared" ca="1" si="79"/>
        <v>-29223.69929986191</v>
      </c>
      <c r="L936" s="455">
        <f t="shared" ca="1" si="80"/>
        <v>-7042911.531266721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-7042911.531266721</v>
      </c>
      <c r="J937" s="455">
        <f t="array" ref="J937">IFERROR(INDEX('Retirement Calculator'!J:J,MATCH('Isaac 401k'!N937,'Retirement Calculator'!A:A,0),0),0)</f>
        <v>7863.2184191855868</v>
      </c>
      <c r="K937" s="455">
        <f t="shared" ca="1" si="79"/>
        <v>-29378.228123691279</v>
      </c>
      <c r="L937" s="455">
        <f t="shared" ca="1" si="80"/>
        <v>-7080152.9778095977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-7080152.9778095977</v>
      </c>
      <c r="J938" s="455">
        <f t="array" ref="J938">IFERROR(INDEX('Retirement Calculator'!J:J,MATCH('Isaac 401k'!N938,'Retirement Calculator'!A:A,0),0),0)</f>
        <v>7863.2184191855868</v>
      </c>
      <c r="K938" s="455">
        <f t="shared" ca="1" si="79"/>
        <v>-29533.400817619931</v>
      </c>
      <c r="L938" s="455">
        <f t="shared" ca="1" si="80"/>
        <v>-7117549.5970464032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-7117549.5970464032</v>
      </c>
      <c r="J939" s="455">
        <f t="array" ref="J939">IFERROR(INDEX('Retirement Calculator'!J:J,MATCH('Isaac 401k'!N939,'Retirement Calculator'!A:A,0),0),0)</f>
        <v>7863.2184191855868</v>
      </c>
      <c r="K939" s="455">
        <f t="shared" ca="1" si="79"/>
        <v>-29689.220064439953</v>
      </c>
      <c r="L939" s="455">
        <f t="shared" ca="1" si="80"/>
        <v>-7155102.0355300289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-7155102.0355300289</v>
      </c>
      <c r="J940" s="455">
        <f t="array" ref="J940">IFERROR(INDEX('Retirement Calculator'!J:J,MATCH('Isaac 401k'!N940,'Retirement Calculator'!A:A,0),0),0)</f>
        <v>7863.2184191855868</v>
      </c>
      <c r="K940" s="455">
        <f t="shared" ca="1" si="79"/>
        <v>-29845.688558121728</v>
      </c>
      <c r="L940" s="455">
        <f t="shared" ca="1" si="80"/>
        <v>-7192810.9425073368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-7192810.9425073368</v>
      </c>
      <c r="J941" s="455">
        <f t="array" ref="J941">IFERROR(INDEX('Retirement Calculator'!J:J,MATCH('Isaac 401k'!N941,'Retirement Calculator'!A:A,0),0),0)</f>
        <v>7863.2184191855868</v>
      </c>
      <c r="K941" s="455">
        <f t="shared" ca="1" si="79"/>
        <v>-30002.809003860515</v>
      </c>
      <c r="L941" s="455">
        <f t="shared" ca="1" si="80"/>
        <v>-7230676.9699303834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-7230676.9699303834</v>
      </c>
      <c r="J942" s="455">
        <f t="array" ref="J942">IFERROR(INDEX('Retirement Calculator'!J:J,MATCH('Isaac 401k'!N942,'Retirement Calculator'!A:A,0),0),0)</f>
        <v>7863.2184191855868</v>
      </c>
      <c r="K942" s="455">
        <f t="shared" ca="1" si="79"/>
        <v>-30160.584118123199</v>
      </c>
      <c r="L942" s="455">
        <f t="shared" ca="1" si="80"/>
        <v>-7268700.7724676924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-7268700.7724676924</v>
      </c>
      <c r="J943" s="455">
        <f t="array" ref="J943">IFERROR(INDEX('Retirement Calculator'!J:J,MATCH('Isaac 401k'!N943,'Retirement Calculator'!A:A,0),0),0)</f>
        <v>7863.2184191855868</v>
      </c>
      <c r="K943" s="455">
        <f t="shared" ca="1" si="79"/>
        <v>-30319.016628695328</v>
      </c>
      <c r="L943" s="455">
        <f t="shared" ca="1" si="80"/>
        <v>-7306883.0075155739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-7306883.0075155739</v>
      </c>
      <c r="J944" s="455">
        <f t="array" ref="J944">IFERROR(INDEX('Retirement Calculator'!J:J,MATCH('Isaac 401k'!N944,'Retirement Calculator'!A:A,0),0),0)</f>
        <v>7863.2184191855868</v>
      </c>
      <c r="K944" s="455">
        <f t="shared" ca="1" si="79"/>
        <v>-30478.109274728169</v>
      </c>
      <c r="L944" s="455">
        <f t="shared" ca="1" si="80"/>
        <v>-7345224.3352094879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-7345224.3352094879</v>
      </c>
      <c r="J945" s="455">
        <f t="array" ref="J945">IFERROR(INDEX('Retirement Calculator'!J:J,MATCH('Isaac 401k'!N945,'Retirement Calculator'!A:A,0),0),0)</f>
        <v>7863.2184191855868</v>
      </c>
      <c r="K945" s="455">
        <f t="shared" ca="1" si="79"/>
        <v>-30637.86480678614</v>
      </c>
      <c r="L945" s="455">
        <f t="shared" ca="1" si="80"/>
        <v>-7383725.41843546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-7383725.41843546</v>
      </c>
      <c r="J946" s="455">
        <f t="array" ref="J946">IFERROR(INDEX('Retirement Calculator'!J:J,MATCH('Isaac 401k'!N946,'Retirement Calculator'!A:A,0),0),0)</f>
        <v>7863.2184191855868</v>
      </c>
      <c r="K946" s="455">
        <f t="shared" ca="1" si="79"/>
        <v>-30798.285986894356</v>
      </c>
      <c r="L946" s="455">
        <f t="shared" ca="1" si="80"/>
        <v>-7422386.9228415405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-7422386.9228415405</v>
      </c>
      <c r="J947" s="455">
        <f t="array" ref="J947">IFERROR(INDEX('Retirement Calculator'!J:J,MATCH('Isaac 401k'!N947,'Retirement Calculator'!A:A,0),0),0)</f>
        <v>7863.2184191855868</v>
      </c>
      <c r="K947" s="455">
        <f t="shared" ca="1" si="79"/>
        <v>-30959.375588586361</v>
      </c>
      <c r="L947" s="455">
        <f t="shared" ca="1" si="80"/>
        <v>-7461209.5168493129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-7461209.5168493129</v>
      </c>
      <c r="J948" s="455">
        <f t="array" ref="J948">IFERROR(INDEX('Retirement Calculator'!J:J,MATCH('Isaac 401k'!N948,'Retirement Calculator'!A:A,0),0),0)</f>
        <v>7863.2184191855868</v>
      </c>
      <c r="K948" s="455">
        <f t="shared" ca="1" si="79"/>
        <v>-31121.136396952079</v>
      </c>
      <c r="L948" s="455">
        <f t="shared" ca="1" si="80"/>
        <v>-7500193.8716654507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-7500193.8716654507</v>
      </c>
      <c r="J949" s="455">
        <f t="array" ref="J949">IFERROR(INDEX('Retirement Calculator'!J:J,MATCH('Isaac 401k'!N949,'Retirement Calculator'!A:A,0),0),0)</f>
        <v>7863.2184191855868</v>
      </c>
      <c r="K949" s="455">
        <f t="shared" ca="1" si="79"/>
        <v>-31283.571208685986</v>
      </c>
      <c r="L949" s="455">
        <f t="shared" ca="1" si="80"/>
        <v>-7539340.6612933222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-7539340.6612933222</v>
      </c>
      <c r="J950" s="455">
        <f t="array" ref="J950">IFERROR(INDEX('Retirement Calculator'!J:J,MATCH('Isaac 401k'!N950,'Retirement Calculator'!A:A,0),0),0)</f>
        <v>7863.2184191855868</v>
      </c>
      <c r="K950" s="455">
        <f t="shared" ca="1" si="79"/>
        <v>-31446.682832135451</v>
      </c>
      <c r="L950" s="455">
        <f t="shared" ca="1" si="80"/>
        <v>-7578650.5625446439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-7578650.5625446439</v>
      </c>
      <c r="J951" s="455">
        <f t="array" ref="J951">IFERROR(INDEX('Retirement Calculator'!J:J,MATCH('Isaac 401k'!N951,'Retirement Calculator'!A:A,0),0),0)</f>
        <v>7863.2184191855868</v>
      </c>
      <c r="K951" s="455">
        <f t="shared" ca="1" si="79"/>
        <v>-31610.474087349288</v>
      </c>
      <c r="L951" s="455">
        <f t="shared" ca="1" si="80"/>
        <v>-7618124.2550511789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-7618124.2550511789</v>
      </c>
      <c r="J952" s="455">
        <f t="array" ref="J952">IFERROR(INDEX('Retirement Calculator'!J:J,MATCH('Isaac 401k'!N952,'Retirement Calculator'!A:A,0),0),0)</f>
        <v>7863.2184191855868</v>
      </c>
      <c r="K952" s="455">
        <f t="shared" ca="1" si="79"/>
        <v>-31774.947806126518</v>
      </c>
      <c r="L952" s="455">
        <f t="shared" ca="1" si="80"/>
        <v>-7657762.4212764911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-7657762.4212764911</v>
      </c>
      <c r="J953" s="455">
        <f t="array" ref="J953">IFERROR(INDEX('Retirement Calculator'!J:J,MATCH('Isaac 401k'!N953,'Retirement Calculator'!A:A,0),0),0)</f>
        <v>7863.2184191855868</v>
      </c>
      <c r="K953" s="455">
        <f t="shared" ca="1" si="79"/>
        <v>-31940.106832065321</v>
      </c>
      <c r="L953" s="455">
        <f t="shared" ca="1" si="80"/>
        <v>-7697565.7465277426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-7697565.7465277426</v>
      </c>
      <c r="J954" s="455">
        <f t="array" ref="J954">IFERROR(INDEX('Retirement Calculator'!J:J,MATCH('Isaac 401k'!N954,'Retirement Calculator'!A:A,0),0),0)</f>
        <v>7863.2184191855868</v>
      </c>
      <c r="K954" s="455">
        <f t="shared" ca="1" si="79"/>
        <v>-32105.9540206122</v>
      </c>
      <c r="L954" s="455">
        <f t="shared" ca="1" si="80"/>
        <v>-7737534.9189675404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-7737534.9189675404</v>
      </c>
      <c r="J955" s="455">
        <f t="array" ref="J955">IFERROR(INDEX('Retirement Calculator'!J:J,MATCH('Isaac 401k'!N955,'Retirement Calculator'!A:A,0),0),0)</f>
        <v>7863.2184191855868</v>
      </c>
      <c r="K955" s="455">
        <f t="shared" ca="1" si="79"/>
        <v>-32272.492239111358</v>
      </c>
      <c r="L955" s="455">
        <f t="shared" ca="1" si="80"/>
        <v>-7777670.6296258373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-7777670.6296258373</v>
      </c>
      <c r="J956" s="455">
        <f t="array" ref="J956">IFERROR(INDEX('Retirement Calculator'!J:J,MATCH('Isaac 401k'!N956,'Retirement Calculator'!A:A,0),0),0)</f>
        <v>7863.2184191855868</v>
      </c>
      <c r="K956" s="455">
        <f t="shared" ca="1" si="79"/>
        <v>-32439.724366854261</v>
      </c>
      <c r="L956" s="455">
        <f t="shared" ca="1" si="80"/>
        <v>-7817973.5724118771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-7817973.5724118771</v>
      </c>
      <c r="J957" s="455">
        <f t="array" ref="J957">IFERROR(INDEX('Retirement Calculator'!J:J,MATCH('Isaac 401k'!N957,'Retirement Calculator'!A:A,0),0),0)</f>
        <v>7863.2184191855868</v>
      </c>
      <c r="K957" s="455">
        <f t="shared" ca="1" si="79"/>
        <v>-32607.653295129432</v>
      </c>
      <c r="L957" s="455">
        <f t="shared" ca="1" si="80"/>
        <v>-7858444.4441261925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-7858444.4441261925</v>
      </c>
      <c r="J958" s="455">
        <f t="array" ref="J958">IFERROR(INDEX('Retirement Calculator'!J:J,MATCH('Isaac 401k'!N958,'Retirement Calculator'!A:A,0),0),0)</f>
        <v>7863.2184191855868</v>
      </c>
      <c r="K958" s="455">
        <f t="shared" ca="1" si="79"/>
        <v>-32776.281927272408</v>
      </c>
      <c r="L958" s="455">
        <f t="shared" ca="1" si="80"/>
        <v>-7899083.944472651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-7899083.944472651</v>
      </c>
      <c r="J959" s="455">
        <f t="array" ref="J959">IFERROR(INDEX('Retirement Calculator'!J:J,MATCH('Isaac 401k'!N959,'Retirement Calculator'!A:A,0),0),0)</f>
        <v>7863.2184191855868</v>
      </c>
      <c r="K959" s="455">
        <f t="shared" ca="1" si="79"/>
        <v>-32945.613178715983</v>
      </c>
      <c r="L959" s="455">
        <f t="shared" ca="1" si="80"/>
        <v>-7939892.7760705529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-7939892.7760705529</v>
      </c>
      <c r="J960" s="455">
        <f t="array" ref="J960">IFERROR(INDEX('Retirement Calculator'!J:J,MATCH('Isaac 401k'!N960,'Retirement Calculator'!A:A,0),0),0)</f>
        <v>7863.2184191855868</v>
      </c>
      <c r="K960" s="455">
        <f t="shared" ca="1" si="79"/>
        <v>-33115.649977040579</v>
      </c>
      <c r="L960" s="455">
        <f t="shared" ca="1" si="80"/>
        <v>-7980871.6444667792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-7980871.6444667792</v>
      </c>
      <c r="J961" s="455">
        <f t="array" ref="J961">IFERROR(INDEX('Retirement Calculator'!J:J,MATCH('Isaac 401k'!N961,'Retirement Calculator'!A:A,0),0),0)</f>
        <v>7863.2184191855868</v>
      </c>
      <c r="K961" s="455">
        <f t="shared" ca="1" si="79"/>
        <v>-33286.39526202486</v>
      </c>
      <c r="L961" s="455">
        <f t="shared" ca="1" si="80"/>
        <v>-8022021.2581479903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-8022021.2581479903</v>
      </c>
      <c r="J962" s="455">
        <f t="array" ref="J962">IFERROR(INDEX('Retirement Calculator'!J:J,MATCH('Isaac 401k'!N962,'Retirement Calculator'!A:A,0),0),0)</f>
        <v>7863.2184191855868</v>
      </c>
      <c r="K962" s="455">
        <f t="shared" ca="1" si="79"/>
        <v>-33457.851985696565</v>
      </c>
      <c r="L962" s="455">
        <f t="shared" ca="1" si="80"/>
        <v>-8063342.3285528729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-8063342.3285528729</v>
      </c>
      <c r="J963" s="455">
        <f t="array" ref="J963">IFERROR(INDEX('Retirement Calculator'!J:J,MATCH('Isaac 401k'!N963,'Retirement Calculator'!A:A,0),0),0)</f>
        <v>7863.2184191855868</v>
      </c>
      <c r="K963" s="455">
        <f t="shared" ca="1" si="79"/>
        <v>-33630.023112383577</v>
      </c>
      <c r="L963" s="455">
        <f t="shared" ca="1" si="80"/>
        <v>-8104835.5700844424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-8104835.5700844424</v>
      </c>
      <c r="J964" s="455">
        <f t="array" ref="J964">IFERROR(INDEX('Retirement Calculator'!J:J,MATCH('Isaac 401k'!N964,'Retirement Calculator'!A:A,0),0),0)</f>
        <v>7863.2184191855868</v>
      </c>
      <c r="K964" s="455">
        <f t="shared" ca="1" si="79"/>
        <v>-33802.911618765116</v>
      </c>
      <c r="L964" s="455">
        <f t="shared" ca="1" si="80"/>
        <v>-8146501.7001223937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-8146501.7001223937</v>
      </c>
      <c r="J965" s="455">
        <f t="array" ref="J965">IFERROR(INDEX('Retirement Calculator'!J:J,MATCH('Isaac 401k'!N965,'Retirement Calculator'!A:A,0),0),0)</f>
        <v>7863.2184191855868</v>
      </c>
      <c r="K965" s="455">
        <f t="shared" ca="1" si="79"/>
        <v>-33976.52049392325</v>
      </c>
      <c r="L965" s="455">
        <f t="shared" ca="1" si="80"/>
        <v>-8188341.4390355032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-8188341.4390355032</v>
      </c>
      <c r="J966" s="455">
        <f t="array" ref="J966">IFERROR(INDEX('Retirement Calculator'!J:J,MATCH('Isaac 401k'!N966,'Retirement Calculator'!A:A,0),0),0)</f>
        <v>7863.2184191855868</v>
      </c>
      <c r="K966" s="455">
        <f t="shared" ca="1" si="79"/>
        <v>-34150.852739394541</v>
      </c>
      <c r="L966" s="455">
        <f t="shared" ca="1" si="80"/>
        <v>-8230355.5101940837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-8230355.5101940837</v>
      </c>
      <c r="J967" s="455">
        <f t="array" ref="J967">IFERROR(INDEX('Retirement Calculator'!J:J,MATCH('Isaac 401k'!N967,'Retirement Calculator'!A:A,0),0),0)</f>
        <v>7863.2184191855868</v>
      </c>
      <c r="K967" s="455">
        <f t="shared" ca="1" si="79"/>
        <v>-34325.911369221954</v>
      </c>
      <c r="L967" s="455">
        <f t="shared" ca="1" si="80"/>
        <v>-8272544.6399824917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-8272544.6399824917</v>
      </c>
      <c r="J968" s="455">
        <f t="array" ref="J968">IFERROR(INDEX('Retirement Calculator'!J:J,MATCH('Isaac 401k'!N968,'Retirement Calculator'!A:A,0),0),0)</f>
        <v>7863.2184191855868</v>
      </c>
      <c r="K968" s="455">
        <f t="shared" ca="1" si="79"/>
        <v>-34501.699410006986</v>
      </c>
      <c r="L968" s="455">
        <f t="shared" ca="1" si="80"/>
        <v>-8314909.5578116849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-8314909.5578116849</v>
      </c>
      <c r="J969" s="455">
        <f t="array" ref="J969">IFERROR(INDEX('Retirement Calculator'!J:J,MATCH('Isaac 401k'!N969,'Retirement Calculator'!A:A,0),0),0)</f>
        <v>7863.2184191855868</v>
      </c>
      <c r="K969" s="455">
        <f t="shared" ca="1" si="79"/>
        <v>-34678.219900961958</v>
      </c>
      <c r="L969" s="455">
        <f t="shared" ca="1" si="80"/>
        <v>-8357450.9961318327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-8357450.9961318327</v>
      </c>
      <c r="J970" s="455">
        <f t="array" ref="J970">IFERROR(INDEX('Retirement Calculator'!J:J,MATCH('Isaac 401k'!N970,'Retirement Calculator'!A:A,0),0),0)</f>
        <v>7863.2184191855868</v>
      </c>
      <c r="K970" s="455">
        <f t="shared" ca="1" si="79"/>
        <v>-34855.475893962575</v>
      </c>
      <c r="L970" s="455">
        <f t="shared" ca="1" si="80"/>
        <v>-8400169.6904449817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-8400169.6904449817</v>
      </c>
      <c r="J971" s="455">
        <f t="array" ref="J971">IFERROR(INDEX('Retirement Calculator'!J:J,MATCH('Isaac 401k'!N971,'Retirement Calculator'!A:A,0),0),0)</f>
        <v>7863.2184191855868</v>
      </c>
      <c r="K971" s="455">
        <f t="shared" ca="1" si="79"/>
        <v>-35033.47045360069</v>
      </c>
      <c r="L971" s="455">
        <f t="shared" ca="1" si="80"/>
        <v>-8443066.3793177679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-8443066.3793177679</v>
      </c>
      <c r="J972" s="455">
        <f t="array" ref="J972">IFERROR(INDEX('Retirement Calculator'!J:J,MATCH('Isaac 401k'!N972,'Retirement Calculator'!A:A,0),0),0)</f>
        <v>7863.2184191855868</v>
      </c>
      <c r="K972" s="455">
        <f t="shared" ca="1" si="79"/>
        <v>-35212.206657237301</v>
      </c>
      <c r="L972" s="455">
        <f t="shared" ca="1" si="80"/>
        <v>-8486141.8043941893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-8486141.8043941893</v>
      </c>
      <c r="J973" s="455">
        <f t="array" ref="J973">IFERROR(INDEX('Retirement Calculator'!J:J,MATCH('Isaac 401k'!N973,'Retirement Calculator'!A:A,0),0),0)</f>
        <v>7863.2184191855868</v>
      </c>
      <c r="K973" s="455">
        <f t="shared" ca="1" si="79"/>
        <v>-35391.687595055722</v>
      </c>
      <c r="L973" s="455">
        <f t="shared" ca="1" si="80"/>
        <v>-8529396.7104084305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-8529396.7104084305</v>
      </c>
      <c r="J974" s="455">
        <f t="array" ref="J974">IFERROR(INDEX('Retirement Calculator'!J:J,MATCH('Isaac 401k'!N974,'Retirement Calculator'!A:A,0),0),0)</f>
        <v>7863.2184191855868</v>
      </c>
      <c r="K974" s="455">
        <f t="shared" ca="1" si="79"/>
        <v>-35571.916370115061</v>
      </c>
      <c r="L974" s="455">
        <f t="shared" ca="1" si="80"/>
        <v>-8572831.8451977298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-8572831.8451977298</v>
      </c>
      <c r="J975" s="455">
        <f t="array" ref="J975">IFERROR(INDEX('Retirement Calculator'!J:J,MATCH('Isaac 401k'!N975,'Retirement Calculator'!A:A,0),0),0)</f>
        <v>7863.2184191855868</v>
      </c>
      <c r="K975" s="455">
        <f t="shared" ca="1" si="79"/>
        <v>-35752.896098403813</v>
      </c>
      <c r="L975" s="455">
        <f t="shared" ca="1" si="80"/>
        <v>-8616447.9597153179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-8616447.9597153179</v>
      </c>
      <c r="J976" s="455">
        <f t="array" ref="J976">IFERROR(INDEX('Retirement Calculator'!J:J,MATCH('Isaac 401k'!N976,'Retirement Calculator'!A:A,0),0),0)</f>
        <v>7863.2184191855868</v>
      </c>
      <c r="K976" s="455">
        <f t="shared" ca="1" si="79"/>
        <v>-35934.629908893759</v>
      </c>
      <c r="L976" s="455">
        <f t="shared" ca="1" si="80"/>
        <v>-8660245.8080433961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-8660245.8080433961</v>
      </c>
      <c r="J977" s="455">
        <f t="array" ref="J977">IFERROR(INDEX('Retirement Calculator'!J:J,MATCH('Isaac 401k'!N977,'Retirement Calculator'!A:A,0),0),0)</f>
        <v>7863.2184191855868</v>
      </c>
      <c r="K977" s="455">
        <f t="shared" ca="1" si="79"/>
        <v>-36117.120943594084</v>
      </c>
      <c r="L977" s="455">
        <f t="shared" ca="1" si="80"/>
        <v>-8704226.1474061757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-8704226.1474061757</v>
      </c>
      <c r="J978" s="455">
        <f t="array" ref="J978">IFERROR(INDEX('Retirement Calculator'!J:J,MATCH('Isaac 401k'!N978,'Retirement Calculator'!A:A,0),0),0)</f>
        <v>7863.2184191855868</v>
      </c>
      <c r="K978" s="455">
        <f t="shared" ca="1" si="79"/>
        <v>-36300.372357605665</v>
      </c>
      <c r="L978" s="455">
        <f t="shared" ca="1" si="80"/>
        <v>-8748389.7381829657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-8748389.7381829657</v>
      </c>
      <c r="J979" s="455">
        <f t="array" ref="J979">IFERROR(INDEX('Retirement Calculator'!J:J,MATCH('Isaac 401k'!N979,'Retirement Calculator'!A:A,0),0),0)</f>
        <v>7863.2184191855868</v>
      </c>
      <c r="K979" s="455">
        <f t="shared" ca="1" si="79"/>
        <v>-36484.387319175628</v>
      </c>
      <c r="L979" s="455">
        <f t="shared" ca="1" si="80"/>
        <v>-8792737.3439213261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-8792737.3439213261</v>
      </c>
      <c r="J980" s="455">
        <f t="array" ref="J980">IFERROR(INDEX('Retirement Calculator'!J:J,MATCH('Isaac 401k'!N980,'Retirement Calculator'!A:A,0),0),0)</f>
        <v>7863.2184191855868</v>
      </c>
      <c r="K980" s="455">
        <f t="shared" ca="1" si="79"/>
        <v>-36669.169009752128</v>
      </c>
      <c r="L980" s="455">
        <f t="shared" ca="1" si="80"/>
        <v>-8837269.7313502636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-8837269.7313502636</v>
      </c>
      <c r="J981" s="455">
        <f t="array" ref="J981">IFERROR(INDEX('Retirement Calculator'!J:J,MATCH('Isaac 401k'!N981,'Retirement Calculator'!A:A,0),0),0)</f>
        <v>7863.2184191855868</v>
      </c>
      <c r="K981" s="455">
        <f t="shared" ca="1" si="79"/>
        <v>-36854.720624039372</v>
      </c>
      <c r="L981" s="455">
        <f t="shared" ca="1" si="80"/>
        <v>-8881987.6703934874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-8881987.6703934874</v>
      </c>
      <c r="J982" s="455">
        <f t="array" ref="J982">IFERROR(INDEX('Retirement Calculator'!J:J,MATCH('Isaac 401k'!N982,'Retirement Calculator'!A:A,0),0),0)</f>
        <v>7863.2184191855868</v>
      </c>
      <c r="K982" s="455">
        <f t="shared" ca="1" si="79"/>
        <v>-37041.045370052801</v>
      </c>
      <c r="L982" s="455">
        <f t="shared" ca="1" si="80"/>
        <v>-8926891.9341827258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-8926891.9341827258</v>
      </c>
      <c r="J983" s="455">
        <f t="array" ref="J983">IFERROR(INDEX('Retirement Calculator'!J:J,MATCH('Isaac 401k'!N983,'Retirement Calculator'!A:A,0),0),0)</f>
        <v>7863.2184191855868</v>
      </c>
      <c r="K983" s="455">
        <f t="shared" ca="1" si="79"/>
        <v>-37228.14646917463</v>
      </c>
      <c r="L983" s="455">
        <f t="shared" ca="1" si="80"/>
        <v>-8971983.2990710847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-8971983.2990710847</v>
      </c>
      <c r="J984" s="455">
        <f t="array" ref="J984">IFERROR(INDEX('Retirement Calculator'!J:J,MATCH('Isaac 401k'!N984,'Retirement Calculator'!A:A,0),0),0)</f>
        <v>7863.2184191855868</v>
      </c>
      <c r="K984" s="455">
        <f t="shared" ca="1" si="79"/>
        <v>-37416.027156209457</v>
      </c>
      <c r="L984" s="455">
        <f t="shared" ca="1" si="80"/>
        <v>-9017262.5446464792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-9017262.5446464792</v>
      </c>
      <c r="J985" s="455">
        <f t="array" ref="J985">IFERROR(INDEX('Retirement Calculator'!J:J,MATCH('Isaac 401k'!N985,'Retirement Calculator'!A:A,0),0),0)</f>
        <v>7863.2184191855868</v>
      </c>
      <c r="K985" s="455">
        <f t="shared" ca="1" si="79"/>
        <v>-37604.690679440268</v>
      </c>
      <c r="L985" s="455">
        <f t="shared" ca="1" si="80"/>
        <v>-9062730.4537451044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-9062730.4537451044</v>
      </c>
      <c r="J986" s="455">
        <f t="array" ref="J986">IFERROR(INDEX('Retirement Calculator'!J:J,MATCH('Isaac 401k'!N986,'Retirement Calculator'!A:A,0),0),0)</f>
        <v>7863.2184191855868</v>
      </c>
      <c r="K986" s="455">
        <f t="shared" ca="1" si="79"/>
        <v>-37794.140300684536</v>
      </c>
      <c r="L986" s="455">
        <f t="shared" ca="1" si="80"/>
        <v>-9108387.812464973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-9108387.812464973</v>
      </c>
      <c r="J987" s="455">
        <f t="array" ref="J987">IFERROR(INDEX('Retirement Calculator'!J:J,MATCH('Isaac 401k'!N987,'Retirement Calculator'!A:A,0),0),0)</f>
        <v>7863.2184191855868</v>
      </c>
      <c r="K987" s="455">
        <f t="shared" ca="1" si="79"/>
        <v>-37984.379295350656</v>
      </c>
      <c r="L987" s="455">
        <f t="shared" ca="1" si="80"/>
        <v>-9154235.4101795088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-9154235.4101795088</v>
      </c>
      <c r="J988" s="455">
        <f t="array" ref="J988">IFERROR(INDEX('Retirement Calculator'!J:J,MATCH('Isaac 401k'!N988,'Retirement Calculator'!A:A,0),0),0)</f>
        <v>7863.2184191855868</v>
      </c>
      <c r="K988" s="455">
        <f t="shared" ca="1" si="79"/>
        <v>-38175.41095249456</v>
      </c>
      <c r="L988" s="455">
        <f t="shared" ca="1" si="80"/>
        <v>-9200274.0395511892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-9200274.0395511892</v>
      </c>
      <c r="J989" s="455">
        <f t="array" ref="J989">IFERROR(INDEX('Retirement Calculator'!J:J,MATCH('Isaac 401k'!N989,'Retirement Calculator'!A:A,0),0),0)</f>
        <v>7863.2184191855868</v>
      </c>
      <c r="K989" s="455">
        <f t="shared" ca="1" si="79"/>
        <v>-38367.238574876559</v>
      </c>
      <c r="L989" s="455">
        <f t="shared" ca="1" si="80"/>
        <v>-9246504.4965452515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-9246504.4965452515</v>
      </c>
      <c r="J990" s="455">
        <f t="array" ref="J990">IFERROR(INDEX('Retirement Calculator'!J:J,MATCH('Isaac 401k'!N990,'Retirement Calculator'!A:A,0),0),0)</f>
        <v>7863.2184191855868</v>
      </c>
      <c r="K990" s="455">
        <f t="shared" ca="1" si="79"/>
        <v>-38559.865479018481</v>
      </c>
      <c r="L990" s="455">
        <f t="shared" ca="1" si="80"/>
        <v>-9292927.5804434549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-9292927.5804434549</v>
      </c>
      <c r="J991" s="455">
        <f t="array" ref="J991">IFERROR(INDEX('Retirement Calculator'!J:J,MATCH('Isaac 401k'!N991,'Retirement Calculator'!A:A,0),0),0)</f>
        <v>7863.2184191855868</v>
      </c>
      <c r="K991" s="455">
        <f t="shared" ca="1" si="79"/>
        <v>-38753.294995261</v>
      </c>
      <c r="L991" s="455">
        <f t="shared" ca="1" si="80"/>
        <v>-9339544.0938579012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-9339544.0938579012</v>
      </c>
      <c r="J992" s="455">
        <f t="array" ref="J992">IFERROR(INDEX('Retirement Calculator'!J:J,MATCH('Isaac 401k'!N992,'Retirement Calculator'!A:A,0),0),0)</f>
        <v>7863.2184191855868</v>
      </c>
      <c r="K992" s="455">
        <f t="shared" ca="1" si="79"/>
        <v>-38947.530467821191</v>
      </c>
      <c r="L992" s="455">
        <f t="shared" ca="1" si="80"/>
        <v>-9386354.8427449074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-9386354.8427449074</v>
      </c>
      <c r="J993" s="455">
        <f t="array" ref="J993">IFERROR(INDEX('Retirement Calculator'!J:J,MATCH('Isaac 401k'!N993,'Retirement Calculator'!A:A,0),0),0)</f>
        <v>7863.2184191855868</v>
      </c>
      <c r="K993" s="455">
        <f t="shared" ca="1" si="79"/>
        <v>-39142.575254850381</v>
      </c>
      <c r="L993" s="455">
        <f t="shared" ca="1" si="80"/>
        <v>-9433360.6364189424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-9433360.6364189424</v>
      </c>
      <c r="J994" s="455">
        <f t="array" ref="J994">IFERROR(INDEX('Retirement Calculator'!J:J,MATCH('Isaac 401k'!N994,'Retirement Calculator'!A:A,0),0),0)</f>
        <v>7863.2184191855868</v>
      </c>
      <c r="K994" s="455">
        <f t="shared" ca="1" si="79"/>
        <v>-39338.432728492196</v>
      </c>
      <c r="L994" s="455">
        <f t="shared" ca="1" si="80"/>
        <v>-9480562.287566619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-9480562.287566619</v>
      </c>
      <c r="J995" s="455">
        <f t="array" ref="J995">IFERROR(INDEX('Retirement Calculator'!J:J,MATCH('Isaac 401k'!N995,'Retirement Calculator'!A:A,0),0),0)</f>
        <v>7863.2184191855868</v>
      </c>
      <c r="K995" s="455">
        <f t="shared" ca="1" si="79"/>
        <v>-39535.106274940852</v>
      </c>
      <c r="L995" s="455">
        <f t="shared" ca="1" si="80"/>
        <v>-9527960.612260744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-9527960.612260744</v>
      </c>
      <c r="J996" s="455">
        <f t="array" ref="J996">IFERROR(INDEX('Retirement Calculator'!J:J,MATCH('Isaac 401k'!N996,'Retirement Calculator'!A:A,0),0),0)</f>
        <v>7863.2184191855868</v>
      </c>
      <c r="K996" s="455">
        <f t="shared" ca="1" si="79"/>
        <v>-39732.599294499705</v>
      </c>
      <c r="L996" s="455">
        <f t="shared" ca="1" si="80"/>
        <v>-9575556.4299744293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-9575556.4299744293</v>
      </c>
      <c r="J997" s="455">
        <f t="array" ref="J997">IFERROR(INDEX('Retirement Calculator'!J:J,MATCH('Isaac 401k'!N997,'Retirement Calculator'!A:A,0),0),0)</f>
        <v>7863.2184191855868</v>
      </c>
      <c r="K997" s="455">
        <f t="shared" ca="1" si="79"/>
        <v>-39930.915201640062</v>
      </c>
      <c r="L997" s="455">
        <f t="shared" ca="1" si="80"/>
        <v>-9623350.563595254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-9623350.563595254</v>
      </c>
      <c r="J998" s="455">
        <f t="array" ref="J998">IFERROR(INDEX('Retirement Calculator'!J:J,MATCH('Isaac 401k'!N998,'Retirement Calculator'!A:A,0),0),0)</f>
        <v>7863.2184191855868</v>
      </c>
      <c r="K998" s="455">
        <f t="shared" ca="1" si="79"/>
        <v>-40130.057425060164</v>
      </c>
      <c r="L998" s="455">
        <f t="shared" ca="1" si="80"/>
        <v>-9671343.8394394983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-9671343.8394394983</v>
      </c>
      <c r="J999" s="455">
        <f t="array" ref="J999">IFERROR(INDEX('Retirement Calculator'!J:J,MATCH('Isaac 401k'!N999,'Retirement Calculator'!A:A,0),0),0)</f>
        <v>7863.2184191855868</v>
      </c>
      <c r="K999" s="455">
        <f t="shared" ca="1" si="79"/>
        <v>-40330.029407744514</v>
      </c>
      <c r="L999" s="455">
        <f t="shared" ca="1" si="80"/>
        <v>-9719537.0872664284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-9719537.0872664284</v>
      </c>
      <c r="J1000" s="455">
        <f t="array" ref="J1000">IFERROR(INDEX('Retirement Calculator'!J:J,MATCH('Isaac 401k'!N1000,'Retirement Calculator'!A:A,0),0),0)</f>
        <v>7863.2184191855868</v>
      </c>
      <c r="K1000" s="455">
        <f t="shared" ca="1" si="79"/>
        <v>-40530.834607023389</v>
      </c>
      <c r="L1000" s="455">
        <f t="shared" ca="1" si="80"/>
        <v>-9767931.1402926371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-9767931.1402926371</v>
      </c>
      <c r="J1001" s="455">
        <f t="array" ref="J1001">IFERROR(INDEX('Retirement Calculator'!J:J,MATCH('Isaac 401k'!N1001,'Retirement Calculator'!A:A,0),0),0)</f>
        <v>7863.2184191855868</v>
      </c>
      <c r="K1001" s="455">
        <f t="shared" ca="1" si="79"/>
        <v>-40732.476494632589</v>
      </c>
      <c r="L1001" s="455">
        <f t="shared" ca="1" si="80"/>
        <v>-9816526.8352064546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-9816526.8352064546</v>
      </c>
      <c r="J1002" s="455">
        <f t="array" ref="J1002">IFERROR(INDEX('Retirement Calculator'!J:J,MATCH('Isaac 401k'!N1002,'Retirement Calculator'!A:A,0),0),0)</f>
        <v>7863.2184191855868</v>
      </c>
      <c r="K1002" s="455">
        <f t="shared" ca="1" si="79"/>
        <v>-40934.958556773498</v>
      </c>
      <c r="L1002" s="455">
        <f t="shared" ca="1" si="80"/>
        <v>-9865325.0121824127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-9865325.0121824127</v>
      </c>
      <c r="J1003" s="455">
        <f t="array" ref="J1003">IFERROR(INDEX('Retirement Calculator'!J:J,MATCH('Isaac 401k'!N1003,'Retirement Calculator'!A:A,0),0),0)</f>
        <v>7863.2184191855868</v>
      </c>
      <c r="K1003" s="455">
        <f t="shared" ca="1" si="79"/>
        <v>-41138.284294173325</v>
      </c>
      <c r="L1003" s="455">
        <f t="shared" ca="1" si="80"/>
        <v>-9914326.5148957707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>
        <f>G1003+1</f>
        <v>84</v>
      </c>
      <c r="H1004" s="470">
        <v>997</v>
      </c>
      <c r="I1004" s="455">
        <f t="shared" ca="1" si="81"/>
        <v>-9914326.5148957707</v>
      </c>
      <c r="J1004" s="455">
        <f t="array" ref="J1004">IFERROR(INDEX('Retirement Calculator'!J:J,MATCH('Isaac 401k'!N1004,'Retirement Calculator'!A:A,0),0),0)</f>
        <v>7863.2184191855868</v>
      </c>
      <c r="K1004" s="455">
        <f t="shared" ca="1" si="79"/>
        <v>-41342.457222145647</v>
      </c>
      <c r="L1004" s="455">
        <f t="shared" ca="1" si="80"/>
        <v>-9963532.1905371007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>
        <f t="shared" ref="G1005:G1015" si="103">G1004</f>
        <v>84</v>
      </c>
      <c r="H1005" s="470">
        <v>998</v>
      </c>
      <c r="I1005" s="455">
        <f t="shared" ca="1" si="81"/>
        <v>-9963532.1905371007</v>
      </c>
      <c r="J1005" s="455">
        <f t="array" ref="J1005">IFERROR(INDEX('Retirement Calculator'!J:J,MATCH('Isaac 401k'!N1005,'Retirement Calculator'!A:A,0),0),0)</f>
        <v>7863.2184191855868</v>
      </c>
      <c r="K1005" s="455">
        <f t="shared" ca="1" si="79"/>
        <v>-41547.48087065119</v>
      </c>
      <c r="L1005" s="455">
        <f t="shared" ca="1" si="80"/>
        <v>-10012942.889826937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>
        <f t="shared" si="103"/>
        <v>84</v>
      </c>
      <c r="H1006" s="470">
        <v>999</v>
      </c>
      <c r="I1006" s="455">
        <f t="shared" ca="1" si="81"/>
        <v>-10012942.889826937</v>
      </c>
      <c r="J1006" s="455">
        <f t="array" ref="J1006">IFERROR(INDEX('Retirement Calculator'!J:J,MATCH('Isaac 401k'!N1006,'Retirement Calculator'!A:A,0),0),0)</f>
        <v>7863.2184191855868</v>
      </c>
      <c r="K1006" s="455">
        <f t="shared" ca="1" si="79"/>
        <v>-41753.358784358839</v>
      </c>
      <c r="L1006" s="455">
        <f t="shared" ca="1" si="80"/>
        <v>-10062559.467030481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>
        <f t="shared" si="103"/>
        <v>84</v>
      </c>
      <c r="H1007" s="470">
        <v>1000</v>
      </c>
      <c r="I1007" s="455">
        <f t="shared" ca="1" si="81"/>
        <v>-10062559.467030481</v>
      </c>
      <c r="J1007" s="455">
        <f t="array" ref="J1007">IFERROR(INDEX('Retirement Calculator'!J:J,MATCH('Isaac 401k'!N1007,'Retirement Calculator'!A:A,0),0),0)</f>
        <v>7863.2184191855868</v>
      </c>
      <c r="K1007" s="455">
        <f t="shared" ca="1" si="79"/>
        <v>-41960.094522706939</v>
      </c>
      <c r="L1007" s="455">
        <f t="shared" ca="1" si="80"/>
        <v>-10112382.779972373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>
        <f t="shared" si="103"/>
        <v>84</v>
      </c>
      <c r="H1008" s="470">
        <v>1001</v>
      </c>
      <c r="I1008" s="455">
        <f t="shared" ca="1" si="81"/>
        <v>-10112382.779972373</v>
      </c>
      <c r="J1008" s="455">
        <f t="array" ref="J1008">IFERROR(INDEX('Retirement Calculator'!J:J,MATCH('Isaac 401k'!N1008,'Retirement Calculator'!A:A,0),0),0)</f>
        <v>7863.2184191855868</v>
      </c>
      <c r="K1008" s="455">
        <f t="shared" ca="1" si="79"/>
        <v>-42167.691659964825</v>
      </c>
      <c r="L1008" s="455">
        <f t="shared" ca="1" si="80"/>
        <v>-10162413.690051522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>
        <f t="shared" si="103"/>
        <v>84</v>
      </c>
      <c r="H1009" s="470">
        <v>1002</v>
      </c>
      <c r="I1009" s="455">
        <f t="shared" ca="1" si="81"/>
        <v>-10162413.690051522</v>
      </c>
      <c r="J1009" s="455">
        <f t="array" ref="J1009">IFERROR(INDEX('Retirement Calculator'!J:J,MATCH('Isaac 401k'!N1009,'Retirement Calculator'!A:A,0),0),0)</f>
        <v>7863.2184191855868</v>
      </c>
      <c r="K1009" s="455">
        <f t="shared" ca="1" si="79"/>
        <v>-42376.153785294613</v>
      </c>
      <c r="L1009" s="455">
        <f t="shared" ca="1" si="80"/>
        <v>-10212653.062256001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>
        <f t="shared" si="103"/>
        <v>84</v>
      </c>
      <c r="H1010" s="470">
        <v>1003</v>
      </c>
      <c r="I1010" s="455">
        <f t="shared" ca="1" si="81"/>
        <v>-10212653.062256001</v>
      </c>
      <c r="J1010" s="455">
        <f t="array" ref="J1010">IFERROR(INDEX('Retirement Calculator'!J:J,MATCH('Isaac 401k'!N1010,'Retirement Calculator'!A:A,0),0),0)</f>
        <v>7863.2184191855868</v>
      </c>
      <c r="K1010" s="455">
        <f t="shared" ca="1" si="79"/>
        <v>-42585.484502813277</v>
      </c>
      <c r="L1010" s="455">
        <f t="shared" ca="1" si="80"/>
        <v>-10263101.765177999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>
        <f t="shared" si="103"/>
        <v>84</v>
      </c>
      <c r="H1011" s="470">
        <v>1004</v>
      </c>
      <c r="I1011" s="455">
        <f t="shared" ca="1" si="81"/>
        <v>-10263101.765177999</v>
      </c>
      <c r="J1011" s="455">
        <f t="array" ref="J1011">IFERROR(INDEX('Retirement Calculator'!J:J,MATCH('Isaac 401k'!N1011,'Retirement Calculator'!A:A,0),0),0)</f>
        <v>7863.2184191855868</v>
      </c>
      <c r="K1011" s="455">
        <f t="shared" ca="1" si="79"/>
        <v>-42795.687431654929</v>
      </c>
      <c r="L1011" s="455">
        <f t="shared" ca="1" si="80"/>
        <v>-10313760.671028839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>
        <f t="shared" si="103"/>
        <v>84</v>
      </c>
      <c r="H1012" s="470">
        <v>1005</v>
      </c>
      <c r="I1012" s="455">
        <f t="shared" ca="1" si="81"/>
        <v>-10313760.671028839</v>
      </c>
      <c r="J1012" s="455">
        <f t="array" ref="J1012">IFERROR(INDEX('Retirement Calculator'!J:J,MATCH('Isaac 401k'!N1012,'Retirement Calculator'!A:A,0),0),0)</f>
        <v>7863.2184191855868</v>
      </c>
      <c r="K1012" s="455">
        <f t="shared" ca="1" si="79"/>
        <v>-43006.766206033433</v>
      </c>
      <c r="L1012" s="455">
        <f t="shared" ca="1" si="80"/>
        <v>-10364630.655654058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>
        <f t="shared" si="103"/>
        <v>84</v>
      </c>
      <c r="H1013" s="470">
        <v>1006</v>
      </c>
      <c r="I1013" s="455">
        <f t="shared" ca="1" si="81"/>
        <v>-10364630.655654058</v>
      </c>
      <c r="J1013" s="455">
        <f t="array" ref="J1013">IFERROR(INDEX('Retirement Calculator'!J:J,MATCH('Isaac 401k'!N1013,'Retirement Calculator'!A:A,0),0),0)</f>
        <v>7863.2184191855868</v>
      </c>
      <c r="K1013" s="455">
        <f t="shared" ca="1" si="79"/>
        <v>-43218.724475305178</v>
      </c>
      <c r="L1013" s="455">
        <f t="shared" ca="1" si="80"/>
        <v>-10415712.598548548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>
        <f t="shared" si="103"/>
        <v>84</v>
      </c>
      <c r="H1014" s="470">
        <v>1007</v>
      </c>
      <c r="I1014" s="455">
        <f t="shared" ca="1" si="81"/>
        <v>-10415712.598548548</v>
      </c>
      <c r="J1014" s="455">
        <f t="array" ref="J1014">IFERROR(INDEX('Retirement Calculator'!J:J,MATCH('Isaac 401k'!N1014,'Retirement Calculator'!A:A,0),0),0)</f>
        <v>7863.2184191855868</v>
      </c>
      <c r="K1014" s="455">
        <f t="shared" ca="1" si="79"/>
        <v>-43431.565904032221</v>
      </c>
      <c r="L1014" s="455">
        <f t="shared" ca="1" si="80"/>
        <v>-10467007.382871766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>
        <f t="shared" si="103"/>
        <v>84</v>
      </c>
      <c r="H1015" s="470">
        <v>1008</v>
      </c>
      <c r="I1015" s="455">
        <f t="shared" ca="1" si="81"/>
        <v>-10467007.382871766</v>
      </c>
      <c r="J1015" s="455">
        <f t="array" ref="J1015">IFERROR(INDEX('Retirement Calculator'!J:J,MATCH('Isaac 401k'!N1015,'Retirement Calculator'!A:A,0),0),0)</f>
        <v>7863.2184191855868</v>
      </c>
      <c r="K1015" s="455">
        <f t="shared" ca="1" si="79"/>
        <v>-43645.294172045629</v>
      </c>
      <c r="L1015" s="455">
        <f t="shared" ca="1" si="80"/>
        <v>-10518515.895462995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>
        <f>G1015+1</f>
        <v>85</v>
      </c>
      <c r="H1016" s="470">
        <v>1009</v>
      </c>
      <c r="I1016" s="455">
        <f t="shared" ca="1" si="81"/>
        <v>-10518515.895462995</v>
      </c>
      <c r="J1016" s="455">
        <f t="array" ref="J1016">IFERROR(INDEX('Retirement Calculator'!J:J,MATCH('Isaac 401k'!N1016,'Retirement Calculator'!A:A,0),0),0)</f>
        <v>7863.2184191855868</v>
      </c>
      <c r="K1016" s="455">
        <f t="shared" ca="1" si="79"/>
        <v>-43859.912974509083</v>
      </c>
      <c r="L1016" s="455">
        <f t="shared" ca="1" si="80"/>
        <v>-10570239.026856689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>
        <f t="shared" ref="G1017:G1027" si="104">G1016</f>
        <v>85</v>
      </c>
      <c r="H1017" s="470">
        <v>1010</v>
      </c>
      <c r="I1017" s="455">
        <f t="shared" ca="1" si="81"/>
        <v>-10570239.026856689</v>
      </c>
      <c r="J1017" s="455">
        <f t="array" ref="J1017">IFERROR(INDEX('Retirement Calculator'!J:J,MATCH('Isaac 401k'!N1017,'Retirement Calculator'!A:A,0),0),0)</f>
        <v>7863.2184191855868</v>
      </c>
      <c r="K1017" s="455">
        <f t="shared" ca="1" si="79"/>
        <v>-44075.426021982807</v>
      </c>
      <c r="L1017" s="455">
        <f t="shared" ca="1" si="80"/>
        <v>-10622177.671297856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>
        <f t="shared" si="104"/>
        <v>85</v>
      </c>
      <c r="H1018" s="470">
        <v>1011</v>
      </c>
      <c r="I1018" s="455">
        <f t="shared" ca="1" si="81"/>
        <v>-10622177.671297856</v>
      </c>
      <c r="J1018" s="455">
        <f t="array" ref="J1018">IFERROR(INDEX('Retirement Calculator'!J:J,MATCH('Isaac 401k'!N1018,'Retirement Calculator'!A:A,0),0),0)</f>
        <v>7863.2184191855868</v>
      </c>
      <c r="K1018" s="455">
        <f t="shared" ca="1" si="79"/>
        <v>-44291.83704048767</v>
      </c>
      <c r="L1018" s="455">
        <f t="shared" ca="1" si="80"/>
        <v>-10674332.726757528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>
        <f t="shared" si="104"/>
        <v>85</v>
      </c>
      <c r="H1019" s="470">
        <v>1012</v>
      </c>
      <c r="I1019" s="455">
        <f t="shared" ca="1" si="81"/>
        <v>-10674332.726757528</v>
      </c>
      <c r="J1019" s="455">
        <f t="array" ref="J1019">IFERROR(INDEX('Retirement Calculator'!J:J,MATCH('Isaac 401k'!N1019,'Retirement Calculator'!A:A,0),0),0)</f>
        <v>7863.2184191855868</v>
      </c>
      <c r="K1019" s="455">
        <f t="shared" ca="1" si="79"/>
        <v>-44509.149771569639</v>
      </c>
      <c r="L1019" s="455">
        <f t="shared" ca="1" si="80"/>
        <v>-10726705.094948282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>
        <f t="shared" si="104"/>
        <v>85</v>
      </c>
      <c r="H1020" s="470">
        <v>1013</v>
      </c>
      <c r="I1020" s="455">
        <f t="shared" ca="1" si="81"/>
        <v>-10726705.094948282</v>
      </c>
      <c r="J1020" s="455">
        <f t="array" ref="J1020">IFERROR(INDEX('Retirement Calculator'!J:J,MATCH('Isaac 401k'!N1020,'Retirement Calculator'!A:A,0),0),0)</f>
        <v>7863.2184191855868</v>
      </c>
      <c r="K1020" s="455">
        <f t="shared" ca="1" si="79"/>
        <v>-44727.367972364445</v>
      </c>
      <c r="L1020" s="455">
        <f t="shared" ca="1" si="80"/>
        <v>-10779295.681339832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>
        <f t="shared" si="104"/>
        <v>85</v>
      </c>
      <c r="H1021" s="470">
        <v>1014</v>
      </c>
      <c r="I1021" s="455">
        <f t="shared" ca="1" si="81"/>
        <v>-10779295.681339832</v>
      </c>
      <c r="J1021" s="455">
        <f t="array" ref="J1021">IFERROR(INDEX('Retirement Calculator'!J:J,MATCH('Isaac 401k'!N1021,'Retirement Calculator'!A:A,0),0),0)</f>
        <v>7863.2184191855868</v>
      </c>
      <c r="K1021" s="455">
        <f t="shared" ca="1" si="79"/>
        <v>-44946.495415662568</v>
      </c>
      <c r="L1021" s="455">
        <f t="shared" ca="1" si="80"/>
        <v>-10832105.39517468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>
        <f t="shared" si="104"/>
        <v>85</v>
      </c>
      <c r="H1022" s="470">
        <v>1015</v>
      </c>
      <c r="I1022" s="455">
        <f t="shared" ca="1" si="81"/>
        <v>-10832105.39517468</v>
      </c>
      <c r="J1022" s="455">
        <f t="array" ref="J1022">IFERROR(INDEX('Retirement Calculator'!J:J,MATCH('Isaac 401k'!N1022,'Retirement Calculator'!A:A,0),0),0)</f>
        <v>7863.2184191855868</v>
      </c>
      <c r="K1022" s="455">
        <f t="shared" ca="1" si="79"/>
        <v>-45166.535889974439</v>
      </c>
      <c r="L1022" s="455">
        <f t="shared" ca="1" si="80"/>
        <v>-10885135.149483839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>
        <f t="shared" si="104"/>
        <v>85</v>
      </c>
      <c r="H1023" s="470">
        <v>1016</v>
      </c>
      <c r="I1023" s="455">
        <f t="shared" ca="1" si="81"/>
        <v>-10885135.149483839</v>
      </c>
      <c r="J1023" s="455">
        <f t="array" ref="J1023">IFERROR(INDEX('Retirement Calculator'!J:J,MATCH('Isaac 401k'!N1023,'Retirement Calculator'!A:A,0),0),0)</f>
        <v>7863.2184191855868</v>
      </c>
      <c r="K1023" s="455">
        <f t="shared" ca="1" si="79"/>
        <v>-45387.493199595934</v>
      </c>
      <c r="L1023" s="455">
        <f t="shared" ca="1" si="80"/>
        <v>-10938385.86110262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>
        <f t="shared" si="104"/>
        <v>85</v>
      </c>
      <c r="H1024" s="470">
        <v>1017</v>
      </c>
      <c r="I1024" s="455">
        <f t="shared" ca="1" si="81"/>
        <v>-10938385.86110262</v>
      </c>
      <c r="J1024" s="455">
        <f t="array" ref="J1024">IFERROR(INDEX('Retirement Calculator'!J:J,MATCH('Isaac 401k'!N1024,'Retirement Calculator'!A:A,0),0),0)</f>
        <v>7863.2184191855868</v>
      </c>
      <c r="K1024" s="455">
        <f t="shared" ca="1" si="79"/>
        <v>-45609.371164674187</v>
      </c>
      <c r="L1024" s="455">
        <f t="shared" ca="1" si="80"/>
        <v>-10991858.450686479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>
        <f t="shared" si="104"/>
        <v>85</v>
      </c>
      <c r="H1025" s="470">
        <v>1018</v>
      </c>
      <c r="I1025" s="455">
        <f t="shared" ca="1" si="81"/>
        <v>-10991858.450686479</v>
      </c>
      <c r="J1025" s="455">
        <f t="array" ref="J1025">IFERROR(INDEX('Retirement Calculator'!J:J,MATCH('Isaac 401k'!N1025,'Retirement Calculator'!A:A,0),0),0)</f>
        <v>7863.2184191855868</v>
      </c>
      <c r="K1025" s="455">
        <f t="shared" ca="1" si="79"/>
        <v>-45832.1736212736</v>
      </c>
      <c r="L1025" s="455">
        <f t="shared" ca="1" si="80"/>
        <v>-11045553.842726938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>
        <f t="shared" si="104"/>
        <v>85</v>
      </c>
      <c r="H1026" s="470">
        <v>1019</v>
      </c>
      <c r="I1026" s="455">
        <f t="shared" ca="1" si="81"/>
        <v>-11045553.842726938</v>
      </c>
      <c r="J1026" s="455">
        <f t="array" ref="J1026">IFERROR(INDEX('Retirement Calculator'!J:J,MATCH('Isaac 401k'!N1026,'Retirement Calculator'!A:A,0),0),0)</f>
        <v>7863.2184191855868</v>
      </c>
      <c r="K1026" s="455">
        <f t="shared" ca="1" si="79"/>
        <v>-46055.904421442181</v>
      </c>
      <c r="L1026" s="455">
        <f t="shared" ca="1" si="80"/>
        <v>-11099472.965567565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>
        <f t="shared" si="104"/>
        <v>85</v>
      </c>
      <c r="H1027" s="470">
        <v>1020</v>
      </c>
      <c r="I1027" s="455">
        <f t="shared" ca="1" si="81"/>
        <v>-11099472.965567565</v>
      </c>
      <c r="J1027" s="455">
        <f t="array" ref="J1027">IFERROR(INDEX('Retirement Calculator'!J:J,MATCH('Isaac 401k'!N1027,'Retirement Calculator'!A:A,0),0),0)</f>
        <v>7863.2184191855868</v>
      </c>
      <c r="K1027" s="455">
        <f t="shared" ca="1" si="79"/>
        <v>-46280.56743327812</v>
      </c>
      <c r="L1027" s="455">
        <f t="shared" ca="1" si="80"/>
        <v>-11153616.751420029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>
        <f>G1027+1</f>
        <v>86</v>
      </c>
      <c r="H1028" s="470">
        <v>1021</v>
      </c>
      <c r="I1028" s="455">
        <f t="shared" ca="1" si="81"/>
        <v>-11153616.751420029</v>
      </c>
      <c r="J1028" s="455">
        <f t="array" ref="J1028">IFERROR(INDEX('Retirement Calculator'!J:J,MATCH('Isaac 401k'!N1028,'Retirement Calculator'!A:A,0),0),0)</f>
        <v>7863.2184191855868</v>
      </c>
      <c r="K1028" s="455">
        <f t="shared" ref="K1028:K1282" ca="1" si="105">IPMT(M1028/12,1,12,-I1028+J1028,,0)</f>
        <v>-46506.166540996725</v>
      </c>
      <c r="L1028" s="455">
        <f t="shared" ref="L1028:L1282" ca="1" si="106">I1028-J1028+K1028</f>
        <v>-11207986.136380211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>
        <f t="shared" ref="G1029:G1039" si="107">G1028</f>
        <v>86</v>
      </c>
      <c r="H1029" s="470">
        <v>1022</v>
      </c>
      <c r="I1029" s="455">
        <f t="shared" ref="I1029:I1283" ca="1" si="108">L1028</f>
        <v>-11207986.136380211</v>
      </c>
      <c r="J1029" s="455">
        <f t="array" ref="J1029">IFERROR(INDEX('Retirement Calculator'!J:J,MATCH('Isaac 401k'!N1029,'Retirement Calculator'!A:A,0),0),0)</f>
        <v>7863.2184191855868</v>
      </c>
      <c r="K1029" s="455">
        <f t="shared" ca="1" si="105"/>
        <v>-46732.705644997477</v>
      </c>
      <c r="L1029" s="455">
        <f t="shared" ca="1" si="106"/>
        <v>-11262582.060444392</v>
      </c>
      <c r="M1029" s="471">
        <f t="shared" ref="M1029:M1283" si="109">M1028</f>
        <v>0.05</v>
      </c>
      <c r="N1029" s="475">
        <f t="shared" ref="N1029:N1283" si="110">EDATE(N1028,1)</f>
        <v>82363</v>
      </c>
    </row>
    <row r="1030" spans="7:14" ht="11.25" customHeight="1" x14ac:dyDescent="0.3">
      <c r="G1030" s="470">
        <f t="shared" si="107"/>
        <v>86</v>
      </c>
      <c r="H1030" s="470">
        <v>1023</v>
      </c>
      <c r="I1030" s="455">
        <f t="shared" ca="1" si="108"/>
        <v>-11262582.060444392</v>
      </c>
      <c r="J1030" s="455">
        <f t="array" ref="J1030">IFERROR(INDEX('Retirement Calculator'!J:J,MATCH('Isaac 401k'!N1030,'Retirement Calculator'!A:A,0),0),0)</f>
        <v>7863.2184191855868</v>
      </c>
      <c r="K1030" s="455">
        <f t="shared" ca="1" si="105"/>
        <v>-46960.18866193157</v>
      </c>
      <c r="L1030" s="455">
        <f t="shared" ca="1" si="106"/>
        <v>-11317405.467525508</v>
      </c>
      <c r="M1030" s="471">
        <f t="shared" si="109"/>
        <v>0.05</v>
      </c>
      <c r="N1030" s="475">
        <f t="shared" si="110"/>
        <v>82394</v>
      </c>
    </row>
    <row r="1031" spans="7:14" ht="11.25" customHeight="1" x14ac:dyDescent="0.3">
      <c r="G1031" s="470">
        <f t="shared" si="107"/>
        <v>86</v>
      </c>
      <c r="H1031" s="470">
        <v>1024</v>
      </c>
      <c r="I1031" s="455">
        <f t="shared" ca="1" si="108"/>
        <v>-11317405.467525508</v>
      </c>
      <c r="J1031" s="455">
        <f t="array" ref="J1031">IFERROR(INDEX('Retirement Calculator'!J:J,MATCH('Isaac 401k'!N1031,'Retirement Calculator'!A:A,0),0),0)</f>
        <v>7863.2184191855868</v>
      </c>
      <c r="K1031" s="455">
        <f t="shared" ca="1" si="105"/>
        <v>-47188.619524769558</v>
      </c>
      <c r="L1031" s="455">
        <f t="shared" ca="1" si="106"/>
        <v>-11372457.305469463</v>
      </c>
      <c r="M1031" s="471">
        <f t="shared" si="109"/>
        <v>0.05</v>
      </c>
      <c r="N1031" s="475">
        <f t="shared" si="110"/>
        <v>82425</v>
      </c>
    </row>
    <row r="1032" spans="7:14" ht="11.25" customHeight="1" x14ac:dyDescent="0.3">
      <c r="G1032" s="470">
        <f t="shared" si="107"/>
        <v>86</v>
      </c>
      <c r="H1032" s="470">
        <v>1025</v>
      </c>
      <c r="I1032" s="455">
        <f t="shared" ca="1" si="108"/>
        <v>-11372457.305469463</v>
      </c>
      <c r="J1032" s="455">
        <f t="array" ref="J1032">IFERROR(INDEX('Retirement Calculator'!J:J,MATCH('Isaac 401k'!N1032,'Retirement Calculator'!A:A,0),0),0)</f>
        <v>7863.2184191855868</v>
      </c>
      <c r="K1032" s="455">
        <f t="shared" ca="1" si="105"/>
        <v>-47418.002182869364</v>
      </c>
      <c r="L1032" s="455">
        <f t="shared" ca="1" si="106"/>
        <v>-11427738.526071517</v>
      </c>
      <c r="M1032" s="471">
        <f t="shared" si="109"/>
        <v>0.05</v>
      </c>
      <c r="N1032" s="475">
        <f t="shared" si="110"/>
        <v>82455</v>
      </c>
    </row>
    <row r="1033" spans="7:14" ht="11.25" customHeight="1" x14ac:dyDescent="0.3">
      <c r="G1033" s="470">
        <f t="shared" si="107"/>
        <v>86</v>
      </c>
      <c r="H1033" s="470">
        <v>1026</v>
      </c>
      <c r="I1033" s="455">
        <f t="shared" ca="1" si="108"/>
        <v>-11427738.526071517</v>
      </c>
      <c r="J1033" s="455">
        <f t="array" ref="J1033">IFERROR(INDEX('Retirement Calculator'!J:J,MATCH('Isaac 401k'!N1033,'Retirement Calculator'!A:A,0),0),0)</f>
        <v>7863.2184191855868</v>
      </c>
      <c r="K1033" s="455">
        <f t="shared" ca="1" si="105"/>
        <v>-47648.340602044591</v>
      </c>
      <c r="L1033" s="455">
        <f t="shared" ca="1" si="106"/>
        <v>-11483250.085092746</v>
      </c>
      <c r="M1033" s="471">
        <f t="shared" si="109"/>
        <v>0.05</v>
      </c>
      <c r="N1033" s="475">
        <f t="shared" si="110"/>
        <v>82486</v>
      </c>
    </row>
    <row r="1034" spans="7:14" ht="11.25" customHeight="1" x14ac:dyDescent="0.3">
      <c r="G1034" s="470">
        <f t="shared" si="107"/>
        <v>86</v>
      </c>
      <c r="H1034" s="470">
        <v>1027</v>
      </c>
      <c r="I1034" s="455">
        <f t="shared" ca="1" si="108"/>
        <v>-11483250.085092746</v>
      </c>
      <c r="J1034" s="455">
        <f t="array" ref="J1034">IFERROR(INDEX('Retirement Calculator'!J:J,MATCH('Isaac 401k'!N1034,'Retirement Calculator'!A:A,0),0),0)</f>
        <v>7863.2184191855868</v>
      </c>
      <c r="K1034" s="455">
        <f t="shared" ca="1" si="105"/>
        <v>-47879.63876463304</v>
      </c>
      <c r="L1034" s="455">
        <f t="shared" ca="1" si="106"/>
        <v>-11538992.942276563</v>
      </c>
      <c r="M1034" s="471">
        <f t="shared" si="109"/>
        <v>0.05</v>
      </c>
      <c r="N1034" s="475">
        <f t="shared" si="110"/>
        <v>82516</v>
      </c>
    </row>
    <row r="1035" spans="7:14" ht="11.25" customHeight="1" x14ac:dyDescent="0.3">
      <c r="G1035" s="470">
        <f t="shared" si="107"/>
        <v>86</v>
      </c>
      <c r="H1035" s="470">
        <v>1028</v>
      </c>
      <c r="I1035" s="455">
        <f t="shared" ca="1" si="108"/>
        <v>-11538992.942276563</v>
      </c>
      <c r="J1035" s="455">
        <f t="array" ref="J1035">IFERROR(INDEX('Retirement Calculator'!J:J,MATCH('Isaac 401k'!N1035,'Retirement Calculator'!A:A,0),0),0)</f>
        <v>7863.2184191855868</v>
      </c>
      <c r="K1035" s="455">
        <f t="shared" ca="1" si="105"/>
        <v>-48111.900669565621</v>
      </c>
      <c r="L1035" s="455">
        <f t="shared" ca="1" si="106"/>
        <v>-11594968.061365314</v>
      </c>
      <c r="M1035" s="471">
        <f t="shared" si="109"/>
        <v>0.05</v>
      </c>
      <c r="N1035" s="475">
        <f t="shared" si="110"/>
        <v>82547</v>
      </c>
    </row>
    <row r="1036" spans="7:14" ht="11.25" customHeight="1" x14ac:dyDescent="0.3">
      <c r="G1036" s="470">
        <f t="shared" si="107"/>
        <v>86</v>
      </c>
      <c r="H1036" s="470">
        <v>1029</v>
      </c>
      <c r="I1036" s="455">
        <f t="shared" ca="1" si="108"/>
        <v>-11594968.061365314</v>
      </c>
      <c r="J1036" s="455">
        <f t="array" ref="J1036">IFERROR(INDEX('Retirement Calculator'!J:J,MATCH('Isaac 401k'!N1036,'Retirement Calculator'!A:A,0),0),0)</f>
        <v>7863.2184191855868</v>
      </c>
      <c r="K1036" s="455">
        <f t="shared" ca="1" si="105"/>
        <v>-48345.130332435408</v>
      </c>
      <c r="L1036" s="455">
        <f t="shared" ca="1" si="106"/>
        <v>-11651176.410116933</v>
      </c>
      <c r="M1036" s="471">
        <f t="shared" si="109"/>
        <v>0.05</v>
      </c>
      <c r="N1036" s="475">
        <f t="shared" si="110"/>
        <v>82578</v>
      </c>
    </row>
    <row r="1037" spans="7:14" ht="11.25" customHeight="1" x14ac:dyDescent="0.3">
      <c r="G1037" s="470">
        <f t="shared" si="107"/>
        <v>86</v>
      </c>
      <c r="H1037" s="470">
        <v>1030</v>
      </c>
      <c r="I1037" s="455">
        <f t="shared" ca="1" si="108"/>
        <v>-11651176.410116933</v>
      </c>
      <c r="J1037" s="455">
        <f t="array" ref="J1037">IFERROR(INDEX('Retirement Calculator'!J:J,MATCH('Isaac 401k'!N1037,'Retirement Calculator'!A:A,0),0),0)</f>
        <v>7863.2184191855868</v>
      </c>
      <c r="K1037" s="455">
        <f t="shared" ca="1" si="105"/>
        <v>-48579.331785567156</v>
      </c>
      <c r="L1037" s="455">
        <f t="shared" ca="1" si="106"/>
        <v>-11707618.960321685</v>
      </c>
      <c r="M1037" s="471">
        <f t="shared" si="109"/>
        <v>0.05</v>
      </c>
      <c r="N1037" s="475">
        <f t="shared" si="110"/>
        <v>82606</v>
      </c>
    </row>
    <row r="1038" spans="7:14" ht="11.25" customHeight="1" x14ac:dyDescent="0.3">
      <c r="G1038" s="470">
        <f t="shared" si="107"/>
        <v>86</v>
      </c>
      <c r="H1038" s="470">
        <v>1031</v>
      </c>
      <c r="I1038" s="455">
        <f t="shared" ca="1" si="108"/>
        <v>-11707618.960321685</v>
      </c>
      <c r="J1038" s="455">
        <f t="array" ref="J1038">IFERROR(INDEX('Retirement Calculator'!J:J,MATCH('Isaac 401k'!N1038,'Retirement Calculator'!A:A,0),0),0)</f>
        <v>7863.2184191855868</v>
      </c>
      <c r="K1038" s="455">
        <f t="shared" ca="1" si="105"/>
        <v>-48814.509078086958</v>
      </c>
      <c r="L1038" s="455">
        <f t="shared" ca="1" si="106"/>
        <v>-11764296.687818957</v>
      </c>
      <c r="M1038" s="471">
        <f t="shared" si="109"/>
        <v>0.05</v>
      </c>
      <c r="N1038" s="475">
        <f t="shared" si="110"/>
        <v>82637</v>
      </c>
    </row>
    <row r="1039" spans="7:14" ht="11.25" customHeight="1" x14ac:dyDescent="0.3">
      <c r="G1039" s="470">
        <f t="shared" si="107"/>
        <v>86</v>
      </c>
      <c r="H1039" s="470">
        <v>1032</v>
      </c>
      <c r="I1039" s="455">
        <f t="shared" ca="1" si="108"/>
        <v>-11764296.687818957</v>
      </c>
      <c r="J1039" s="455">
        <f t="array" ref="J1039">IFERROR(INDEX('Retirement Calculator'!J:J,MATCH('Isaac 401k'!N1039,'Retirement Calculator'!A:A,0),0),0)</f>
        <v>7863.2184191855868</v>
      </c>
      <c r="K1039" s="455">
        <f t="shared" ca="1" si="105"/>
        <v>-49050.666275992262</v>
      </c>
      <c r="L1039" s="455">
        <f t="shared" ca="1" si="106"/>
        <v>-11821210.572514135</v>
      </c>
      <c r="M1039" s="471">
        <f t="shared" si="109"/>
        <v>0.05</v>
      </c>
      <c r="N1039" s="475">
        <f t="shared" si="110"/>
        <v>82667</v>
      </c>
    </row>
    <row r="1040" spans="7:14" ht="11.25" customHeight="1" x14ac:dyDescent="0.3">
      <c r="G1040" s="470">
        <f>G1039+1</f>
        <v>87</v>
      </c>
      <c r="H1040" s="470">
        <v>1033</v>
      </c>
      <c r="I1040" s="455">
        <f t="shared" ca="1" si="108"/>
        <v>-11821210.572514135</v>
      </c>
      <c r="J1040" s="455">
        <f t="array" ref="J1040">IFERROR(INDEX('Retirement Calculator'!J:J,MATCH('Isaac 401k'!N1040,'Retirement Calculator'!A:A,0),0),0)</f>
        <v>7863.2184191855868</v>
      </c>
      <c r="K1040" s="455">
        <f t="shared" ca="1" si="105"/>
        <v>-49287.807462222168</v>
      </c>
      <c r="L1040" s="455">
        <f t="shared" ca="1" si="106"/>
        <v>-11878361.598395543</v>
      </c>
      <c r="M1040" s="471">
        <f t="shared" si="109"/>
        <v>0.05</v>
      </c>
      <c r="N1040" s="475">
        <f t="shared" si="110"/>
        <v>82698</v>
      </c>
    </row>
    <row r="1041" spans="7:14" ht="11.25" customHeight="1" x14ac:dyDescent="0.3">
      <c r="G1041" s="470">
        <f t="shared" ref="G1041:G1051" si="111">G1040</f>
        <v>87</v>
      </c>
      <c r="H1041" s="470">
        <v>1034</v>
      </c>
      <c r="I1041" s="455">
        <f t="shared" ca="1" si="108"/>
        <v>-11878361.598395543</v>
      </c>
      <c r="J1041" s="455">
        <f t="array" ref="J1041">IFERROR(INDEX('Retirement Calculator'!J:J,MATCH('Isaac 401k'!N1041,'Retirement Calculator'!A:A,0),0),0)</f>
        <v>7863.2184191855868</v>
      </c>
      <c r="K1041" s="455">
        <f t="shared" ca="1" si="105"/>
        <v>-49525.936736728036</v>
      </c>
      <c r="L1041" s="455">
        <f t="shared" ca="1" si="106"/>
        <v>-11935750.753551455</v>
      </c>
      <c r="M1041" s="471">
        <f t="shared" si="109"/>
        <v>0.05</v>
      </c>
      <c r="N1041" s="475">
        <f t="shared" si="110"/>
        <v>82728</v>
      </c>
    </row>
    <row r="1042" spans="7:14" ht="11.25" customHeight="1" x14ac:dyDescent="0.3">
      <c r="G1042" s="470">
        <f t="shared" si="111"/>
        <v>87</v>
      </c>
      <c r="H1042" s="470">
        <v>1035</v>
      </c>
      <c r="I1042" s="455">
        <f t="shared" ca="1" si="108"/>
        <v>-11935750.753551455</v>
      </c>
      <c r="J1042" s="455">
        <f t="array" ref="J1042">IFERROR(INDEX('Retirement Calculator'!J:J,MATCH('Isaac 401k'!N1042,'Retirement Calculator'!A:A,0),0),0)</f>
        <v>7863.2184191855868</v>
      </c>
      <c r="K1042" s="455">
        <f t="shared" ca="1" si="105"/>
        <v>-49765.058216544334</v>
      </c>
      <c r="L1042" s="455">
        <f t="shared" ca="1" si="106"/>
        <v>-11993379.030187184</v>
      </c>
      <c r="M1042" s="471">
        <f t="shared" si="109"/>
        <v>0.05</v>
      </c>
      <c r="N1042" s="475">
        <f t="shared" si="110"/>
        <v>82759</v>
      </c>
    </row>
    <row r="1043" spans="7:14" ht="11.25" customHeight="1" x14ac:dyDescent="0.3">
      <c r="G1043" s="470">
        <f t="shared" si="111"/>
        <v>87</v>
      </c>
      <c r="H1043" s="470">
        <v>1036</v>
      </c>
      <c r="I1043" s="455">
        <f t="shared" ca="1" si="108"/>
        <v>-11993379.030187184</v>
      </c>
      <c r="J1043" s="455">
        <f t="array" ref="J1043">IFERROR(INDEX('Retirement Calculator'!J:J,MATCH('Isaac 401k'!N1043,'Retirement Calculator'!A:A,0),0),0)</f>
        <v>7863.2184191855868</v>
      </c>
      <c r="K1043" s="455">
        <f t="shared" ca="1" si="105"/>
        <v>-50005.176035859869</v>
      </c>
      <c r="L1043" s="455">
        <f t="shared" ca="1" si="106"/>
        <v>-12051247.424642229</v>
      </c>
      <c r="M1043" s="471">
        <f t="shared" si="109"/>
        <v>0.05</v>
      </c>
      <c r="N1043" s="475">
        <f t="shared" si="110"/>
        <v>82790</v>
      </c>
    </row>
    <row r="1044" spans="7:14" ht="11.25" customHeight="1" x14ac:dyDescent="0.3">
      <c r="G1044" s="470">
        <f t="shared" si="111"/>
        <v>87</v>
      </c>
      <c r="H1044" s="470">
        <v>1037</v>
      </c>
      <c r="I1044" s="455">
        <f t="shared" ca="1" si="108"/>
        <v>-12051247.424642229</v>
      </c>
      <c r="J1044" s="455">
        <f t="array" ref="J1044">IFERROR(INDEX('Retirement Calculator'!J:J,MATCH('Isaac 401k'!N1044,'Retirement Calculator'!A:A,0),0),0)</f>
        <v>7863.2184191855868</v>
      </c>
      <c r="K1044" s="455">
        <f t="shared" ca="1" si="105"/>
        <v>-50246.294346089227</v>
      </c>
      <c r="L1044" s="455">
        <f t="shared" ca="1" si="106"/>
        <v>-12109356.937407503</v>
      </c>
      <c r="M1044" s="471">
        <f t="shared" si="109"/>
        <v>0.05</v>
      </c>
      <c r="N1044" s="475">
        <f t="shared" si="110"/>
        <v>82820</v>
      </c>
    </row>
    <row r="1045" spans="7:14" ht="11.25" customHeight="1" x14ac:dyDescent="0.3">
      <c r="G1045" s="470">
        <f t="shared" si="111"/>
        <v>87</v>
      </c>
      <c r="H1045" s="470">
        <v>1038</v>
      </c>
      <c r="I1045" s="455">
        <f t="shared" ca="1" si="108"/>
        <v>-12109356.937407503</v>
      </c>
      <c r="J1045" s="455">
        <f t="array" ref="J1045">IFERROR(INDEX('Retirement Calculator'!J:J,MATCH('Isaac 401k'!N1045,'Retirement Calculator'!A:A,0),0),0)</f>
        <v>7863.2184191855868</v>
      </c>
      <c r="K1045" s="455">
        <f t="shared" ca="1" si="105"/>
        <v>-50488.417315944534</v>
      </c>
      <c r="L1045" s="455">
        <f t="shared" ca="1" si="106"/>
        <v>-12167708.573142633</v>
      </c>
      <c r="M1045" s="471">
        <f t="shared" si="109"/>
        <v>0.05</v>
      </c>
      <c r="N1045" s="475">
        <f t="shared" si="110"/>
        <v>82851</v>
      </c>
    </row>
    <row r="1046" spans="7:14" ht="11.25" customHeight="1" x14ac:dyDescent="0.3">
      <c r="G1046" s="470">
        <f t="shared" si="111"/>
        <v>87</v>
      </c>
      <c r="H1046" s="470">
        <v>1039</v>
      </c>
      <c r="I1046" s="455">
        <f t="shared" ca="1" si="108"/>
        <v>-12167708.573142633</v>
      </c>
      <c r="J1046" s="455">
        <f t="array" ref="J1046">IFERROR(INDEX('Retirement Calculator'!J:J,MATCH('Isaac 401k'!N1046,'Retirement Calculator'!A:A,0),0),0)</f>
        <v>7863.2184191855868</v>
      </c>
      <c r="K1046" s="455">
        <f t="shared" ca="1" si="105"/>
        <v>-50731.549131507571</v>
      </c>
      <c r="L1046" s="455">
        <f t="shared" ca="1" si="106"/>
        <v>-12226303.340693325</v>
      </c>
      <c r="M1046" s="471">
        <f t="shared" si="109"/>
        <v>0.05</v>
      </c>
      <c r="N1046" s="475">
        <f t="shared" si="110"/>
        <v>82881</v>
      </c>
    </row>
    <row r="1047" spans="7:14" ht="11.25" customHeight="1" x14ac:dyDescent="0.3">
      <c r="G1047" s="470">
        <f t="shared" si="111"/>
        <v>87</v>
      </c>
      <c r="H1047" s="470">
        <v>1040</v>
      </c>
      <c r="I1047" s="455">
        <f t="shared" ca="1" si="108"/>
        <v>-12226303.340693325</v>
      </c>
      <c r="J1047" s="455">
        <f t="array" ref="J1047">IFERROR(INDEX('Retirement Calculator'!J:J,MATCH('Isaac 401k'!N1047,'Retirement Calculator'!A:A,0),0),0)</f>
        <v>7863.2184191855868</v>
      </c>
      <c r="K1047" s="455">
        <f t="shared" ca="1" si="105"/>
        <v>-50975.693996302121</v>
      </c>
      <c r="L1047" s="455">
        <f t="shared" ca="1" si="106"/>
        <v>-12285142.253108812</v>
      </c>
      <c r="M1047" s="471">
        <f t="shared" si="109"/>
        <v>0.05</v>
      </c>
      <c r="N1047" s="475">
        <f t="shared" si="110"/>
        <v>82912</v>
      </c>
    </row>
    <row r="1048" spans="7:14" ht="11.25" customHeight="1" x14ac:dyDescent="0.3">
      <c r="G1048" s="470">
        <f t="shared" si="111"/>
        <v>87</v>
      </c>
      <c r="H1048" s="470">
        <v>1041</v>
      </c>
      <c r="I1048" s="455">
        <f t="shared" ca="1" si="108"/>
        <v>-12285142.253108812</v>
      </c>
      <c r="J1048" s="455">
        <f t="array" ref="J1048">IFERROR(INDEX('Retirement Calculator'!J:J,MATCH('Isaac 401k'!N1048,'Retirement Calculator'!A:A,0),0),0)</f>
        <v>7863.2184191855868</v>
      </c>
      <c r="K1048" s="455">
        <f t="shared" ca="1" si="105"/>
        <v>-51220.856131366658</v>
      </c>
      <c r="L1048" s="455">
        <f t="shared" ca="1" si="106"/>
        <v>-12344226.327659365</v>
      </c>
      <c r="M1048" s="471">
        <f t="shared" si="109"/>
        <v>0.05</v>
      </c>
      <c r="N1048" s="475">
        <f t="shared" si="110"/>
        <v>82943</v>
      </c>
    </row>
    <row r="1049" spans="7:14" ht="11.25" customHeight="1" x14ac:dyDescent="0.3">
      <c r="G1049" s="470">
        <f t="shared" si="111"/>
        <v>87</v>
      </c>
      <c r="H1049" s="470">
        <v>1042</v>
      </c>
      <c r="I1049" s="455">
        <f t="shared" ca="1" si="108"/>
        <v>-12344226.327659365</v>
      </c>
      <c r="J1049" s="455">
        <f t="array" ref="J1049">IFERROR(INDEX('Retirement Calculator'!J:J,MATCH('Isaac 401k'!N1049,'Retirement Calculator'!A:A,0),0),0)</f>
        <v>7863.2184191855868</v>
      </c>
      <c r="K1049" s="455">
        <f t="shared" ca="1" si="105"/>
        <v>-51467.039775327292</v>
      </c>
      <c r="L1049" s="455">
        <f t="shared" ca="1" si="106"/>
        <v>-12403556.585853877</v>
      </c>
      <c r="M1049" s="471">
        <f t="shared" si="109"/>
        <v>0.05</v>
      </c>
      <c r="N1049" s="475">
        <f t="shared" si="110"/>
        <v>82971</v>
      </c>
    </row>
    <row r="1050" spans="7:14" ht="11.25" customHeight="1" x14ac:dyDescent="0.3">
      <c r="G1050" s="470">
        <f t="shared" si="111"/>
        <v>87</v>
      </c>
      <c r="H1050" s="470">
        <v>1043</v>
      </c>
      <c r="I1050" s="455">
        <f t="shared" ca="1" si="108"/>
        <v>-12403556.585853877</v>
      </c>
      <c r="J1050" s="455">
        <f t="array" ref="J1050">IFERROR(INDEX('Retirement Calculator'!J:J,MATCH('Isaac 401k'!N1050,'Retirement Calculator'!A:A,0),0),0)</f>
        <v>7863.2184191855868</v>
      </c>
      <c r="K1050" s="455">
        <f t="shared" ca="1" si="105"/>
        <v>-51714.249184471089</v>
      </c>
      <c r="L1050" s="455">
        <f t="shared" ca="1" si="106"/>
        <v>-12463134.053457532</v>
      </c>
      <c r="M1050" s="471">
        <f t="shared" si="109"/>
        <v>0.05</v>
      </c>
      <c r="N1050" s="475">
        <f t="shared" si="110"/>
        <v>83002</v>
      </c>
    </row>
    <row r="1051" spans="7:14" ht="11.25" customHeight="1" x14ac:dyDescent="0.3">
      <c r="G1051" s="470">
        <f t="shared" si="111"/>
        <v>87</v>
      </c>
      <c r="H1051" s="470">
        <v>1044</v>
      </c>
      <c r="I1051" s="455">
        <f t="shared" ca="1" si="108"/>
        <v>-12463134.053457532</v>
      </c>
      <c r="J1051" s="455">
        <f t="array" ref="J1051">IFERROR(INDEX('Retirement Calculator'!J:J,MATCH('Isaac 401k'!N1051,'Retirement Calculator'!A:A,0),0),0)</f>
        <v>7863.2184191855868</v>
      </c>
      <c r="K1051" s="455">
        <f t="shared" ca="1" si="105"/>
        <v>-51962.488632819652</v>
      </c>
      <c r="L1051" s="455">
        <f t="shared" ca="1" si="106"/>
        <v>-12522959.760509538</v>
      </c>
      <c r="M1051" s="471">
        <f t="shared" si="109"/>
        <v>0.05</v>
      </c>
      <c r="N1051" s="475">
        <f t="shared" si="110"/>
        <v>83032</v>
      </c>
    </row>
    <row r="1052" spans="7:14" ht="11.25" customHeight="1" x14ac:dyDescent="0.3">
      <c r="G1052" s="470">
        <f>G1051+1</f>
        <v>88</v>
      </c>
      <c r="H1052" s="470">
        <v>1045</v>
      </c>
      <c r="I1052" s="455">
        <f t="shared" ca="1" si="108"/>
        <v>-12522959.760509538</v>
      </c>
      <c r="J1052" s="455">
        <f t="array" ref="J1052">IFERROR(INDEX('Retirement Calculator'!J:J,MATCH('Isaac 401k'!N1052,'Retirement Calculator'!A:A,0),0),0)</f>
        <v>7863.2184191855868</v>
      </c>
      <c r="K1052" s="455">
        <f t="shared" ca="1" si="105"/>
        <v>-52211.76241220301</v>
      </c>
      <c r="L1052" s="455">
        <f t="shared" ca="1" si="106"/>
        <v>-12583034.741340926</v>
      </c>
      <c r="M1052" s="471">
        <f t="shared" si="109"/>
        <v>0.05</v>
      </c>
      <c r="N1052" s="475">
        <f t="shared" si="110"/>
        <v>83063</v>
      </c>
    </row>
    <row r="1053" spans="7:14" ht="11.25" customHeight="1" x14ac:dyDescent="0.3">
      <c r="G1053" s="470">
        <f t="shared" ref="G1053:G1063" si="112">G1052</f>
        <v>88</v>
      </c>
      <c r="H1053" s="470">
        <v>1046</v>
      </c>
      <c r="I1053" s="455">
        <f t="shared" ca="1" si="108"/>
        <v>-12583034.741340926</v>
      </c>
      <c r="J1053" s="455">
        <f t="array" ref="J1053">IFERROR(INDEX('Retirement Calculator'!J:J,MATCH('Isaac 401k'!N1053,'Retirement Calculator'!A:A,0),0),0)</f>
        <v>7863.2184191855868</v>
      </c>
      <c r="K1053" s="455">
        <f t="shared" ca="1" si="105"/>
        <v>-52462.074832333798</v>
      </c>
      <c r="L1053" s="455">
        <f t="shared" ca="1" si="106"/>
        <v>-12643360.034592444</v>
      </c>
      <c r="M1053" s="471">
        <f t="shared" si="109"/>
        <v>0.05</v>
      </c>
      <c r="N1053" s="475">
        <f t="shared" si="110"/>
        <v>83093</v>
      </c>
    </row>
    <row r="1054" spans="7:14" ht="11.25" customHeight="1" x14ac:dyDescent="0.3">
      <c r="G1054" s="470">
        <f t="shared" si="112"/>
        <v>88</v>
      </c>
      <c r="H1054" s="470">
        <v>1047</v>
      </c>
      <c r="I1054" s="455">
        <f t="shared" ca="1" si="108"/>
        <v>-12643360.034592444</v>
      </c>
      <c r="J1054" s="455">
        <f t="array" ref="J1054">IFERROR(INDEX('Retirement Calculator'!J:J,MATCH('Isaac 401k'!N1054,'Retirement Calculator'!A:A,0),0),0)</f>
        <v>7863.2184191855868</v>
      </c>
      <c r="K1054" s="455">
        <f t="shared" ca="1" si="105"/>
        <v>-52713.43022088179</v>
      </c>
      <c r="L1054" s="455">
        <f t="shared" ca="1" si="106"/>
        <v>-12703936.68323251</v>
      </c>
      <c r="M1054" s="471">
        <f t="shared" si="109"/>
        <v>0.05</v>
      </c>
      <c r="N1054" s="475">
        <f t="shared" si="110"/>
        <v>83124</v>
      </c>
    </row>
    <row r="1055" spans="7:14" ht="11.25" customHeight="1" x14ac:dyDescent="0.3">
      <c r="G1055" s="470">
        <f t="shared" si="112"/>
        <v>88</v>
      </c>
      <c r="H1055" s="470">
        <v>1048</v>
      </c>
      <c r="I1055" s="455">
        <f t="shared" ca="1" si="108"/>
        <v>-12703936.68323251</v>
      </c>
      <c r="J1055" s="455">
        <f t="array" ref="J1055">IFERROR(INDEX('Retirement Calculator'!J:J,MATCH('Isaac 401k'!N1055,'Retirement Calculator'!A:A,0),0),0)</f>
        <v>7863.2184191855868</v>
      </c>
      <c r="K1055" s="455">
        <f t="shared" ca="1" si="105"/>
        <v>-52965.832923548733</v>
      </c>
      <c r="L1055" s="455">
        <f t="shared" ca="1" si="106"/>
        <v>-12764765.734575244</v>
      </c>
      <c r="M1055" s="471">
        <f t="shared" si="109"/>
        <v>0.05</v>
      </c>
      <c r="N1055" s="475">
        <f t="shared" si="110"/>
        <v>83155</v>
      </c>
    </row>
    <row r="1056" spans="7:14" ht="11.25" customHeight="1" x14ac:dyDescent="0.3">
      <c r="G1056" s="470">
        <f t="shared" si="112"/>
        <v>88</v>
      </c>
      <c r="H1056" s="470">
        <v>1049</v>
      </c>
      <c r="I1056" s="455">
        <f t="shared" ca="1" si="108"/>
        <v>-12764765.734575244</v>
      </c>
      <c r="J1056" s="455">
        <f t="array" ref="J1056">IFERROR(INDEX('Retirement Calculator'!J:J,MATCH('Isaac 401k'!N1056,'Retirement Calculator'!A:A,0),0),0)</f>
        <v>7863.2184191855868</v>
      </c>
      <c r="K1056" s="455">
        <f t="shared" ca="1" si="105"/>
        <v>-53219.28730414345</v>
      </c>
      <c r="L1056" s="455">
        <f t="shared" ca="1" si="106"/>
        <v>-12825848.240298573</v>
      </c>
      <c r="M1056" s="471">
        <f t="shared" si="109"/>
        <v>0.05</v>
      </c>
      <c r="N1056" s="475">
        <f t="shared" si="110"/>
        <v>83185</v>
      </c>
    </row>
    <row r="1057" spans="7:14" ht="11.25" customHeight="1" x14ac:dyDescent="0.3">
      <c r="G1057" s="470">
        <f t="shared" si="112"/>
        <v>88</v>
      </c>
      <c r="H1057" s="470">
        <v>1050</v>
      </c>
      <c r="I1057" s="455">
        <f t="shared" ca="1" si="108"/>
        <v>-12825848.240298573</v>
      </c>
      <c r="J1057" s="455">
        <f t="array" ref="J1057">IFERROR(INDEX('Retirement Calculator'!J:J,MATCH('Isaac 401k'!N1057,'Retirement Calculator'!A:A,0),0),0)</f>
        <v>7863.2184191855868</v>
      </c>
      <c r="K1057" s="455">
        <f t="shared" ca="1" si="105"/>
        <v>-53473.79774465732</v>
      </c>
      <c r="L1057" s="455">
        <f t="shared" ca="1" si="106"/>
        <v>-12887185.256462416</v>
      </c>
      <c r="M1057" s="471">
        <f t="shared" si="109"/>
        <v>0.05</v>
      </c>
      <c r="N1057" s="475">
        <f t="shared" si="110"/>
        <v>83216</v>
      </c>
    </row>
    <row r="1058" spans="7:14" ht="11.25" customHeight="1" x14ac:dyDescent="0.3">
      <c r="G1058" s="470">
        <f t="shared" si="112"/>
        <v>88</v>
      </c>
      <c r="H1058" s="470">
        <v>1051</v>
      </c>
      <c r="I1058" s="455">
        <f t="shared" ca="1" si="108"/>
        <v>-12887185.256462416</v>
      </c>
      <c r="J1058" s="455">
        <f t="array" ref="J1058">IFERROR(INDEX('Retirement Calculator'!J:J,MATCH('Isaac 401k'!N1058,'Retirement Calculator'!A:A,0),0),0)</f>
        <v>7863.2184191855868</v>
      </c>
      <c r="K1058" s="455">
        <f t="shared" ca="1" si="105"/>
        <v>-53729.368645340001</v>
      </c>
      <c r="L1058" s="455">
        <f t="shared" ca="1" si="106"/>
        <v>-12948777.843526941</v>
      </c>
      <c r="M1058" s="471">
        <f t="shared" si="109"/>
        <v>0.05</v>
      </c>
      <c r="N1058" s="475">
        <f t="shared" si="110"/>
        <v>83246</v>
      </c>
    </row>
    <row r="1059" spans="7:14" ht="11.25" customHeight="1" x14ac:dyDescent="0.3">
      <c r="G1059" s="470">
        <f t="shared" si="112"/>
        <v>88</v>
      </c>
      <c r="H1059" s="470">
        <v>1052</v>
      </c>
      <c r="I1059" s="455">
        <f t="shared" ca="1" si="108"/>
        <v>-12948777.843526941</v>
      </c>
      <c r="J1059" s="455">
        <f t="array" ref="J1059">IFERROR(INDEX('Retirement Calculator'!J:J,MATCH('Isaac 401k'!N1059,'Retirement Calculator'!A:A,0),0),0)</f>
        <v>7863.2184191855868</v>
      </c>
      <c r="K1059" s="455">
        <f t="shared" ca="1" si="105"/>
        <v>-53986.004424775521</v>
      </c>
      <c r="L1059" s="455">
        <f t="shared" ca="1" si="106"/>
        <v>-13010627.066370901</v>
      </c>
      <c r="M1059" s="471">
        <f t="shared" si="109"/>
        <v>0.05</v>
      </c>
      <c r="N1059" s="475">
        <f t="shared" si="110"/>
        <v>83277</v>
      </c>
    </row>
    <row r="1060" spans="7:14" ht="11.25" customHeight="1" x14ac:dyDescent="0.3">
      <c r="G1060" s="470">
        <f t="shared" si="112"/>
        <v>88</v>
      </c>
      <c r="H1060" s="470">
        <v>1053</v>
      </c>
      <c r="I1060" s="455">
        <f t="shared" ca="1" si="108"/>
        <v>-13010627.066370901</v>
      </c>
      <c r="J1060" s="455">
        <f t="array" ref="J1060">IFERROR(INDEX('Retirement Calculator'!J:J,MATCH('Isaac 401k'!N1060,'Retirement Calculator'!A:A,0),0),0)</f>
        <v>7863.2184191855868</v>
      </c>
      <c r="K1060" s="455">
        <f t="shared" ca="1" si="105"/>
        <v>-54243.709519958691</v>
      </c>
      <c r="L1060" s="455">
        <f t="shared" ca="1" si="106"/>
        <v>-13072733.994310044</v>
      </c>
      <c r="M1060" s="471">
        <f t="shared" si="109"/>
        <v>0.05</v>
      </c>
      <c r="N1060" s="475">
        <f t="shared" si="110"/>
        <v>83308</v>
      </c>
    </row>
    <row r="1061" spans="7:14" ht="11.25" customHeight="1" x14ac:dyDescent="0.3">
      <c r="G1061" s="470">
        <f t="shared" si="112"/>
        <v>88</v>
      </c>
      <c r="H1061" s="470">
        <v>1054</v>
      </c>
      <c r="I1061" s="455">
        <f t="shared" ca="1" si="108"/>
        <v>-13072733.994310044</v>
      </c>
      <c r="J1061" s="455">
        <f t="array" ref="J1061">IFERROR(INDEX('Retirement Calculator'!J:J,MATCH('Isaac 401k'!N1061,'Retirement Calculator'!A:A,0),0),0)</f>
        <v>7863.2184191855868</v>
      </c>
      <c r="K1061" s="455">
        <f t="shared" ca="1" si="105"/>
        <v>-54502.488386371784</v>
      </c>
      <c r="L1061" s="455">
        <f t="shared" ca="1" si="106"/>
        <v>-13135099.701115601</v>
      </c>
      <c r="M1061" s="471">
        <f t="shared" si="109"/>
        <v>0.05</v>
      </c>
      <c r="N1061" s="475">
        <f t="shared" si="110"/>
        <v>83337</v>
      </c>
    </row>
    <row r="1062" spans="7:14" ht="11.25" customHeight="1" x14ac:dyDescent="0.3">
      <c r="G1062" s="470">
        <f t="shared" si="112"/>
        <v>88</v>
      </c>
      <c r="H1062" s="470">
        <v>1055</v>
      </c>
      <c r="I1062" s="455">
        <f t="shared" ca="1" si="108"/>
        <v>-13135099.701115601</v>
      </c>
      <c r="J1062" s="455">
        <f t="array" ref="J1062">IFERROR(INDEX('Retirement Calculator'!J:J,MATCH('Isaac 401k'!N1062,'Retirement Calculator'!A:A,0),0),0)</f>
        <v>7863.2184191855868</v>
      </c>
      <c r="K1062" s="455">
        <f t="shared" ca="1" si="105"/>
        <v>-54762.345498061615</v>
      </c>
      <c r="L1062" s="455">
        <f t="shared" ca="1" si="106"/>
        <v>-13197725.265032846</v>
      </c>
      <c r="M1062" s="471">
        <f t="shared" si="109"/>
        <v>0.05</v>
      </c>
      <c r="N1062" s="475">
        <f t="shared" si="110"/>
        <v>83368</v>
      </c>
    </row>
    <row r="1063" spans="7:14" ht="11.25" customHeight="1" x14ac:dyDescent="0.3">
      <c r="G1063" s="470">
        <f t="shared" si="112"/>
        <v>88</v>
      </c>
      <c r="H1063" s="470">
        <v>1056</v>
      </c>
      <c r="I1063" s="455">
        <f t="shared" ca="1" si="108"/>
        <v>-13197725.265032846</v>
      </c>
      <c r="J1063" s="455">
        <f t="array" ref="J1063">IFERROR(INDEX('Retirement Calculator'!J:J,MATCH('Isaac 401k'!N1063,'Retirement Calculator'!A:A,0),0),0)</f>
        <v>7863.2184191855868</v>
      </c>
      <c r="K1063" s="455">
        <f t="shared" ca="1" si="105"/>
        <v>-55023.285347716796</v>
      </c>
      <c r="L1063" s="455">
        <f t="shared" ca="1" si="106"/>
        <v>-13260611.768799748</v>
      </c>
      <c r="M1063" s="471">
        <f t="shared" si="109"/>
        <v>0.05</v>
      </c>
      <c r="N1063" s="475">
        <f t="shared" si="110"/>
        <v>83398</v>
      </c>
    </row>
    <row r="1064" spans="7:14" ht="11.25" customHeight="1" x14ac:dyDescent="0.3">
      <c r="G1064" s="470">
        <f>G1063+1</f>
        <v>89</v>
      </c>
      <c r="H1064" s="470">
        <v>1057</v>
      </c>
      <c r="I1064" s="455">
        <f t="shared" ca="1" si="108"/>
        <v>-13260611.768799748</v>
      </c>
      <c r="J1064" s="455">
        <f t="array" ref="J1064">IFERROR(INDEX('Retirement Calculator'!J:J,MATCH('Isaac 401k'!N1064,'Retirement Calculator'!A:A,0),0),0)</f>
        <v>7863.2184191855868</v>
      </c>
      <c r="K1064" s="455">
        <f t="shared" ca="1" si="105"/>
        <v>-55285.312446745556</v>
      </c>
      <c r="L1064" s="455">
        <f t="shared" ca="1" si="106"/>
        <v>-13323760.299665678</v>
      </c>
      <c r="M1064" s="471">
        <f t="shared" si="109"/>
        <v>0.05</v>
      </c>
      <c r="N1064" s="475">
        <f t="shared" si="110"/>
        <v>83429</v>
      </c>
    </row>
    <row r="1065" spans="7:14" ht="11.25" customHeight="1" x14ac:dyDescent="0.3">
      <c r="G1065" s="470">
        <f t="shared" ref="G1065:G1075" si="113">G1064</f>
        <v>89</v>
      </c>
      <c r="H1065" s="470">
        <v>1058</v>
      </c>
      <c r="I1065" s="455">
        <f t="shared" ca="1" si="108"/>
        <v>-13323760.299665678</v>
      </c>
      <c r="J1065" s="455">
        <f t="array" ref="J1065">IFERROR(INDEX('Retirement Calculator'!J:J,MATCH('Isaac 401k'!N1065,'Retirement Calculator'!A:A,0),0),0)</f>
        <v>7863.2184191855868</v>
      </c>
      <c r="K1065" s="455">
        <f t="shared" ca="1" si="105"/>
        <v>-55548.431325353595</v>
      </c>
      <c r="L1065" s="455">
        <f t="shared" ca="1" si="106"/>
        <v>-13387171.949410217</v>
      </c>
      <c r="M1065" s="471">
        <f t="shared" si="109"/>
        <v>0.05</v>
      </c>
      <c r="N1065" s="475">
        <f t="shared" si="110"/>
        <v>83459</v>
      </c>
    </row>
    <row r="1066" spans="7:14" ht="11.25" customHeight="1" x14ac:dyDescent="0.3">
      <c r="G1066" s="470">
        <f t="shared" si="113"/>
        <v>89</v>
      </c>
      <c r="H1066" s="470">
        <v>1059</v>
      </c>
      <c r="I1066" s="455">
        <f t="shared" ca="1" si="108"/>
        <v>-13387171.949410217</v>
      </c>
      <c r="J1066" s="455">
        <f t="array" ref="J1066">IFERROR(INDEX('Retirement Calculator'!J:J,MATCH('Isaac 401k'!N1066,'Retirement Calculator'!A:A,0),0),0)</f>
        <v>7863.2184191855868</v>
      </c>
      <c r="K1066" s="455">
        <f t="shared" ca="1" si="105"/>
        <v>-55812.646532622508</v>
      </c>
      <c r="L1066" s="455">
        <f t="shared" ca="1" si="106"/>
        <v>-13450847.814362025</v>
      </c>
      <c r="M1066" s="471">
        <f t="shared" si="109"/>
        <v>0.05</v>
      </c>
      <c r="N1066" s="475">
        <f t="shared" si="110"/>
        <v>83490</v>
      </c>
    </row>
    <row r="1067" spans="7:14" ht="11.25" customHeight="1" x14ac:dyDescent="0.3">
      <c r="G1067" s="470">
        <f t="shared" si="113"/>
        <v>89</v>
      </c>
      <c r="H1067" s="470">
        <v>1060</v>
      </c>
      <c r="I1067" s="455">
        <f t="shared" ca="1" si="108"/>
        <v>-13450847.814362025</v>
      </c>
      <c r="J1067" s="455">
        <f t="array" ref="J1067">IFERROR(INDEX('Retirement Calculator'!J:J,MATCH('Isaac 401k'!N1067,'Retirement Calculator'!A:A,0),0),0)</f>
        <v>7863.2184191855868</v>
      </c>
      <c r="K1067" s="455">
        <f t="shared" ca="1" si="105"/>
        <v>-56077.962636588374</v>
      </c>
      <c r="L1067" s="455">
        <f t="shared" ca="1" si="106"/>
        <v>-13514788.995417798</v>
      </c>
      <c r="M1067" s="471">
        <f t="shared" si="109"/>
        <v>0.05</v>
      </c>
      <c r="N1067" s="475">
        <f t="shared" si="110"/>
        <v>83521</v>
      </c>
    </row>
    <row r="1068" spans="7:14" ht="11.25" customHeight="1" x14ac:dyDescent="0.3">
      <c r="G1068" s="470">
        <f t="shared" si="113"/>
        <v>89</v>
      </c>
      <c r="H1068" s="470">
        <v>1061</v>
      </c>
      <c r="I1068" s="455">
        <f t="shared" ca="1" si="108"/>
        <v>-13514788.995417798</v>
      </c>
      <c r="J1068" s="455">
        <f t="array" ref="J1068">IFERROR(INDEX('Retirement Calculator'!J:J,MATCH('Isaac 401k'!N1068,'Retirement Calculator'!A:A,0),0),0)</f>
        <v>7863.2184191855868</v>
      </c>
      <c r="K1068" s="455">
        <f t="shared" ca="1" si="105"/>
        <v>-56344.384224320762</v>
      </c>
      <c r="L1068" s="455">
        <f t="shared" ca="1" si="106"/>
        <v>-13578996.598061305</v>
      </c>
      <c r="M1068" s="471">
        <f t="shared" si="109"/>
        <v>0.05</v>
      </c>
      <c r="N1068" s="475">
        <f t="shared" si="110"/>
        <v>83551</v>
      </c>
    </row>
    <row r="1069" spans="7:14" ht="11.25" customHeight="1" x14ac:dyDescent="0.3">
      <c r="G1069" s="470">
        <f t="shared" si="113"/>
        <v>89</v>
      </c>
      <c r="H1069" s="470">
        <v>1062</v>
      </c>
      <c r="I1069" s="455">
        <f t="shared" ca="1" si="108"/>
        <v>-13578996.598061305</v>
      </c>
      <c r="J1069" s="455">
        <f t="array" ref="J1069">IFERROR(INDEX('Retirement Calculator'!J:J,MATCH('Isaac 401k'!N1069,'Retirement Calculator'!A:A,0),0),0)</f>
        <v>7863.2184191855868</v>
      </c>
      <c r="K1069" s="455">
        <f t="shared" ca="1" si="105"/>
        <v>-56611.915902002038</v>
      </c>
      <c r="L1069" s="455">
        <f t="shared" ca="1" si="106"/>
        <v>-13643471.732382491</v>
      </c>
      <c r="M1069" s="471">
        <f t="shared" si="109"/>
        <v>0.05</v>
      </c>
      <c r="N1069" s="475">
        <f t="shared" si="110"/>
        <v>83582</v>
      </c>
    </row>
    <row r="1070" spans="7:14" ht="11.25" customHeight="1" x14ac:dyDescent="0.3">
      <c r="G1070" s="470">
        <f t="shared" si="113"/>
        <v>89</v>
      </c>
      <c r="H1070" s="470">
        <v>1063</v>
      </c>
      <c r="I1070" s="455">
        <f t="shared" ca="1" si="108"/>
        <v>-13643471.732382491</v>
      </c>
      <c r="J1070" s="455">
        <f t="array" ref="J1070">IFERROR(INDEX('Retirement Calculator'!J:J,MATCH('Isaac 401k'!N1070,'Retirement Calculator'!A:A,0),0),0)</f>
        <v>7863.2184191855868</v>
      </c>
      <c r="K1070" s="455">
        <f t="shared" ca="1" si="105"/>
        <v>-56880.562295006981</v>
      </c>
      <c r="L1070" s="455">
        <f t="shared" ca="1" si="106"/>
        <v>-13708215.513096683</v>
      </c>
      <c r="M1070" s="471">
        <f t="shared" si="109"/>
        <v>0.05</v>
      </c>
      <c r="N1070" s="475">
        <f t="shared" si="110"/>
        <v>83612</v>
      </c>
    </row>
    <row r="1071" spans="7:14" ht="11.25" customHeight="1" x14ac:dyDescent="0.3">
      <c r="G1071" s="470">
        <f t="shared" si="113"/>
        <v>89</v>
      </c>
      <c r="H1071" s="470">
        <v>1064</v>
      </c>
      <c r="I1071" s="455">
        <f t="shared" ca="1" si="108"/>
        <v>-13708215.513096683</v>
      </c>
      <c r="J1071" s="455">
        <f t="array" ref="J1071">IFERROR(INDEX('Retirement Calculator'!J:J,MATCH('Isaac 401k'!N1071,'Retirement Calculator'!A:A,0),0),0)</f>
        <v>7863.2184191855868</v>
      </c>
      <c r="K1071" s="455">
        <f t="shared" ca="1" si="105"/>
        <v>-57150.328047982781</v>
      </c>
      <c r="L1071" s="455">
        <f t="shared" ca="1" si="106"/>
        <v>-13773229.059563851</v>
      </c>
      <c r="M1071" s="471">
        <f t="shared" si="109"/>
        <v>0.05</v>
      </c>
      <c r="N1071" s="475">
        <f t="shared" si="110"/>
        <v>83643</v>
      </c>
    </row>
    <row r="1072" spans="7:14" ht="11.25" customHeight="1" x14ac:dyDescent="0.3">
      <c r="G1072" s="470">
        <f t="shared" si="113"/>
        <v>89</v>
      </c>
      <c r="H1072" s="470">
        <v>1065</v>
      </c>
      <c r="I1072" s="455">
        <f t="shared" ca="1" si="108"/>
        <v>-13773229.059563851</v>
      </c>
      <c r="J1072" s="455">
        <f t="array" ref="J1072">IFERROR(INDEX('Retirement Calculator'!J:J,MATCH('Isaac 401k'!N1072,'Retirement Calculator'!A:A,0),0),0)</f>
        <v>7863.2184191855868</v>
      </c>
      <c r="K1072" s="455">
        <f t="shared" ca="1" si="105"/>
        <v>-57421.217824929314</v>
      </c>
      <c r="L1072" s="455">
        <f t="shared" ca="1" si="106"/>
        <v>-13838513.495807964</v>
      </c>
      <c r="M1072" s="471">
        <f t="shared" si="109"/>
        <v>0.05</v>
      </c>
      <c r="N1072" s="475">
        <f t="shared" si="110"/>
        <v>83674</v>
      </c>
    </row>
    <row r="1073" spans="7:14" ht="11.25" customHeight="1" x14ac:dyDescent="0.3">
      <c r="G1073" s="470">
        <f t="shared" si="113"/>
        <v>89</v>
      </c>
      <c r="H1073" s="470">
        <v>1066</v>
      </c>
      <c r="I1073" s="455">
        <f t="shared" ca="1" si="108"/>
        <v>-13838513.495807964</v>
      </c>
      <c r="J1073" s="455">
        <f t="array" ref="J1073">IFERROR(INDEX('Retirement Calculator'!J:J,MATCH('Isaac 401k'!N1073,'Retirement Calculator'!A:A,0),0),0)</f>
        <v>7863.2184191855868</v>
      </c>
      <c r="K1073" s="455">
        <f t="shared" ca="1" si="105"/>
        <v>-57693.236309279797</v>
      </c>
      <c r="L1073" s="455">
        <f t="shared" ca="1" si="106"/>
        <v>-13904069.95053643</v>
      </c>
      <c r="M1073" s="471">
        <f t="shared" si="109"/>
        <v>0.05</v>
      </c>
      <c r="N1073" s="475">
        <f t="shared" si="110"/>
        <v>83702</v>
      </c>
    </row>
    <row r="1074" spans="7:14" ht="11.25" customHeight="1" x14ac:dyDescent="0.3">
      <c r="G1074" s="470">
        <f t="shared" si="113"/>
        <v>89</v>
      </c>
      <c r="H1074" s="470">
        <v>1067</v>
      </c>
      <c r="I1074" s="455">
        <f t="shared" ca="1" si="108"/>
        <v>-13904069.95053643</v>
      </c>
      <c r="J1074" s="455">
        <f t="array" ref="J1074">IFERROR(INDEX('Retirement Calculator'!J:J,MATCH('Isaac 401k'!N1074,'Retirement Calculator'!A:A,0),0),0)</f>
        <v>7863.2184191855868</v>
      </c>
      <c r="K1074" s="455">
        <f t="shared" ca="1" si="105"/>
        <v>-57966.388203981725</v>
      </c>
      <c r="L1074" s="455">
        <f t="shared" ca="1" si="106"/>
        <v>-13969899.557159597</v>
      </c>
      <c r="M1074" s="471">
        <f t="shared" si="109"/>
        <v>0.05</v>
      </c>
      <c r="N1074" s="475">
        <f t="shared" si="110"/>
        <v>83733</v>
      </c>
    </row>
    <row r="1075" spans="7:14" ht="11.25" customHeight="1" x14ac:dyDescent="0.3">
      <c r="G1075" s="470">
        <f t="shared" si="113"/>
        <v>89</v>
      </c>
      <c r="H1075" s="470">
        <v>1068</v>
      </c>
      <c r="I1075" s="455">
        <f t="shared" ca="1" si="108"/>
        <v>-13969899.557159597</v>
      </c>
      <c r="J1075" s="455">
        <f t="array" ref="J1075">IFERROR(INDEX('Retirement Calculator'!J:J,MATCH('Isaac 401k'!N1075,'Retirement Calculator'!A:A,0),0),0)</f>
        <v>7863.2184191855868</v>
      </c>
      <c r="K1075" s="455">
        <f t="shared" ca="1" si="105"/>
        <v>-58240.678231578262</v>
      </c>
      <c r="L1075" s="455">
        <f t="shared" ca="1" si="106"/>
        <v>-14036003.45381036</v>
      </c>
      <c r="M1075" s="471">
        <f t="shared" si="109"/>
        <v>0.05</v>
      </c>
      <c r="N1075" s="475">
        <f t="shared" si="110"/>
        <v>83763</v>
      </c>
    </row>
    <row r="1076" spans="7:14" ht="11.25" customHeight="1" x14ac:dyDescent="0.3">
      <c r="G1076" s="470">
        <f>G1075+1</f>
        <v>90</v>
      </c>
      <c r="H1076" s="470">
        <v>1069</v>
      </c>
      <c r="I1076" s="455">
        <f t="shared" ca="1" si="108"/>
        <v>-14036003.45381036</v>
      </c>
      <c r="J1076" s="455">
        <f t="array" ref="J1076">IFERROR(INDEX('Retirement Calculator'!J:J,MATCH('Isaac 401k'!N1076,'Retirement Calculator'!A:A,0),0),0)</f>
        <v>7863.2184191855868</v>
      </c>
      <c r="K1076" s="455">
        <f t="shared" ca="1" si="105"/>
        <v>-58516.111134289771</v>
      </c>
      <c r="L1076" s="455">
        <f t="shared" ca="1" si="106"/>
        <v>-14102382.783363836</v>
      </c>
      <c r="M1076" s="471">
        <f t="shared" si="109"/>
        <v>0.05</v>
      </c>
      <c r="N1076" s="475">
        <f t="shared" si="110"/>
        <v>83794</v>
      </c>
    </row>
    <row r="1077" spans="7:14" ht="11.25" customHeight="1" x14ac:dyDescent="0.3">
      <c r="G1077" s="470">
        <f t="shared" ref="G1077:G1087" si="114">G1076</f>
        <v>90</v>
      </c>
      <c r="H1077" s="470">
        <v>1070</v>
      </c>
      <c r="I1077" s="455">
        <f t="shared" ca="1" si="108"/>
        <v>-14102382.783363836</v>
      </c>
      <c r="J1077" s="455">
        <f t="array" ref="J1077">IFERROR(INDEX('Retirement Calculator'!J:J,MATCH('Isaac 401k'!N1077,'Retirement Calculator'!A:A,0),0),0)</f>
        <v>7863.2184191855868</v>
      </c>
      <c r="K1077" s="455">
        <f t="shared" ca="1" si="105"/>
        <v>-58792.691674095913</v>
      </c>
      <c r="L1077" s="455">
        <f t="shared" ca="1" si="106"/>
        <v>-14169038.693457117</v>
      </c>
      <c r="M1077" s="471">
        <f t="shared" si="109"/>
        <v>0.05</v>
      </c>
      <c r="N1077" s="475">
        <f t="shared" si="110"/>
        <v>83824</v>
      </c>
    </row>
    <row r="1078" spans="7:14" ht="11.25" customHeight="1" x14ac:dyDescent="0.3">
      <c r="G1078" s="470">
        <f t="shared" si="114"/>
        <v>90</v>
      </c>
      <c r="H1078" s="470">
        <v>1071</v>
      </c>
      <c r="I1078" s="455">
        <f t="shared" ca="1" si="108"/>
        <v>-14169038.693457117</v>
      </c>
      <c r="J1078" s="455">
        <f t="array" ref="J1078">IFERROR(INDEX('Retirement Calculator'!J:J,MATCH('Isaac 401k'!N1078,'Retirement Calculator'!A:A,0),0),0)</f>
        <v>7863.2184191855868</v>
      </c>
      <c r="K1078" s="455">
        <f t="shared" ca="1" si="105"/>
        <v>-59070.424632817922</v>
      </c>
      <c r="L1078" s="455">
        <f t="shared" ca="1" si="106"/>
        <v>-14235972.33650912</v>
      </c>
      <c r="M1078" s="471">
        <f t="shared" si="109"/>
        <v>0.05</v>
      </c>
      <c r="N1078" s="475">
        <f t="shared" si="110"/>
        <v>83855</v>
      </c>
    </row>
    <row r="1079" spans="7:14" ht="11.25" customHeight="1" x14ac:dyDescent="0.3">
      <c r="G1079" s="470">
        <f t="shared" si="114"/>
        <v>90</v>
      </c>
      <c r="H1079" s="470">
        <v>1072</v>
      </c>
      <c r="I1079" s="455">
        <f t="shared" ca="1" si="108"/>
        <v>-14235972.33650912</v>
      </c>
      <c r="J1079" s="455">
        <f t="array" ref="J1079">IFERROR(INDEX('Retirement Calculator'!J:J,MATCH('Isaac 401k'!N1079,'Retirement Calculator'!A:A,0),0),0)</f>
        <v>7863.2184191855868</v>
      </c>
      <c r="K1079" s="455">
        <f t="shared" ca="1" si="105"/>
        <v>-59349.314812201257</v>
      </c>
      <c r="L1079" s="455">
        <f t="shared" ca="1" si="106"/>
        <v>-14303184.869740507</v>
      </c>
      <c r="M1079" s="471">
        <f t="shared" si="109"/>
        <v>0.05</v>
      </c>
      <c r="N1079" s="475">
        <f t="shared" si="110"/>
        <v>83886</v>
      </c>
    </row>
    <row r="1080" spans="7:14" ht="11.25" customHeight="1" x14ac:dyDescent="0.3">
      <c r="G1080" s="470">
        <f t="shared" si="114"/>
        <v>90</v>
      </c>
      <c r="H1080" s="470">
        <v>1073</v>
      </c>
      <c r="I1080" s="455">
        <f t="shared" ca="1" si="108"/>
        <v>-14303184.869740507</v>
      </c>
      <c r="J1080" s="455">
        <f t="array" ref="J1080">IFERROR(INDEX('Retirement Calculator'!J:J,MATCH('Isaac 401k'!N1080,'Retirement Calculator'!A:A,0),0),0)</f>
        <v>7863.2184191855868</v>
      </c>
      <c r="K1080" s="455">
        <f t="shared" ca="1" si="105"/>
        <v>-59629.367033998722</v>
      </c>
      <c r="L1080" s="455">
        <f t="shared" ca="1" si="106"/>
        <v>-14370677.455193691</v>
      </c>
      <c r="M1080" s="471">
        <f t="shared" si="109"/>
        <v>0.05</v>
      </c>
      <c r="N1080" s="475">
        <f t="shared" si="110"/>
        <v>83916</v>
      </c>
    </row>
    <row r="1081" spans="7:14" ht="11.25" customHeight="1" x14ac:dyDescent="0.3">
      <c r="G1081" s="470">
        <f t="shared" si="114"/>
        <v>90</v>
      </c>
      <c r="H1081" s="470">
        <v>1074</v>
      </c>
      <c r="I1081" s="455">
        <f t="shared" ca="1" si="108"/>
        <v>-14370677.455193691</v>
      </c>
      <c r="J1081" s="455">
        <f t="array" ref="J1081">IFERROR(INDEX('Retirement Calculator'!J:J,MATCH('Isaac 401k'!N1081,'Retirement Calculator'!A:A,0),0),0)</f>
        <v>7863.2184191855868</v>
      </c>
      <c r="K1081" s="455">
        <f t="shared" ca="1" si="105"/>
        <v>-59910.58614005366</v>
      </c>
      <c r="L1081" s="455">
        <f t="shared" ca="1" si="106"/>
        <v>-14438451.259752929</v>
      </c>
      <c r="M1081" s="471">
        <f t="shared" si="109"/>
        <v>0.05</v>
      </c>
      <c r="N1081" s="475">
        <f t="shared" si="110"/>
        <v>83947</v>
      </c>
    </row>
    <row r="1082" spans="7:14" ht="11.25" customHeight="1" x14ac:dyDescent="0.3">
      <c r="G1082" s="470">
        <f t="shared" si="114"/>
        <v>90</v>
      </c>
      <c r="H1082" s="470">
        <v>1075</v>
      </c>
      <c r="I1082" s="455">
        <f t="shared" ca="1" si="108"/>
        <v>-14438451.259752929</v>
      </c>
      <c r="J1082" s="455">
        <f t="array" ref="J1082">IFERROR(INDEX('Retirement Calculator'!J:J,MATCH('Isaac 401k'!N1082,'Retirement Calculator'!A:A,0),0),0)</f>
        <v>7863.2184191855868</v>
      </c>
      <c r="K1082" s="455">
        <f t="shared" ca="1" si="105"/>
        <v>-60192.976992383803</v>
      </c>
      <c r="L1082" s="455">
        <f t="shared" ca="1" si="106"/>
        <v>-14506507.455164498</v>
      </c>
      <c r="M1082" s="471">
        <f t="shared" si="109"/>
        <v>0.05</v>
      </c>
      <c r="N1082" s="475">
        <f t="shared" si="110"/>
        <v>83977</v>
      </c>
    </row>
    <row r="1083" spans="7:14" ht="11.25" customHeight="1" x14ac:dyDescent="0.3">
      <c r="G1083" s="470">
        <f t="shared" si="114"/>
        <v>90</v>
      </c>
      <c r="H1083" s="470">
        <v>1076</v>
      </c>
      <c r="I1083" s="455">
        <f t="shared" ca="1" si="108"/>
        <v>-14506507.455164498</v>
      </c>
      <c r="J1083" s="455">
        <f t="array" ref="J1083">IFERROR(INDEX('Retirement Calculator'!J:J,MATCH('Isaac 401k'!N1083,'Retirement Calculator'!A:A,0),0),0)</f>
        <v>7863.2184191855868</v>
      </c>
      <c r="K1083" s="455">
        <f t="shared" ca="1" si="105"/>
        <v>-60476.544473265349</v>
      </c>
      <c r="L1083" s="455">
        <f t="shared" ca="1" si="106"/>
        <v>-14574847.218056949</v>
      </c>
      <c r="M1083" s="471">
        <f t="shared" si="109"/>
        <v>0.05</v>
      </c>
      <c r="N1083" s="475">
        <f t="shared" si="110"/>
        <v>84008</v>
      </c>
    </row>
    <row r="1084" spans="7:14" ht="11.25" customHeight="1" x14ac:dyDescent="0.3">
      <c r="G1084" s="470">
        <f t="shared" si="114"/>
        <v>90</v>
      </c>
      <c r="H1084" s="470">
        <v>1077</v>
      </c>
      <c r="I1084" s="455">
        <f t="shared" ca="1" si="108"/>
        <v>-14574847.218056949</v>
      </c>
      <c r="J1084" s="455">
        <f t="array" ref="J1084">IFERROR(INDEX('Retirement Calculator'!J:J,MATCH('Isaac 401k'!N1084,'Retirement Calculator'!A:A,0),0),0)</f>
        <v>7863.2184191855868</v>
      </c>
      <c r="K1084" s="455">
        <f t="shared" ca="1" si="105"/>
        <v>-60761.293485317226</v>
      </c>
      <c r="L1084" s="455">
        <f t="shared" ca="1" si="106"/>
        <v>-14643471.729961451</v>
      </c>
      <c r="M1084" s="471">
        <f t="shared" si="109"/>
        <v>0.05</v>
      </c>
      <c r="N1084" s="475">
        <f t="shared" si="110"/>
        <v>84039</v>
      </c>
    </row>
    <row r="1085" spans="7:14" ht="11.25" customHeight="1" x14ac:dyDescent="0.3">
      <c r="G1085" s="470">
        <f t="shared" si="114"/>
        <v>90</v>
      </c>
      <c r="H1085" s="470">
        <v>1078</v>
      </c>
      <c r="I1085" s="455">
        <f t="shared" ca="1" si="108"/>
        <v>-14643471.729961451</v>
      </c>
      <c r="J1085" s="455">
        <f t="array" ref="J1085">IFERROR(INDEX('Retirement Calculator'!J:J,MATCH('Isaac 401k'!N1085,'Retirement Calculator'!A:A,0),0),0)</f>
        <v>7863.2184191855868</v>
      </c>
      <c r="K1085" s="455">
        <f t="shared" ca="1" si="105"/>
        <v>-61047.228951585974</v>
      </c>
      <c r="L1085" s="455">
        <f t="shared" ca="1" si="106"/>
        <v>-14712382.177332222</v>
      </c>
      <c r="M1085" s="471">
        <f t="shared" si="109"/>
        <v>0.05</v>
      </c>
      <c r="N1085" s="475">
        <f t="shared" si="110"/>
        <v>84067</v>
      </c>
    </row>
    <row r="1086" spans="7:14" ht="11.25" customHeight="1" x14ac:dyDescent="0.3">
      <c r="G1086" s="470">
        <f t="shared" si="114"/>
        <v>90</v>
      </c>
      <c r="H1086" s="470">
        <v>1079</v>
      </c>
      <c r="I1086" s="455">
        <f t="shared" ca="1" si="108"/>
        <v>-14712382.177332222</v>
      </c>
      <c r="J1086" s="455">
        <f t="array" ref="J1086">IFERROR(INDEX('Retirement Calculator'!J:J,MATCH('Isaac 401k'!N1086,'Retirement Calculator'!A:A,0),0),0)</f>
        <v>7863.2184191855868</v>
      </c>
      <c r="K1086" s="455">
        <f t="shared" ca="1" si="105"/>
        <v>-61334.355815630865</v>
      </c>
      <c r="L1086" s="455">
        <f t="shared" ca="1" si="106"/>
        <v>-14781579.751567038</v>
      </c>
      <c r="M1086" s="471">
        <f t="shared" si="109"/>
        <v>0.05</v>
      </c>
      <c r="N1086" s="475">
        <f t="shared" si="110"/>
        <v>84098</v>
      </c>
    </row>
    <row r="1087" spans="7:14" ht="11.25" customHeight="1" x14ac:dyDescent="0.3">
      <c r="G1087" s="470">
        <f t="shared" si="114"/>
        <v>90</v>
      </c>
      <c r="H1087" s="470">
        <v>1080</v>
      </c>
      <c r="I1087" s="455">
        <f t="shared" ca="1" si="108"/>
        <v>-14781579.751567038</v>
      </c>
      <c r="J1087" s="455">
        <f t="array" ref="J1087">IFERROR(INDEX('Retirement Calculator'!J:J,MATCH('Isaac 401k'!N1087,'Retirement Calculator'!A:A,0),0),0)</f>
        <v>7863.2184191855868</v>
      </c>
      <c r="K1087" s="455">
        <f t="shared" ca="1" si="105"/>
        <v>-61622.67904160927</v>
      </c>
      <c r="L1087" s="455">
        <f t="shared" ca="1" si="106"/>
        <v>-14851065.649027832</v>
      </c>
      <c r="M1087" s="471">
        <f t="shared" si="109"/>
        <v>0.05</v>
      </c>
      <c r="N1087" s="475">
        <f t="shared" si="110"/>
        <v>84128</v>
      </c>
    </row>
    <row r="1088" spans="7:14" ht="11.25" customHeight="1" x14ac:dyDescent="0.3">
      <c r="G1088" s="470">
        <f>G1087+1</f>
        <v>91</v>
      </c>
      <c r="H1088" s="470">
        <v>1081</v>
      </c>
      <c r="I1088" s="455">
        <f t="shared" ca="1" si="108"/>
        <v>-14851065.649027832</v>
      </c>
      <c r="J1088" s="455">
        <f t="array" ref="J1088">IFERROR(INDEX('Retirement Calculator'!J:J,MATCH('Isaac 401k'!N1088,'Retirement Calculator'!A:A,0),0),0)</f>
        <v>7863.2184191855868</v>
      </c>
      <c r="K1088" s="455">
        <f t="shared" ca="1" si="105"/>
        <v>-61912.203614362566</v>
      </c>
      <c r="L1088" s="455">
        <f t="shared" ca="1" si="106"/>
        <v>-14920841.07106138</v>
      </c>
      <c r="M1088" s="471">
        <f t="shared" si="109"/>
        <v>0.05</v>
      </c>
      <c r="N1088" s="475">
        <f t="shared" si="110"/>
        <v>84159</v>
      </c>
    </row>
    <row r="1089" spans="7:14" ht="11.25" customHeight="1" x14ac:dyDescent="0.3">
      <c r="G1089" s="470">
        <f t="shared" ref="G1089:G1099" si="115">G1088</f>
        <v>91</v>
      </c>
      <c r="H1089" s="470">
        <v>1082</v>
      </c>
      <c r="I1089" s="455">
        <f t="shared" ca="1" si="108"/>
        <v>-14920841.07106138</v>
      </c>
      <c r="J1089" s="455">
        <f t="array" ref="J1089">IFERROR(INDEX('Retirement Calculator'!J:J,MATCH('Isaac 401k'!N1089,'Retirement Calculator'!A:A,0),0),0)</f>
        <v>7863.2184191855868</v>
      </c>
      <c r="K1089" s="455">
        <f t="shared" ca="1" si="105"/>
        <v>-62202.934539502356</v>
      </c>
      <c r="L1089" s="455">
        <f t="shared" ca="1" si="106"/>
        <v>-14990907.224020068</v>
      </c>
      <c r="M1089" s="471">
        <f t="shared" si="109"/>
        <v>0.05</v>
      </c>
      <c r="N1089" s="475">
        <f t="shared" si="110"/>
        <v>84189</v>
      </c>
    </row>
    <row r="1090" spans="7:14" ht="11.25" customHeight="1" x14ac:dyDescent="0.3">
      <c r="G1090" s="470">
        <f t="shared" si="115"/>
        <v>91</v>
      </c>
      <c r="H1090" s="470">
        <v>1083</v>
      </c>
      <c r="I1090" s="455">
        <f t="shared" ca="1" si="108"/>
        <v>-14990907.224020068</v>
      </c>
      <c r="J1090" s="455">
        <f t="array" ref="J1090">IFERROR(INDEX('Retirement Calculator'!J:J,MATCH('Isaac 401k'!N1090,'Retirement Calculator'!A:A,0),0),0)</f>
        <v>7863.2184191855868</v>
      </c>
      <c r="K1090" s="455">
        <f t="shared" ca="1" si="105"/>
        <v>-62494.876843496873</v>
      </c>
      <c r="L1090" s="455">
        <f t="shared" ca="1" si="106"/>
        <v>-15061265.31928275</v>
      </c>
      <c r="M1090" s="471">
        <f t="shared" si="109"/>
        <v>0.05</v>
      </c>
      <c r="N1090" s="475">
        <f t="shared" si="110"/>
        <v>84220</v>
      </c>
    </row>
    <row r="1091" spans="7:14" ht="11.25" customHeight="1" x14ac:dyDescent="0.3">
      <c r="G1091" s="470">
        <f t="shared" si="115"/>
        <v>91</v>
      </c>
      <c r="H1091" s="470">
        <v>1084</v>
      </c>
      <c r="I1091" s="455">
        <f t="shared" ca="1" si="108"/>
        <v>-15061265.31928275</v>
      </c>
      <c r="J1091" s="455">
        <f t="array" ref="J1091">IFERROR(INDEX('Retirement Calculator'!J:J,MATCH('Isaac 401k'!N1091,'Retirement Calculator'!A:A,0),0),0)</f>
        <v>7863.2184191855868</v>
      </c>
      <c r="K1091" s="455">
        <f t="shared" ca="1" si="105"/>
        <v>-62788.035573758054</v>
      </c>
      <c r="L1091" s="455">
        <f t="shared" ca="1" si="106"/>
        <v>-15131916.573275693</v>
      </c>
      <c r="M1091" s="471">
        <f t="shared" si="109"/>
        <v>0.05</v>
      </c>
      <c r="N1091" s="475">
        <f t="shared" si="110"/>
        <v>84251</v>
      </c>
    </row>
    <row r="1092" spans="7:14" ht="11.25" customHeight="1" x14ac:dyDescent="0.3">
      <c r="G1092" s="470">
        <f t="shared" si="115"/>
        <v>91</v>
      </c>
      <c r="H1092" s="470">
        <v>1085</v>
      </c>
      <c r="I1092" s="455">
        <f t="shared" ca="1" si="108"/>
        <v>-15131916.573275693</v>
      </c>
      <c r="J1092" s="455">
        <f t="array" ref="J1092">IFERROR(INDEX('Retirement Calculator'!J:J,MATCH('Isaac 401k'!N1092,'Retirement Calculator'!A:A,0),0),0)</f>
        <v>7863.2184191855868</v>
      </c>
      <c r="K1092" s="455">
        <f t="shared" ca="1" si="105"/>
        <v>-63082.415798728653</v>
      </c>
      <c r="L1092" s="455">
        <f t="shared" ca="1" si="106"/>
        <v>-15202862.207493607</v>
      </c>
      <c r="M1092" s="471">
        <f t="shared" si="109"/>
        <v>0.05</v>
      </c>
      <c r="N1092" s="475">
        <f t="shared" si="110"/>
        <v>84281</v>
      </c>
    </row>
    <row r="1093" spans="7:14" ht="11.25" customHeight="1" x14ac:dyDescent="0.3">
      <c r="G1093" s="470">
        <f t="shared" si="115"/>
        <v>91</v>
      </c>
      <c r="H1093" s="470">
        <v>1086</v>
      </c>
      <c r="I1093" s="455">
        <f t="shared" ca="1" si="108"/>
        <v>-15202862.207493607</v>
      </c>
      <c r="J1093" s="455">
        <f t="array" ref="J1093">IFERROR(INDEX('Retirement Calculator'!J:J,MATCH('Isaac 401k'!N1093,'Retirement Calculator'!A:A,0),0),0)</f>
        <v>7863.2184191855868</v>
      </c>
      <c r="K1093" s="455">
        <f t="shared" ca="1" si="105"/>
        <v>-63378.022607969964</v>
      </c>
      <c r="L1093" s="455">
        <f t="shared" ca="1" si="106"/>
        <v>-15274103.448520761</v>
      </c>
      <c r="M1093" s="471">
        <f t="shared" si="109"/>
        <v>0.05</v>
      </c>
      <c r="N1093" s="475">
        <f t="shared" si="110"/>
        <v>84312</v>
      </c>
    </row>
    <row r="1094" spans="7:14" ht="11.25" customHeight="1" x14ac:dyDescent="0.3">
      <c r="G1094" s="470">
        <f t="shared" si="115"/>
        <v>91</v>
      </c>
      <c r="H1094" s="470">
        <v>1087</v>
      </c>
      <c r="I1094" s="455">
        <f t="shared" ca="1" si="108"/>
        <v>-15274103.448520761</v>
      </c>
      <c r="J1094" s="455">
        <f t="array" ref="J1094">IFERROR(INDEX('Retirement Calculator'!J:J,MATCH('Isaac 401k'!N1094,'Retirement Calculator'!A:A,0),0),0)</f>
        <v>7863.2184191855868</v>
      </c>
      <c r="K1094" s="455">
        <f t="shared" ca="1" si="105"/>
        <v>-63674.861112249775</v>
      </c>
      <c r="L1094" s="455">
        <f t="shared" ca="1" si="106"/>
        <v>-15345641.528052196</v>
      </c>
      <c r="M1094" s="471">
        <f t="shared" si="109"/>
        <v>0.05</v>
      </c>
      <c r="N1094" s="475">
        <f t="shared" si="110"/>
        <v>84342</v>
      </c>
    </row>
    <row r="1095" spans="7:14" ht="11.25" customHeight="1" x14ac:dyDescent="0.3">
      <c r="G1095" s="470">
        <f t="shared" si="115"/>
        <v>91</v>
      </c>
      <c r="H1095" s="470">
        <v>1088</v>
      </c>
      <c r="I1095" s="455">
        <f t="shared" ca="1" si="108"/>
        <v>-15345641.528052196</v>
      </c>
      <c r="J1095" s="455">
        <f t="array" ref="J1095">IFERROR(INDEX('Retirement Calculator'!J:J,MATCH('Isaac 401k'!N1095,'Retirement Calculator'!A:A,0),0),0)</f>
        <v>7863.2184191855868</v>
      </c>
      <c r="K1095" s="455">
        <f t="shared" ca="1" si="105"/>
        <v>-63972.936443630744</v>
      </c>
      <c r="L1095" s="455">
        <f t="shared" ca="1" si="106"/>
        <v>-15417477.682915011</v>
      </c>
      <c r="M1095" s="471">
        <f t="shared" si="109"/>
        <v>0.05</v>
      </c>
      <c r="N1095" s="475">
        <f t="shared" si="110"/>
        <v>84373</v>
      </c>
    </row>
    <row r="1096" spans="7:14" ht="11.25" customHeight="1" x14ac:dyDescent="0.3">
      <c r="G1096" s="470">
        <f t="shared" si="115"/>
        <v>91</v>
      </c>
      <c r="H1096" s="470">
        <v>1089</v>
      </c>
      <c r="I1096" s="455">
        <f t="shared" ca="1" si="108"/>
        <v>-15417477.682915011</v>
      </c>
      <c r="J1096" s="455">
        <f t="array" ref="J1096">IFERROR(INDEX('Retirement Calculator'!J:J,MATCH('Isaac 401k'!N1096,'Retirement Calculator'!A:A,0),0),0)</f>
        <v>7863.2184191855868</v>
      </c>
      <c r="K1096" s="455">
        <f t="shared" ca="1" si="105"/>
        <v>-64272.253755559148</v>
      </c>
      <c r="L1096" s="455">
        <f t="shared" ca="1" si="106"/>
        <v>-15489613.155089755</v>
      </c>
      <c r="M1096" s="471">
        <f t="shared" si="109"/>
        <v>0.05</v>
      </c>
      <c r="N1096" s="475">
        <f t="shared" si="110"/>
        <v>84404</v>
      </c>
    </row>
    <row r="1097" spans="7:14" ht="11.25" customHeight="1" x14ac:dyDescent="0.3">
      <c r="G1097" s="470">
        <f t="shared" si="115"/>
        <v>91</v>
      </c>
      <c r="H1097" s="470">
        <v>1090</v>
      </c>
      <c r="I1097" s="455">
        <f t="shared" ca="1" si="108"/>
        <v>-15489613.155089755</v>
      </c>
      <c r="J1097" s="455">
        <f t="array" ref="J1097">IFERROR(INDEX('Retirement Calculator'!J:J,MATCH('Isaac 401k'!N1097,'Retirement Calculator'!A:A,0),0),0)</f>
        <v>7863.2184191855868</v>
      </c>
      <c r="K1097" s="455">
        <f t="shared" ca="1" si="105"/>
        <v>-64572.818222953916</v>
      </c>
      <c r="L1097" s="455">
        <f t="shared" ca="1" si="106"/>
        <v>-15562049.191731893</v>
      </c>
      <c r="M1097" s="471">
        <f t="shared" si="109"/>
        <v>0.05</v>
      </c>
      <c r="N1097" s="475">
        <f t="shared" si="110"/>
        <v>84432</v>
      </c>
    </row>
    <row r="1098" spans="7:14" ht="11.25" customHeight="1" x14ac:dyDescent="0.3">
      <c r="G1098" s="470">
        <f t="shared" si="115"/>
        <v>91</v>
      </c>
      <c r="H1098" s="470">
        <v>1091</v>
      </c>
      <c r="I1098" s="455">
        <f t="shared" ca="1" si="108"/>
        <v>-15562049.191731893</v>
      </c>
      <c r="J1098" s="455">
        <f t="array" ref="J1098">IFERROR(INDEX('Retirement Calculator'!J:J,MATCH('Isaac 401k'!N1098,'Retirement Calculator'!A:A,0),0),0)</f>
        <v>7863.2184191855868</v>
      </c>
      <c r="K1098" s="455">
        <f t="shared" ca="1" si="105"/>
        <v>-64874.635042296155</v>
      </c>
      <c r="L1098" s="455">
        <f t="shared" ca="1" si="106"/>
        <v>-15634787.045193374</v>
      </c>
      <c r="M1098" s="471">
        <f t="shared" si="109"/>
        <v>0.05</v>
      </c>
      <c r="N1098" s="475">
        <f t="shared" si="110"/>
        <v>84463</v>
      </c>
    </row>
    <row r="1099" spans="7:14" ht="11.25" customHeight="1" x14ac:dyDescent="0.3">
      <c r="G1099" s="470">
        <f t="shared" si="115"/>
        <v>91</v>
      </c>
      <c r="H1099" s="470">
        <v>1092</v>
      </c>
      <c r="I1099" s="455">
        <f t="shared" ca="1" si="108"/>
        <v>-15634787.045193374</v>
      </c>
      <c r="J1099" s="455">
        <f t="array" ref="J1099">IFERROR(INDEX('Retirement Calculator'!J:J,MATCH('Isaac 401k'!N1099,'Retirement Calculator'!A:A,0),0),0)</f>
        <v>7863.2184191855868</v>
      </c>
      <c r="K1099" s="455">
        <f t="shared" ca="1" si="105"/>
        <v>-65177.709431718999</v>
      </c>
      <c r="L1099" s="455">
        <f t="shared" ca="1" si="106"/>
        <v>-15707827.973044278</v>
      </c>
      <c r="M1099" s="471">
        <f t="shared" si="109"/>
        <v>0.05</v>
      </c>
      <c r="N1099" s="475">
        <f t="shared" si="110"/>
        <v>84493</v>
      </c>
    </row>
    <row r="1100" spans="7:14" ht="11.25" customHeight="1" x14ac:dyDescent="0.3">
      <c r="G1100" s="470">
        <f>G1099+1</f>
        <v>92</v>
      </c>
      <c r="H1100" s="470">
        <v>1093</v>
      </c>
      <c r="I1100" s="455">
        <f t="shared" ca="1" si="108"/>
        <v>-15707827.973044278</v>
      </c>
      <c r="J1100" s="455">
        <f t="array" ref="J1100">IFERROR(INDEX('Retirement Calculator'!J:J,MATCH('Isaac 401k'!N1100,'Retirement Calculator'!A:A,0),0),0)</f>
        <v>7863.2184191855868</v>
      </c>
      <c r="K1100" s="455">
        <f t="shared" ca="1" si="105"/>
        <v>-65482.046631097764</v>
      </c>
      <c r="L1100" s="455">
        <f t="shared" ca="1" si="106"/>
        <v>-15781173.238094561</v>
      </c>
      <c r="M1100" s="471">
        <f t="shared" si="109"/>
        <v>0.05</v>
      </c>
      <c r="N1100" s="475">
        <f t="shared" si="110"/>
        <v>84524</v>
      </c>
    </row>
    <row r="1101" spans="7:14" ht="11.25" customHeight="1" x14ac:dyDescent="0.3">
      <c r="G1101" s="470">
        <f t="shared" ref="G1101:G1111" si="116">G1100</f>
        <v>92</v>
      </c>
      <c r="H1101" s="470">
        <v>1094</v>
      </c>
      <c r="I1101" s="455">
        <f t="shared" ca="1" si="108"/>
        <v>-15781173.238094561</v>
      </c>
      <c r="J1101" s="455">
        <f t="array" ref="J1101">IFERROR(INDEX('Retirement Calculator'!J:J,MATCH('Isaac 401k'!N1101,'Retirement Calculator'!A:A,0),0),0)</f>
        <v>7863.2184191855868</v>
      </c>
      <c r="K1101" s="455">
        <f t="shared" ca="1" si="105"/>
        <v>-65787.651902140613</v>
      </c>
      <c r="L1101" s="455">
        <f t="shared" ca="1" si="106"/>
        <v>-15854824.108415887</v>
      </c>
      <c r="M1101" s="471">
        <f t="shared" si="109"/>
        <v>0.05</v>
      </c>
      <c r="N1101" s="475">
        <f t="shared" si="110"/>
        <v>84554</v>
      </c>
    </row>
    <row r="1102" spans="7:14" ht="11.25" customHeight="1" x14ac:dyDescent="0.3">
      <c r="G1102" s="470">
        <f t="shared" si="116"/>
        <v>92</v>
      </c>
      <c r="H1102" s="470">
        <v>1095</v>
      </c>
      <c r="I1102" s="455">
        <f t="shared" ca="1" si="108"/>
        <v>-15854824.108415887</v>
      </c>
      <c r="J1102" s="455">
        <f t="array" ref="J1102">IFERROR(INDEX('Retirement Calculator'!J:J,MATCH('Isaac 401k'!N1102,'Retirement Calculator'!A:A,0),0),0)</f>
        <v>7863.2184191855868</v>
      </c>
      <c r="K1102" s="455">
        <f t="shared" ca="1" si="105"/>
        <v>-66094.530528479459</v>
      </c>
      <c r="L1102" s="455">
        <f t="shared" ca="1" si="106"/>
        <v>-15928781.857363552</v>
      </c>
      <c r="M1102" s="471">
        <f t="shared" si="109"/>
        <v>0.05</v>
      </c>
      <c r="N1102" s="475">
        <f t="shared" si="110"/>
        <v>84585</v>
      </c>
    </row>
    <row r="1103" spans="7:14" ht="11.25" customHeight="1" x14ac:dyDescent="0.3">
      <c r="G1103" s="470">
        <f t="shared" si="116"/>
        <v>92</v>
      </c>
      <c r="H1103" s="470">
        <v>1096</v>
      </c>
      <c r="I1103" s="455">
        <f t="shared" ca="1" si="108"/>
        <v>-15928781.857363552</v>
      </c>
      <c r="J1103" s="455">
        <f t="array" ref="J1103">IFERROR(INDEX('Retirement Calculator'!J:J,MATCH('Isaac 401k'!N1103,'Retirement Calculator'!A:A,0),0),0)</f>
        <v>7863.2184191855868</v>
      </c>
      <c r="K1103" s="455">
        <f t="shared" ca="1" si="105"/>
        <v>-66402.687815761397</v>
      </c>
      <c r="L1103" s="455">
        <f t="shared" ca="1" si="106"/>
        <v>-16003047.763598498</v>
      </c>
      <c r="M1103" s="471">
        <f t="shared" si="109"/>
        <v>0.05</v>
      </c>
      <c r="N1103" s="475">
        <f t="shared" si="110"/>
        <v>84616</v>
      </c>
    </row>
    <row r="1104" spans="7:14" ht="11.25" customHeight="1" x14ac:dyDescent="0.3">
      <c r="G1104" s="470">
        <f t="shared" si="116"/>
        <v>92</v>
      </c>
      <c r="H1104" s="470">
        <v>1097</v>
      </c>
      <c r="I1104" s="455">
        <f t="shared" ca="1" si="108"/>
        <v>-16003047.763598498</v>
      </c>
      <c r="J1104" s="455">
        <f t="array" ref="J1104">IFERROR(INDEX('Retirement Calculator'!J:J,MATCH('Isaac 401k'!N1104,'Retirement Calculator'!A:A,0),0),0)</f>
        <v>7863.2184191855868</v>
      </c>
      <c r="K1104" s="455">
        <f t="shared" ca="1" si="105"/>
        <v>-66712.129091740338</v>
      </c>
      <c r="L1104" s="455">
        <f t="shared" ca="1" si="106"/>
        <v>-16077623.111109423</v>
      </c>
      <c r="M1104" s="471">
        <f t="shared" si="109"/>
        <v>0.05</v>
      </c>
      <c r="N1104" s="475">
        <f t="shared" si="110"/>
        <v>84646</v>
      </c>
    </row>
    <row r="1105" spans="7:14" ht="11.25" customHeight="1" x14ac:dyDescent="0.3">
      <c r="G1105" s="470">
        <f t="shared" si="116"/>
        <v>92</v>
      </c>
      <c r="H1105" s="470">
        <v>1098</v>
      </c>
      <c r="I1105" s="455">
        <f t="shared" ca="1" si="108"/>
        <v>-16077623.111109423</v>
      </c>
      <c r="J1105" s="455">
        <f t="array" ref="J1105">IFERROR(INDEX('Retirement Calculator'!J:J,MATCH('Isaac 401k'!N1105,'Retirement Calculator'!A:A,0),0),0)</f>
        <v>7863.2184191855868</v>
      </c>
      <c r="K1105" s="455">
        <f t="shared" ca="1" si="105"/>
        <v>-67022.859706369185</v>
      </c>
      <c r="L1105" s="455">
        <f t="shared" ca="1" si="106"/>
        <v>-16152509.189234976</v>
      </c>
      <c r="M1105" s="471">
        <f t="shared" si="109"/>
        <v>0.05</v>
      </c>
      <c r="N1105" s="475">
        <f t="shared" si="110"/>
        <v>84677</v>
      </c>
    </row>
    <row r="1106" spans="7:14" ht="11.25" customHeight="1" x14ac:dyDescent="0.3">
      <c r="G1106" s="470">
        <f t="shared" si="116"/>
        <v>92</v>
      </c>
      <c r="H1106" s="470">
        <v>1099</v>
      </c>
      <c r="I1106" s="455">
        <f t="shared" ca="1" si="108"/>
        <v>-16152509.189234976</v>
      </c>
      <c r="J1106" s="455">
        <f t="array" ref="J1106">IFERROR(INDEX('Retirement Calculator'!J:J,MATCH('Isaac 401k'!N1106,'Retirement Calculator'!A:A,0),0),0)</f>
        <v>7863.2184191855868</v>
      </c>
      <c r="K1106" s="455">
        <f t="shared" ca="1" si="105"/>
        <v>-67334.885031892336</v>
      </c>
      <c r="L1106" s="455">
        <f t="shared" ca="1" si="106"/>
        <v>-16227707.292686053</v>
      </c>
      <c r="M1106" s="471">
        <f t="shared" si="109"/>
        <v>0.05</v>
      </c>
      <c r="N1106" s="475">
        <f t="shared" si="110"/>
        <v>84707</v>
      </c>
    </row>
    <row r="1107" spans="7:14" ht="11.25" customHeight="1" x14ac:dyDescent="0.3">
      <c r="G1107" s="470">
        <f t="shared" si="116"/>
        <v>92</v>
      </c>
      <c r="H1107" s="470">
        <v>1100</v>
      </c>
      <c r="I1107" s="455">
        <f t="shared" ca="1" si="108"/>
        <v>-16227707.292686053</v>
      </c>
      <c r="J1107" s="455">
        <f t="array" ref="J1107">IFERROR(INDEX('Retirement Calculator'!J:J,MATCH('Isaac 401k'!N1107,'Retirement Calculator'!A:A,0),0),0)</f>
        <v>7863.2184191855868</v>
      </c>
      <c r="K1107" s="455">
        <f t="shared" ca="1" si="105"/>
        <v>-67648.210462938485</v>
      </c>
      <c r="L1107" s="455">
        <f t="shared" ca="1" si="106"/>
        <v>-16303218.721568177</v>
      </c>
      <c r="M1107" s="471">
        <f t="shared" si="109"/>
        <v>0.05</v>
      </c>
      <c r="N1107" s="475">
        <f t="shared" si="110"/>
        <v>84738</v>
      </c>
    </row>
    <row r="1108" spans="7:14" ht="11.25" customHeight="1" x14ac:dyDescent="0.3">
      <c r="G1108" s="470">
        <f t="shared" si="116"/>
        <v>92</v>
      </c>
      <c r="H1108" s="470">
        <v>1101</v>
      </c>
      <c r="I1108" s="455">
        <f t="shared" ca="1" si="108"/>
        <v>-16303218.721568177</v>
      </c>
      <c r="J1108" s="455">
        <f t="array" ref="J1108">IFERROR(INDEX('Retirement Calculator'!J:J,MATCH('Isaac 401k'!N1108,'Retirement Calculator'!A:A,0),0),0)</f>
        <v>7863.2184191855868</v>
      </c>
      <c r="K1108" s="455">
        <f t="shared" ca="1" si="105"/>
        <v>-67962.841416613999</v>
      </c>
      <c r="L1108" s="455">
        <f t="shared" ca="1" si="106"/>
        <v>-16379044.781403976</v>
      </c>
      <c r="M1108" s="471">
        <f t="shared" si="109"/>
        <v>0.05</v>
      </c>
      <c r="N1108" s="475">
        <f t="shared" si="110"/>
        <v>84769</v>
      </c>
    </row>
    <row r="1109" spans="7:14" ht="11.25" customHeight="1" x14ac:dyDescent="0.3">
      <c r="G1109" s="470">
        <f t="shared" si="116"/>
        <v>92</v>
      </c>
      <c r="H1109" s="470">
        <v>1102</v>
      </c>
      <c r="I1109" s="455">
        <f t="shared" ca="1" si="108"/>
        <v>-16379044.781403976</v>
      </c>
      <c r="J1109" s="455">
        <f t="array" ref="J1109">IFERROR(INDEX('Retirement Calculator'!J:J,MATCH('Isaac 401k'!N1109,'Retirement Calculator'!A:A,0),0),0)</f>
        <v>7863.2184191855868</v>
      </c>
      <c r="K1109" s="455">
        <f t="shared" ca="1" si="105"/>
        <v>-68278.783332596504</v>
      </c>
      <c r="L1109" s="455">
        <f t="shared" ca="1" si="106"/>
        <v>-16455186.783155756</v>
      </c>
      <c r="M1109" s="471">
        <f t="shared" si="109"/>
        <v>0.05</v>
      </c>
      <c r="N1109" s="475">
        <f t="shared" si="110"/>
        <v>84798</v>
      </c>
    </row>
    <row r="1110" spans="7:14" ht="11.25" customHeight="1" x14ac:dyDescent="0.3">
      <c r="G1110" s="470">
        <f t="shared" si="116"/>
        <v>92</v>
      </c>
      <c r="H1110" s="470">
        <v>1103</v>
      </c>
      <c r="I1110" s="455">
        <f t="shared" ca="1" si="108"/>
        <v>-16455186.783155756</v>
      </c>
      <c r="J1110" s="455">
        <f t="array" ref="J1110">IFERROR(INDEX('Retirement Calculator'!J:J,MATCH('Isaac 401k'!N1110,'Retirement Calculator'!A:A,0),0),0)</f>
        <v>7863.2184191855868</v>
      </c>
      <c r="K1110" s="455">
        <f t="shared" ca="1" si="105"/>
        <v>-68596.04167322893</v>
      </c>
      <c r="L1110" s="455">
        <f t="shared" ca="1" si="106"/>
        <v>-16531646.043248169</v>
      </c>
      <c r="M1110" s="471">
        <f t="shared" si="109"/>
        <v>0.05</v>
      </c>
      <c r="N1110" s="475">
        <f t="shared" si="110"/>
        <v>84829</v>
      </c>
    </row>
    <row r="1111" spans="7:14" ht="11.25" customHeight="1" x14ac:dyDescent="0.3">
      <c r="G1111" s="470">
        <f t="shared" si="116"/>
        <v>92</v>
      </c>
      <c r="H1111" s="470">
        <v>1104</v>
      </c>
      <c r="I1111" s="455">
        <f t="shared" ca="1" si="108"/>
        <v>-16531646.043248169</v>
      </c>
      <c r="J1111" s="455">
        <f t="array" ref="J1111">IFERROR(INDEX('Retirement Calculator'!J:J,MATCH('Isaac 401k'!N1111,'Retirement Calculator'!A:A,0),0),0)</f>
        <v>7863.2184191855868</v>
      </c>
      <c r="K1111" s="455">
        <f t="shared" ca="1" si="105"/>
        <v>-68914.621923613988</v>
      </c>
      <c r="L1111" s="455">
        <f t="shared" ca="1" si="106"/>
        <v>-16608423.883590968</v>
      </c>
      <c r="M1111" s="471">
        <f t="shared" si="109"/>
        <v>0.05</v>
      </c>
      <c r="N1111" s="475">
        <f t="shared" si="110"/>
        <v>84859</v>
      </c>
    </row>
    <row r="1112" spans="7:14" ht="11.25" customHeight="1" x14ac:dyDescent="0.3">
      <c r="G1112" s="470">
        <f>G1111+1</f>
        <v>93</v>
      </c>
      <c r="H1112" s="470">
        <v>1105</v>
      </c>
      <c r="I1112" s="455">
        <f t="shared" ca="1" si="108"/>
        <v>-16608423.883590968</v>
      </c>
      <c r="J1112" s="455">
        <f t="array" ref="J1112">IFERROR(INDEX('Retirement Calculator'!J:J,MATCH('Isaac 401k'!N1112,'Retirement Calculator'!A:A,0),0),0)</f>
        <v>7863.2184191855868</v>
      </c>
      <c r="K1112" s="455">
        <f t="shared" ca="1" si="105"/>
        <v>-69234.529591708982</v>
      </c>
      <c r="L1112" s="455">
        <f t="shared" ca="1" si="106"/>
        <v>-16685521.631601863</v>
      </c>
      <c r="M1112" s="471">
        <f t="shared" si="109"/>
        <v>0.05</v>
      </c>
      <c r="N1112" s="475">
        <f t="shared" si="110"/>
        <v>84890</v>
      </c>
    </row>
    <row r="1113" spans="7:14" ht="11.25" customHeight="1" x14ac:dyDescent="0.3">
      <c r="G1113" s="470">
        <f t="shared" ref="G1113:G1123" si="117">G1112</f>
        <v>93</v>
      </c>
      <c r="H1113" s="470">
        <v>1106</v>
      </c>
      <c r="I1113" s="455">
        <f t="shared" ca="1" si="108"/>
        <v>-16685521.631601863</v>
      </c>
      <c r="J1113" s="455">
        <f t="array" ref="J1113">IFERROR(INDEX('Retirement Calculator'!J:J,MATCH('Isaac 401k'!N1113,'Retirement Calculator'!A:A,0),0),0)</f>
        <v>7863.2184191855868</v>
      </c>
      <c r="K1113" s="455">
        <f t="shared" ca="1" si="105"/>
        <v>-69555.770208421032</v>
      </c>
      <c r="L1113" s="455">
        <f t="shared" ca="1" si="106"/>
        <v>-16762940.620229468</v>
      </c>
      <c r="M1113" s="471">
        <f t="shared" si="109"/>
        <v>0.05</v>
      </c>
      <c r="N1113" s="475">
        <f t="shared" si="110"/>
        <v>84920</v>
      </c>
    </row>
    <row r="1114" spans="7:14" ht="11.25" customHeight="1" x14ac:dyDescent="0.3">
      <c r="G1114" s="470">
        <f t="shared" si="117"/>
        <v>93</v>
      </c>
      <c r="H1114" s="470">
        <v>1107</v>
      </c>
      <c r="I1114" s="455">
        <f t="shared" ca="1" si="108"/>
        <v>-16762940.620229468</v>
      </c>
      <c r="J1114" s="455">
        <f t="array" ref="J1114">IFERROR(INDEX('Retirement Calculator'!J:J,MATCH('Isaac 401k'!N1114,'Retirement Calculator'!A:A,0),0),0)</f>
        <v>7863.2184191855868</v>
      </c>
      <c r="K1114" s="455">
        <f t="shared" ca="1" si="105"/>
        <v>-69878.349327702716</v>
      </c>
      <c r="L1114" s="455">
        <f t="shared" ca="1" si="106"/>
        <v>-16840682.187976357</v>
      </c>
      <c r="M1114" s="471">
        <f t="shared" si="109"/>
        <v>0.05</v>
      </c>
      <c r="N1114" s="475">
        <f t="shared" si="110"/>
        <v>84951</v>
      </c>
    </row>
    <row r="1115" spans="7:14" ht="11.25" customHeight="1" x14ac:dyDescent="0.3">
      <c r="G1115" s="470">
        <f t="shared" si="117"/>
        <v>93</v>
      </c>
      <c r="H1115" s="470">
        <v>1108</v>
      </c>
      <c r="I1115" s="455">
        <f t="shared" ca="1" si="108"/>
        <v>-16840682.187976357</v>
      </c>
      <c r="J1115" s="455">
        <f t="array" ref="J1115">IFERROR(INDEX('Retirement Calculator'!J:J,MATCH('Isaac 401k'!N1115,'Retirement Calculator'!A:A,0),0),0)</f>
        <v>7863.2184191855868</v>
      </c>
      <c r="K1115" s="455">
        <f t="shared" ca="1" si="105"/>
        <v>-70202.272526648099</v>
      </c>
      <c r="L1115" s="455">
        <f t="shared" ca="1" si="106"/>
        <v>-16918747.678922191</v>
      </c>
      <c r="M1115" s="471">
        <f t="shared" si="109"/>
        <v>0.05</v>
      </c>
      <c r="N1115" s="475">
        <f t="shared" si="110"/>
        <v>84982</v>
      </c>
    </row>
    <row r="1116" spans="7:14" ht="11.25" customHeight="1" x14ac:dyDescent="0.3">
      <c r="G1116" s="470">
        <f t="shared" si="117"/>
        <v>93</v>
      </c>
      <c r="H1116" s="470">
        <v>1109</v>
      </c>
      <c r="I1116" s="455">
        <f t="shared" ca="1" si="108"/>
        <v>-16918747.678922191</v>
      </c>
      <c r="J1116" s="455">
        <f t="array" ref="J1116">IFERROR(INDEX('Retirement Calculator'!J:J,MATCH('Isaac 401k'!N1116,'Retirement Calculator'!A:A,0),0),0)</f>
        <v>7863.2184191855868</v>
      </c>
      <c r="K1116" s="455">
        <f t="shared" ca="1" si="105"/>
        <v>-70527.545405589073</v>
      </c>
      <c r="L1116" s="455">
        <f t="shared" ca="1" si="106"/>
        <v>-16997138.442746967</v>
      </c>
      <c r="M1116" s="471">
        <f t="shared" si="109"/>
        <v>0.05</v>
      </c>
      <c r="N1116" s="475">
        <f t="shared" si="110"/>
        <v>85012</v>
      </c>
    </row>
    <row r="1117" spans="7:14" ht="11.25" customHeight="1" x14ac:dyDescent="0.3">
      <c r="G1117" s="470">
        <f t="shared" si="117"/>
        <v>93</v>
      </c>
      <c r="H1117" s="470">
        <v>1110</v>
      </c>
      <c r="I1117" s="455">
        <f t="shared" ca="1" si="108"/>
        <v>-16997138.442746967</v>
      </c>
      <c r="J1117" s="455">
        <f t="array" ref="J1117">IFERROR(INDEX('Retirement Calculator'!J:J,MATCH('Isaac 401k'!N1117,'Retirement Calculator'!A:A,0),0),0)</f>
        <v>7863.2184191855868</v>
      </c>
      <c r="K1117" s="455">
        <f t="shared" ca="1" si="105"/>
        <v>-70854.173588192309</v>
      </c>
      <c r="L1117" s="455">
        <f t="shared" ca="1" si="106"/>
        <v>-17075855.834754348</v>
      </c>
      <c r="M1117" s="471">
        <f t="shared" si="109"/>
        <v>0.05</v>
      </c>
      <c r="N1117" s="475">
        <f t="shared" si="110"/>
        <v>85043</v>
      </c>
    </row>
    <row r="1118" spans="7:14" ht="11.25" customHeight="1" x14ac:dyDescent="0.3">
      <c r="G1118" s="470">
        <f t="shared" si="117"/>
        <v>93</v>
      </c>
      <c r="H1118" s="470">
        <v>1111</v>
      </c>
      <c r="I1118" s="455">
        <f t="shared" ca="1" si="108"/>
        <v>-17075855.834754348</v>
      </c>
      <c r="J1118" s="455">
        <f t="array" ref="J1118">IFERROR(INDEX('Retirement Calculator'!J:J,MATCH('Isaac 401k'!N1118,'Retirement Calculator'!A:A,0),0),0)</f>
        <v>7863.2184191855868</v>
      </c>
      <c r="K1118" s="455">
        <f t="shared" ca="1" si="105"/>
        <v>-71182.162721556393</v>
      </c>
      <c r="L1118" s="455">
        <f t="shared" ca="1" si="106"/>
        <v>-17154901.21589509</v>
      </c>
      <c r="M1118" s="471">
        <f t="shared" si="109"/>
        <v>0.05</v>
      </c>
      <c r="N1118" s="475">
        <f t="shared" si="110"/>
        <v>85073</v>
      </c>
    </row>
    <row r="1119" spans="7:14" ht="11.25" customHeight="1" x14ac:dyDescent="0.3">
      <c r="G1119" s="470">
        <f t="shared" si="117"/>
        <v>93</v>
      </c>
      <c r="H1119" s="470">
        <v>1112</v>
      </c>
      <c r="I1119" s="455">
        <f t="shared" ca="1" si="108"/>
        <v>-17154901.21589509</v>
      </c>
      <c r="J1119" s="455">
        <f t="array" ref="J1119">IFERROR(INDEX('Retirement Calculator'!J:J,MATCH('Isaac 401k'!N1119,'Retirement Calculator'!A:A,0),0),0)</f>
        <v>7863.2184191855868</v>
      </c>
      <c r="K1119" s="455">
        <f t="shared" ca="1" si="105"/>
        <v>-71511.518476309488</v>
      </c>
      <c r="L1119" s="455">
        <f t="shared" ca="1" si="106"/>
        <v>-17234275.952790588</v>
      </c>
      <c r="M1119" s="471">
        <f t="shared" si="109"/>
        <v>0.05</v>
      </c>
      <c r="N1119" s="475">
        <f t="shared" si="110"/>
        <v>85104</v>
      </c>
    </row>
    <row r="1120" spans="7:14" ht="11.25" customHeight="1" x14ac:dyDescent="0.3">
      <c r="G1120" s="470">
        <f t="shared" si="117"/>
        <v>93</v>
      </c>
      <c r="H1120" s="470">
        <v>1113</v>
      </c>
      <c r="I1120" s="455">
        <f t="shared" ca="1" si="108"/>
        <v>-17234275.952790588</v>
      </c>
      <c r="J1120" s="455">
        <f t="array" ref="J1120">IFERROR(INDEX('Retirement Calculator'!J:J,MATCH('Isaac 401k'!N1120,'Retirement Calculator'!A:A,0),0),0)</f>
        <v>7863.2184191855868</v>
      </c>
      <c r="K1120" s="455">
        <f t="shared" ca="1" si="105"/>
        <v>-71842.246546707393</v>
      </c>
      <c r="L1120" s="455">
        <f t="shared" ca="1" si="106"/>
        <v>-17313981.417756483</v>
      </c>
      <c r="M1120" s="471">
        <f t="shared" si="109"/>
        <v>0.05</v>
      </c>
      <c r="N1120" s="475">
        <f t="shared" si="110"/>
        <v>85135</v>
      </c>
    </row>
    <row r="1121" spans="7:14" ht="11.25" customHeight="1" x14ac:dyDescent="0.3">
      <c r="G1121" s="470">
        <f t="shared" si="117"/>
        <v>93</v>
      </c>
      <c r="H1121" s="470">
        <v>1114</v>
      </c>
      <c r="I1121" s="455">
        <f t="shared" ca="1" si="108"/>
        <v>-17313981.417756483</v>
      </c>
      <c r="J1121" s="455">
        <f t="array" ref="J1121">IFERROR(INDEX('Retirement Calculator'!J:J,MATCH('Isaac 401k'!N1121,'Retirement Calculator'!A:A,0),0),0)</f>
        <v>7863.2184191855868</v>
      </c>
      <c r="K1121" s="455">
        <f t="shared" ca="1" si="105"/>
        <v>-72174.352650731962</v>
      </c>
      <c r="L1121" s="455">
        <f t="shared" ca="1" si="106"/>
        <v>-17394018.988826402</v>
      </c>
      <c r="M1121" s="471">
        <f t="shared" si="109"/>
        <v>0.05</v>
      </c>
      <c r="N1121" s="475">
        <f t="shared" si="110"/>
        <v>85163</v>
      </c>
    </row>
    <row r="1122" spans="7:14" ht="11.25" customHeight="1" x14ac:dyDescent="0.3">
      <c r="G1122" s="470">
        <f t="shared" si="117"/>
        <v>93</v>
      </c>
      <c r="H1122" s="470">
        <v>1115</v>
      </c>
      <c r="I1122" s="455">
        <f t="shared" ca="1" si="108"/>
        <v>-17394018.988826402</v>
      </c>
      <c r="J1122" s="455">
        <f t="array" ref="J1122">IFERROR(INDEX('Retirement Calculator'!J:J,MATCH('Isaac 401k'!N1122,'Retirement Calculator'!A:A,0),0),0)</f>
        <v>7863.2184191855868</v>
      </c>
      <c r="K1122" s="455">
        <f t="shared" ca="1" si="105"/>
        <v>-72507.842530189955</v>
      </c>
      <c r="L1122" s="455">
        <f t="shared" ca="1" si="106"/>
        <v>-17474390.049775779</v>
      </c>
      <c r="M1122" s="471">
        <f t="shared" si="109"/>
        <v>0.05</v>
      </c>
      <c r="N1122" s="475">
        <f t="shared" si="110"/>
        <v>85194</v>
      </c>
    </row>
    <row r="1123" spans="7:14" ht="11.25" customHeight="1" x14ac:dyDescent="0.3">
      <c r="G1123" s="470">
        <f t="shared" si="117"/>
        <v>93</v>
      </c>
      <c r="H1123" s="470">
        <v>1116</v>
      </c>
      <c r="I1123" s="455">
        <f t="shared" ca="1" si="108"/>
        <v>-17474390.049775779</v>
      </c>
      <c r="J1123" s="455">
        <f t="array" ref="J1123">IFERROR(INDEX('Retirement Calculator'!J:J,MATCH('Isaac 401k'!N1123,'Retirement Calculator'!A:A,0),0),0)</f>
        <v>7863.2184191855868</v>
      </c>
      <c r="K1123" s="455">
        <f t="shared" ca="1" si="105"/>
        <v>-72842.721950812353</v>
      </c>
      <c r="L1123" s="455">
        <f t="shared" ca="1" si="106"/>
        <v>-17555095.99014578</v>
      </c>
      <c r="M1123" s="471">
        <f t="shared" si="109"/>
        <v>0.05</v>
      </c>
      <c r="N1123" s="475">
        <f t="shared" si="110"/>
        <v>85224</v>
      </c>
    </row>
    <row r="1124" spans="7:14" ht="11.25" customHeight="1" x14ac:dyDescent="0.3">
      <c r="G1124" s="470">
        <f>G1123+1</f>
        <v>94</v>
      </c>
      <c r="H1124" s="470">
        <v>1117</v>
      </c>
      <c r="I1124" s="455">
        <f t="shared" ca="1" si="108"/>
        <v>-17555095.99014578</v>
      </c>
      <c r="J1124" s="455">
        <f t="array" ref="J1124">IFERROR(INDEX('Retirement Calculator'!J:J,MATCH('Isaac 401k'!N1124,'Retirement Calculator'!A:A,0),0),0)</f>
        <v>7863.2184191855868</v>
      </c>
      <c r="K1124" s="455">
        <f t="shared" ca="1" si="105"/>
        <v>-73178.996702354023</v>
      </c>
      <c r="L1124" s="455">
        <f t="shared" ca="1" si="106"/>
        <v>-17636138.205267321</v>
      </c>
      <c r="M1124" s="471">
        <f t="shared" si="109"/>
        <v>0.05</v>
      </c>
      <c r="N1124" s="475">
        <f t="shared" si="110"/>
        <v>85255</v>
      </c>
    </row>
    <row r="1125" spans="7:14" ht="11.25" customHeight="1" x14ac:dyDescent="0.3">
      <c r="G1125" s="470">
        <f t="shared" ref="G1125:G1135" si="118">G1124</f>
        <v>94</v>
      </c>
      <c r="H1125" s="470">
        <v>1118</v>
      </c>
      <c r="I1125" s="455">
        <f t="shared" ca="1" si="108"/>
        <v>-17636138.205267321</v>
      </c>
      <c r="J1125" s="455">
        <f t="array" ref="J1125">IFERROR(INDEX('Retirement Calculator'!J:J,MATCH('Isaac 401k'!N1125,'Retirement Calculator'!A:A,0),0),0)</f>
        <v>7863.2184191855868</v>
      </c>
      <c r="K1125" s="455">
        <f t="shared" ca="1" si="105"/>
        <v>-73516.672598693782</v>
      </c>
      <c r="L1125" s="455">
        <f t="shared" ca="1" si="106"/>
        <v>-17717518.096285202</v>
      </c>
      <c r="M1125" s="471">
        <f t="shared" si="109"/>
        <v>0.05</v>
      </c>
      <c r="N1125" s="475">
        <f t="shared" si="110"/>
        <v>85285</v>
      </c>
    </row>
    <row r="1126" spans="7:14" ht="11.25" customHeight="1" x14ac:dyDescent="0.3">
      <c r="G1126" s="470">
        <f t="shared" si="118"/>
        <v>94</v>
      </c>
      <c r="H1126" s="470">
        <v>1119</v>
      </c>
      <c r="I1126" s="455">
        <f t="shared" ca="1" si="108"/>
        <v>-17717518.096285202</v>
      </c>
      <c r="J1126" s="455">
        <f t="array" ref="J1126">IFERROR(INDEX('Retirement Calculator'!J:J,MATCH('Isaac 401k'!N1126,'Retirement Calculator'!A:A,0),0),0)</f>
        <v>7863.2184191855868</v>
      </c>
      <c r="K1126" s="455">
        <f t="shared" ca="1" si="105"/>
        <v>-73855.755477934945</v>
      </c>
      <c r="L1126" s="455">
        <f t="shared" ca="1" si="106"/>
        <v>-17799237.070182323</v>
      </c>
      <c r="M1126" s="471">
        <f t="shared" si="109"/>
        <v>0.05</v>
      </c>
      <c r="N1126" s="475">
        <f t="shared" si="110"/>
        <v>85316</v>
      </c>
    </row>
    <row r="1127" spans="7:14" ht="11.25" customHeight="1" x14ac:dyDescent="0.3">
      <c r="G1127" s="470">
        <f t="shared" si="118"/>
        <v>94</v>
      </c>
      <c r="H1127" s="470">
        <v>1120</v>
      </c>
      <c r="I1127" s="455">
        <f t="shared" ca="1" si="108"/>
        <v>-17799237.070182323</v>
      </c>
      <c r="J1127" s="455">
        <f t="array" ref="J1127">IFERROR(INDEX('Retirement Calculator'!J:J,MATCH('Isaac 401k'!N1127,'Retirement Calculator'!A:A,0),0),0)</f>
        <v>7863.2184191855868</v>
      </c>
      <c r="K1127" s="455">
        <f t="shared" ca="1" si="105"/>
        <v>-74196.25120250629</v>
      </c>
      <c r="L1127" s="455">
        <f t="shared" ca="1" si="106"/>
        <v>-17881296.539804015</v>
      </c>
      <c r="M1127" s="471">
        <f t="shared" si="109"/>
        <v>0.05</v>
      </c>
      <c r="N1127" s="475">
        <f t="shared" si="110"/>
        <v>85347</v>
      </c>
    </row>
    <row r="1128" spans="7:14" ht="11.25" customHeight="1" x14ac:dyDescent="0.3">
      <c r="G1128" s="470">
        <f t="shared" si="118"/>
        <v>94</v>
      </c>
      <c r="H1128" s="470">
        <v>1121</v>
      </c>
      <c r="I1128" s="455">
        <f t="shared" ca="1" si="108"/>
        <v>-17881296.539804015</v>
      </c>
      <c r="J1128" s="455">
        <f t="array" ref="J1128">IFERROR(INDEX('Retirement Calculator'!J:J,MATCH('Isaac 401k'!N1128,'Retirement Calculator'!A:A,0),0),0)</f>
        <v>7863.2184191855868</v>
      </c>
      <c r="K1128" s="455">
        <f t="shared" ca="1" si="105"/>
        <v>-74538.165659263337</v>
      </c>
      <c r="L1128" s="455">
        <f t="shared" ca="1" si="106"/>
        <v>-17963697.923882466</v>
      </c>
      <c r="M1128" s="471">
        <f t="shared" si="109"/>
        <v>0.05</v>
      </c>
      <c r="N1128" s="475">
        <f t="shared" si="110"/>
        <v>85377</v>
      </c>
    </row>
    <row r="1129" spans="7:14" ht="11.25" customHeight="1" x14ac:dyDescent="0.3">
      <c r="G1129" s="470">
        <f t="shared" si="118"/>
        <v>94</v>
      </c>
      <c r="H1129" s="470">
        <v>1122</v>
      </c>
      <c r="I1129" s="455">
        <f t="shared" ca="1" si="108"/>
        <v>-17963697.923882466</v>
      </c>
      <c r="J1129" s="455">
        <f t="array" ref="J1129">IFERROR(INDEX('Retirement Calculator'!J:J,MATCH('Isaac 401k'!N1129,'Retirement Calculator'!A:A,0),0),0)</f>
        <v>7863.2184191855868</v>
      </c>
      <c r="K1129" s="455">
        <f t="shared" ca="1" si="105"/>
        <v>-74881.504759590214</v>
      </c>
      <c r="L1129" s="455">
        <f t="shared" ca="1" si="106"/>
        <v>-18046442.647061244</v>
      </c>
      <c r="M1129" s="471">
        <f t="shared" si="109"/>
        <v>0.05</v>
      </c>
      <c r="N1129" s="475">
        <f t="shared" si="110"/>
        <v>85408</v>
      </c>
    </row>
    <row r="1130" spans="7:14" ht="11.25" customHeight="1" x14ac:dyDescent="0.3">
      <c r="G1130" s="470">
        <f t="shared" si="118"/>
        <v>94</v>
      </c>
      <c r="H1130" s="470">
        <v>1123</v>
      </c>
      <c r="I1130" s="455">
        <f t="shared" ca="1" si="108"/>
        <v>-18046442.647061244</v>
      </c>
      <c r="J1130" s="455">
        <f t="array" ref="J1130">IFERROR(INDEX('Retirement Calculator'!J:J,MATCH('Isaac 401k'!N1130,'Retirement Calculator'!A:A,0),0),0)</f>
        <v>7863.2184191855868</v>
      </c>
      <c r="K1130" s="455">
        <f t="shared" ca="1" si="105"/>
        <v>-75226.274439501794</v>
      </c>
      <c r="L1130" s="455">
        <f t="shared" ca="1" si="106"/>
        <v>-18129532.139919933</v>
      </c>
      <c r="M1130" s="471">
        <f t="shared" si="109"/>
        <v>0.05</v>
      </c>
      <c r="N1130" s="475">
        <f t="shared" si="110"/>
        <v>85438</v>
      </c>
    </row>
    <row r="1131" spans="7:14" ht="11.25" customHeight="1" x14ac:dyDescent="0.3">
      <c r="G1131" s="470">
        <f t="shared" si="118"/>
        <v>94</v>
      </c>
      <c r="H1131" s="470">
        <v>1124</v>
      </c>
      <c r="I1131" s="455">
        <f t="shared" ca="1" si="108"/>
        <v>-18129532.139919933</v>
      </c>
      <c r="J1131" s="455">
        <f t="array" ref="J1131">IFERROR(INDEX('Retirement Calculator'!J:J,MATCH('Isaac 401k'!N1131,'Retirement Calculator'!A:A,0),0),0)</f>
        <v>7863.2184191855868</v>
      </c>
      <c r="K1131" s="455">
        <f t="shared" ca="1" si="105"/>
        <v>-75572.480659746332</v>
      </c>
      <c r="L1131" s="455">
        <f t="shared" ca="1" si="106"/>
        <v>-18212967.838998865</v>
      </c>
      <c r="M1131" s="471">
        <f t="shared" si="109"/>
        <v>0.05</v>
      </c>
      <c r="N1131" s="475">
        <f t="shared" si="110"/>
        <v>85469</v>
      </c>
    </row>
    <row r="1132" spans="7:14" ht="11.25" customHeight="1" x14ac:dyDescent="0.3">
      <c r="G1132" s="470">
        <f t="shared" si="118"/>
        <v>94</v>
      </c>
      <c r="H1132" s="470">
        <v>1125</v>
      </c>
      <c r="I1132" s="455">
        <f t="shared" ca="1" si="108"/>
        <v>-18212967.838998865</v>
      </c>
      <c r="J1132" s="455">
        <f t="array" ref="J1132">IFERROR(INDEX('Retirement Calculator'!J:J,MATCH('Isaac 401k'!N1132,'Retirement Calculator'!A:A,0),0),0)</f>
        <v>7863.2184191855868</v>
      </c>
      <c r="K1132" s="455">
        <f t="shared" ca="1" si="105"/>
        <v>-75920.129405908549</v>
      </c>
      <c r="L1132" s="455">
        <f t="shared" ca="1" si="106"/>
        <v>-18296751.18682396</v>
      </c>
      <c r="M1132" s="471">
        <f t="shared" si="109"/>
        <v>0.05</v>
      </c>
      <c r="N1132" s="475">
        <f t="shared" si="110"/>
        <v>85500</v>
      </c>
    </row>
    <row r="1133" spans="7:14" ht="11.25" customHeight="1" x14ac:dyDescent="0.3">
      <c r="G1133" s="470">
        <f t="shared" si="118"/>
        <v>94</v>
      </c>
      <c r="H1133" s="470">
        <v>1126</v>
      </c>
      <c r="I1133" s="455">
        <f t="shared" ca="1" si="108"/>
        <v>-18296751.18682396</v>
      </c>
      <c r="J1133" s="455">
        <f t="array" ref="J1133">IFERROR(INDEX('Retirement Calculator'!J:J,MATCH('Isaac 401k'!N1133,'Retirement Calculator'!A:A,0),0),0)</f>
        <v>7863.2184191855868</v>
      </c>
      <c r="K1133" s="455">
        <f t="shared" ca="1" si="105"/>
        <v>-76269.22668851311</v>
      </c>
      <c r="L1133" s="455">
        <f t="shared" ca="1" si="106"/>
        <v>-18380883.631931659</v>
      </c>
      <c r="M1133" s="471">
        <f t="shared" si="109"/>
        <v>0.05</v>
      </c>
      <c r="N1133" s="475">
        <f t="shared" si="110"/>
        <v>85528</v>
      </c>
    </row>
    <row r="1134" spans="7:14" ht="11.25" customHeight="1" x14ac:dyDescent="0.3">
      <c r="G1134" s="470">
        <f t="shared" si="118"/>
        <v>94</v>
      </c>
      <c r="H1134" s="470">
        <v>1127</v>
      </c>
      <c r="I1134" s="455">
        <f t="shared" ca="1" si="108"/>
        <v>-18380883.631931659</v>
      </c>
      <c r="J1134" s="455">
        <f t="array" ref="J1134">IFERROR(INDEX('Retirement Calculator'!J:J,MATCH('Isaac 401k'!N1134,'Retirement Calculator'!A:A,0),0),0)</f>
        <v>7863.2184191855868</v>
      </c>
      <c r="K1134" s="455">
        <f t="shared" ca="1" si="105"/>
        <v>-76619.778543128516</v>
      </c>
      <c r="L1134" s="455">
        <f t="shared" ca="1" si="106"/>
        <v>-18465366.628893975</v>
      </c>
      <c r="M1134" s="471">
        <f t="shared" si="109"/>
        <v>0.05</v>
      </c>
      <c r="N1134" s="475">
        <f t="shared" si="110"/>
        <v>85559</v>
      </c>
    </row>
    <row r="1135" spans="7:14" ht="11.25" customHeight="1" x14ac:dyDescent="0.3">
      <c r="G1135" s="470">
        <f t="shared" si="118"/>
        <v>94</v>
      </c>
      <c r="H1135" s="470">
        <v>1128</v>
      </c>
      <c r="I1135" s="455">
        <f t="shared" ca="1" si="108"/>
        <v>-18465366.628893975</v>
      </c>
      <c r="J1135" s="455">
        <f t="array" ref="J1135">IFERROR(INDEX('Retirement Calculator'!J:J,MATCH('Isaac 401k'!N1135,'Retirement Calculator'!A:A,0),0),0)</f>
        <v>7863.2184191855868</v>
      </c>
      <c r="K1135" s="455">
        <f t="shared" ca="1" si="105"/>
        <v>-76971.791030471504</v>
      </c>
      <c r="L1135" s="455">
        <f t="shared" ca="1" si="106"/>
        <v>-18550201.638343632</v>
      </c>
      <c r="M1135" s="471">
        <f t="shared" si="109"/>
        <v>0.05</v>
      </c>
      <c r="N1135" s="475">
        <f t="shared" si="110"/>
        <v>85589</v>
      </c>
    </row>
    <row r="1136" spans="7:14" ht="11.25" customHeight="1" x14ac:dyDescent="0.3">
      <c r="G1136" s="470">
        <f>G1135+1</f>
        <v>95</v>
      </c>
      <c r="H1136" s="470">
        <v>1129</v>
      </c>
      <c r="I1136" s="455">
        <f t="shared" ca="1" si="108"/>
        <v>-18550201.638343632</v>
      </c>
      <c r="J1136" s="455">
        <f t="array" ref="J1136">IFERROR(INDEX('Retirement Calculator'!J:J,MATCH('Isaac 401k'!N1136,'Retirement Calculator'!A:A,0),0),0)</f>
        <v>7863.2184191855868</v>
      </c>
      <c r="K1136" s="455">
        <f t="shared" ca="1" si="105"/>
        <v>-77325.270236511744</v>
      </c>
      <c r="L1136" s="455">
        <f t="shared" ca="1" si="106"/>
        <v>-18635390.12699933</v>
      </c>
      <c r="M1136" s="471">
        <f t="shared" si="109"/>
        <v>0.05</v>
      </c>
      <c r="N1136" s="475">
        <f t="shared" si="110"/>
        <v>85620</v>
      </c>
    </row>
    <row r="1137" spans="7:14" ht="11.25" customHeight="1" x14ac:dyDescent="0.3">
      <c r="G1137" s="470">
        <f t="shared" ref="G1137:G1147" si="119">G1136</f>
        <v>95</v>
      </c>
      <c r="H1137" s="470">
        <v>1130</v>
      </c>
      <c r="I1137" s="455">
        <f t="shared" ca="1" si="108"/>
        <v>-18635390.12699933</v>
      </c>
      <c r="J1137" s="455">
        <f t="array" ref="J1137">IFERROR(INDEX('Retirement Calculator'!J:J,MATCH('Isaac 401k'!N1137,'Retirement Calculator'!A:A,0),0),0)</f>
        <v>7863.2184191855868</v>
      </c>
      <c r="K1137" s="455">
        <f t="shared" ca="1" si="105"/>
        <v>-77680.222272577157</v>
      </c>
      <c r="L1137" s="455">
        <f t="shared" ca="1" si="106"/>
        <v>-18720933.567691095</v>
      </c>
      <c r="M1137" s="471">
        <f t="shared" si="109"/>
        <v>0.05</v>
      </c>
      <c r="N1137" s="475">
        <f t="shared" si="110"/>
        <v>85650</v>
      </c>
    </row>
    <row r="1138" spans="7:14" ht="11.25" customHeight="1" x14ac:dyDescent="0.3">
      <c r="G1138" s="470">
        <f t="shared" si="119"/>
        <v>95</v>
      </c>
      <c r="H1138" s="470">
        <v>1131</v>
      </c>
      <c r="I1138" s="455">
        <f t="shared" ca="1" si="108"/>
        <v>-18720933.567691095</v>
      </c>
      <c r="J1138" s="455">
        <f t="array" ref="J1138">IFERROR(INDEX('Retirement Calculator'!J:J,MATCH('Isaac 401k'!N1138,'Retirement Calculator'!A:A,0),0),0)</f>
        <v>7863.2184191855868</v>
      </c>
      <c r="K1138" s="455">
        <f t="shared" ca="1" si="105"/>
        <v>-78036.65327545951</v>
      </c>
      <c r="L1138" s="455">
        <f t="shared" ca="1" si="106"/>
        <v>-18806833.439385742</v>
      </c>
      <c r="M1138" s="471">
        <f t="shared" si="109"/>
        <v>0.05</v>
      </c>
      <c r="N1138" s="475">
        <f t="shared" si="110"/>
        <v>85681</v>
      </c>
    </row>
    <row r="1139" spans="7:14" ht="11.25" customHeight="1" x14ac:dyDescent="0.3">
      <c r="G1139" s="470">
        <f t="shared" si="119"/>
        <v>95</v>
      </c>
      <c r="H1139" s="470">
        <v>1132</v>
      </c>
      <c r="I1139" s="455">
        <f t="shared" ca="1" si="108"/>
        <v>-18806833.439385742</v>
      </c>
      <c r="J1139" s="455">
        <f t="array" ref="J1139">IFERROR(INDEX('Retirement Calculator'!J:J,MATCH('Isaac 401k'!N1139,'Retirement Calculator'!A:A,0),0),0)</f>
        <v>7863.2184191855868</v>
      </c>
      <c r="K1139" s="455">
        <f t="shared" ca="1" si="105"/>
        <v>-78394.569407520539</v>
      </c>
      <c r="L1139" s="455">
        <f t="shared" ca="1" si="106"/>
        <v>-18893091.227212448</v>
      </c>
      <c r="M1139" s="471">
        <f t="shared" si="109"/>
        <v>0.05</v>
      </c>
      <c r="N1139" s="475">
        <f t="shared" si="110"/>
        <v>85712</v>
      </c>
    </row>
    <row r="1140" spans="7:14" ht="11.25" customHeight="1" x14ac:dyDescent="0.3">
      <c r="G1140" s="470">
        <f t="shared" si="119"/>
        <v>95</v>
      </c>
      <c r="H1140" s="470">
        <v>1133</v>
      </c>
      <c r="I1140" s="455">
        <f t="shared" ca="1" si="108"/>
        <v>-18893091.227212448</v>
      </c>
      <c r="J1140" s="455">
        <f t="array" ref="J1140">IFERROR(INDEX('Retirement Calculator'!J:J,MATCH('Isaac 401k'!N1140,'Retirement Calculator'!A:A,0),0),0)</f>
        <v>7863.2184191855868</v>
      </c>
      <c r="K1140" s="455">
        <f t="shared" ca="1" si="105"/>
        <v>-78753.976856798472</v>
      </c>
      <c r="L1140" s="455">
        <f t="shared" ca="1" si="106"/>
        <v>-18979708.422488432</v>
      </c>
      <c r="M1140" s="471">
        <f t="shared" si="109"/>
        <v>0.05</v>
      </c>
      <c r="N1140" s="475">
        <f t="shared" si="110"/>
        <v>85742</v>
      </c>
    </row>
    <row r="1141" spans="7:14" ht="11.25" customHeight="1" x14ac:dyDescent="0.3">
      <c r="G1141" s="470">
        <f t="shared" si="119"/>
        <v>95</v>
      </c>
      <c r="H1141" s="470">
        <v>1134</v>
      </c>
      <c r="I1141" s="455">
        <f t="shared" ca="1" si="108"/>
        <v>-18979708.422488432</v>
      </c>
      <c r="J1141" s="455">
        <f t="array" ref="J1141">IFERROR(INDEX('Retirement Calculator'!J:J,MATCH('Isaac 401k'!N1141,'Retirement Calculator'!A:A,0),0),0)</f>
        <v>7863.2184191855868</v>
      </c>
      <c r="K1141" s="455">
        <f t="shared" ca="1" si="105"/>
        <v>-79114.881837115085</v>
      </c>
      <c r="L1141" s="455">
        <f t="shared" ca="1" si="106"/>
        <v>-19066686.522744734</v>
      </c>
      <c r="M1141" s="471">
        <f t="shared" si="109"/>
        <v>0.05</v>
      </c>
      <c r="N1141" s="475">
        <f t="shared" si="110"/>
        <v>85773</v>
      </c>
    </row>
    <row r="1142" spans="7:14" ht="11.25" customHeight="1" x14ac:dyDescent="0.3">
      <c r="G1142" s="470">
        <f t="shared" si="119"/>
        <v>95</v>
      </c>
      <c r="H1142" s="470">
        <v>1135</v>
      </c>
      <c r="I1142" s="455">
        <f t="shared" ca="1" si="108"/>
        <v>-19066686.522744734</v>
      </c>
      <c r="J1142" s="455">
        <f t="array" ref="J1142">IFERROR(INDEX('Retirement Calculator'!J:J,MATCH('Isaac 401k'!N1142,'Retirement Calculator'!A:A,0),0),0)</f>
        <v>7863.2184191855868</v>
      </c>
      <c r="K1142" s="455">
        <f t="shared" ca="1" si="105"/>
        <v>-79477.290588183008</v>
      </c>
      <c r="L1142" s="455">
        <f t="shared" ca="1" si="106"/>
        <v>-19154027.031752102</v>
      </c>
      <c r="M1142" s="471">
        <f t="shared" si="109"/>
        <v>0.05</v>
      </c>
      <c r="N1142" s="475">
        <f t="shared" si="110"/>
        <v>85803</v>
      </c>
    </row>
    <row r="1143" spans="7:14" ht="11.25" customHeight="1" x14ac:dyDescent="0.3">
      <c r="G1143" s="470">
        <f t="shared" si="119"/>
        <v>95</v>
      </c>
      <c r="H1143" s="470">
        <v>1136</v>
      </c>
      <c r="I1143" s="455">
        <f t="shared" ca="1" si="108"/>
        <v>-19154027.031752102</v>
      </c>
      <c r="J1143" s="455">
        <f t="array" ref="J1143">IFERROR(INDEX('Retirement Calculator'!J:J,MATCH('Isaac 401k'!N1143,'Retirement Calculator'!A:A,0),0),0)</f>
        <v>7863.2184191855868</v>
      </c>
      <c r="K1143" s="455">
        <f t="shared" ca="1" si="105"/>
        <v>-79841.209375713705</v>
      </c>
      <c r="L1143" s="455">
        <f t="shared" ca="1" si="106"/>
        <v>-19241731.459547002</v>
      </c>
      <c r="M1143" s="471">
        <f t="shared" si="109"/>
        <v>0.05</v>
      </c>
      <c r="N1143" s="475">
        <f t="shared" si="110"/>
        <v>85834</v>
      </c>
    </row>
    <row r="1144" spans="7:14" ht="11.25" customHeight="1" x14ac:dyDescent="0.3">
      <c r="G1144" s="470">
        <f t="shared" si="119"/>
        <v>95</v>
      </c>
      <c r="H1144" s="470">
        <v>1137</v>
      </c>
      <c r="I1144" s="455">
        <f t="shared" ca="1" si="108"/>
        <v>-19241731.459547002</v>
      </c>
      <c r="J1144" s="455">
        <f t="array" ref="J1144">IFERROR(INDEX('Retirement Calculator'!J:J,MATCH('Isaac 401k'!N1144,'Retirement Calculator'!A:A,0),0),0)</f>
        <v>7863.2184191855868</v>
      </c>
      <c r="K1144" s="455">
        <f t="shared" ca="1" si="105"/>
        <v>-80206.644491525789</v>
      </c>
      <c r="L1144" s="455">
        <f t="shared" ca="1" si="106"/>
        <v>-19329801.322457716</v>
      </c>
      <c r="M1144" s="471">
        <f t="shared" si="109"/>
        <v>0.05</v>
      </c>
      <c r="N1144" s="475">
        <f t="shared" si="110"/>
        <v>85865</v>
      </c>
    </row>
    <row r="1145" spans="7:14" ht="11.25" customHeight="1" x14ac:dyDescent="0.3">
      <c r="G1145" s="470">
        <f t="shared" si="119"/>
        <v>95</v>
      </c>
      <c r="H1145" s="470">
        <v>1138</v>
      </c>
      <c r="I1145" s="455">
        <f t="shared" ca="1" si="108"/>
        <v>-19329801.322457716</v>
      </c>
      <c r="J1145" s="455">
        <f t="array" ref="J1145">IFERROR(INDEX('Retirement Calculator'!J:J,MATCH('Isaac 401k'!N1145,'Retirement Calculator'!A:A,0),0),0)</f>
        <v>7863.2184191855868</v>
      </c>
      <c r="K1145" s="455">
        <f t="shared" ca="1" si="105"/>
        <v>-80573.602253653764</v>
      </c>
      <c r="L1145" s="455">
        <f t="shared" ca="1" si="106"/>
        <v>-19418238.143130556</v>
      </c>
      <c r="M1145" s="471">
        <f t="shared" si="109"/>
        <v>0.05</v>
      </c>
      <c r="N1145" s="475">
        <f t="shared" si="110"/>
        <v>85893</v>
      </c>
    </row>
    <row r="1146" spans="7:14" ht="11.25" customHeight="1" x14ac:dyDescent="0.3">
      <c r="G1146" s="470">
        <f t="shared" si="119"/>
        <v>95</v>
      </c>
      <c r="H1146" s="470">
        <v>1139</v>
      </c>
      <c r="I1146" s="455">
        <f t="shared" ca="1" si="108"/>
        <v>-19418238.143130556</v>
      </c>
      <c r="J1146" s="455">
        <f t="array" ref="J1146">IFERROR(INDEX('Retirement Calculator'!J:J,MATCH('Isaac 401k'!N1146,'Retirement Calculator'!A:A,0),0),0)</f>
        <v>7863.2184191855868</v>
      </c>
      <c r="K1146" s="455">
        <f t="shared" ca="1" si="105"/>
        <v>-80942.08900645726</v>
      </c>
      <c r="L1146" s="455">
        <f t="shared" ca="1" si="106"/>
        <v>-19507043.4505562</v>
      </c>
      <c r="M1146" s="471">
        <f t="shared" si="109"/>
        <v>0.05</v>
      </c>
      <c r="N1146" s="475">
        <f t="shared" si="110"/>
        <v>85924</v>
      </c>
    </row>
    <row r="1147" spans="7:14" ht="11.25" customHeight="1" x14ac:dyDescent="0.3">
      <c r="G1147" s="470">
        <f t="shared" si="119"/>
        <v>95</v>
      </c>
      <c r="H1147" s="470">
        <v>1140</v>
      </c>
      <c r="I1147" s="455">
        <f t="shared" ca="1" si="108"/>
        <v>-19507043.4505562</v>
      </c>
      <c r="J1147" s="455">
        <f t="array" ref="J1147">IFERROR(INDEX('Retirement Calculator'!J:J,MATCH('Isaac 401k'!N1147,'Retirement Calculator'!A:A,0),0),0)</f>
        <v>7863.2184191855868</v>
      </c>
      <c r="K1147" s="455">
        <f t="shared" ca="1" si="105"/>
        <v>-81312.111120730784</v>
      </c>
      <c r="L1147" s="455">
        <f t="shared" ca="1" si="106"/>
        <v>-19596218.780096117</v>
      </c>
      <c r="M1147" s="471">
        <f t="shared" si="109"/>
        <v>0.05</v>
      </c>
      <c r="N1147" s="475">
        <f t="shared" si="110"/>
        <v>85954</v>
      </c>
    </row>
    <row r="1148" spans="7:14" ht="11.25" customHeight="1" x14ac:dyDescent="0.3">
      <c r="G1148" s="470">
        <f>G1147+1</f>
        <v>96</v>
      </c>
      <c r="H1148" s="470">
        <v>1141</v>
      </c>
      <c r="I1148" s="455">
        <f t="shared" ca="1" si="108"/>
        <v>-19596218.780096117</v>
      </c>
      <c r="J1148" s="455">
        <f t="array" ref="J1148">IFERROR(INDEX('Retirement Calculator'!J:J,MATCH('Isaac 401k'!N1148,'Retirement Calculator'!A:A,0),0),0)</f>
        <v>7863.2184191855868</v>
      </c>
      <c r="K1148" s="455">
        <f t="shared" ca="1" si="105"/>
        <v>-81683.674993813765</v>
      </c>
      <c r="L1148" s="455">
        <f t="shared" ca="1" si="106"/>
        <v>-19685765.673509117</v>
      </c>
      <c r="M1148" s="471">
        <f t="shared" si="109"/>
        <v>0.05</v>
      </c>
      <c r="N1148" s="475">
        <f t="shared" si="110"/>
        <v>85985</v>
      </c>
    </row>
    <row r="1149" spans="7:14" ht="11.25" customHeight="1" x14ac:dyDescent="0.3">
      <c r="G1149" s="470">
        <f t="shared" ref="G1149:G1159" si="120">G1148</f>
        <v>96</v>
      </c>
      <c r="H1149" s="470">
        <v>1142</v>
      </c>
      <c r="I1149" s="455">
        <f t="shared" ca="1" si="108"/>
        <v>-19685765.673509117</v>
      </c>
      <c r="J1149" s="455">
        <f t="array" ref="J1149">IFERROR(INDEX('Retirement Calculator'!J:J,MATCH('Isaac 401k'!N1149,'Retirement Calculator'!A:A,0),0),0)</f>
        <v>7863.2184191855868</v>
      </c>
      <c r="K1149" s="455">
        <f t="shared" ca="1" si="105"/>
        <v>-82056.787049701263</v>
      </c>
      <c r="L1149" s="455">
        <f t="shared" ca="1" si="106"/>
        <v>-19775685.678978004</v>
      </c>
      <c r="M1149" s="471">
        <f t="shared" si="109"/>
        <v>0.05</v>
      </c>
      <c r="N1149" s="475">
        <f t="shared" si="110"/>
        <v>86015</v>
      </c>
    </row>
    <row r="1150" spans="7:14" ht="11.25" customHeight="1" x14ac:dyDescent="0.3">
      <c r="G1150" s="470">
        <f t="shared" si="120"/>
        <v>96</v>
      </c>
      <c r="H1150" s="470">
        <v>1143</v>
      </c>
      <c r="I1150" s="455">
        <f t="shared" ca="1" si="108"/>
        <v>-19775685.678978004</v>
      </c>
      <c r="J1150" s="455">
        <f t="array" ref="J1150">IFERROR(INDEX('Retirement Calculator'!J:J,MATCH('Isaac 401k'!N1150,'Retirement Calculator'!A:A,0),0),0)</f>
        <v>7863.2184191855868</v>
      </c>
      <c r="K1150" s="455">
        <f t="shared" ca="1" si="105"/>
        <v>-82431.453739154953</v>
      </c>
      <c r="L1150" s="455">
        <f t="shared" ca="1" si="106"/>
        <v>-19865980.351136345</v>
      </c>
      <c r="M1150" s="471">
        <f t="shared" si="109"/>
        <v>0.05</v>
      </c>
      <c r="N1150" s="475">
        <f t="shared" si="110"/>
        <v>86046</v>
      </c>
    </row>
    <row r="1151" spans="7:14" ht="11.25" customHeight="1" x14ac:dyDescent="0.3">
      <c r="G1151" s="470">
        <f t="shared" si="120"/>
        <v>96</v>
      </c>
      <c r="H1151" s="470">
        <v>1144</v>
      </c>
      <c r="I1151" s="455">
        <f t="shared" ca="1" si="108"/>
        <v>-19865980.351136345</v>
      </c>
      <c r="J1151" s="455">
        <f t="array" ref="J1151">IFERROR(INDEX('Retirement Calculator'!J:J,MATCH('Isaac 401k'!N1151,'Retirement Calculator'!A:A,0),0),0)</f>
        <v>7863.2184191855868</v>
      </c>
      <c r="K1151" s="455">
        <f t="shared" ca="1" si="105"/>
        <v>-82807.681539814716</v>
      </c>
      <c r="L1151" s="455">
        <f t="shared" ca="1" si="106"/>
        <v>-19956651.251095347</v>
      </c>
      <c r="M1151" s="471">
        <f t="shared" si="109"/>
        <v>0.05</v>
      </c>
      <c r="N1151" s="475">
        <f t="shared" si="110"/>
        <v>86077</v>
      </c>
    </row>
    <row r="1152" spans="7:14" ht="11.25" customHeight="1" x14ac:dyDescent="0.3">
      <c r="G1152" s="470">
        <f t="shared" si="120"/>
        <v>96</v>
      </c>
      <c r="H1152" s="470">
        <v>1145</v>
      </c>
      <c r="I1152" s="455">
        <f t="shared" ca="1" si="108"/>
        <v>-19956651.251095347</v>
      </c>
      <c r="J1152" s="455">
        <f t="array" ref="J1152">IFERROR(INDEX('Retirement Calculator'!J:J,MATCH('Isaac 401k'!N1152,'Retirement Calculator'!A:A,0),0),0)</f>
        <v>7863.2184191855868</v>
      </c>
      <c r="K1152" s="455">
        <f t="shared" ca="1" si="105"/>
        <v>-83185.476956310551</v>
      </c>
      <c r="L1152" s="455">
        <f t="shared" ca="1" si="106"/>
        <v>-20047699.946470845</v>
      </c>
      <c r="M1152" s="471">
        <f t="shared" si="109"/>
        <v>0.05</v>
      </c>
      <c r="N1152" s="475">
        <f t="shared" si="110"/>
        <v>86107</v>
      </c>
    </row>
    <row r="1153" spans="7:14" ht="11.25" customHeight="1" x14ac:dyDescent="0.3">
      <c r="G1153" s="470">
        <f t="shared" si="120"/>
        <v>96</v>
      </c>
      <c r="H1153" s="470">
        <v>1146</v>
      </c>
      <c r="I1153" s="455">
        <f t="shared" ca="1" si="108"/>
        <v>-20047699.946470845</v>
      </c>
      <c r="J1153" s="455">
        <f t="array" ref="J1153">IFERROR(INDEX('Retirement Calculator'!J:J,MATCH('Isaac 401k'!N1153,'Retirement Calculator'!A:A,0),0),0)</f>
        <v>7863.2184191855868</v>
      </c>
      <c r="K1153" s="455">
        <f t="shared" ca="1" si="105"/>
        <v>-83564.84652037514</v>
      </c>
      <c r="L1153" s="455">
        <f t="shared" ca="1" si="106"/>
        <v>-20139128.011410408</v>
      </c>
      <c r="M1153" s="471">
        <f t="shared" si="109"/>
        <v>0.05</v>
      </c>
      <c r="N1153" s="475">
        <f t="shared" si="110"/>
        <v>86138</v>
      </c>
    </row>
    <row r="1154" spans="7:14" ht="11.25" customHeight="1" x14ac:dyDescent="0.3">
      <c r="G1154" s="470">
        <f t="shared" si="120"/>
        <v>96</v>
      </c>
      <c r="H1154" s="470">
        <v>1147</v>
      </c>
      <c r="I1154" s="455">
        <f t="shared" ca="1" si="108"/>
        <v>-20139128.011410408</v>
      </c>
      <c r="J1154" s="455">
        <f t="array" ref="J1154">IFERROR(INDEX('Retirement Calculator'!J:J,MATCH('Isaac 401k'!N1154,'Retirement Calculator'!A:A,0),0),0)</f>
        <v>7863.2184191855868</v>
      </c>
      <c r="K1154" s="455">
        <f t="shared" ca="1" si="105"/>
        <v>-83945.796790956636</v>
      </c>
      <c r="L1154" s="455">
        <f t="shared" ca="1" si="106"/>
        <v>-20230937.026620552</v>
      </c>
      <c r="M1154" s="471">
        <f t="shared" si="109"/>
        <v>0.05</v>
      </c>
      <c r="N1154" s="475">
        <f t="shared" si="110"/>
        <v>86168</v>
      </c>
    </row>
    <row r="1155" spans="7:14" ht="11.25" customHeight="1" x14ac:dyDescent="0.3">
      <c r="G1155" s="470">
        <f t="shared" si="120"/>
        <v>96</v>
      </c>
      <c r="H1155" s="470">
        <v>1148</v>
      </c>
      <c r="I1155" s="455">
        <f t="shared" ca="1" si="108"/>
        <v>-20230937.026620552</v>
      </c>
      <c r="J1155" s="455">
        <f t="array" ref="J1155">IFERROR(INDEX('Retirement Calculator'!J:J,MATCH('Isaac 401k'!N1155,'Retirement Calculator'!A:A,0),0),0)</f>
        <v>7863.2184191855868</v>
      </c>
      <c r="K1155" s="455">
        <f t="shared" ca="1" si="105"/>
        <v>-84328.334354332241</v>
      </c>
      <c r="L1155" s="455">
        <f t="shared" ca="1" si="106"/>
        <v>-20323128.579394072</v>
      </c>
      <c r="M1155" s="471">
        <f t="shared" si="109"/>
        <v>0.05</v>
      </c>
      <c r="N1155" s="475">
        <f t="shared" si="110"/>
        <v>86199</v>
      </c>
    </row>
    <row r="1156" spans="7:14" ht="11.25" customHeight="1" x14ac:dyDescent="0.3">
      <c r="G1156" s="470">
        <f t="shared" si="120"/>
        <v>96</v>
      </c>
      <c r="H1156" s="470">
        <v>1149</v>
      </c>
      <c r="I1156" s="455">
        <f t="shared" ca="1" si="108"/>
        <v>-20323128.579394072</v>
      </c>
      <c r="J1156" s="455">
        <f t="array" ref="J1156">IFERROR(INDEX('Retirement Calculator'!J:J,MATCH('Isaac 401k'!N1156,'Retirement Calculator'!A:A,0),0),0)</f>
        <v>7863.2184191855868</v>
      </c>
      <c r="K1156" s="455">
        <f t="shared" ca="1" si="105"/>
        <v>-84712.465824221916</v>
      </c>
      <c r="L1156" s="455">
        <f t="shared" ca="1" si="106"/>
        <v>-20415704.263637479</v>
      </c>
      <c r="M1156" s="471">
        <f t="shared" si="109"/>
        <v>0.05</v>
      </c>
      <c r="N1156" s="475">
        <f t="shared" si="110"/>
        <v>86230</v>
      </c>
    </row>
    <row r="1157" spans="7:14" ht="11.25" customHeight="1" x14ac:dyDescent="0.3">
      <c r="G1157" s="470">
        <f t="shared" si="120"/>
        <v>96</v>
      </c>
      <c r="H1157" s="470">
        <v>1150</v>
      </c>
      <c r="I1157" s="455">
        <f t="shared" ca="1" si="108"/>
        <v>-20415704.263637479</v>
      </c>
      <c r="J1157" s="455">
        <f t="array" ref="J1157">IFERROR(INDEX('Retirement Calculator'!J:J,MATCH('Isaac 401k'!N1157,'Retirement Calculator'!A:A,0),0),0)</f>
        <v>7863.2184191855868</v>
      </c>
      <c r="K1157" s="455">
        <f t="shared" ca="1" si="105"/>
        <v>-85098.197841902773</v>
      </c>
      <c r="L1157" s="455">
        <f t="shared" ca="1" si="106"/>
        <v>-20508665.679898567</v>
      </c>
      <c r="M1157" s="471">
        <f t="shared" si="109"/>
        <v>0.05</v>
      </c>
      <c r="N1157" s="475">
        <f t="shared" si="110"/>
        <v>86259</v>
      </c>
    </row>
    <row r="1158" spans="7:14" ht="11.25" customHeight="1" x14ac:dyDescent="0.3">
      <c r="G1158" s="470">
        <f t="shared" si="120"/>
        <v>96</v>
      </c>
      <c r="H1158" s="470">
        <v>1151</v>
      </c>
      <c r="I1158" s="455">
        <f t="shared" ca="1" si="108"/>
        <v>-20508665.679898567</v>
      </c>
      <c r="J1158" s="455">
        <f t="array" ref="J1158">IFERROR(INDEX('Retirement Calculator'!J:J,MATCH('Isaac 401k'!N1158,'Retirement Calculator'!A:A,0),0),0)</f>
        <v>7863.2184191855868</v>
      </c>
      <c r="K1158" s="455">
        <f t="shared" ca="1" si="105"/>
        <v>-85485.537076323977</v>
      </c>
      <c r="L1158" s="455">
        <f t="shared" ca="1" si="106"/>
        <v>-20602014.435394078</v>
      </c>
      <c r="M1158" s="471">
        <f t="shared" si="109"/>
        <v>0.05</v>
      </c>
      <c r="N1158" s="475">
        <f t="shared" si="110"/>
        <v>86290</v>
      </c>
    </row>
    <row r="1159" spans="7:14" ht="11.25" customHeight="1" x14ac:dyDescent="0.3">
      <c r="G1159" s="470">
        <f t="shared" si="120"/>
        <v>96</v>
      </c>
      <c r="H1159" s="470">
        <v>1152</v>
      </c>
      <c r="I1159" s="455">
        <f t="shared" ca="1" si="108"/>
        <v>-20602014.435394078</v>
      </c>
      <c r="J1159" s="455">
        <f t="array" ref="J1159">IFERROR(INDEX('Retirement Calculator'!J:J,MATCH('Isaac 401k'!N1159,'Retirement Calculator'!A:A,0),0),0)</f>
        <v>7863.2184191855868</v>
      </c>
      <c r="K1159" s="455">
        <f t="shared" ca="1" si="105"/>
        <v>-85874.49022422194</v>
      </c>
      <c r="L1159" s="455">
        <f t="shared" ca="1" si="106"/>
        <v>-20695752.144037489</v>
      </c>
      <c r="M1159" s="471">
        <f t="shared" si="109"/>
        <v>0.05</v>
      </c>
      <c r="N1159" s="475">
        <f t="shared" si="110"/>
        <v>86320</v>
      </c>
    </row>
    <row r="1160" spans="7:14" ht="11.25" customHeight="1" x14ac:dyDescent="0.3">
      <c r="G1160" s="470">
        <f>G1159+1</f>
        <v>97</v>
      </c>
      <c r="H1160" s="470">
        <v>1153</v>
      </c>
      <c r="I1160" s="455">
        <f t="shared" ca="1" si="108"/>
        <v>-20695752.144037489</v>
      </c>
      <c r="J1160" s="455">
        <f t="array" ref="J1160">IFERROR(INDEX('Retirement Calculator'!J:J,MATCH('Isaac 401k'!N1160,'Retirement Calculator'!A:A,0),0),0)</f>
        <v>7863.2184191855868</v>
      </c>
      <c r="K1160" s="455">
        <f t="shared" ca="1" si="105"/>
        <v>-86265.06401023615</v>
      </c>
      <c r="L1160" s="455">
        <f t="shared" ca="1" si="106"/>
        <v>-20789880.426466912</v>
      </c>
      <c r="M1160" s="471">
        <f t="shared" si="109"/>
        <v>0.05</v>
      </c>
      <c r="N1160" s="475">
        <f t="shared" si="110"/>
        <v>86351</v>
      </c>
    </row>
    <row r="1161" spans="7:14" ht="11.25" customHeight="1" x14ac:dyDescent="0.3">
      <c r="G1161" s="470">
        <f t="shared" ref="G1161:G1171" si="121">G1160</f>
        <v>97</v>
      </c>
      <c r="H1161" s="470">
        <v>1154</v>
      </c>
      <c r="I1161" s="455">
        <f t="shared" ca="1" si="108"/>
        <v>-20789880.426466912</v>
      </c>
      <c r="J1161" s="455">
        <f t="array" ref="J1161">IFERROR(INDEX('Retirement Calculator'!J:J,MATCH('Isaac 401k'!N1161,'Retirement Calculator'!A:A,0),0),0)</f>
        <v>7863.2184191855868</v>
      </c>
      <c r="K1161" s="455">
        <f t="shared" ca="1" si="105"/>
        <v>-86657.265187025405</v>
      </c>
      <c r="L1161" s="455">
        <f t="shared" ca="1" si="106"/>
        <v>-20884400.910073124</v>
      </c>
      <c r="M1161" s="471">
        <f t="shared" si="109"/>
        <v>0.05</v>
      </c>
      <c r="N1161" s="475">
        <f t="shared" si="110"/>
        <v>86381</v>
      </c>
    </row>
    <row r="1162" spans="7:14" ht="11.25" customHeight="1" x14ac:dyDescent="0.3">
      <c r="G1162" s="470">
        <f t="shared" si="121"/>
        <v>97</v>
      </c>
      <c r="H1162" s="470">
        <v>1155</v>
      </c>
      <c r="I1162" s="455">
        <f t="shared" ca="1" si="108"/>
        <v>-20884400.910073124</v>
      </c>
      <c r="J1162" s="455">
        <f t="array" ref="J1162">IFERROR(INDEX('Retirement Calculator'!J:J,MATCH('Isaac 401k'!N1162,'Retirement Calculator'!A:A,0),0),0)</f>
        <v>7863.2184191855868</v>
      </c>
      <c r="K1162" s="455">
        <f t="shared" ca="1" si="105"/>
        <v>-87051.100535384627</v>
      </c>
      <c r="L1162" s="455">
        <f t="shared" ca="1" si="106"/>
        <v>-20979315.229027696</v>
      </c>
      <c r="M1162" s="471">
        <f t="shared" si="109"/>
        <v>0.05</v>
      </c>
      <c r="N1162" s="475">
        <f t="shared" si="110"/>
        <v>86412</v>
      </c>
    </row>
    <row r="1163" spans="7:14" ht="11.25" customHeight="1" x14ac:dyDescent="0.3">
      <c r="G1163" s="470">
        <f t="shared" si="121"/>
        <v>97</v>
      </c>
      <c r="H1163" s="470">
        <v>1156</v>
      </c>
      <c r="I1163" s="455">
        <f t="shared" ca="1" si="108"/>
        <v>-20979315.229027696</v>
      </c>
      <c r="J1163" s="455">
        <f t="array" ref="J1163">IFERROR(INDEX('Retirement Calculator'!J:J,MATCH('Isaac 401k'!N1163,'Retirement Calculator'!A:A,0),0),0)</f>
        <v>7863.2184191855868</v>
      </c>
      <c r="K1163" s="455">
        <f t="shared" ca="1" si="105"/>
        <v>-87446.57686436201</v>
      </c>
      <c r="L1163" s="455">
        <f t="shared" ca="1" si="106"/>
        <v>-21074625.024311244</v>
      </c>
      <c r="M1163" s="471">
        <f t="shared" si="109"/>
        <v>0.05</v>
      </c>
      <c r="N1163" s="475">
        <f t="shared" si="110"/>
        <v>86443</v>
      </c>
    </row>
    <row r="1164" spans="7:14" ht="11.25" customHeight="1" x14ac:dyDescent="0.3">
      <c r="G1164" s="470">
        <f t="shared" si="121"/>
        <v>97</v>
      </c>
      <c r="H1164" s="470">
        <v>1157</v>
      </c>
      <c r="I1164" s="455">
        <f t="shared" ca="1" si="108"/>
        <v>-21074625.024311244</v>
      </c>
      <c r="J1164" s="455">
        <f t="array" ref="J1164">IFERROR(INDEX('Retirement Calculator'!J:J,MATCH('Isaac 401k'!N1164,'Retirement Calculator'!A:A,0),0),0)</f>
        <v>7863.2184191855868</v>
      </c>
      <c r="K1164" s="455">
        <f t="shared" ca="1" si="105"/>
        <v>-87843.70101137679</v>
      </c>
      <c r="L1164" s="455">
        <f t="shared" ca="1" si="106"/>
        <v>-21170331.94374181</v>
      </c>
      <c r="M1164" s="471">
        <f t="shared" si="109"/>
        <v>0.05</v>
      </c>
      <c r="N1164" s="475">
        <f t="shared" si="110"/>
        <v>86473</v>
      </c>
    </row>
    <row r="1165" spans="7:14" ht="11.25" customHeight="1" x14ac:dyDescent="0.3">
      <c r="G1165" s="470">
        <f t="shared" si="121"/>
        <v>97</v>
      </c>
      <c r="H1165" s="470">
        <v>1158</v>
      </c>
      <c r="I1165" s="455">
        <f t="shared" ca="1" si="108"/>
        <v>-21170331.94374181</v>
      </c>
      <c r="J1165" s="455">
        <f t="array" ref="J1165">IFERROR(INDEX('Retirement Calculator'!J:J,MATCH('Isaac 401k'!N1165,'Retirement Calculator'!A:A,0),0),0)</f>
        <v>7863.2184191855868</v>
      </c>
      <c r="K1165" s="455">
        <f t="shared" ca="1" si="105"/>
        <v>-88242.479842337489</v>
      </c>
      <c r="L1165" s="455">
        <f t="shared" ca="1" si="106"/>
        <v>-21266437.642003335</v>
      </c>
      <c r="M1165" s="471">
        <f t="shared" si="109"/>
        <v>0.05</v>
      </c>
      <c r="N1165" s="475">
        <f t="shared" si="110"/>
        <v>86504</v>
      </c>
    </row>
    <row r="1166" spans="7:14" ht="11.25" customHeight="1" x14ac:dyDescent="0.3">
      <c r="G1166" s="470">
        <f t="shared" si="121"/>
        <v>97</v>
      </c>
      <c r="H1166" s="470">
        <v>1159</v>
      </c>
      <c r="I1166" s="455">
        <f t="shared" ca="1" si="108"/>
        <v>-21266437.642003335</v>
      </c>
      <c r="J1166" s="455">
        <f t="array" ref="J1166">IFERROR(INDEX('Retirement Calculator'!J:J,MATCH('Isaac 401k'!N1166,'Retirement Calculator'!A:A,0),0),0)</f>
        <v>7863.2184191855868</v>
      </c>
      <c r="K1166" s="455">
        <f t="shared" ca="1" si="105"/>
        <v>-88642.920251760501</v>
      </c>
      <c r="L1166" s="455">
        <f t="shared" ca="1" si="106"/>
        <v>-21362943.780674282</v>
      </c>
      <c r="M1166" s="471">
        <f t="shared" si="109"/>
        <v>0.05</v>
      </c>
      <c r="N1166" s="475">
        <f t="shared" si="110"/>
        <v>86534</v>
      </c>
    </row>
    <row r="1167" spans="7:14" ht="11.25" customHeight="1" x14ac:dyDescent="0.3">
      <c r="G1167" s="470">
        <f t="shared" si="121"/>
        <v>97</v>
      </c>
      <c r="H1167" s="470">
        <v>1160</v>
      </c>
      <c r="I1167" s="455">
        <f t="shared" ca="1" si="108"/>
        <v>-21362943.780674282</v>
      </c>
      <c r="J1167" s="455">
        <f t="array" ref="J1167">IFERROR(INDEX('Retirement Calculator'!J:J,MATCH('Isaac 401k'!N1167,'Retirement Calculator'!A:A,0),0),0)</f>
        <v>7863.2184191855868</v>
      </c>
      <c r="K1167" s="455">
        <f t="shared" ca="1" si="105"/>
        <v>-89045.029162889448</v>
      </c>
      <c r="L1167" s="455">
        <f t="shared" ca="1" si="106"/>
        <v>-21459852.02825636</v>
      </c>
      <c r="M1167" s="471">
        <f t="shared" si="109"/>
        <v>0.05</v>
      </c>
      <c r="N1167" s="475">
        <f t="shared" si="110"/>
        <v>86565</v>
      </c>
    </row>
    <row r="1168" spans="7:14" ht="11.25" customHeight="1" x14ac:dyDescent="0.3">
      <c r="G1168" s="470">
        <f t="shared" si="121"/>
        <v>97</v>
      </c>
      <c r="H1168" s="470">
        <v>1161</v>
      </c>
      <c r="I1168" s="455">
        <f t="shared" ca="1" si="108"/>
        <v>-21459852.02825636</v>
      </c>
      <c r="J1168" s="455">
        <f t="array" ref="J1168">IFERROR(INDEX('Retirement Calculator'!J:J,MATCH('Isaac 401k'!N1168,'Retirement Calculator'!A:A,0),0),0)</f>
        <v>7863.2184191855868</v>
      </c>
      <c r="K1168" s="455">
        <f t="shared" ca="1" si="105"/>
        <v>-89448.813527814782</v>
      </c>
      <c r="L1168" s="455">
        <f t="shared" ca="1" si="106"/>
        <v>-21557164.060203362</v>
      </c>
      <c r="M1168" s="471">
        <f t="shared" si="109"/>
        <v>0.05</v>
      </c>
      <c r="N1168" s="475">
        <f t="shared" si="110"/>
        <v>86596</v>
      </c>
    </row>
    <row r="1169" spans="7:14" ht="11.25" customHeight="1" x14ac:dyDescent="0.3">
      <c r="G1169" s="470">
        <f t="shared" si="121"/>
        <v>97</v>
      </c>
      <c r="H1169" s="470">
        <v>1162</v>
      </c>
      <c r="I1169" s="455">
        <f t="shared" ca="1" si="108"/>
        <v>-21557164.060203362</v>
      </c>
      <c r="J1169" s="455">
        <f t="array" ref="J1169">IFERROR(INDEX('Retirement Calculator'!J:J,MATCH('Isaac 401k'!N1169,'Retirement Calculator'!A:A,0),0),0)</f>
        <v>0</v>
      </c>
      <c r="K1169" s="455">
        <f t="shared" ca="1" si="105"/>
        <v>-89821.516917514004</v>
      </c>
      <c r="L1169" s="455">
        <f t="shared" ca="1" si="106"/>
        <v>-21646985.577120878</v>
      </c>
      <c r="M1169" s="471">
        <f t="shared" si="109"/>
        <v>0.05</v>
      </c>
      <c r="N1169" s="475">
        <f t="shared" si="110"/>
        <v>86624</v>
      </c>
    </row>
    <row r="1170" spans="7:14" ht="11.25" customHeight="1" x14ac:dyDescent="0.3">
      <c r="G1170" s="470">
        <f t="shared" si="121"/>
        <v>97</v>
      </c>
      <c r="H1170" s="470">
        <v>1163</v>
      </c>
      <c r="I1170" s="455">
        <f t="shared" ca="1" si="108"/>
        <v>-21646985.577120878</v>
      </c>
      <c r="J1170" s="455">
        <f t="array" ref="J1170">IFERROR(INDEX('Retirement Calculator'!J:J,MATCH('Isaac 401k'!N1170,'Retirement Calculator'!A:A,0),0),0)</f>
        <v>0</v>
      </c>
      <c r="K1170" s="455">
        <f t="shared" ca="1" si="105"/>
        <v>-90195.773238003661</v>
      </c>
      <c r="L1170" s="455">
        <f t="shared" ca="1" si="106"/>
        <v>-21737181.350358881</v>
      </c>
      <c r="M1170" s="471">
        <f t="shared" si="109"/>
        <v>0.05</v>
      </c>
      <c r="N1170" s="475">
        <f t="shared" si="110"/>
        <v>86655</v>
      </c>
    </row>
    <row r="1171" spans="7:14" ht="11.25" customHeight="1" x14ac:dyDescent="0.3">
      <c r="G1171" s="470">
        <f t="shared" si="121"/>
        <v>97</v>
      </c>
      <c r="H1171" s="470">
        <v>1164</v>
      </c>
      <c r="I1171" s="455">
        <f t="shared" ca="1" si="108"/>
        <v>-21737181.350358881</v>
      </c>
      <c r="J1171" s="455">
        <f t="array" ref="J1171">IFERROR(INDEX('Retirement Calculator'!J:J,MATCH('Isaac 401k'!N1171,'Retirement Calculator'!A:A,0),0),0)</f>
        <v>0</v>
      </c>
      <c r="K1171" s="455">
        <f t="shared" ca="1" si="105"/>
        <v>-90571.588959828674</v>
      </c>
      <c r="L1171" s="455">
        <f t="shared" ca="1" si="106"/>
        <v>-21827752.939318709</v>
      </c>
      <c r="M1171" s="471">
        <f t="shared" si="109"/>
        <v>0.05</v>
      </c>
      <c r="N1171" s="475">
        <f t="shared" si="110"/>
        <v>86685</v>
      </c>
    </row>
    <row r="1172" spans="7:14" ht="11.25" customHeight="1" x14ac:dyDescent="0.3">
      <c r="G1172" s="470">
        <f>G1171+1</f>
        <v>98</v>
      </c>
      <c r="H1172" s="470">
        <v>1165</v>
      </c>
      <c r="I1172" s="455">
        <f t="shared" ca="1" si="108"/>
        <v>-21827752.939318709</v>
      </c>
      <c r="J1172" s="455">
        <f t="array" ref="J1172">IFERROR(INDEX('Retirement Calculator'!J:J,MATCH('Isaac 401k'!N1172,'Retirement Calculator'!A:A,0),0),0)</f>
        <v>0</v>
      </c>
      <c r="K1172" s="455">
        <f t="shared" ca="1" si="105"/>
        <v>-90948.970580494613</v>
      </c>
      <c r="L1172" s="455">
        <f t="shared" ca="1" si="106"/>
        <v>-21918701.909899205</v>
      </c>
      <c r="M1172" s="471">
        <f t="shared" si="109"/>
        <v>0.05</v>
      </c>
      <c r="N1172" s="475">
        <f t="shared" si="110"/>
        <v>86716</v>
      </c>
    </row>
    <row r="1173" spans="7:14" ht="11.25" customHeight="1" x14ac:dyDescent="0.3">
      <c r="G1173" s="470">
        <f t="shared" ref="G1173:G1183" si="122">G1172</f>
        <v>98</v>
      </c>
      <c r="H1173" s="470">
        <v>1166</v>
      </c>
      <c r="I1173" s="455">
        <f t="shared" ca="1" si="108"/>
        <v>-21918701.909899205</v>
      </c>
      <c r="J1173" s="455">
        <f t="array" ref="J1173">IFERROR(INDEX('Retirement Calculator'!J:J,MATCH('Isaac 401k'!N1173,'Retirement Calculator'!A:A,0),0),0)</f>
        <v>0</v>
      </c>
      <c r="K1173" s="455">
        <f t="shared" ca="1" si="105"/>
        <v>-91327.924624580017</v>
      </c>
      <c r="L1173" s="455">
        <f t="shared" ca="1" si="106"/>
        <v>-22010029.834523786</v>
      </c>
      <c r="M1173" s="471">
        <f t="shared" si="109"/>
        <v>0.05</v>
      </c>
      <c r="N1173" s="475">
        <f t="shared" si="110"/>
        <v>86746</v>
      </c>
    </row>
    <row r="1174" spans="7:14" ht="11.25" customHeight="1" x14ac:dyDescent="0.3">
      <c r="G1174" s="470">
        <f t="shared" si="122"/>
        <v>98</v>
      </c>
      <c r="H1174" s="470">
        <v>1167</v>
      </c>
      <c r="I1174" s="455">
        <f t="shared" ca="1" si="108"/>
        <v>-22010029.834523786</v>
      </c>
      <c r="J1174" s="455">
        <f t="array" ref="J1174">IFERROR(INDEX('Retirement Calculator'!J:J,MATCH('Isaac 401k'!N1174,'Retirement Calculator'!A:A,0),0),0)</f>
        <v>0</v>
      </c>
      <c r="K1174" s="455">
        <f t="shared" ca="1" si="105"/>
        <v>-91708.457643849106</v>
      </c>
      <c r="L1174" s="455">
        <f t="shared" ca="1" si="106"/>
        <v>-22101738.292167634</v>
      </c>
      <c r="M1174" s="471">
        <f t="shared" si="109"/>
        <v>0.05</v>
      </c>
      <c r="N1174" s="475">
        <f t="shared" si="110"/>
        <v>86777</v>
      </c>
    </row>
    <row r="1175" spans="7:14" ht="11.25" customHeight="1" x14ac:dyDescent="0.3">
      <c r="G1175" s="470">
        <f t="shared" si="122"/>
        <v>98</v>
      </c>
      <c r="H1175" s="470">
        <v>1168</v>
      </c>
      <c r="I1175" s="455">
        <f t="shared" ca="1" si="108"/>
        <v>-22101738.292167634</v>
      </c>
      <c r="J1175" s="455">
        <f t="array" ref="J1175">IFERROR(INDEX('Retirement Calculator'!J:J,MATCH('Isaac 401k'!N1175,'Retirement Calculator'!A:A,0),0),0)</f>
        <v>0</v>
      </c>
      <c r="K1175" s="455">
        <f t="shared" ca="1" si="105"/>
        <v>-92090.576217365146</v>
      </c>
      <c r="L1175" s="455">
        <f t="shared" ca="1" si="106"/>
        <v>-22193828.868384998</v>
      </c>
      <c r="M1175" s="471">
        <f t="shared" si="109"/>
        <v>0.05</v>
      </c>
      <c r="N1175" s="475">
        <f t="shared" si="110"/>
        <v>86808</v>
      </c>
    </row>
    <row r="1176" spans="7:14" ht="11.25" customHeight="1" x14ac:dyDescent="0.3">
      <c r="G1176" s="470">
        <f t="shared" si="122"/>
        <v>98</v>
      </c>
      <c r="H1176" s="470">
        <v>1169</v>
      </c>
      <c r="I1176" s="455">
        <f t="shared" ca="1" si="108"/>
        <v>-22193828.868384998</v>
      </c>
      <c r="J1176" s="455">
        <f t="array" ref="J1176">IFERROR(INDEX('Retirement Calculator'!J:J,MATCH('Isaac 401k'!N1176,'Retirement Calculator'!A:A,0),0),0)</f>
        <v>0</v>
      </c>
      <c r="K1176" s="455">
        <f t="shared" ca="1" si="105"/>
        <v>-92474.286951604154</v>
      </c>
      <c r="L1176" s="455">
        <f t="shared" ca="1" si="106"/>
        <v>-22286303.155336604</v>
      </c>
      <c r="M1176" s="471">
        <f t="shared" si="109"/>
        <v>0.05</v>
      </c>
      <c r="N1176" s="475">
        <f t="shared" si="110"/>
        <v>86838</v>
      </c>
    </row>
    <row r="1177" spans="7:14" ht="11.25" customHeight="1" x14ac:dyDescent="0.3">
      <c r="G1177" s="470">
        <f t="shared" si="122"/>
        <v>98</v>
      </c>
      <c r="H1177" s="470">
        <v>1170</v>
      </c>
      <c r="I1177" s="455">
        <f t="shared" ca="1" si="108"/>
        <v>-22286303.155336604</v>
      </c>
      <c r="J1177" s="455">
        <f t="array" ref="J1177">IFERROR(INDEX('Retirement Calculator'!J:J,MATCH('Isaac 401k'!N1177,'Retirement Calculator'!A:A,0),0),0)</f>
        <v>0</v>
      </c>
      <c r="K1177" s="455">
        <f t="shared" ca="1" si="105"/>
        <v>-92859.596480569176</v>
      </c>
      <c r="L1177" s="455">
        <f t="shared" ca="1" si="106"/>
        <v>-22379162.751817174</v>
      </c>
      <c r="M1177" s="471">
        <f t="shared" si="109"/>
        <v>0.05</v>
      </c>
      <c r="N1177" s="475">
        <f t="shared" si="110"/>
        <v>86869</v>
      </c>
    </row>
    <row r="1178" spans="7:14" ht="11.25" customHeight="1" x14ac:dyDescent="0.3">
      <c r="G1178" s="470">
        <f t="shared" si="122"/>
        <v>98</v>
      </c>
      <c r="H1178" s="470">
        <v>1171</v>
      </c>
      <c r="I1178" s="455">
        <f t="shared" ca="1" si="108"/>
        <v>-22379162.751817174</v>
      </c>
      <c r="J1178" s="455">
        <f t="array" ref="J1178">IFERROR(INDEX('Retirement Calculator'!J:J,MATCH('Isaac 401k'!N1178,'Retirement Calculator'!A:A,0),0),0)</f>
        <v>0</v>
      </c>
      <c r="K1178" s="455">
        <f t="shared" ca="1" si="105"/>
        <v>-93246.511465904885</v>
      </c>
      <c r="L1178" s="455">
        <f t="shared" ca="1" si="106"/>
        <v>-22472409.263283078</v>
      </c>
      <c r="M1178" s="471">
        <f t="shared" si="109"/>
        <v>0.05</v>
      </c>
      <c r="N1178" s="475">
        <f t="shared" si="110"/>
        <v>86899</v>
      </c>
    </row>
    <row r="1179" spans="7:14" ht="11.25" customHeight="1" x14ac:dyDescent="0.3">
      <c r="G1179" s="470">
        <f t="shared" si="122"/>
        <v>98</v>
      </c>
      <c r="H1179" s="470">
        <v>1172</v>
      </c>
      <c r="I1179" s="455">
        <f t="shared" ca="1" si="108"/>
        <v>-22472409.263283078</v>
      </c>
      <c r="J1179" s="455">
        <f t="array" ref="J1179">IFERROR(INDEX('Retirement Calculator'!J:J,MATCH('Isaac 401k'!N1179,'Retirement Calculator'!A:A,0),0),0)</f>
        <v>0</v>
      </c>
      <c r="K1179" s="455">
        <f t="shared" ca="1" si="105"/>
        <v>-93635.038597012826</v>
      </c>
      <c r="L1179" s="455">
        <f t="shared" ca="1" si="106"/>
        <v>-22566044.301880091</v>
      </c>
      <c r="M1179" s="471">
        <f t="shared" si="109"/>
        <v>0.05</v>
      </c>
      <c r="N1179" s="475">
        <f t="shared" si="110"/>
        <v>86930</v>
      </c>
    </row>
    <row r="1180" spans="7:14" ht="11.25" customHeight="1" x14ac:dyDescent="0.3">
      <c r="G1180" s="470">
        <f t="shared" si="122"/>
        <v>98</v>
      </c>
      <c r="H1180" s="470">
        <v>1173</v>
      </c>
      <c r="I1180" s="455">
        <f t="shared" ca="1" si="108"/>
        <v>-22566044.301880091</v>
      </c>
      <c r="J1180" s="455">
        <f t="array" ref="J1180">IFERROR(INDEX('Retirement Calculator'!J:J,MATCH('Isaac 401k'!N1180,'Retirement Calculator'!A:A,0),0),0)</f>
        <v>0</v>
      </c>
      <c r="K1180" s="455">
        <f t="shared" ca="1" si="105"/>
        <v>-94025.184591167053</v>
      </c>
      <c r="L1180" s="455">
        <f t="shared" ca="1" si="106"/>
        <v>-22660069.486471258</v>
      </c>
      <c r="M1180" s="471">
        <f t="shared" si="109"/>
        <v>0.05</v>
      </c>
      <c r="N1180" s="475">
        <f t="shared" si="110"/>
        <v>86961</v>
      </c>
    </row>
    <row r="1181" spans="7:14" ht="11.25" customHeight="1" x14ac:dyDescent="0.3">
      <c r="G1181" s="470">
        <f t="shared" si="122"/>
        <v>98</v>
      </c>
      <c r="H1181" s="470">
        <v>1174</v>
      </c>
      <c r="I1181" s="455">
        <f t="shared" ca="1" si="108"/>
        <v>-22660069.486471258</v>
      </c>
      <c r="J1181" s="455">
        <f t="array" ref="J1181">IFERROR(INDEX('Retirement Calculator'!J:J,MATCH('Isaac 401k'!N1181,'Retirement Calculator'!A:A,0),0),0)</f>
        <v>0</v>
      </c>
      <c r="K1181" s="455">
        <f t="shared" ca="1" si="105"/>
        <v>-94416.956193630234</v>
      </c>
      <c r="L1181" s="455">
        <f t="shared" ca="1" si="106"/>
        <v>-22754486.442664888</v>
      </c>
      <c r="M1181" s="471">
        <f t="shared" si="109"/>
        <v>0.05</v>
      </c>
      <c r="N1181" s="475">
        <f t="shared" si="110"/>
        <v>86989</v>
      </c>
    </row>
    <row r="1182" spans="7:14" ht="11.25" customHeight="1" x14ac:dyDescent="0.3">
      <c r="G1182" s="470">
        <f t="shared" si="122"/>
        <v>98</v>
      </c>
      <c r="H1182" s="470">
        <v>1175</v>
      </c>
      <c r="I1182" s="455">
        <f t="shared" ca="1" si="108"/>
        <v>-22754486.442664888</v>
      </c>
      <c r="J1182" s="455">
        <f t="array" ref="J1182">IFERROR(INDEX('Retirement Calculator'!J:J,MATCH('Isaac 401k'!N1182,'Retirement Calculator'!A:A,0),0),0)</f>
        <v>0</v>
      </c>
      <c r="K1182" s="455">
        <f t="shared" ca="1" si="105"/>
        <v>-94810.360177770359</v>
      </c>
      <c r="L1182" s="455">
        <f t="shared" ca="1" si="106"/>
        <v>-22849296.802842658</v>
      </c>
      <c r="M1182" s="471">
        <f t="shared" si="109"/>
        <v>0.05</v>
      </c>
      <c r="N1182" s="475">
        <f t="shared" si="110"/>
        <v>87020</v>
      </c>
    </row>
    <row r="1183" spans="7:14" ht="11.25" customHeight="1" x14ac:dyDescent="0.3">
      <c r="G1183" s="470">
        <f t="shared" si="122"/>
        <v>98</v>
      </c>
      <c r="H1183" s="470">
        <v>1176</v>
      </c>
      <c r="I1183" s="455">
        <f t="shared" ca="1" si="108"/>
        <v>-22849296.802842658</v>
      </c>
      <c r="J1183" s="455">
        <f t="array" ref="J1183">IFERROR(INDEX('Retirement Calculator'!J:J,MATCH('Isaac 401k'!N1183,'Retirement Calculator'!A:A,0),0),0)</f>
        <v>0</v>
      </c>
      <c r="K1183" s="455">
        <f t="shared" ca="1" si="105"/>
        <v>-95205.403345177736</v>
      </c>
      <c r="L1183" s="455">
        <f t="shared" ca="1" si="106"/>
        <v>-22944502.206187837</v>
      </c>
      <c r="M1183" s="471">
        <f t="shared" si="109"/>
        <v>0.05</v>
      </c>
      <c r="N1183" s="475">
        <f t="shared" si="110"/>
        <v>87050</v>
      </c>
    </row>
    <row r="1184" spans="7:14" ht="11.25" customHeight="1" x14ac:dyDescent="0.3">
      <c r="G1184" s="470">
        <f>G1183+1</f>
        <v>99</v>
      </c>
      <c r="H1184" s="470">
        <v>1177</v>
      </c>
      <c r="I1184" s="455">
        <f t="shared" ca="1" si="108"/>
        <v>-22944502.206187837</v>
      </c>
      <c r="J1184" s="455">
        <f t="array" ref="J1184">IFERROR(INDEX('Retirement Calculator'!J:J,MATCH('Isaac 401k'!N1184,'Retirement Calculator'!A:A,0),0),0)</f>
        <v>0</v>
      </c>
      <c r="K1184" s="455">
        <f t="shared" ca="1" si="105"/>
        <v>-95602.092525782646</v>
      </c>
      <c r="L1184" s="455">
        <f t="shared" ca="1" si="106"/>
        <v>-23040104.298713621</v>
      </c>
      <c r="M1184" s="471">
        <f t="shared" si="109"/>
        <v>0.05</v>
      </c>
      <c r="N1184" s="475">
        <f t="shared" si="110"/>
        <v>87081</v>
      </c>
    </row>
    <row r="1185" spans="7:14" ht="11.25" customHeight="1" x14ac:dyDescent="0.3">
      <c r="G1185" s="470">
        <f t="shared" ref="G1185:G1195" si="123">G1184</f>
        <v>99</v>
      </c>
      <c r="H1185" s="470">
        <v>1178</v>
      </c>
      <c r="I1185" s="455">
        <f t="shared" ca="1" si="108"/>
        <v>-23040104.298713621</v>
      </c>
      <c r="J1185" s="455">
        <f t="array" ref="J1185">IFERROR(INDEX('Retirement Calculator'!J:J,MATCH('Isaac 401k'!N1185,'Retirement Calculator'!A:A,0),0),0)</f>
        <v>0</v>
      </c>
      <c r="K1185" s="455">
        <f t="shared" ca="1" si="105"/>
        <v>-96000.434577973414</v>
      </c>
      <c r="L1185" s="455">
        <f t="shared" ca="1" si="106"/>
        <v>-23136104.733291592</v>
      </c>
      <c r="M1185" s="471">
        <f t="shared" si="109"/>
        <v>0.05</v>
      </c>
      <c r="N1185" s="475">
        <f t="shared" si="110"/>
        <v>87111</v>
      </c>
    </row>
    <row r="1186" spans="7:14" ht="11.25" customHeight="1" x14ac:dyDescent="0.3">
      <c r="G1186" s="470">
        <f t="shared" si="123"/>
        <v>99</v>
      </c>
      <c r="H1186" s="470">
        <v>1179</v>
      </c>
      <c r="I1186" s="455">
        <f t="shared" ca="1" si="108"/>
        <v>-23136104.733291592</v>
      </c>
      <c r="J1186" s="455">
        <f t="array" ref="J1186">IFERROR(INDEX('Retirement Calculator'!J:J,MATCH('Isaac 401k'!N1186,'Retirement Calculator'!A:A,0),0),0)</f>
        <v>0</v>
      </c>
      <c r="K1186" s="455">
        <f t="shared" ca="1" si="105"/>
        <v>-96400.436388714967</v>
      </c>
      <c r="L1186" s="455">
        <f t="shared" ca="1" si="106"/>
        <v>-23232505.169680309</v>
      </c>
      <c r="M1186" s="471">
        <f t="shared" si="109"/>
        <v>0.05</v>
      </c>
      <c r="N1186" s="475">
        <f t="shared" si="110"/>
        <v>87142</v>
      </c>
    </row>
    <row r="1187" spans="7:14" ht="11.25" customHeight="1" x14ac:dyDescent="0.3">
      <c r="G1187" s="470">
        <f t="shared" si="123"/>
        <v>99</v>
      </c>
      <c r="H1187" s="470">
        <v>1180</v>
      </c>
      <c r="I1187" s="455">
        <f t="shared" ca="1" si="108"/>
        <v>-23232505.169680309</v>
      </c>
      <c r="J1187" s="455">
        <f t="array" ref="J1187">IFERROR(INDEX('Retirement Calculator'!J:J,MATCH('Isaac 401k'!N1187,'Retirement Calculator'!A:A,0),0),0)</f>
        <v>0</v>
      </c>
      <c r="K1187" s="455">
        <f t="shared" ca="1" si="105"/>
        <v>-96802.104873667951</v>
      </c>
      <c r="L1187" s="455">
        <f t="shared" ca="1" si="106"/>
        <v>-23329307.274553977</v>
      </c>
      <c r="M1187" s="471">
        <f t="shared" si="109"/>
        <v>0.05</v>
      </c>
      <c r="N1187" s="475">
        <f t="shared" si="110"/>
        <v>87173</v>
      </c>
    </row>
    <row r="1188" spans="7:14" ht="11.25" customHeight="1" x14ac:dyDescent="0.3">
      <c r="G1188" s="470">
        <f t="shared" si="123"/>
        <v>99</v>
      </c>
      <c r="H1188" s="470">
        <v>1181</v>
      </c>
      <c r="I1188" s="455">
        <f t="shared" ca="1" si="108"/>
        <v>-23329307.274553977</v>
      </c>
      <c r="J1188" s="455">
        <f t="array" ref="J1188">IFERROR(INDEX('Retirement Calculator'!J:J,MATCH('Isaac 401k'!N1188,'Retirement Calculator'!A:A,0),0),0)</f>
        <v>0</v>
      </c>
      <c r="K1188" s="455">
        <f t="shared" ca="1" si="105"/>
        <v>-97205.446977308238</v>
      </c>
      <c r="L1188" s="455">
        <f t="shared" ca="1" si="106"/>
        <v>-23426512.721531287</v>
      </c>
      <c r="M1188" s="471">
        <f t="shared" si="109"/>
        <v>0.05</v>
      </c>
      <c r="N1188" s="475">
        <f t="shared" si="110"/>
        <v>87203</v>
      </c>
    </row>
    <row r="1189" spans="7:14" ht="11.25" customHeight="1" x14ac:dyDescent="0.3">
      <c r="G1189" s="470">
        <f t="shared" si="123"/>
        <v>99</v>
      </c>
      <c r="H1189" s="470">
        <v>1182</v>
      </c>
      <c r="I1189" s="455">
        <f t="shared" ca="1" si="108"/>
        <v>-23426512.721531287</v>
      </c>
      <c r="J1189" s="455">
        <f t="array" ref="J1189">IFERROR(INDEX('Retirement Calculator'!J:J,MATCH('Isaac 401k'!N1189,'Retirement Calculator'!A:A,0),0),0)</f>
        <v>0</v>
      </c>
      <c r="K1189" s="455">
        <f t="shared" ca="1" si="105"/>
        <v>-97610.469673047031</v>
      </c>
      <c r="L1189" s="455">
        <f t="shared" ca="1" si="106"/>
        <v>-23524123.191204336</v>
      </c>
      <c r="M1189" s="471">
        <f t="shared" si="109"/>
        <v>0.05</v>
      </c>
      <c r="N1189" s="475">
        <f t="shared" si="110"/>
        <v>87234</v>
      </c>
    </row>
    <row r="1190" spans="7:14" ht="11.25" customHeight="1" x14ac:dyDescent="0.3">
      <c r="G1190" s="470">
        <f t="shared" si="123"/>
        <v>99</v>
      </c>
      <c r="H1190" s="470">
        <v>1183</v>
      </c>
      <c r="I1190" s="455">
        <f t="shared" ca="1" si="108"/>
        <v>-23524123.191204336</v>
      </c>
      <c r="J1190" s="455">
        <f t="array" ref="J1190">IFERROR(INDEX('Retirement Calculator'!J:J,MATCH('Isaac 401k'!N1190,'Retirement Calculator'!A:A,0),0),0)</f>
        <v>0</v>
      </c>
      <c r="K1190" s="455">
        <f t="shared" ca="1" si="105"/>
        <v>-98017.179963351402</v>
      </c>
      <c r="L1190" s="455">
        <f t="shared" ca="1" si="106"/>
        <v>-23622140.371167686</v>
      </c>
      <c r="M1190" s="471">
        <f t="shared" si="109"/>
        <v>0.05</v>
      </c>
      <c r="N1190" s="475">
        <f t="shared" si="110"/>
        <v>87264</v>
      </c>
    </row>
    <row r="1191" spans="7:14" ht="11.25" customHeight="1" x14ac:dyDescent="0.3">
      <c r="G1191" s="470">
        <f t="shared" si="123"/>
        <v>99</v>
      </c>
      <c r="H1191" s="470">
        <v>1184</v>
      </c>
      <c r="I1191" s="455">
        <f t="shared" ca="1" si="108"/>
        <v>-23622140.371167686</v>
      </c>
      <c r="J1191" s="455">
        <f t="array" ref="J1191">IFERROR(INDEX('Retirement Calculator'!J:J,MATCH('Isaac 401k'!N1191,'Retirement Calculator'!A:A,0),0),0)</f>
        <v>0</v>
      </c>
      <c r="K1191" s="455">
        <f t="shared" ca="1" si="105"/>
        <v>-98425.584879865361</v>
      </c>
      <c r="L1191" s="455">
        <f t="shared" ca="1" si="106"/>
        <v>-23720565.95604755</v>
      </c>
      <c r="M1191" s="471">
        <f t="shared" si="109"/>
        <v>0.05</v>
      </c>
      <c r="N1191" s="475">
        <f t="shared" si="110"/>
        <v>87295</v>
      </c>
    </row>
    <row r="1192" spans="7:14" ht="11.25" customHeight="1" x14ac:dyDescent="0.3">
      <c r="G1192" s="470">
        <f t="shared" si="123"/>
        <v>99</v>
      </c>
      <c r="H1192" s="470">
        <v>1185</v>
      </c>
      <c r="I1192" s="455">
        <f t="shared" ca="1" si="108"/>
        <v>-23720565.95604755</v>
      </c>
      <c r="J1192" s="455">
        <f t="array" ref="J1192">IFERROR(INDEX('Retirement Calculator'!J:J,MATCH('Isaac 401k'!N1192,'Retirement Calculator'!A:A,0),0),0)</f>
        <v>0</v>
      </c>
      <c r="K1192" s="455">
        <f t="shared" ca="1" si="105"/>
        <v>-98835.691483531453</v>
      </c>
      <c r="L1192" s="455">
        <f t="shared" ca="1" si="106"/>
        <v>-23819401.647531081</v>
      </c>
      <c r="M1192" s="471">
        <f t="shared" si="109"/>
        <v>0.05</v>
      </c>
      <c r="N1192" s="475">
        <f t="shared" si="110"/>
        <v>87326</v>
      </c>
    </row>
    <row r="1193" spans="7:14" ht="11.25" customHeight="1" x14ac:dyDescent="0.3">
      <c r="G1193" s="470">
        <f t="shared" si="123"/>
        <v>99</v>
      </c>
      <c r="H1193" s="470">
        <v>1186</v>
      </c>
      <c r="I1193" s="455">
        <f t="shared" ca="1" si="108"/>
        <v>-23819401.647531081</v>
      </c>
      <c r="J1193" s="455">
        <f t="array" ref="J1193">IFERROR(INDEX('Retirement Calculator'!J:J,MATCH('Isaac 401k'!N1193,'Retirement Calculator'!A:A,0),0),0)</f>
        <v>0</v>
      </c>
      <c r="K1193" s="455">
        <f t="shared" ca="1" si="105"/>
        <v>-99247.506864712836</v>
      </c>
      <c r="L1193" s="455">
        <f t="shared" ca="1" si="106"/>
        <v>-23918649.154395793</v>
      </c>
      <c r="M1193" s="471">
        <f t="shared" si="109"/>
        <v>0.05</v>
      </c>
      <c r="N1193" s="475">
        <f t="shared" si="110"/>
        <v>87354</v>
      </c>
    </row>
    <row r="1194" spans="7:14" ht="11.25" customHeight="1" x14ac:dyDescent="0.3">
      <c r="G1194" s="470">
        <f t="shared" si="123"/>
        <v>99</v>
      </c>
      <c r="H1194" s="470">
        <v>1187</v>
      </c>
      <c r="I1194" s="455">
        <f t="shared" ca="1" si="108"/>
        <v>-23918649.154395793</v>
      </c>
      <c r="J1194" s="455">
        <f t="array" ref="J1194">IFERROR(INDEX('Retirement Calculator'!J:J,MATCH('Isaac 401k'!N1194,'Retirement Calculator'!A:A,0),0),0)</f>
        <v>0</v>
      </c>
      <c r="K1194" s="455">
        <f t="shared" ca="1" si="105"/>
        <v>-99661.038143315804</v>
      </c>
      <c r="L1194" s="455">
        <f t="shared" ca="1" si="106"/>
        <v>-24018310.192539107</v>
      </c>
      <c r="M1194" s="471">
        <f t="shared" si="109"/>
        <v>0.05</v>
      </c>
      <c r="N1194" s="475">
        <f t="shared" si="110"/>
        <v>87385</v>
      </c>
    </row>
    <row r="1195" spans="7:14" ht="11.25" customHeight="1" x14ac:dyDescent="0.3">
      <c r="G1195" s="470">
        <f t="shared" si="123"/>
        <v>99</v>
      </c>
      <c r="H1195" s="470">
        <v>1188</v>
      </c>
      <c r="I1195" s="455">
        <f t="shared" ca="1" si="108"/>
        <v>-24018310.192539107</v>
      </c>
      <c r="J1195" s="455">
        <f t="array" ref="J1195">IFERROR(INDEX('Retirement Calculator'!J:J,MATCH('Isaac 401k'!N1195,'Retirement Calculator'!A:A,0),0),0)</f>
        <v>0</v>
      </c>
      <c r="K1195" s="455">
        <f t="shared" ca="1" si="105"/>
        <v>-100076.29246891294</v>
      </c>
      <c r="L1195" s="455">
        <f t="shared" ca="1" si="106"/>
        <v>-24118386.48500802</v>
      </c>
      <c r="M1195" s="471">
        <f t="shared" si="109"/>
        <v>0.05</v>
      </c>
      <c r="N1195" s="475">
        <f t="shared" si="110"/>
        <v>87415</v>
      </c>
    </row>
    <row r="1196" spans="7:14" ht="11.25" customHeight="1" x14ac:dyDescent="0.3">
      <c r="G1196" s="470">
        <f>G1195+1</f>
        <v>100</v>
      </c>
      <c r="H1196" s="470">
        <v>1189</v>
      </c>
      <c r="I1196" s="455">
        <f t="shared" ca="1" si="108"/>
        <v>-24118386.48500802</v>
      </c>
      <c r="J1196" s="455">
        <f t="array" ref="J1196">IFERROR(INDEX('Retirement Calculator'!J:J,MATCH('Isaac 401k'!N1196,'Retirement Calculator'!A:A,0),0),0)</f>
        <v>0</v>
      </c>
      <c r="K1196" s="455">
        <f t="shared" ca="1" si="105"/>
        <v>-100493.27702086675</v>
      </c>
      <c r="L1196" s="455">
        <f t="shared" ca="1" si="106"/>
        <v>-24218879.762028888</v>
      </c>
      <c r="M1196" s="471">
        <f t="shared" si="109"/>
        <v>0.05</v>
      </c>
      <c r="N1196" s="475">
        <f t="shared" si="110"/>
        <v>87446</v>
      </c>
    </row>
    <row r="1197" spans="7:14" ht="11.25" customHeight="1" x14ac:dyDescent="0.3">
      <c r="G1197" s="470">
        <f t="shared" ref="G1197:G1207" si="124">G1196</f>
        <v>100</v>
      </c>
      <c r="H1197" s="470">
        <v>1190</v>
      </c>
      <c r="I1197" s="455">
        <f t="shared" ca="1" si="108"/>
        <v>-24218879.762028888</v>
      </c>
      <c r="J1197" s="455">
        <f t="array" ref="J1197">IFERROR(INDEX('Retirement Calculator'!J:J,MATCH('Isaac 401k'!N1197,'Retirement Calculator'!A:A,0),0),0)</f>
        <v>0</v>
      </c>
      <c r="K1197" s="455">
        <f t="shared" ca="1" si="105"/>
        <v>-100911.9990084537</v>
      </c>
      <c r="L1197" s="455">
        <f t="shared" ca="1" si="106"/>
        <v>-24319791.761037342</v>
      </c>
      <c r="M1197" s="471">
        <f t="shared" si="109"/>
        <v>0.05</v>
      </c>
      <c r="N1197" s="475">
        <f t="shared" si="110"/>
        <v>87476</v>
      </c>
    </row>
    <row r="1198" spans="7:14" ht="11.25" customHeight="1" x14ac:dyDescent="0.3">
      <c r="G1198" s="470">
        <f t="shared" si="124"/>
        <v>100</v>
      </c>
      <c r="H1198" s="470">
        <v>1191</v>
      </c>
      <c r="I1198" s="455">
        <f t="shared" ca="1" si="108"/>
        <v>-24319791.761037342</v>
      </c>
      <c r="J1198" s="455">
        <f t="array" ref="J1198">IFERROR(INDEX('Retirement Calculator'!J:J,MATCH('Isaac 401k'!N1198,'Retirement Calculator'!A:A,0),0),0)</f>
        <v>0</v>
      </c>
      <c r="K1198" s="455">
        <f t="shared" ca="1" si="105"/>
        <v>-101332.46567098892</v>
      </c>
      <c r="L1198" s="455">
        <f t="shared" ca="1" si="106"/>
        <v>-24421124.22670833</v>
      </c>
      <c r="M1198" s="471">
        <f t="shared" si="109"/>
        <v>0.05</v>
      </c>
      <c r="N1198" s="475">
        <f t="shared" si="110"/>
        <v>87507</v>
      </c>
    </row>
    <row r="1199" spans="7:14" ht="11.25" customHeight="1" x14ac:dyDescent="0.3">
      <c r="G1199" s="470">
        <f t="shared" si="124"/>
        <v>100</v>
      </c>
      <c r="H1199" s="470">
        <v>1192</v>
      </c>
      <c r="I1199" s="455">
        <f t="shared" ca="1" si="108"/>
        <v>-24421124.22670833</v>
      </c>
      <c r="J1199" s="455">
        <f t="array" ref="J1199">IFERROR(INDEX('Retirement Calculator'!J:J,MATCH('Isaac 401k'!N1199,'Retirement Calculator'!A:A,0),0),0)</f>
        <v>0</v>
      </c>
      <c r="K1199" s="455">
        <f t="shared" ca="1" si="105"/>
        <v>-101754.68427795137</v>
      </c>
      <c r="L1199" s="455">
        <f t="shared" ca="1" si="106"/>
        <v>-24522878.910986282</v>
      </c>
      <c r="M1199" s="471">
        <f t="shared" si="109"/>
        <v>0.05</v>
      </c>
      <c r="N1199" s="475">
        <f t="shared" si="110"/>
        <v>87538</v>
      </c>
    </row>
    <row r="1200" spans="7:14" ht="11.25" customHeight="1" x14ac:dyDescent="0.3">
      <c r="G1200" s="470">
        <f t="shared" si="124"/>
        <v>100</v>
      </c>
      <c r="H1200" s="470">
        <v>1193</v>
      </c>
      <c r="I1200" s="455">
        <f t="shared" ca="1" si="108"/>
        <v>-24522878.910986282</v>
      </c>
      <c r="J1200" s="455">
        <f t="array" ref="J1200">IFERROR(INDEX('Retirement Calculator'!J:J,MATCH('Isaac 401k'!N1200,'Retirement Calculator'!A:A,0),0),0)</f>
        <v>0</v>
      </c>
      <c r="K1200" s="455">
        <f t="shared" ca="1" si="105"/>
        <v>-102178.66212910951</v>
      </c>
      <c r="L1200" s="455">
        <f t="shared" ca="1" si="106"/>
        <v>-24625057.57311539</v>
      </c>
      <c r="M1200" s="471">
        <f t="shared" si="109"/>
        <v>0.05</v>
      </c>
      <c r="N1200" s="475">
        <f t="shared" si="110"/>
        <v>87568</v>
      </c>
    </row>
    <row r="1201" spans="7:14" ht="11.25" customHeight="1" x14ac:dyDescent="0.3">
      <c r="G1201" s="470">
        <f t="shared" si="124"/>
        <v>100</v>
      </c>
      <c r="H1201" s="470">
        <v>1194</v>
      </c>
      <c r="I1201" s="455">
        <f t="shared" ca="1" si="108"/>
        <v>-24625057.57311539</v>
      </c>
      <c r="J1201" s="455">
        <f t="array" ref="J1201">IFERROR(INDEX('Retirement Calculator'!J:J,MATCH('Isaac 401k'!N1201,'Retirement Calculator'!A:A,0),0),0)</f>
        <v>0</v>
      </c>
      <c r="K1201" s="455">
        <f t="shared" ca="1" si="105"/>
        <v>-102604.40655464746</v>
      </c>
      <c r="L1201" s="455">
        <f t="shared" ca="1" si="106"/>
        <v>-24727661.979670037</v>
      </c>
      <c r="M1201" s="471">
        <f t="shared" si="109"/>
        <v>0.05</v>
      </c>
      <c r="N1201" s="475">
        <f t="shared" si="110"/>
        <v>87599</v>
      </c>
    </row>
    <row r="1202" spans="7:14" ht="11.25" customHeight="1" x14ac:dyDescent="0.3">
      <c r="G1202" s="470">
        <f t="shared" si="124"/>
        <v>100</v>
      </c>
      <c r="H1202" s="470">
        <v>1195</v>
      </c>
      <c r="I1202" s="455">
        <f t="shared" ca="1" si="108"/>
        <v>-24727661.979670037</v>
      </c>
      <c r="J1202" s="455">
        <f t="array" ref="J1202">IFERROR(INDEX('Retirement Calculator'!J:J,MATCH('Isaac 401k'!N1202,'Retirement Calculator'!A:A,0),0),0)</f>
        <v>0</v>
      </c>
      <c r="K1202" s="455">
        <f t="shared" ca="1" si="105"/>
        <v>-103031.92491529182</v>
      </c>
      <c r="L1202" s="455">
        <f t="shared" ca="1" si="106"/>
        <v>-24830693.904585328</v>
      </c>
      <c r="M1202" s="471">
        <f t="shared" si="109"/>
        <v>0.05</v>
      </c>
      <c r="N1202" s="475">
        <f t="shared" si="110"/>
        <v>87629</v>
      </c>
    </row>
    <row r="1203" spans="7:14" ht="11.25" customHeight="1" x14ac:dyDescent="0.3">
      <c r="G1203" s="470">
        <f t="shared" si="124"/>
        <v>100</v>
      </c>
      <c r="H1203" s="470">
        <v>1196</v>
      </c>
      <c r="I1203" s="455">
        <f t="shared" ca="1" si="108"/>
        <v>-24830693.904585328</v>
      </c>
      <c r="J1203" s="455">
        <f t="array" ref="J1203">IFERROR(INDEX('Retirement Calculator'!J:J,MATCH('Isaac 401k'!N1203,'Retirement Calculator'!A:A,0),0),0)</f>
        <v>0</v>
      </c>
      <c r="K1203" s="455">
        <f t="shared" ca="1" si="105"/>
        <v>-103461.22460243886</v>
      </c>
      <c r="L1203" s="455">
        <f t="shared" ca="1" si="106"/>
        <v>-24934155.129187766</v>
      </c>
      <c r="M1203" s="471">
        <f t="shared" si="109"/>
        <v>0.05</v>
      </c>
      <c r="N1203" s="475">
        <f t="shared" si="110"/>
        <v>87660</v>
      </c>
    </row>
    <row r="1204" spans="7:14" ht="11.25" customHeight="1" x14ac:dyDescent="0.3">
      <c r="G1204" s="470">
        <f t="shared" si="124"/>
        <v>100</v>
      </c>
      <c r="H1204" s="470">
        <v>1197</v>
      </c>
      <c r="I1204" s="455">
        <f t="shared" ca="1" si="108"/>
        <v>-24934155.129187766</v>
      </c>
      <c r="J1204" s="455">
        <f t="array" ref="J1204">IFERROR(INDEX('Retirement Calculator'!J:J,MATCH('Isaac 401k'!N1204,'Retirement Calculator'!A:A,0),0),0)</f>
        <v>0</v>
      </c>
      <c r="K1204" s="455">
        <f t="shared" ca="1" si="105"/>
        <v>-103892.31303828236</v>
      </c>
      <c r="L1204" s="455">
        <f t="shared" ca="1" si="106"/>
        <v>-25038047.442226049</v>
      </c>
      <c r="M1204" s="471">
        <f t="shared" si="109"/>
        <v>0.05</v>
      </c>
      <c r="N1204" s="475">
        <f t="shared" si="110"/>
        <v>87691</v>
      </c>
    </row>
    <row r="1205" spans="7:14" ht="11.25" customHeight="1" x14ac:dyDescent="0.3">
      <c r="G1205" s="470">
        <f t="shared" si="124"/>
        <v>100</v>
      </c>
      <c r="H1205" s="470">
        <v>1198</v>
      </c>
      <c r="I1205" s="455">
        <f t="shared" ca="1" si="108"/>
        <v>-25038047.442226049</v>
      </c>
      <c r="J1205" s="455">
        <f t="array" ref="J1205">IFERROR(INDEX('Retirement Calculator'!J:J,MATCH('Isaac 401k'!N1205,'Retirement Calculator'!A:A,0),0),0)</f>
        <v>0</v>
      </c>
      <c r="K1205" s="455">
        <f t="shared" ca="1" si="105"/>
        <v>-104325.19767594186</v>
      </c>
      <c r="L1205" s="455">
        <f t="shared" ca="1" si="106"/>
        <v>-25142372.639901992</v>
      </c>
      <c r="M1205" s="471">
        <f t="shared" si="109"/>
        <v>0.05</v>
      </c>
      <c r="N1205" s="475">
        <f t="shared" si="110"/>
        <v>87720</v>
      </c>
    </row>
    <row r="1206" spans="7:14" ht="11.25" customHeight="1" x14ac:dyDescent="0.3">
      <c r="G1206" s="470">
        <f t="shared" si="124"/>
        <v>100</v>
      </c>
      <c r="H1206" s="470">
        <v>1199</v>
      </c>
      <c r="I1206" s="455">
        <f t="shared" ca="1" si="108"/>
        <v>-25142372.639901992</v>
      </c>
      <c r="J1206" s="455">
        <f t="array" ref="J1206">IFERROR(INDEX('Retirement Calculator'!J:J,MATCH('Isaac 401k'!N1206,'Retirement Calculator'!A:A,0),0),0)</f>
        <v>0</v>
      </c>
      <c r="K1206" s="455">
        <f t="shared" ca="1" si="105"/>
        <v>-104759.88599959163</v>
      </c>
      <c r="L1206" s="455">
        <f t="shared" ca="1" si="106"/>
        <v>-25247132.525901582</v>
      </c>
      <c r="M1206" s="471">
        <f t="shared" si="109"/>
        <v>0.05</v>
      </c>
      <c r="N1206" s="475">
        <f t="shared" si="110"/>
        <v>87751</v>
      </c>
    </row>
    <row r="1207" spans="7:14" ht="11.25" customHeight="1" x14ac:dyDescent="0.3">
      <c r="G1207" s="470">
        <f t="shared" si="124"/>
        <v>100</v>
      </c>
      <c r="H1207" s="470">
        <v>1200</v>
      </c>
      <c r="I1207" s="455">
        <f t="shared" ca="1" si="108"/>
        <v>-25247132.525901582</v>
      </c>
      <c r="J1207" s="455">
        <f t="array" ref="J1207">IFERROR(INDEX('Retirement Calculator'!J:J,MATCH('Isaac 401k'!N1207,'Retirement Calculator'!A:A,0),0),0)</f>
        <v>0</v>
      </c>
      <c r="K1207" s="455">
        <f t="shared" ca="1" si="105"/>
        <v>-105196.38552458992</v>
      </c>
      <c r="L1207" s="455">
        <f t="shared" ca="1" si="106"/>
        <v>-25352328.911426172</v>
      </c>
      <c r="M1207" s="471">
        <f t="shared" si="109"/>
        <v>0.05</v>
      </c>
      <c r="N1207" s="475">
        <f t="shared" si="110"/>
        <v>87781</v>
      </c>
    </row>
    <row r="1208" spans="7:14" ht="11.25" customHeight="1" x14ac:dyDescent="0.3">
      <c r="G1208" s="470">
        <f>G1207+1</f>
        <v>101</v>
      </c>
      <c r="H1208" s="470">
        <v>1201</v>
      </c>
      <c r="I1208" s="455">
        <f t="shared" ca="1" si="108"/>
        <v>-25352328.911426172</v>
      </c>
      <c r="J1208" s="455">
        <f t="array" ref="J1208">IFERROR(INDEX('Retirement Calculator'!J:J,MATCH('Isaac 401k'!N1208,'Retirement Calculator'!A:A,0),0),0)</f>
        <v>0</v>
      </c>
      <c r="K1208" s="455">
        <f t="shared" ca="1" si="105"/>
        <v>-105634.70379760905</v>
      </c>
      <c r="L1208" s="455">
        <f t="shared" ca="1" si="106"/>
        <v>-25457963.61522378</v>
      </c>
      <c r="M1208" s="471">
        <f t="shared" si="109"/>
        <v>0.05</v>
      </c>
      <c r="N1208" s="475">
        <f t="shared" si="110"/>
        <v>87812</v>
      </c>
    </row>
    <row r="1209" spans="7:14" ht="11.25" customHeight="1" x14ac:dyDescent="0.3">
      <c r="G1209" s="470">
        <f t="shared" ref="G1209:G1219" si="125">G1208</f>
        <v>101</v>
      </c>
      <c r="H1209" s="470">
        <v>1202</v>
      </c>
      <c r="I1209" s="455">
        <f t="shared" ca="1" si="108"/>
        <v>-25457963.61522378</v>
      </c>
      <c r="J1209" s="455">
        <f t="array" ref="J1209">IFERROR(INDEX('Retirement Calculator'!J:J,MATCH('Isaac 401k'!N1209,'Retirement Calculator'!A:A,0),0),0)</f>
        <v>0</v>
      </c>
      <c r="K1209" s="455">
        <f t="shared" ca="1" si="105"/>
        <v>-106074.84839676575</v>
      </c>
      <c r="L1209" s="455">
        <f t="shared" ca="1" si="106"/>
        <v>-25564038.463620547</v>
      </c>
      <c r="M1209" s="471">
        <f t="shared" si="109"/>
        <v>0.05</v>
      </c>
      <c r="N1209" s="475">
        <f t="shared" si="110"/>
        <v>87842</v>
      </c>
    </row>
    <row r="1210" spans="7:14" ht="11.25" customHeight="1" x14ac:dyDescent="0.3">
      <c r="G1210" s="470">
        <f t="shared" si="125"/>
        <v>101</v>
      </c>
      <c r="H1210" s="470">
        <v>1203</v>
      </c>
      <c r="I1210" s="455">
        <f t="shared" ca="1" si="108"/>
        <v>-25564038.463620547</v>
      </c>
      <c r="J1210" s="455">
        <f t="array" ref="J1210">IFERROR(INDEX('Retirement Calculator'!J:J,MATCH('Isaac 401k'!N1210,'Retirement Calculator'!A:A,0),0),0)</f>
        <v>0</v>
      </c>
      <c r="K1210" s="455">
        <f t="shared" ca="1" si="105"/>
        <v>-106516.82693175228</v>
      </c>
      <c r="L1210" s="455">
        <f t="shared" ca="1" si="106"/>
        <v>-25670555.290552299</v>
      </c>
      <c r="M1210" s="471">
        <f t="shared" si="109"/>
        <v>0.05</v>
      </c>
      <c r="N1210" s="475">
        <f t="shared" si="110"/>
        <v>87873</v>
      </c>
    </row>
    <row r="1211" spans="7:14" ht="11.25" customHeight="1" x14ac:dyDescent="0.3">
      <c r="G1211" s="470">
        <f t="shared" si="125"/>
        <v>101</v>
      </c>
      <c r="H1211" s="470">
        <v>1204</v>
      </c>
      <c r="I1211" s="455">
        <f t="shared" ca="1" si="108"/>
        <v>-25670555.290552299</v>
      </c>
      <c r="J1211" s="455">
        <f t="array" ref="J1211">IFERROR(INDEX('Retirement Calculator'!J:J,MATCH('Isaac 401k'!N1211,'Retirement Calculator'!A:A,0),0),0)</f>
        <v>0</v>
      </c>
      <c r="K1211" s="455">
        <f t="shared" ca="1" si="105"/>
        <v>-106960.64704396791</v>
      </c>
      <c r="L1211" s="455">
        <f t="shared" ca="1" si="106"/>
        <v>-25777515.937596269</v>
      </c>
      <c r="M1211" s="471">
        <f t="shared" si="109"/>
        <v>0.05</v>
      </c>
      <c r="N1211" s="475">
        <f t="shared" si="110"/>
        <v>87904</v>
      </c>
    </row>
    <row r="1212" spans="7:14" ht="11.25" customHeight="1" x14ac:dyDescent="0.3">
      <c r="G1212" s="470">
        <f t="shared" si="125"/>
        <v>101</v>
      </c>
      <c r="H1212" s="470">
        <v>1205</v>
      </c>
      <c r="I1212" s="455">
        <f t="shared" ca="1" si="108"/>
        <v>-25777515.937596269</v>
      </c>
      <c r="J1212" s="455">
        <f t="array" ref="J1212">IFERROR(INDEX('Retirement Calculator'!J:J,MATCH('Isaac 401k'!N1212,'Retirement Calculator'!A:A,0),0),0)</f>
        <v>0</v>
      </c>
      <c r="K1212" s="455">
        <f t="shared" ca="1" si="105"/>
        <v>-107406.31640665112</v>
      </c>
      <c r="L1212" s="455">
        <f t="shared" ca="1" si="106"/>
        <v>-25884922.254002921</v>
      </c>
      <c r="M1212" s="471">
        <f t="shared" si="109"/>
        <v>0.05</v>
      </c>
      <c r="N1212" s="475">
        <f t="shared" si="110"/>
        <v>87934</v>
      </c>
    </row>
    <row r="1213" spans="7:14" ht="11.25" customHeight="1" x14ac:dyDescent="0.3">
      <c r="G1213" s="470">
        <f t="shared" si="125"/>
        <v>101</v>
      </c>
      <c r="H1213" s="470">
        <v>1206</v>
      </c>
      <c r="I1213" s="455">
        <f t="shared" ca="1" si="108"/>
        <v>-25884922.254002921</v>
      </c>
      <c r="J1213" s="455">
        <f t="array" ref="J1213">IFERROR(INDEX('Retirement Calculator'!J:J,MATCH('Isaac 401k'!N1213,'Retirement Calculator'!A:A,0),0),0)</f>
        <v>0</v>
      </c>
      <c r="K1213" s="455">
        <f t="shared" ca="1" si="105"/>
        <v>-107853.84272501217</v>
      </c>
      <c r="L1213" s="455">
        <f t="shared" ca="1" si="106"/>
        <v>-25992776.096727934</v>
      </c>
      <c r="M1213" s="471">
        <f t="shared" si="109"/>
        <v>0.05</v>
      </c>
      <c r="N1213" s="475">
        <f t="shared" si="110"/>
        <v>87965</v>
      </c>
    </row>
    <row r="1214" spans="7:14" ht="11.25" customHeight="1" x14ac:dyDescent="0.3">
      <c r="G1214" s="470">
        <f t="shared" si="125"/>
        <v>101</v>
      </c>
      <c r="H1214" s="470">
        <v>1207</v>
      </c>
      <c r="I1214" s="455">
        <f t="shared" ca="1" si="108"/>
        <v>-25992776.096727934</v>
      </c>
      <c r="J1214" s="455">
        <f t="array" ref="J1214">IFERROR(INDEX('Retirement Calculator'!J:J,MATCH('Isaac 401k'!N1214,'Retirement Calculator'!A:A,0),0),0)</f>
        <v>0</v>
      </c>
      <c r="K1214" s="455">
        <f t="shared" ca="1" si="105"/>
        <v>-108303.23373636638</v>
      </c>
      <c r="L1214" s="455">
        <f t="shared" ca="1" si="106"/>
        <v>-26101079.3304643</v>
      </c>
      <c r="M1214" s="471">
        <f t="shared" si="109"/>
        <v>0.05</v>
      </c>
      <c r="N1214" s="475">
        <f t="shared" si="110"/>
        <v>87995</v>
      </c>
    </row>
    <row r="1215" spans="7:14" ht="11.25" customHeight="1" x14ac:dyDescent="0.3">
      <c r="G1215" s="470">
        <f t="shared" si="125"/>
        <v>101</v>
      </c>
      <c r="H1215" s="470">
        <v>1208</v>
      </c>
      <c r="I1215" s="455">
        <f t="shared" ca="1" si="108"/>
        <v>-26101079.3304643</v>
      </c>
      <c r="J1215" s="455">
        <f t="array" ref="J1215">IFERROR(INDEX('Retirement Calculator'!J:J,MATCH('Isaac 401k'!N1215,'Retirement Calculator'!A:A,0),0),0)</f>
        <v>0</v>
      </c>
      <c r="K1215" s="455">
        <f t="shared" ca="1" si="105"/>
        <v>-108754.49721026792</v>
      </c>
      <c r="L1215" s="455">
        <f t="shared" ca="1" si="106"/>
        <v>-26209833.827674568</v>
      </c>
      <c r="M1215" s="471">
        <f t="shared" si="109"/>
        <v>0.05</v>
      </c>
      <c r="N1215" s="475">
        <f t="shared" si="110"/>
        <v>88026</v>
      </c>
    </row>
    <row r="1216" spans="7:14" ht="11.25" customHeight="1" x14ac:dyDescent="0.3">
      <c r="G1216" s="470">
        <f t="shared" si="125"/>
        <v>101</v>
      </c>
      <c r="H1216" s="470">
        <v>1209</v>
      </c>
      <c r="I1216" s="455">
        <f t="shared" ca="1" si="108"/>
        <v>-26209833.827674568</v>
      </c>
      <c r="J1216" s="455">
        <f t="array" ref="J1216">IFERROR(INDEX('Retirement Calculator'!J:J,MATCH('Isaac 401k'!N1216,'Retirement Calculator'!A:A,0),0),0)</f>
        <v>0</v>
      </c>
      <c r="K1216" s="455">
        <f t="shared" ca="1" si="105"/>
        <v>-109207.64094864404</v>
      </c>
      <c r="L1216" s="455">
        <f t="shared" ca="1" si="106"/>
        <v>-26319041.468623213</v>
      </c>
      <c r="M1216" s="471">
        <f t="shared" si="109"/>
        <v>0.05</v>
      </c>
      <c r="N1216" s="475">
        <f t="shared" si="110"/>
        <v>88057</v>
      </c>
    </row>
    <row r="1217" spans="7:14" ht="11.25" customHeight="1" x14ac:dyDescent="0.3">
      <c r="G1217" s="470">
        <f t="shared" si="125"/>
        <v>101</v>
      </c>
      <c r="H1217" s="470">
        <v>1210</v>
      </c>
      <c r="I1217" s="455">
        <f t="shared" ca="1" si="108"/>
        <v>-26319041.468623213</v>
      </c>
      <c r="J1217" s="455">
        <f t="array" ref="J1217">IFERROR(INDEX('Retirement Calculator'!J:J,MATCH('Isaac 401k'!N1217,'Retirement Calculator'!A:A,0),0),0)</f>
        <v>0</v>
      </c>
      <c r="K1217" s="455">
        <f t="shared" ca="1" si="105"/>
        <v>-109662.67278593006</v>
      </c>
      <c r="L1217" s="455">
        <f t="shared" ca="1" si="106"/>
        <v>-26428704.141409144</v>
      </c>
      <c r="M1217" s="471">
        <f t="shared" si="109"/>
        <v>0.05</v>
      </c>
      <c r="N1217" s="475">
        <f t="shared" si="110"/>
        <v>88085</v>
      </c>
    </row>
    <row r="1218" spans="7:14" ht="11.25" customHeight="1" x14ac:dyDescent="0.3">
      <c r="G1218" s="470">
        <f t="shared" si="125"/>
        <v>101</v>
      </c>
      <c r="H1218" s="470">
        <v>1211</v>
      </c>
      <c r="I1218" s="455">
        <f t="shared" ca="1" si="108"/>
        <v>-26428704.141409144</v>
      </c>
      <c r="J1218" s="455">
        <f t="array" ref="J1218">IFERROR(INDEX('Retirement Calculator'!J:J,MATCH('Isaac 401k'!N1218,'Retirement Calculator'!A:A,0),0),0)</f>
        <v>0</v>
      </c>
      <c r="K1218" s="455">
        <f t="shared" ca="1" si="105"/>
        <v>-110119.60058920477</v>
      </c>
      <c r="L1218" s="455">
        <f t="shared" ca="1" si="106"/>
        <v>-26538823.741998348</v>
      </c>
      <c r="M1218" s="471">
        <f t="shared" si="109"/>
        <v>0.05</v>
      </c>
      <c r="N1218" s="475">
        <f t="shared" si="110"/>
        <v>88116</v>
      </c>
    </row>
    <row r="1219" spans="7:14" ht="11.25" customHeight="1" x14ac:dyDescent="0.3">
      <c r="G1219" s="470">
        <f t="shared" si="125"/>
        <v>101</v>
      </c>
      <c r="H1219" s="470">
        <v>1212</v>
      </c>
      <c r="I1219" s="455">
        <f t="shared" ca="1" si="108"/>
        <v>-26538823.741998348</v>
      </c>
      <c r="J1219" s="455">
        <f t="array" ref="J1219">IFERROR(INDEX('Retirement Calculator'!J:J,MATCH('Isaac 401k'!N1219,'Retirement Calculator'!A:A,0),0),0)</f>
        <v>0</v>
      </c>
      <c r="K1219" s="455">
        <f t="shared" ca="1" si="105"/>
        <v>-110578.43225832644</v>
      </c>
      <c r="L1219" s="455">
        <f t="shared" ca="1" si="106"/>
        <v>-26649402.174256675</v>
      </c>
      <c r="M1219" s="471">
        <f t="shared" si="109"/>
        <v>0.05</v>
      </c>
      <c r="N1219" s="475">
        <f t="shared" si="110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8"/>
        <v>-26649402.174256675</v>
      </c>
      <c r="J1220" s="455">
        <f t="array" ref="J1220">IFERROR(INDEX('Retirement Calculator'!J:J,MATCH('Isaac 401k'!N1220,'Retirement Calculator'!A:A,0),0),0)</f>
        <v>0</v>
      </c>
      <c r="K1220" s="455">
        <f t="shared" ca="1" si="105"/>
        <v>-111039.17572606949</v>
      </c>
      <c r="L1220" s="455">
        <f t="shared" ca="1" si="106"/>
        <v>-26760441.349982746</v>
      </c>
      <c r="M1220" s="471">
        <f t="shared" si="109"/>
        <v>0.05</v>
      </c>
      <c r="N1220" s="475">
        <f t="shared" si="110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8"/>
        <v>-26760441.349982746</v>
      </c>
      <c r="J1221" s="455">
        <f t="array" ref="J1221">IFERROR(INDEX('Retirement Calculator'!J:J,MATCH('Isaac 401k'!N1221,'Retirement Calculator'!A:A,0),0),0)</f>
        <v>0</v>
      </c>
      <c r="K1221" s="455">
        <f t="shared" ca="1" si="105"/>
        <v>-111501.83895826143</v>
      </c>
      <c r="L1221" s="455">
        <f t="shared" ca="1" si="106"/>
        <v>-26871943.188941006</v>
      </c>
      <c r="M1221" s="471">
        <f t="shared" si="109"/>
        <v>0.05</v>
      </c>
      <c r="N1221" s="475">
        <f t="shared" si="110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8"/>
        <v>-26871943.188941006</v>
      </c>
      <c r="J1222" s="455">
        <f t="array" ref="J1222">IFERROR(INDEX('Retirement Calculator'!J:J,MATCH('Isaac 401k'!N1222,'Retirement Calculator'!A:A,0),0),0)</f>
        <v>0</v>
      </c>
      <c r="K1222" s="455">
        <f t="shared" ca="1" si="105"/>
        <v>-111966.42995392087</v>
      </c>
      <c r="L1222" s="455">
        <f t="shared" ca="1" si="106"/>
        <v>-26983909.618894927</v>
      </c>
      <c r="M1222" s="471">
        <f t="shared" si="109"/>
        <v>0.05</v>
      </c>
      <c r="N1222" s="475">
        <f t="shared" si="110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8"/>
        <v>-26983909.618894927</v>
      </c>
      <c r="J1223" s="455">
        <f t="array" ref="J1223">IFERROR(INDEX('Retirement Calculator'!J:J,MATCH('Isaac 401k'!N1223,'Retirement Calculator'!A:A,0),0),0)</f>
        <v>0</v>
      </c>
      <c r="K1223" s="455">
        <f t="shared" ca="1" si="105"/>
        <v>-112432.95674539552</v>
      </c>
      <c r="L1223" s="455">
        <f t="shared" ca="1" si="106"/>
        <v>-27096342.575640325</v>
      </c>
      <c r="M1223" s="471">
        <f t="shared" si="109"/>
        <v>0.05</v>
      </c>
      <c r="N1223" s="475">
        <f t="shared" si="110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8"/>
        <v>-27096342.575640325</v>
      </c>
      <c r="J1224" s="455">
        <f t="array" ref="J1224">IFERROR(INDEX('Retirement Calculator'!J:J,MATCH('Isaac 401k'!N1224,'Retirement Calculator'!A:A,0),0),0)</f>
        <v>0</v>
      </c>
      <c r="K1224" s="455">
        <f t="shared" ca="1" si="105"/>
        <v>-112901.42739850136</v>
      </c>
      <c r="L1224" s="455">
        <f t="shared" ca="1" si="106"/>
        <v>-27209244.003038827</v>
      </c>
      <c r="M1224" s="471">
        <f t="shared" si="109"/>
        <v>0.05</v>
      </c>
      <c r="N1224" s="475">
        <f t="shared" si="110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8"/>
        <v>-27209244.003038827</v>
      </c>
      <c r="J1225" s="455">
        <f t="array" ref="J1225">IFERROR(INDEX('Retirement Calculator'!J:J,MATCH('Isaac 401k'!N1225,'Retirement Calculator'!A:A,0),0),0)</f>
        <v>0</v>
      </c>
      <c r="K1225" s="455">
        <f t="shared" ca="1" si="105"/>
        <v>-113371.85001266177</v>
      </c>
      <c r="L1225" s="455">
        <f t="shared" ca="1" si="106"/>
        <v>-27322615.853051487</v>
      </c>
      <c r="M1225" s="471">
        <f t="shared" si="109"/>
        <v>0.05</v>
      </c>
      <c r="N1225" s="475">
        <f t="shared" si="110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8"/>
        <v>-27322615.853051487</v>
      </c>
      <c r="J1226" s="455">
        <f t="array" ref="J1226">IFERROR(INDEX('Retirement Calculator'!J:J,MATCH('Isaac 401k'!N1226,'Retirement Calculator'!A:A,0),0),0)</f>
        <v>0</v>
      </c>
      <c r="K1226" s="455">
        <f t="shared" ca="1" si="105"/>
        <v>-113844.23272104787</v>
      </c>
      <c r="L1226" s="455">
        <f t="shared" ca="1" si="106"/>
        <v>-27436460.085772537</v>
      </c>
      <c r="M1226" s="471">
        <f t="shared" si="109"/>
        <v>0.05</v>
      </c>
      <c r="N1226" s="475">
        <f t="shared" si="110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8"/>
        <v>-27436460.085772537</v>
      </c>
      <c r="J1227" s="455">
        <f t="array" ref="J1227">IFERROR(INDEX('Retirement Calculator'!J:J,MATCH('Isaac 401k'!N1227,'Retirement Calculator'!A:A,0),0),0)</f>
        <v>0</v>
      </c>
      <c r="K1227" s="455">
        <f t="shared" ca="1" si="105"/>
        <v>-114318.58369071891</v>
      </c>
      <c r="L1227" s="455">
        <f t="shared" ca="1" si="106"/>
        <v>-27550778.669463255</v>
      </c>
      <c r="M1227" s="471">
        <f t="shared" si="109"/>
        <v>0.05</v>
      </c>
      <c r="N1227" s="475">
        <f t="shared" si="110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8"/>
        <v>-27550778.669463255</v>
      </c>
      <c r="J1228" s="455">
        <f t="array" ref="J1228">IFERROR(INDEX('Retirement Calculator'!J:J,MATCH('Isaac 401k'!N1228,'Retirement Calculator'!A:A,0),0),0)</f>
        <v>0</v>
      </c>
      <c r="K1228" s="455">
        <f t="shared" ca="1" si="105"/>
        <v>-114794.91112276356</v>
      </c>
      <c r="L1228" s="455">
        <f t="shared" ca="1" si="106"/>
        <v>-27665573.58058602</v>
      </c>
      <c r="M1228" s="471">
        <f t="shared" si="109"/>
        <v>0.05</v>
      </c>
      <c r="N1228" s="475">
        <f t="shared" si="110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8"/>
        <v>-27665573.58058602</v>
      </c>
      <c r="J1229" s="455">
        <f t="array" ref="J1229">IFERROR(INDEX('Retirement Calculator'!J:J,MATCH('Isaac 401k'!N1229,'Retirement Calculator'!A:A,0),0),0)</f>
        <v>0</v>
      </c>
      <c r="K1229" s="455">
        <f t="shared" ca="1" si="105"/>
        <v>-115273.22325244175</v>
      </c>
      <c r="L1229" s="455">
        <f t="shared" ca="1" si="106"/>
        <v>-27780846.803838462</v>
      </c>
      <c r="M1229" s="471">
        <f t="shared" si="109"/>
        <v>0.05</v>
      </c>
      <c r="N1229" s="475">
        <f t="shared" si="110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8"/>
        <v>-27780846.803838462</v>
      </c>
      <c r="J1230" s="455">
        <f t="array" ref="J1230">IFERROR(INDEX('Retirement Calculator'!J:J,MATCH('Isaac 401k'!N1230,'Retirement Calculator'!A:A,0),0),0)</f>
        <v>0</v>
      </c>
      <c r="K1230" s="455">
        <f t="shared" ca="1" si="105"/>
        <v>-115753.52834932691</v>
      </c>
      <c r="L1230" s="455">
        <f t="shared" ca="1" si="106"/>
        <v>-27896600.332187787</v>
      </c>
      <c r="M1230" s="471">
        <f t="shared" si="109"/>
        <v>0.05</v>
      </c>
      <c r="N1230" s="475">
        <f t="shared" si="110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8"/>
        <v>-27896600.332187787</v>
      </c>
      <c r="J1231" s="455">
        <f t="array" ref="J1231">IFERROR(INDEX('Retirement Calculator'!J:J,MATCH('Isaac 401k'!N1231,'Retirement Calculator'!A:A,0),0),0)</f>
        <v>0</v>
      </c>
      <c r="K1231" s="455">
        <f t="shared" ca="1" si="105"/>
        <v>-116235.83471744909</v>
      </c>
      <c r="L1231" s="455">
        <f t="shared" ca="1" si="106"/>
        <v>-28012836.166905235</v>
      </c>
      <c r="M1231" s="471">
        <f t="shared" si="109"/>
        <v>0.05</v>
      </c>
      <c r="N1231" s="475">
        <f t="shared" si="110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8"/>
        <v>-28012836.166905235</v>
      </c>
      <c r="J1232" s="455">
        <f t="array" ref="J1232">IFERROR(INDEX('Retirement Calculator'!J:J,MATCH('Isaac 401k'!N1232,'Retirement Calculator'!A:A,0),0),0)</f>
        <v>0</v>
      </c>
      <c r="K1232" s="455">
        <f t="shared" ca="1" si="105"/>
        <v>-116720.1506954385</v>
      </c>
      <c r="L1232" s="455">
        <f t="shared" ca="1" si="106"/>
        <v>-28129556.317600675</v>
      </c>
      <c r="M1232" s="471">
        <f t="shared" si="109"/>
        <v>0.05</v>
      </c>
      <c r="N1232" s="475">
        <f t="shared" si="110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8"/>
        <v>-28129556.317600675</v>
      </c>
      <c r="J1233" s="455">
        <f t="array" ref="J1233">IFERROR(INDEX('Retirement Calculator'!J:J,MATCH('Isaac 401k'!N1233,'Retirement Calculator'!A:A,0),0),0)</f>
        <v>0</v>
      </c>
      <c r="K1233" s="455">
        <f t="shared" ca="1" si="105"/>
        <v>-117206.48465666948</v>
      </c>
      <c r="L1233" s="455">
        <f t="shared" ca="1" si="106"/>
        <v>-28246762.802257344</v>
      </c>
      <c r="M1233" s="471">
        <f t="shared" si="109"/>
        <v>0.05</v>
      </c>
      <c r="N1233" s="475">
        <f t="shared" si="110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8"/>
        <v>-28246762.802257344</v>
      </c>
      <c r="J1234" s="455">
        <f t="array" ref="J1234">IFERROR(INDEX('Retirement Calculator'!J:J,MATCH('Isaac 401k'!N1234,'Retirement Calculator'!A:A,0),0),0)</f>
        <v>0</v>
      </c>
      <c r="K1234" s="455">
        <f t="shared" ca="1" si="105"/>
        <v>-117694.84500940559</v>
      </c>
      <c r="L1234" s="455">
        <f t="shared" ca="1" si="106"/>
        <v>-28364457.647266749</v>
      </c>
      <c r="M1234" s="471">
        <f t="shared" si="109"/>
        <v>0.05</v>
      </c>
      <c r="N1234" s="475">
        <f t="shared" si="110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8"/>
        <v>-28364457.647266749</v>
      </c>
      <c r="J1235" s="455">
        <f t="array" ref="J1235">IFERROR(INDEX('Retirement Calculator'!J:J,MATCH('Isaac 401k'!N1235,'Retirement Calculator'!A:A,0),0),0)</f>
        <v>0</v>
      </c>
      <c r="K1235" s="455">
        <f t="shared" ca="1" si="105"/>
        <v>-118185.2401969448</v>
      </c>
      <c r="L1235" s="455">
        <f t="shared" ca="1" si="106"/>
        <v>-28482642.887463693</v>
      </c>
      <c r="M1235" s="471">
        <f t="shared" si="109"/>
        <v>0.05</v>
      </c>
      <c r="N1235" s="475">
        <f t="shared" si="110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8"/>
        <v>-28482642.887463693</v>
      </c>
      <c r="J1236" s="455">
        <f t="array" ref="J1236">IFERROR(INDEX('Retirement Calculator'!J:J,MATCH('Isaac 401k'!N1236,'Retirement Calculator'!A:A,0),0),0)</f>
        <v>0</v>
      </c>
      <c r="K1236" s="455">
        <f t="shared" ca="1" si="105"/>
        <v>-118677.67869776538</v>
      </c>
      <c r="L1236" s="455">
        <f t="shared" ca="1" si="106"/>
        <v>-28601320.566161457</v>
      </c>
      <c r="M1236" s="471">
        <f t="shared" si="109"/>
        <v>0.05</v>
      </c>
      <c r="N1236" s="475">
        <f t="shared" si="110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8"/>
        <v>-28601320.566161457</v>
      </c>
      <c r="J1237" s="455">
        <f t="array" ref="J1237">IFERROR(INDEX('Retirement Calculator'!J:J,MATCH('Isaac 401k'!N1237,'Retirement Calculator'!A:A,0),0),0)</f>
        <v>0</v>
      </c>
      <c r="K1237" s="455">
        <f t="shared" ca="1" si="105"/>
        <v>-119172.16902567273</v>
      </c>
      <c r="L1237" s="455">
        <f t="shared" ca="1" si="106"/>
        <v>-28720492.735187132</v>
      </c>
      <c r="M1237" s="471">
        <f t="shared" si="109"/>
        <v>0.05</v>
      </c>
      <c r="N1237" s="475">
        <f t="shared" si="110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8"/>
        <v>-28720492.735187132</v>
      </c>
      <c r="J1238" s="455">
        <f t="array" ref="J1238">IFERROR(INDEX('Retirement Calculator'!J:J,MATCH('Isaac 401k'!N1238,'Retirement Calculator'!A:A,0),0),0)</f>
        <v>0</v>
      </c>
      <c r="K1238" s="455">
        <f t="shared" ca="1" si="105"/>
        <v>-119668.71972994639</v>
      </c>
      <c r="L1238" s="455">
        <f t="shared" ca="1" si="106"/>
        <v>-28840161.454917077</v>
      </c>
      <c r="M1238" s="471">
        <f t="shared" si="109"/>
        <v>0.05</v>
      </c>
      <c r="N1238" s="475">
        <f t="shared" si="110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8"/>
        <v>-28840161.454917077</v>
      </c>
      <c r="J1239" s="455">
        <f t="array" ref="J1239">IFERROR(INDEX('Retirement Calculator'!J:J,MATCH('Isaac 401k'!N1239,'Retirement Calculator'!A:A,0),0),0)</f>
        <v>0</v>
      </c>
      <c r="K1239" s="455">
        <f t="shared" ca="1" si="105"/>
        <v>-120167.33939548781</v>
      </c>
      <c r="L1239" s="455">
        <f t="shared" ca="1" si="106"/>
        <v>-28960328.794312567</v>
      </c>
      <c r="M1239" s="471">
        <f t="shared" si="109"/>
        <v>0.05</v>
      </c>
      <c r="N1239" s="475">
        <f t="shared" si="110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8"/>
        <v>-28960328.794312567</v>
      </c>
      <c r="J1240" s="455">
        <f t="array" ref="J1240">IFERROR(INDEX('Retirement Calculator'!J:J,MATCH('Isaac 401k'!N1240,'Retirement Calculator'!A:A,0),0),0)</f>
        <v>0</v>
      </c>
      <c r="K1240" s="455">
        <f t="shared" ca="1" si="105"/>
        <v>-120668.03664296902</v>
      </c>
      <c r="L1240" s="455">
        <f t="shared" ca="1" si="106"/>
        <v>-29080996.830955535</v>
      </c>
      <c r="M1240" s="471">
        <f t="shared" si="109"/>
        <v>0.05</v>
      </c>
      <c r="N1240" s="475">
        <f t="shared" si="110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8"/>
        <v>-29080996.830955535</v>
      </c>
      <c r="J1241" s="455">
        <f t="array" ref="J1241">IFERROR(INDEX('Retirement Calculator'!J:J,MATCH('Isaac 401k'!N1241,'Retirement Calculator'!A:A,0),0),0)</f>
        <v>0</v>
      </c>
      <c r="K1241" s="455">
        <f t="shared" ca="1" si="105"/>
        <v>-121170.82012898139</v>
      </c>
      <c r="L1241" s="455">
        <f t="shared" ca="1" si="106"/>
        <v>-29202167.651084516</v>
      </c>
      <c r="M1241" s="471">
        <f t="shared" si="109"/>
        <v>0.05</v>
      </c>
      <c r="N1241" s="475">
        <f t="shared" si="110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8"/>
        <v>-29202167.651084516</v>
      </c>
      <c r="J1242" s="455">
        <f t="array" ref="J1242">IFERROR(INDEX('Retirement Calculator'!J:J,MATCH('Isaac 401k'!N1242,'Retirement Calculator'!A:A,0),0),0)</f>
        <v>0</v>
      </c>
      <c r="K1242" s="455">
        <f t="shared" ca="1" si="105"/>
        <v>-121675.69854618548</v>
      </c>
      <c r="L1242" s="455">
        <f t="shared" ca="1" si="106"/>
        <v>-29323843.349630702</v>
      </c>
      <c r="M1242" s="471">
        <f t="shared" si="109"/>
        <v>0.05</v>
      </c>
      <c r="N1242" s="475">
        <f t="shared" si="110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8"/>
        <v>-29323843.349630702</v>
      </c>
      <c r="J1243" s="455">
        <f t="array" ref="J1243">IFERROR(INDEX('Retirement Calculator'!J:J,MATCH('Isaac 401k'!N1243,'Retirement Calculator'!A:A,0),0),0)</f>
        <v>0</v>
      </c>
      <c r="K1243" s="455">
        <f t="shared" ca="1" si="105"/>
        <v>-122182.68062346126</v>
      </c>
      <c r="L1243" s="455">
        <f t="shared" ca="1" si="106"/>
        <v>-29446026.030254163</v>
      </c>
      <c r="M1243" s="471">
        <f t="shared" si="109"/>
        <v>0.05</v>
      </c>
      <c r="N1243" s="475">
        <f t="shared" si="110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8"/>
        <v>-29446026.030254163</v>
      </c>
      <c r="J1244" s="455">
        <f t="array" ref="J1244">IFERROR(INDEX('Retirement Calculator'!J:J,MATCH('Isaac 401k'!N1244,'Retirement Calculator'!A:A,0),0),0)</f>
        <v>0</v>
      </c>
      <c r="K1244" s="455">
        <f t="shared" ca="1" si="105"/>
        <v>-122691.77512605902</v>
      </c>
      <c r="L1244" s="455">
        <f t="shared" ca="1" si="106"/>
        <v>-29568717.805380221</v>
      </c>
      <c r="M1244" s="471">
        <f t="shared" si="109"/>
        <v>0.05</v>
      </c>
      <c r="N1244" s="475">
        <f t="shared" si="110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8"/>
        <v>-29568717.805380221</v>
      </c>
      <c r="J1245" s="455">
        <f t="array" ref="J1245">IFERROR(INDEX('Retirement Calculator'!J:J,MATCH('Isaac 401k'!N1245,'Retirement Calculator'!A:A,0),0),0)</f>
        <v>0</v>
      </c>
      <c r="K1245" s="455">
        <f t="shared" ca="1" si="105"/>
        <v>-123202.9908557509</v>
      </c>
      <c r="L1245" s="455">
        <f t="shared" ca="1" si="106"/>
        <v>-29691920.796235971</v>
      </c>
      <c r="M1245" s="471">
        <f t="shared" si="109"/>
        <v>0.05</v>
      </c>
      <c r="N1245" s="475">
        <f t="shared" si="110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8"/>
        <v>-29691920.796235971</v>
      </c>
      <c r="J1246" s="455">
        <f t="array" ref="J1246">IFERROR(INDEX('Retirement Calculator'!J:J,MATCH('Isaac 401k'!N1246,'Retirement Calculator'!A:A,0),0),0)</f>
        <v>0</v>
      </c>
      <c r="K1246" s="455">
        <f t="shared" ca="1" si="105"/>
        <v>-123716.3366509832</v>
      </c>
      <c r="L1246" s="455">
        <f t="shared" ca="1" si="106"/>
        <v>-29815637.132886954</v>
      </c>
      <c r="M1246" s="471">
        <f t="shared" si="109"/>
        <v>0.05</v>
      </c>
      <c r="N1246" s="475">
        <f t="shared" si="110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8"/>
        <v>-29815637.132886954</v>
      </c>
      <c r="J1247" s="455">
        <f t="array" ref="J1247">IFERROR(INDEX('Retirement Calculator'!J:J,MATCH('Isaac 401k'!N1247,'Retirement Calculator'!A:A,0),0),0)</f>
        <v>0</v>
      </c>
      <c r="K1247" s="455">
        <f t="shared" ca="1" si="105"/>
        <v>-124231.82138702899</v>
      </c>
      <c r="L1247" s="455">
        <f t="shared" ca="1" si="106"/>
        <v>-29939868.954273984</v>
      </c>
      <c r="M1247" s="471">
        <f t="shared" si="109"/>
        <v>0.05</v>
      </c>
      <c r="N1247" s="475">
        <f t="shared" si="110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8"/>
        <v>-29939868.954273984</v>
      </c>
      <c r="J1248" s="455">
        <f t="array" ref="J1248">IFERROR(INDEX('Retirement Calculator'!J:J,MATCH('Isaac 401k'!N1248,'Retirement Calculator'!A:A,0),0),0)</f>
        <v>0</v>
      </c>
      <c r="K1248" s="455">
        <f t="shared" ca="1" si="105"/>
        <v>-124749.45397614158</v>
      </c>
      <c r="L1248" s="455">
        <f t="shared" ca="1" si="106"/>
        <v>-30064618.408250127</v>
      </c>
      <c r="M1248" s="471">
        <f t="shared" si="109"/>
        <v>0.05</v>
      </c>
      <c r="N1248" s="475">
        <f t="shared" si="110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8"/>
        <v>-30064618.408250127</v>
      </c>
      <c r="J1249" s="455">
        <f t="array" ref="J1249">IFERROR(INDEX('Retirement Calculator'!J:J,MATCH('Isaac 401k'!N1249,'Retirement Calculator'!A:A,0),0),0)</f>
        <v>0</v>
      </c>
      <c r="K1249" s="455">
        <f t="shared" ca="1" si="105"/>
        <v>-125269.24336770884</v>
      </c>
      <c r="L1249" s="455">
        <f t="shared" ca="1" si="106"/>
        <v>-30189887.651617836</v>
      </c>
      <c r="M1249" s="471">
        <f t="shared" si="109"/>
        <v>0.05</v>
      </c>
      <c r="N1249" s="475">
        <f t="shared" si="110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8"/>
        <v>-30189887.651617836</v>
      </c>
      <c r="J1250" s="455">
        <f t="array" ref="J1250">IFERROR(INDEX('Retirement Calculator'!J:J,MATCH('Isaac 401k'!N1250,'Retirement Calculator'!A:A,0),0),0)</f>
        <v>0</v>
      </c>
      <c r="K1250" s="455">
        <f t="shared" ca="1" si="105"/>
        <v>-125791.19854840763</v>
      </c>
      <c r="L1250" s="455">
        <f t="shared" ca="1" si="106"/>
        <v>-30315678.850166243</v>
      </c>
      <c r="M1250" s="471">
        <f t="shared" si="109"/>
        <v>0.05</v>
      </c>
      <c r="N1250" s="475">
        <f t="shared" si="110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8"/>
        <v>-30315678.850166243</v>
      </c>
      <c r="J1251" s="455">
        <f t="array" ref="J1251">IFERROR(INDEX('Retirement Calculator'!J:J,MATCH('Isaac 401k'!N1251,'Retirement Calculator'!A:A,0),0),0)</f>
        <v>0</v>
      </c>
      <c r="K1251" s="455">
        <f t="shared" ca="1" si="105"/>
        <v>-126315.32854235933</v>
      </c>
      <c r="L1251" s="455">
        <f t="shared" ca="1" si="106"/>
        <v>-30441994.178708602</v>
      </c>
      <c r="M1251" s="471">
        <f t="shared" si="109"/>
        <v>0.05</v>
      </c>
      <c r="N1251" s="475">
        <f t="shared" si="110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8"/>
        <v>-30441994.178708602</v>
      </c>
      <c r="J1252" s="455">
        <f t="array" ref="J1252">IFERROR(INDEX('Retirement Calculator'!J:J,MATCH('Isaac 401k'!N1252,'Retirement Calculator'!A:A,0),0),0)</f>
        <v>0</v>
      </c>
      <c r="K1252" s="455">
        <f t="shared" ca="1" si="105"/>
        <v>-126841.64241128584</v>
      </c>
      <c r="L1252" s="455">
        <f t="shared" ca="1" si="106"/>
        <v>-30568835.821119886</v>
      </c>
      <c r="M1252" s="471">
        <f t="shared" si="109"/>
        <v>0.05</v>
      </c>
      <c r="N1252" s="475">
        <f t="shared" si="110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8"/>
        <v>-30568835.821119886</v>
      </c>
      <c r="J1253" s="455">
        <f t="array" ref="J1253">IFERROR(INDEX('Retirement Calculator'!J:J,MATCH('Isaac 401k'!N1253,'Retirement Calculator'!A:A,0),0),0)</f>
        <v>0</v>
      </c>
      <c r="K1253" s="455">
        <f t="shared" ca="1" si="105"/>
        <v>-127370.1492546662</v>
      </c>
      <c r="L1253" s="455">
        <f t="shared" ca="1" si="106"/>
        <v>-30696205.970374551</v>
      </c>
      <c r="M1253" s="471">
        <f t="shared" si="109"/>
        <v>0.05</v>
      </c>
      <c r="N1253" s="475">
        <f t="shared" si="110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8"/>
        <v>-30696205.970374551</v>
      </c>
      <c r="J1254" s="455">
        <f t="array" ref="J1254">IFERROR(INDEX('Retirement Calculator'!J:J,MATCH('Isaac 401k'!N1254,'Retirement Calculator'!A:A,0),0),0)</f>
        <v>0</v>
      </c>
      <c r="K1254" s="455">
        <f t="shared" ca="1" si="105"/>
        <v>-127900.85820989397</v>
      </c>
      <c r="L1254" s="455">
        <f t="shared" ca="1" si="106"/>
        <v>-30824106.828584444</v>
      </c>
      <c r="M1254" s="471">
        <f t="shared" si="109"/>
        <v>0.05</v>
      </c>
      <c r="N1254" s="475">
        <f t="shared" si="110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8"/>
        <v>-30824106.828584444</v>
      </c>
      <c r="J1255" s="455">
        <f t="array" ref="J1255">IFERROR(INDEX('Retirement Calculator'!J:J,MATCH('Isaac 401k'!N1255,'Retirement Calculator'!A:A,0),0),0)</f>
        <v>0</v>
      </c>
      <c r="K1255" s="455">
        <f t="shared" ca="1" si="105"/>
        <v>-128433.7784524352</v>
      </c>
      <c r="L1255" s="455">
        <f t="shared" ca="1" si="106"/>
        <v>-30952540.607036877</v>
      </c>
      <c r="M1255" s="471">
        <f t="shared" si="109"/>
        <v>0.05</v>
      </c>
      <c r="N1255" s="475">
        <f t="shared" si="110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8"/>
        <v>-30952540.607036877</v>
      </c>
      <c r="J1256" s="455">
        <f t="array" ref="J1256">IFERROR(INDEX('Retirement Calculator'!J:J,MATCH('Isaac 401k'!N1256,'Retirement Calculator'!A:A,0),0),0)</f>
        <v>0</v>
      </c>
      <c r="K1256" s="455">
        <f t="shared" ca="1" si="105"/>
        <v>-128968.91919598699</v>
      </c>
      <c r="L1256" s="455">
        <f t="shared" ca="1" si="106"/>
        <v>-31081509.526232865</v>
      </c>
      <c r="M1256" s="471">
        <f t="shared" si="109"/>
        <v>0.05</v>
      </c>
      <c r="N1256" s="475">
        <f t="shared" si="110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8"/>
        <v>-31081509.526232865</v>
      </c>
      <c r="J1257" s="455">
        <f t="array" ref="J1257">IFERROR(INDEX('Retirement Calculator'!J:J,MATCH('Isaac 401k'!N1257,'Retirement Calculator'!A:A,0),0),0)</f>
        <v>0</v>
      </c>
      <c r="K1257" s="455">
        <f t="shared" ca="1" si="105"/>
        <v>-129506.28969263693</v>
      </c>
      <c r="L1257" s="455">
        <f t="shared" ca="1" si="106"/>
        <v>-31211015.815925501</v>
      </c>
      <c r="M1257" s="471">
        <f t="shared" si="109"/>
        <v>0.05</v>
      </c>
      <c r="N1257" s="475">
        <f t="shared" si="110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8"/>
        <v>-31211015.815925501</v>
      </c>
      <c r="J1258" s="455">
        <f t="array" ref="J1258">IFERROR(INDEX('Retirement Calculator'!J:J,MATCH('Isaac 401k'!N1258,'Retirement Calculator'!A:A,0),0),0)</f>
        <v>0</v>
      </c>
      <c r="K1258" s="455">
        <f t="shared" ca="1" si="105"/>
        <v>-130045.89923302292</v>
      </c>
      <c r="L1258" s="455">
        <f t="shared" ca="1" si="106"/>
        <v>-31341061.715158526</v>
      </c>
      <c r="M1258" s="471">
        <f t="shared" si="109"/>
        <v>0.05</v>
      </c>
      <c r="N1258" s="475">
        <f t="shared" si="110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8"/>
        <v>-31341061.715158526</v>
      </c>
      <c r="J1259" s="455">
        <f t="array" ref="J1259">IFERROR(INDEX('Retirement Calculator'!J:J,MATCH('Isaac 401k'!N1259,'Retirement Calculator'!A:A,0),0),0)</f>
        <v>0</v>
      </c>
      <c r="K1259" s="455">
        <f t="shared" ca="1" si="105"/>
        <v>-130587.75714649385</v>
      </c>
      <c r="L1259" s="455">
        <f t="shared" ca="1" si="106"/>
        <v>-31471649.472305018</v>
      </c>
      <c r="M1259" s="471">
        <f t="shared" si="109"/>
        <v>0.05</v>
      </c>
      <c r="N1259" s="475">
        <f t="shared" si="110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8"/>
        <v>-31471649.472305018</v>
      </c>
      <c r="J1260" s="455">
        <f t="array" ref="J1260">IFERROR(INDEX('Retirement Calculator'!J:J,MATCH('Isaac 401k'!N1260,'Retirement Calculator'!A:A,0),0),0)</f>
        <v>0</v>
      </c>
      <c r="K1260" s="455">
        <f t="shared" ca="1" si="105"/>
        <v>-131131.87280127089</v>
      </c>
      <c r="L1260" s="455">
        <f t="shared" ca="1" si="106"/>
        <v>-31602781.345106289</v>
      </c>
      <c r="M1260" s="471">
        <f t="shared" si="109"/>
        <v>0.05</v>
      </c>
      <c r="N1260" s="475">
        <f t="shared" si="110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8"/>
        <v>-31602781.345106289</v>
      </c>
      <c r="J1261" s="455">
        <f t="array" ref="J1261">IFERROR(INDEX('Retirement Calculator'!J:J,MATCH('Isaac 401k'!N1261,'Retirement Calculator'!A:A,0),0),0)</f>
        <v>0</v>
      </c>
      <c r="K1261" s="455">
        <f t="shared" ca="1" si="105"/>
        <v>-131678.25560460956</v>
      </c>
      <c r="L1261" s="455">
        <f t="shared" ca="1" si="106"/>
        <v>-31734459.600710899</v>
      </c>
      <c r="M1261" s="471">
        <f t="shared" si="109"/>
        <v>0.05</v>
      </c>
      <c r="N1261" s="475">
        <f t="shared" si="110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8"/>
        <v>-31734459.600710899</v>
      </c>
      <c r="J1262" s="455">
        <f t="array" ref="J1262">IFERROR(INDEX('Retirement Calculator'!J:J,MATCH('Isaac 401k'!N1262,'Retirement Calculator'!A:A,0),0),0)</f>
        <v>0</v>
      </c>
      <c r="K1262" s="455">
        <f t="shared" ca="1" si="105"/>
        <v>-132226.91500296208</v>
      </c>
      <c r="L1262" s="455">
        <f t="shared" ca="1" si="106"/>
        <v>-31866686.515713859</v>
      </c>
      <c r="M1262" s="471">
        <f t="shared" si="109"/>
        <v>0.05</v>
      </c>
      <c r="N1262" s="475">
        <f t="shared" si="110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8"/>
        <v>-31866686.515713859</v>
      </c>
      <c r="J1263" s="455">
        <f t="array" ref="J1263">IFERROR(INDEX('Retirement Calculator'!J:J,MATCH('Isaac 401k'!N1263,'Retirement Calculator'!A:A,0),0),0)</f>
        <v>0</v>
      </c>
      <c r="K1263" s="455">
        <f t="shared" ca="1" si="105"/>
        <v>-132777.86048214108</v>
      </c>
      <c r="L1263" s="455">
        <f t="shared" ca="1" si="106"/>
        <v>-31999464.376196001</v>
      </c>
      <c r="M1263" s="471">
        <f t="shared" si="109"/>
        <v>0.05</v>
      </c>
      <c r="N1263" s="475">
        <f t="shared" si="110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8"/>
        <v>-31999464.376196001</v>
      </c>
      <c r="J1264" s="455">
        <f t="array" ref="J1264">IFERROR(INDEX('Retirement Calculator'!J:J,MATCH('Isaac 401k'!N1264,'Retirement Calculator'!A:A,0),0),0)</f>
        <v>0</v>
      </c>
      <c r="K1264" s="455">
        <f t="shared" ca="1" si="105"/>
        <v>-133331.10156748333</v>
      </c>
      <c r="L1264" s="455">
        <f t="shared" ca="1" si="106"/>
        <v>-32132795.477763485</v>
      </c>
      <c r="M1264" s="471">
        <f t="shared" si="109"/>
        <v>0.05</v>
      </c>
      <c r="N1264" s="475">
        <f t="shared" si="110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8"/>
        <v>-32132795.477763485</v>
      </c>
      <c r="J1265" s="455">
        <f t="array" ref="J1265">IFERROR(INDEX('Retirement Calculator'!J:J,MATCH('Isaac 401k'!N1265,'Retirement Calculator'!A:A,0),0),0)</f>
        <v>0</v>
      </c>
      <c r="K1265" s="455">
        <f t="shared" ca="1" si="105"/>
        <v>-133886.64782401454</v>
      </c>
      <c r="L1265" s="455">
        <f t="shared" ca="1" si="106"/>
        <v>-32266682.125587501</v>
      </c>
      <c r="M1265" s="471">
        <f t="shared" si="109"/>
        <v>0.05</v>
      </c>
      <c r="N1265" s="475">
        <f t="shared" si="110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8"/>
        <v>-32266682.125587501</v>
      </c>
      <c r="J1266" s="455">
        <f t="array" ref="J1266">IFERROR(INDEX('Retirement Calculator'!J:J,MATCH('Isaac 401k'!N1266,'Retirement Calculator'!A:A,0),0),0)</f>
        <v>0</v>
      </c>
      <c r="K1266" s="455">
        <f t="shared" ca="1" si="105"/>
        <v>-134444.50885661459</v>
      </c>
      <c r="L1266" s="455">
        <f t="shared" ca="1" si="106"/>
        <v>-32401126.634444114</v>
      </c>
      <c r="M1266" s="471">
        <f t="shared" si="109"/>
        <v>0.05</v>
      </c>
      <c r="N1266" s="475">
        <f t="shared" si="110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8"/>
        <v>-32401126.634444114</v>
      </c>
      <c r="J1267" s="455">
        <f t="array" ref="J1267">IFERROR(INDEX('Retirement Calculator'!J:J,MATCH('Isaac 401k'!N1267,'Retirement Calculator'!A:A,0),0),0)</f>
        <v>0</v>
      </c>
      <c r="K1267" s="455">
        <f t="shared" ca="1" si="105"/>
        <v>-135004.69431018381</v>
      </c>
      <c r="L1267" s="455">
        <f t="shared" ca="1" si="106"/>
        <v>-32536131.328754298</v>
      </c>
      <c r="M1267" s="471">
        <f t="shared" si="109"/>
        <v>0.05</v>
      </c>
      <c r="N1267" s="475">
        <f t="shared" si="110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8"/>
        <v>-32536131.328754298</v>
      </c>
      <c r="J1268" s="455">
        <f t="array" ref="J1268">IFERROR(INDEX('Retirement Calculator'!J:J,MATCH('Isaac 401k'!N1268,'Retirement Calculator'!A:A,0),0),0)</f>
        <v>0</v>
      </c>
      <c r="K1268" s="455">
        <f t="shared" ca="1" si="105"/>
        <v>-135567.21386980958</v>
      </c>
      <c r="L1268" s="455">
        <f t="shared" ca="1" si="106"/>
        <v>-32671698.542624108</v>
      </c>
      <c r="M1268" s="471">
        <f t="shared" si="109"/>
        <v>0.05</v>
      </c>
      <c r="N1268" s="475">
        <f t="shared" si="110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8"/>
        <v>-32671698.542624108</v>
      </c>
      <c r="J1269" s="455">
        <f t="array" ref="J1269">IFERROR(INDEX('Retirement Calculator'!J:J,MATCH('Isaac 401k'!N1269,'Retirement Calculator'!A:A,0),0),0)</f>
        <v>0</v>
      </c>
      <c r="K1269" s="455">
        <f t="shared" ca="1" si="105"/>
        <v>-136132.07726093379</v>
      </c>
      <c r="L1269" s="455">
        <f t="shared" ca="1" si="106"/>
        <v>-32807830.619885042</v>
      </c>
      <c r="M1269" s="471">
        <f t="shared" si="109"/>
        <v>0.05</v>
      </c>
      <c r="N1269" s="475">
        <f t="shared" si="110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8"/>
        <v>-32807830.619885042</v>
      </c>
      <c r="J1270" s="455">
        <f t="array" ref="J1270">IFERROR(INDEX('Retirement Calculator'!J:J,MATCH('Isaac 401k'!N1270,'Retirement Calculator'!A:A,0),0),0)</f>
        <v>0</v>
      </c>
      <c r="K1270" s="455">
        <f t="shared" ca="1" si="105"/>
        <v>-136699.29424952102</v>
      </c>
      <c r="L1270" s="455">
        <f t="shared" ca="1" si="106"/>
        <v>-32944529.914134562</v>
      </c>
      <c r="M1270" s="471">
        <f t="shared" si="109"/>
        <v>0.05</v>
      </c>
      <c r="N1270" s="475">
        <f t="shared" si="110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8"/>
        <v>-32944529.914134562</v>
      </c>
      <c r="J1271" s="455">
        <f t="array" ref="J1271">IFERROR(INDEX('Retirement Calculator'!J:J,MATCH('Isaac 401k'!N1271,'Retirement Calculator'!A:A,0),0),0)</f>
        <v>0</v>
      </c>
      <c r="K1271" s="455">
        <f t="shared" ca="1" si="105"/>
        <v>-137268.87464222734</v>
      </c>
      <c r="L1271" s="455">
        <f t="shared" ca="1" si="106"/>
        <v>-33081798.788776789</v>
      </c>
      <c r="M1271" s="471">
        <f t="shared" si="109"/>
        <v>0.05</v>
      </c>
      <c r="N1271" s="475">
        <f t="shared" si="110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8"/>
        <v>-33081798.788776789</v>
      </c>
      <c r="J1272" s="455">
        <f t="array" ref="J1272">IFERROR(INDEX('Retirement Calculator'!J:J,MATCH('Isaac 401k'!N1272,'Retirement Calculator'!A:A,0),0),0)</f>
        <v>0</v>
      </c>
      <c r="K1272" s="455">
        <f t="shared" ca="1" si="105"/>
        <v>-137840.82828656994</v>
      </c>
      <c r="L1272" s="455">
        <f t="shared" ca="1" si="106"/>
        <v>-33219639.617063358</v>
      </c>
      <c r="M1272" s="471">
        <f t="shared" si="109"/>
        <v>0.05</v>
      </c>
      <c r="N1272" s="475">
        <f t="shared" si="110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8"/>
        <v>-33219639.617063358</v>
      </c>
      <c r="J1273" s="455">
        <f t="array" ref="J1273">IFERROR(INDEX('Retirement Calculator'!J:J,MATCH('Isaac 401k'!N1273,'Retirement Calculator'!A:A,0),0),0)</f>
        <v>0</v>
      </c>
      <c r="K1273" s="455">
        <f t="shared" ca="1" si="105"/>
        <v>-138415.16507109732</v>
      </c>
      <c r="L1273" s="455">
        <f t="shared" ca="1" si="106"/>
        <v>-33358054.782134455</v>
      </c>
      <c r="M1273" s="471">
        <f t="shared" si="109"/>
        <v>0.05</v>
      </c>
      <c r="N1273" s="475">
        <f t="shared" si="110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8"/>
        <v>-33358054.782134455</v>
      </c>
      <c r="J1274" s="455">
        <f t="array" ref="J1274">IFERROR(INDEX('Retirement Calculator'!J:J,MATCH('Isaac 401k'!N1274,'Retirement Calculator'!A:A,0),0),0)</f>
        <v>0</v>
      </c>
      <c r="K1274" s="455">
        <f t="shared" ca="1" si="105"/>
        <v>-138991.89492556025</v>
      </c>
      <c r="L1274" s="455">
        <f t="shared" ca="1" si="106"/>
        <v>-33497046.677060015</v>
      </c>
      <c r="M1274" s="471">
        <f t="shared" si="109"/>
        <v>0.05</v>
      </c>
      <c r="N1274" s="475">
        <f t="shared" si="110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8"/>
        <v>-33497046.677060015</v>
      </c>
      <c r="J1275" s="455">
        <f t="array" ref="J1275">IFERROR(INDEX('Retirement Calculator'!J:J,MATCH('Isaac 401k'!N1275,'Retirement Calculator'!A:A,0),0),0)</f>
        <v>0</v>
      </c>
      <c r="K1275" s="455">
        <f t="shared" ca="1" si="105"/>
        <v>-139571.02782108341</v>
      </c>
      <c r="L1275" s="455">
        <f t="shared" ca="1" si="106"/>
        <v>-33636617.704881102</v>
      </c>
      <c r="M1275" s="471">
        <f t="shared" si="109"/>
        <v>0.05</v>
      </c>
      <c r="N1275" s="475">
        <f t="shared" si="110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8"/>
        <v>-33636617.704881102</v>
      </c>
      <c r="J1276" s="455">
        <f t="array" ref="J1276">IFERROR(INDEX('Retirement Calculator'!J:J,MATCH('Isaac 401k'!N1276,'Retirement Calculator'!A:A,0),0),0)</f>
        <v>0</v>
      </c>
      <c r="K1276" s="455">
        <f t="shared" ca="1" si="105"/>
        <v>-140152.57377033791</v>
      </c>
      <c r="L1276" s="455">
        <f t="shared" ca="1" si="106"/>
        <v>-33776770.278651439</v>
      </c>
      <c r="M1276" s="471">
        <f t="shared" si="109"/>
        <v>0.05</v>
      </c>
      <c r="N1276" s="475">
        <f t="shared" si="110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8"/>
        <v>-33776770.278651439</v>
      </c>
      <c r="J1277" s="455">
        <f t="array" ref="J1277">IFERROR(INDEX('Retirement Calculator'!J:J,MATCH('Isaac 401k'!N1277,'Retirement Calculator'!A:A,0),0),0)</f>
        <v>0</v>
      </c>
      <c r="K1277" s="455">
        <f t="shared" ca="1" si="105"/>
        <v>-140736.54282771432</v>
      </c>
      <c r="L1277" s="455">
        <f t="shared" ca="1" si="106"/>
        <v>-33917506.821479157</v>
      </c>
      <c r="M1277" s="471">
        <f t="shared" si="109"/>
        <v>0.05</v>
      </c>
      <c r="N1277" s="475">
        <f t="shared" si="110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8"/>
        <v>-33917506.821479157</v>
      </c>
      <c r="J1278" s="455">
        <f t="array" ref="J1278">IFERROR(INDEX('Retirement Calculator'!J:J,MATCH('Isaac 401k'!N1278,'Retirement Calculator'!A:A,0),0),0)</f>
        <v>0</v>
      </c>
      <c r="K1278" s="455">
        <f t="shared" ca="1" si="105"/>
        <v>-141322.9450894965</v>
      </c>
      <c r="L1278" s="455">
        <f t="shared" ca="1" si="106"/>
        <v>-34058829.766568653</v>
      </c>
      <c r="M1278" s="471">
        <f t="shared" si="109"/>
        <v>0.05</v>
      </c>
      <c r="N1278" s="475">
        <f t="shared" si="110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8"/>
        <v>-34058829.766568653</v>
      </c>
      <c r="J1279" s="455">
        <f t="array" ref="J1279">IFERROR(INDEX('Retirement Calculator'!J:J,MATCH('Isaac 401k'!N1279,'Retirement Calculator'!A:A,0),0),0)</f>
        <v>0</v>
      </c>
      <c r="K1279" s="455">
        <f t="shared" ca="1" si="105"/>
        <v>-141911.79069403606</v>
      </c>
      <c r="L1279" s="455">
        <f t="shared" ca="1" si="106"/>
        <v>-34200741.557262689</v>
      </c>
      <c r="M1279" s="471">
        <f t="shared" si="109"/>
        <v>0.05</v>
      </c>
      <c r="N1279" s="475">
        <f t="shared" si="110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8"/>
        <v>-34200741.557262689</v>
      </c>
      <c r="J1280" s="455">
        <f t="array" ref="J1280">IFERROR(INDEX('Retirement Calculator'!J:J,MATCH('Isaac 401k'!N1280,'Retirement Calculator'!A:A,0),0),0)</f>
        <v>0</v>
      </c>
      <c r="K1280" s="455">
        <f t="shared" ca="1" si="105"/>
        <v>-142503.08982192786</v>
      </c>
      <c r="L1280" s="455">
        <f t="shared" ca="1" si="106"/>
        <v>-34343244.647084616</v>
      </c>
      <c r="M1280" s="471">
        <f t="shared" si="109"/>
        <v>0.05</v>
      </c>
      <c r="N1280" s="475">
        <f t="shared" si="110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8"/>
        <v>-34343244.647084616</v>
      </c>
      <c r="J1281" s="455">
        <f t="array" ref="J1281">IFERROR(INDEX('Retirement Calculator'!J:J,MATCH('Isaac 401k'!N1281,'Retirement Calculator'!A:A,0),0),0)</f>
        <v>0</v>
      </c>
      <c r="K1281" s="455">
        <f t="shared" ca="1" si="105"/>
        <v>-143096.8526961859</v>
      </c>
      <c r="L1281" s="455">
        <f t="shared" ca="1" si="106"/>
        <v>-34486341.499780804</v>
      </c>
      <c r="M1281" s="471">
        <f t="shared" si="109"/>
        <v>0.05</v>
      </c>
      <c r="N1281" s="475">
        <f t="shared" si="110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8"/>
        <v>-34486341.499780804</v>
      </c>
      <c r="J1282" s="455">
        <f t="array" ref="J1282">IFERROR(INDEX('Retirement Calculator'!J:J,MATCH('Isaac 401k'!N1282,'Retirement Calculator'!A:A,0),0),0)</f>
        <v>0</v>
      </c>
      <c r="K1282" s="455">
        <f t="shared" ca="1" si="105"/>
        <v>-143693.08958242001</v>
      </c>
      <c r="L1282" s="455">
        <f t="shared" ca="1" si="106"/>
        <v>-34630034.589363225</v>
      </c>
      <c r="M1282" s="471">
        <f t="shared" si="109"/>
        <v>0.05</v>
      </c>
      <c r="N1282" s="475">
        <f t="shared" si="110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8"/>
        <v>-34630034.589363225</v>
      </c>
      <c r="J1283" s="455">
        <f t="array" ref="J1283">IFERROR(INDEX('Retirement Calculator'!J:J,MATCH('Isaac 401k'!N1283,'Retirement Calculator'!A:A,0),0),0)</f>
        <v>0</v>
      </c>
      <c r="K1283" s="455">
        <f t="shared" ref="K1283:K1537" ca="1" si="126">IPMT(M1283/12,1,12,-I1283+J1283,,0)</f>
        <v>-144291.81078901343</v>
      </c>
      <c r="L1283" s="455">
        <f t="shared" ref="L1283:L1537" ca="1" si="127">I1283-J1283+K1283</f>
        <v>-34774326.400152236</v>
      </c>
      <c r="M1283" s="471">
        <f t="shared" si="109"/>
        <v>0.05</v>
      </c>
      <c r="N1283" s="475">
        <f t="shared" si="110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28">L1283</f>
        <v>-34774326.400152236</v>
      </c>
      <c r="J1284" s="455">
        <f t="array" ref="J1284">IFERROR(INDEX('Retirement Calculator'!J:J,MATCH('Isaac 401k'!N1284,'Retirement Calculator'!A:A,0),0),0)</f>
        <v>0</v>
      </c>
      <c r="K1284" s="455">
        <f t="shared" ca="1" si="126"/>
        <v>-144893.02666730099</v>
      </c>
      <c r="L1284" s="455">
        <f t="shared" ca="1" si="127"/>
        <v>-34919219.426819541</v>
      </c>
      <c r="M1284" s="471">
        <f t="shared" ref="M1284:M1538" si="129">M1283</f>
        <v>0.05</v>
      </c>
      <c r="N1284" s="475">
        <f t="shared" ref="N1284:N1538" si="130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28"/>
        <v>-34919219.426819541</v>
      </c>
      <c r="J1285" s="455">
        <f t="array" ref="J1285">IFERROR(INDEX('Retirement Calculator'!J:J,MATCH('Isaac 401k'!N1285,'Retirement Calculator'!A:A,0),0),0)</f>
        <v>0</v>
      </c>
      <c r="K1285" s="455">
        <f t="shared" ca="1" si="126"/>
        <v>-145496.74761174808</v>
      </c>
      <c r="L1285" s="455">
        <f t="shared" ca="1" si="127"/>
        <v>-35064716.174431287</v>
      </c>
      <c r="M1285" s="471">
        <f t="shared" si="129"/>
        <v>0.05</v>
      </c>
      <c r="N1285" s="475">
        <f t="shared" si="130"/>
        <v>90156</v>
      </c>
    </row>
    <row r="1286" spans="7:14" ht="11.25" customHeight="1" x14ac:dyDescent="0.3">
      <c r="G1286" s="470"/>
      <c r="H1286" s="470">
        <v>1279</v>
      </c>
      <c r="I1286" s="455">
        <f t="shared" ca="1" si="128"/>
        <v>-35064716.174431287</v>
      </c>
      <c r="J1286" s="455">
        <f t="array" ref="J1286">IFERROR(INDEX('Retirement Calculator'!J:J,MATCH('Isaac 401k'!N1286,'Retirement Calculator'!A:A,0),0),0)</f>
        <v>0</v>
      </c>
      <c r="K1286" s="455">
        <f t="shared" ca="1" si="126"/>
        <v>-146102.98406013037</v>
      </c>
      <c r="L1286" s="455">
        <f t="shared" ca="1" si="127"/>
        <v>-35210819.158491418</v>
      </c>
      <c r="M1286" s="471">
        <f t="shared" si="129"/>
        <v>0.05</v>
      </c>
      <c r="N1286" s="475">
        <f t="shared" si="130"/>
        <v>90186</v>
      </c>
    </row>
    <row r="1287" spans="7:14" ht="11.25" customHeight="1" x14ac:dyDescent="0.3">
      <c r="G1287" s="470"/>
      <c r="H1287" s="470">
        <v>1280</v>
      </c>
      <c r="I1287" s="455">
        <f t="shared" ca="1" si="128"/>
        <v>-35210819.158491418</v>
      </c>
      <c r="J1287" s="455">
        <f t="array" ref="J1287">IFERROR(INDEX('Retirement Calculator'!J:J,MATCH('Isaac 401k'!N1287,'Retirement Calculator'!A:A,0),0),0)</f>
        <v>0</v>
      </c>
      <c r="K1287" s="455">
        <f t="shared" ca="1" si="126"/>
        <v>-146711.74649371425</v>
      </c>
      <c r="L1287" s="455">
        <f t="shared" ca="1" si="127"/>
        <v>-35357530.90498513</v>
      </c>
      <c r="M1287" s="471">
        <f t="shared" si="129"/>
        <v>0.05</v>
      </c>
      <c r="N1287" s="475">
        <f t="shared" si="130"/>
        <v>90217</v>
      </c>
    </row>
    <row r="1288" spans="7:14" ht="11.25" customHeight="1" x14ac:dyDescent="0.3">
      <c r="G1288" s="470"/>
      <c r="H1288" s="470">
        <v>1281</v>
      </c>
      <c r="I1288" s="455">
        <f t="shared" ca="1" si="128"/>
        <v>-35357530.90498513</v>
      </c>
      <c r="J1288" s="455">
        <f t="array" ref="J1288">IFERROR(INDEX('Retirement Calculator'!J:J,MATCH('Isaac 401k'!N1288,'Retirement Calculator'!A:A,0),0),0)</f>
        <v>0</v>
      </c>
      <c r="K1288" s="455">
        <f t="shared" ca="1" si="126"/>
        <v>-147323.04543743804</v>
      </c>
      <c r="L1288" s="455">
        <f t="shared" ca="1" si="127"/>
        <v>-35504853.95042257</v>
      </c>
      <c r="M1288" s="471">
        <f t="shared" si="129"/>
        <v>0.05</v>
      </c>
      <c r="N1288" s="475">
        <f t="shared" si="130"/>
        <v>90248</v>
      </c>
    </row>
    <row r="1289" spans="7:14" ht="11.25" customHeight="1" x14ac:dyDescent="0.3">
      <c r="G1289" s="470"/>
      <c r="H1289" s="470">
        <v>1282</v>
      </c>
      <c r="I1289" s="455">
        <f t="shared" ca="1" si="128"/>
        <v>-35504853.95042257</v>
      </c>
      <c r="J1289" s="455">
        <f t="array" ref="J1289">IFERROR(INDEX('Retirement Calculator'!J:J,MATCH('Isaac 401k'!N1289,'Retirement Calculator'!A:A,0),0),0)</f>
        <v>0</v>
      </c>
      <c r="K1289" s="455">
        <f t="shared" ca="1" si="126"/>
        <v>-147936.89146009405</v>
      </c>
      <c r="L1289" s="455">
        <f t="shared" ca="1" si="127"/>
        <v>-35652790.841882661</v>
      </c>
      <c r="M1289" s="471">
        <f t="shared" si="129"/>
        <v>0.05</v>
      </c>
      <c r="N1289" s="475">
        <f t="shared" si="130"/>
        <v>90276</v>
      </c>
    </row>
    <row r="1290" spans="7:14" ht="11.25" customHeight="1" x14ac:dyDescent="0.3">
      <c r="G1290" s="470"/>
      <c r="H1290" s="470">
        <v>1283</v>
      </c>
      <c r="I1290" s="455">
        <f t="shared" ca="1" si="128"/>
        <v>-35652790.841882661</v>
      </c>
      <c r="J1290" s="455">
        <f t="array" ref="J1290">IFERROR(INDEX('Retirement Calculator'!J:J,MATCH('Isaac 401k'!N1290,'Retirement Calculator'!A:A,0),0),0)</f>
        <v>0</v>
      </c>
      <c r="K1290" s="455">
        <f t="shared" ca="1" si="126"/>
        <v>-148553.29517451109</v>
      </c>
      <c r="L1290" s="455">
        <f t="shared" ca="1" si="127"/>
        <v>-35801344.13705717</v>
      </c>
      <c r="M1290" s="471">
        <f t="shared" si="129"/>
        <v>0.05</v>
      </c>
      <c r="N1290" s="475">
        <f t="shared" si="130"/>
        <v>90307</v>
      </c>
    </row>
    <row r="1291" spans="7:14" ht="11.25" customHeight="1" x14ac:dyDescent="0.3">
      <c r="G1291" s="470"/>
      <c r="H1291" s="470">
        <v>1284</v>
      </c>
      <c r="I1291" s="455">
        <f t="shared" ca="1" si="128"/>
        <v>-35801344.13705717</v>
      </c>
      <c r="J1291" s="455">
        <f t="array" ref="J1291">IFERROR(INDEX('Retirement Calculator'!J:J,MATCH('Isaac 401k'!N1291,'Retirement Calculator'!A:A,0),0),0)</f>
        <v>0</v>
      </c>
      <c r="K1291" s="455">
        <f t="shared" ca="1" si="126"/>
        <v>-149172.26723773821</v>
      </c>
      <c r="L1291" s="455">
        <f t="shared" ca="1" si="127"/>
        <v>-35950516.404294908</v>
      </c>
      <c r="M1291" s="471">
        <f t="shared" si="129"/>
        <v>0.05</v>
      </c>
      <c r="N1291" s="475">
        <f t="shared" si="130"/>
        <v>90337</v>
      </c>
    </row>
    <row r="1292" spans="7:14" ht="11.25" customHeight="1" x14ac:dyDescent="0.3">
      <c r="G1292" s="470"/>
      <c r="H1292" s="470">
        <v>1285</v>
      </c>
      <c r="I1292" s="455">
        <f t="shared" ca="1" si="128"/>
        <v>-35950516.404294908</v>
      </c>
      <c r="J1292" s="455">
        <f t="array" ref="J1292">IFERROR(INDEX('Retirement Calculator'!J:J,MATCH('Isaac 401k'!N1292,'Retirement Calculator'!A:A,0),0),0)</f>
        <v>0</v>
      </c>
      <c r="K1292" s="455">
        <f t="shared" ca="1" si="126"/>
        <v>-149793.81835122878</v>
      </c>
      <c r="L1292" s="455">
        <f t="shared" ca="1" si="127"/>
        <v>-36100310.22264614</v>
      </c>
      <c r="M1292" s="471">
        <f t="shared" si="129"/>
        <v>0.05</v>
      </c>
      <c r="N1292" s="475">
        <f t="shared" si="130"/>
        <v>90368</v>
      </c>
    </row>
    <row r="1293" spans="7:14" ht="11.25" customHeight="1" x14ac:dyDescent="0.3">
      <c r="G1293" s="470"/>
      <c r="H1293" s="470">
        <v>1286</v>
      </c>
      <c r="I1293" s="455">
        <f t="shared" ca="1" si="128"/>
        <v>-36100310.22264614</v>
      </c>
      <c r="J1293" s="455">
        <f t="array" ref="J1293">IFERROR(INDEX('Retirement Calculator'!J:J,MATCH('Isaac 401k'!N1293,'Retirement Calculator'!A:A,0),0),0)</f>
        <v>0</v>
      </c>
      <c r="K1293" s="455">
        <f t="shared" ca="1" si="126"/>
        <v>-150417.95926102559</v>
      </c>
      <c r="L1293" s="455">
        <f t="shared" ca="1" si="127"/>
        <v>-36250728.181907162</v>
      </c>
      <c r="M1293" s="471">
        <f t="shared" si="129"/>
        <v>0.05</v>
      </c>
      <c r="N1293" s="475">
        <f t="shared" si="130"/>
        <v>90398</v>
      </c>
    </row>
    <row r="1294" spans="7:14" ht="11.25" customHeight="1" x14ac:dyDescent="0.3">
      <c r="G1294" s="470"/>
      <c r="H1294" s="470">
        <v>1287</v>
      </c>
      <c r="I1294" s="455">
        <f t="shared" ca="1" si="128"/>
        <v>-36250728.181907162</v>
      </c>
      <c r="J1294" s="455">
        <f t="array" ref="J1294">IFERROR(INDEX('Retirement Calculator'!J:J,MATCH('Isaac 401k'!N1294,'Retirement Calculator'!A:A,0),0),0)</f>
        <v>0</v>
      </c>
      <c r="K1294" s="455">
        <f t="shared" ca="1" si="126"/>
        <v>-151044.7007579465</v>
      </c>
      <c r="L1294" s="455">
        <f t="shared" ca="1" si="127"/>
        <v>-36401772.882665105</v>
      </c>
      <c r="M1294" s="471">
        <f t="shared" si="129"/>
        <v>0.05</v>
      </c>
      <c r="N1294" s="475">
        <f t="shared" si="130"/>
        <v>90429</v>
      </c>
    </row>
    <row r="1295" spans="7:14" ht="11.25" customHeight="1" x14ac:dyDescent="0.3">
      <c r="G1295" s="470"/>
      <c r="H1295" s="470">
        <v>1288</v>
      </c>
      <c r="I1295" s="455">
        <f t="shared" ca="1" si="128"/>
        <v>-36401772.882665105</v>
      </c>
      <c r="J1295" s="455">
        <f t="array" ref="J1295">IFERROR(INDEX('Retirement Calculator'!J:J,MATCH('Isaac 401k'!N1295,'Retirement Calculator'!A:A,0),0),0)</f>
        <v>0</v>
      </c>
      <c r="K1295" s="455">
        <f t="shared" ca="1" si="126"/>
        <v>-151674.05367777127</v>
      </c>
      <c r="L1295" s="455">
        <f t="shared" ca="1" si="127"/>
        <v>-36553446.93634288</v>
      </c>
      <c r="M1295" s="471">
        <f t="shared" si="129"/>
        <v>0.05</v>
      </c>
      <c r="N1295" s="475">
        <f t="shared" si="130"/>
        <v>90460</v>
      </c>
    </row>
    <row r="1296" spans="7:14" ht="11.25" customHeight="1" x14ac:dyDescent="0.3">
      <c r="G1296" s="470"/>
      <c r="H1296" s="470">
        <v>1289</v>
      </c>
      <c r="I1296" s="455">
        <f t="shared" ca="1" si="128"/>
        <v>-36553446.93634288</v>
      </c>
      <c r="J1296" s="455">
        <f t="array" ref="J1296">IFERROR(INDEX('Retirement Calculator'!J:J,MATCH('Isaac 401k'!N1296,'Retirement Calculator'!A:A,0),0),0)</f>
        <v>0</v>
      </c>
      <c r="K1296" s="455">
        <f t="shared" ca="1" si="126"/>
        <v>-152306.02890142865</v>
      </c>
      <c r="L1296" s="455">
        <f t="shared" ca="1" si="127"/>
        <v>-36705752.965244308</v>
      </c>
      <c r="M1296" s="471">
        <f t="shared" si="129"/>
        <v>0.05</v>
      </c>
      <c r="N1296" s="475">
        <f t="shared" si="130"/>
        <v>90490</v>
      </c>
    </row>
    <row r="1297" spans="7:14" ht="11.25" customHeight="1" x14ac:dyDescent="0.3">
      <c r="G1297" s="470"/>
      <c r="H1297" s="470">
        <v>1290</v>
      </c>
      <c r="I1297" s="455">
        <f t="shared" ca="1" si="128"/>
        <v>-36705752.965244308</v>
      </c>
      <c r="J1297" s="455">
        <f t="array" ref="J1297">IFERROR(INDEX('Retirement Calculator'!J:J,MATCH('Isaac 401k'!N1297,'Retirement Calculator'!A:A,0),0),0)</f>
        <v>0</v>
      </c>
      <c r="K1297" s="455">
        <f t="shared" ca="1" si="126"/>
        <v>-152940.63735518462</v>
      </c>
      <c r="L1297" s="455">
        <f t="shared" ca="1" si="127"/>
        <v>-36858693.602599494</v>
      </c>
      <c r="M1297" s="471">
        <f t="shared" si="129"/>
        <v>0.05</v>
      </c>
      <c r="N1297" s="475">
        <f t="shared" si="130"/>
        <v>90521</v>
      </c>
    </row>
    <row r="1298" spans="7:14" ht="11.25" customHeight="1" x14ac:dyDescent="0.3">
      <c r="G1298" s="470"/>
      <c r="H1298" s="470">
        <v>1291</v>
      </c>
      <c r="I1298" s="455">
        <f t="shared" ca="1" si="128"/>
        <v>-36858693.602599494</v>
      </c>
      <c r="J1298" s="455">
        <f t="array" ref="J1298">IFERROR(INDEX('Retirement Calculator'!J:J,MATCH('Isaac 401k'!N1298,'Retirement Calculator'!A:A,0),0),0)</f>
        <v>0</v>
      </c>
      <c r="K1298" s="455">
        <f t="shared" ca="1" si="126"/>
        <v>-153577.89001083124</v>
      </c>
      <c r="L1298" s="455">
        <f t="shared" ca="1" si="127"/>
        <v>-37012271.492610328</v>
      </c>
      <c r="M1298" s="471">
        <f t="shared" si="129"/>
        <v>0.05</v>
      </c>
      <c r="N1298" s="475">
        <f t="shared" si="130"/>
        <v>90551</v>
      </c>
    </row>
    <row r="1299" spans="7:14" ht="11.25" customHeight="1" x14ac:dyDescent="0.3">
      <c r="G1299" s="470"/>
      <c r="H1299" s="470">
        <v>1292</v>
      </c>
      <c r="I1299" s="455">
        <f t="shared" ca="1" si="128"/>
        <v>-37012271.492610328</v>
      </c>
      <c r="J1299" s="455">
        <f t="array" ref="J1299">IFERROR(INDEX('Retirement Calculator'!J:J,MATCH('Isaac 401k'!N1299,'Retirement Calculator'!A:A,0),0),0)</f>
        <v>0</v>
      </c>
      <c r="K1299" s="455">
        <f t="shared" ca="1" si="126"/>
        <v>-154217.79788587635</v>
      </c>
      <c r="L1299" s="455">
        <f t="shared" ca="1" si="127"/>
        <v>-37166489.290496208</v>
      </c>
      <c r="M1299" s="471">
        <f t="shared" si="129"/>
        <v>0.05</v>
      </c>
      <c r="N1299" s="475">
        <f t="shared" si="130"/>
        <v>90582</v>
      </c>
    </row>
    <row r="1300" spans="7:14" ht="11.25" customHeight="1" x14ac:dyDescent="0.3">
      <c r="G1300" s="470"/>
      <c r="H1300" s="470">
        <v>1293</v>
      </c>
      <c r="I1300" s="455">
        <f t="shared" ca="1" si="128"/>
        <v>-37166489.290496208</v>
      </c>
      <c r="J1300" s="455">
        <f t="array" ref="J1300">IFERROR(INDEX('Retirement Calculator'!J:J,MATCH('Isaac 401k'!N1300,'Retirement Calculator'!A:A,0),0),0)</f>
        <v>0</v>
      </c>
      <c r="K1300" s="455">
        <f t="shared" ca="1" si="126"/>
        <v>-154860.37204373418</v>
      </c>
      <c r="L1300" s="455">
        <f t="shared" ca="1" si="127"/>
        <v>-37321349.662539944</v>
      </c>
      <c r="M1300" s="471">
        <f t="shared" si="129"/>
        <v>0.05</v>
      </c>
      <c r="N1300" s="475">
        <f t="shared" si="130"/>
        <v>90613</v>
      </c>
    </row>
    <row r="1301" spans="7:14" ht="11.25" customHeight="1" x14ac:dyDescent="0.3">
      <c r="G1301" s="470"/>
      <c r="H1301" s="470">
        <v>1294</v>
      </c>
      <c r="I1301" s="455">
        <f t="shared" ca="1" si="128"/>
        <v>-37321349.662539944</v>
      </c>
      <c r="J1301" s="455">
        <f t="array" ref="J1301">IFERROR(INDEX('Retirement Calculator'!J:J,MATCH('Isaac 401k'!N1301,'Retirement Calculator'!A:A,0),0),0)</f>
        <v>0</v>
      </c>
      <c r="K1301" s="455">
        <f t="shared" ca="1" si="126"/>
        <v>-155505.62359391642</v>
      </c>
      <c r="L1301" s="455">
        <f t="shared" ca="1" si="127"/>
        <v>-37476855.286133863</v>
      </c>
      <c r="M1301" s="471">
        <f t="shared" si="129"/>
        <v>0.05</v>
      </c>
      <c r="N1301" s="475">
        <f t="shared" si="130"/>
        <v>90642</v>
      </c>
    </row>
    <row r="1302" spans="7:14" ht="11.25" customHeight="1" x14ac:dyDescent="0.3">
      <c r="G1302" s="470"/>
      <c r="H1302" s="470">
        <v>1295</v>
      </c>
      <c r="I1302" s="455">
        <f t="shared" ca="1" si="128"/>
        <v>-37476855.286133863</v>
      </c>
      <c r="J1302" s="455">
        <f t="array" ref="J1302">IFERROR(INDEX('Retirement Calculator'!J:J,MATCH('Isaac 401k'!N1302,'Retirement Calculator'!A:A,0),0),0)</f>
        <v>0</v>
      </c>
      <c r="K1302" s="455">
        <f t="shared" ca="1" si="126"/>
        <v>-156153.56369222442</v>
      </c>
      <c r="L1302" s="455">
        <f t="shared" ca="1" si="127"/>
        <v>-37633008.84982609</v>
      </c>
      <c r="M1302" s="471">
        <f t="shared" si="129"/>
        <v>0.05</v>
      </c>
      <c r="N1302" s="475">
        <f t="shared" si="130"/>
        <v>90673</v>
      </c>
    </row>
    <row r="1303" spans="7:14" ht="11.25" customHeight="1" x14ac:dyDescent="0.3">
      <c r="G1303" s="470"/>
      <c r="H1303" s="470">
        <v>1296</v>
      </c>
      <c r="I1303" s="455">
        <f t="shared" ca="1" si="128"/>
        <v>-37633008.84982609</v>
      </c>
      <c r="J1303" s="455">
        <f t="array" ref="J1303">IFERROR(INDEX('Retirement Calculator'!J:J,MATCH('Isaac 401k'!N1303,'Retirement Calculator'!A:A,0),0),0)</f>
        <v>0</v>
      </c>
      <c r="K1303" s="455">
        <f t="shared" ca="1" si="126"/>
        <v>-156804.20354094205</v>
      </c>
      <c r="L1303" s="455">
        <f t="shared" ca="1" si="127"/>
        <v>-37789813.053367034</v>
      </c>
      <c r="M1303" s="471">
        <f t="shared" si="129"/>
        <v>0.05</v>
      </c>
      <c r="N1303" s="475">
        <f t="shared" si="130"/>
        <v>90703</v>
      </c>
    </row>
    <row r="1304" spans="7:14" ht="11.25" customHeight="1" x14ac:dyDescent="0.3">
      <c r="G1304" s="470"/>
      <c r="H1304" s="470">
        <v>1297</v>
      </c>
      <c r="I1304" s="455">
        <f t="shared" ca="1" si="128"/>
        <v>-37789813.053367034</v>
      </c>
      <c r="J1304" s="455">
        <f t="array" ref="J1304">IFERROR(INDEX('Retirement Calculator'!J:J,MATCH('Isaac 401k'!N1304,'Retirement Calculator'!A:A,0),0),0)</f>
        <v>0</v>
      </c>
      <c r="K1304" s="455">
        <f t="shared" ca="1" si="126"/>
        <v>-157457.5543890293</v>
      </c>
      <c r="L1304" s="455">
        <f t="shared" ca="1" si="127"/>
        <v>-37947270.607756063</v>
      </c>
      <c r="M1304" s="471">
        <f t="shared" si="129"/>
        <v>0.05</v>
      </c>
      <c r="N1304" s="475">
        <f t="shared" si="130"/>
        <v>90734</v>
      </c>
    </row>
    <row r="1305" spans="7:14" ht="11.25" customHeight="1" x14ac:dyDescent="0.3">
      <c r="G1305" s="470"/>
      <c r="H1305" s="470">
        <v>1298</v>
      </c>
      <c r="I1305" s="455">
        <f t="shared" ca="1" si="128"/>
        <v>-37947270.607756063</v>
      </c>
      <c r="J1305" s="455">
        <f t="array" ref="J1305">IFERROR(INDEX('Retirement Calculator'!J:J,MATCH('Isaac 401k'!N1305,'Retirement Calculator'!A:A,0),0),0)</f>
        <v>0</v>
      </c>
      <c r="K1305" s="455">
        <f t="shared" ca="1" si="126"/>
        <v>-158113.62753231692</v>
      </c>
      <c r="L1305" s="455">
        <f t="shared" ca="1" si="127"/>
        <v>-38105384.235288382</v>
      </c>
      <c r="M1305" s="471">
        <f t="shared" si="129"/>
        <v>0.05</v>
      </c>
      <c r="N1305" s="475">
        <f t="shared" si="130"/>
        <v>90764</v>
      </c>
    </row>
    <row r="1306" spans="7:14" ht="11.25" customHeight="1" x14ac:dyDescent="0.3">
      <c r="G1306" s="470"/>
      <c r="H1306" s="470">
        <v>1299</v>
      </c>
      <c r="I1306" s="455">
        <f t="shared" ca="1" si="128"/>
        <v>-38105384.235288382</v>
      </c>
      <c r="J1306" s="455">
        <f t="array" ref="J1306">IFERROR(INDEX('Retirement Calculator'!J:J,MATCH('Isaac 401k'!N1306,'Retirement Calculator'!A:A,0),0),0)</f>
        <v>0</v>
      </c>
      <c r="K1306" s="455">
        <f t="shared" ca="1" si="126"/>
        <v>-158772.43431370158</v>
      </c>
      <c r="L1306" s="455">
        <f t="shared" ca="1" si="127"/>
        <v>-38264156.669602081</v>
      </c>
      <c r="M1306" s="471">
        <f t="shared" si="129"/>
        <v>0.05</v>
      </c>
      <c r="N1306" s="475">
        <f t="shared" si="130"/>
        <v>90795</v>
      </c>
    </row>
    <row r="1307" spans="7:14" ht="11.25" customHeight="1" x14ac:dyDescent="0.3">
      <c r="G1307" s="470"/>
      <c r="H1307" s="470">
        <v>1300</v>
      </c>
      <c r="I1307" s="455">
        <f t="shared" ca="1" si="128"/>
        <v>-38264156.669602081</v>
      </c>
      <c r="J1307" s="455">
        <f t="array" ref="J1307">IFERROR(INDEX('Retirement Calculator'!J:J,MATCH('Isaac 401k'!N1307,'Retirement Calculator'!A:A,0),0),0)</f>
        <v>0</v>
      </c>
      <c r="K1307" s="455">
        <f t="shared" ca="1" si="126"/>
        <v>-159433.98612334201</v>
      </c>
      <c r="L1307" s="455">
        <f t="shared" ca="1" si="127"/>
        <v>-38423590.65572542</v>
      </c>
      <c r="M1307" s="471">
        <f t="shared" si="129"/>
        <v>0.05</v>
      </c>
      <c r="N1307" s="475">
        <f t="shared" si="130"/>
        <v>90826</v>
      </c>
    </row>
    <row r="1308" spans="7:14" ht="11.25" customHeight="1" x14ac:dyDescent="0.3">
      <c r="G1308" s="470"/>
      <c r="H1308" s="470">
        <v>1301</v>
      </c>
      <c r="I1308" s="455">
        <f t="shared" ca="1" si="128"/>
        <v>-38423590.65572542</v>
      </c>
      <c r="J1308" s="455">
        <f t="array" ref="J1308">IFERROR(INDEX('Retirement Calculator'!J:J,MATCH('Isaac 401k'!N1308,'Retirement Calculator'!A:A,0),0),0)</f>
        <v>0</v>
      </c>
      <c r="K1308" s="455">
        <f t="shared" ca="1" si="126"/>
        <v>-160098.29439885591</v>
      </c>
      <c r="L1308" s="455">
        <f t="shared" ca="1" si="127"/>
        <v>-38583688.950124279</v>
      </c>
      <c r="M1308" s="471">
        <f t="shared" si="129"/>
        <v>0.05</v>
      </c>
      <c r="N1308" s="475">
        <f t="shared" si="130"/>
        <v>90856</v>
      </c>
    </row>
    <row r="1309" spans="7:14" ht="11.25" customHeight="1" x14ac:dyDescent="0.3">
      <c r="G1309" s="470"/>
      <c r="H1309" s="470">
        <v>1302</v>
      </c>
      <c r="I1309" s="455">
        <f t="shared" ca="1" si="128"/>
        <v>-38583688.950124279</v>
      </c>
      <c r="J1309" s="455">
        <f t="array" ref="J1309">IFERROR(INDEX('Retirement Calculator'!J:J,MATCH('Isaac 401k'!N1309,'Retirement Calculator'!A:A,0),0),0)</f>
        <v>0</v>
      </c>
      <c r="K1309" s="455">
        <f t="shared" ca="1" si="126"/>
        <v>-160765.37062551783</v>
      </c>
      <c r="L1309" s="455">
        <f t="shared" ca="1" si="127"/>
        <v>-38744454.320749797</v>
      </c>
      <c r="M1309" s="471">
        <f t="shared" si="129"/>
        <v>0.05</v>
      </c>
      <c r="N1309" s="475">
        <f t="shared" si="130"/>
        <v>90887</v>
      </c>
    </row>
    <row r="1310" spans="7:14" ht="11.25" customHeight="1" x14ac:dyDescent="0.3">
      <c r="G1310" s="470"/>
      <c r="H1310" s="470">
        <v>1303</v>
      </c>
      <c r="I1310" s="455">
        <f t="shared" ca="1" si="128"/>
        <v>-38744454.320749797</v>
      </c>
      <c r="J1310" s="455">
        <f t="array" ref="J1310">IFERROR(INDEX('Retirement Calculator'!J:J,MATCH('Isaac 401k'!N1310,'Retirement Calculator'!A:A,0),0),0)</f>
        <v>0</v>
      </c>
      <c r="K1310" s="455">
        <f t="shared" ca="1" si="126"/>
        <v>-161435.22633645748</v>
      </c>
      <c r="L1310" s="455">
        <f t="shared" ca="1" si="127"/>
        <v>-38905889.547086254</v>
      </c>
      <c r="M1310" s="471">
        <f t="shared" si="129"/>
        <v>0.05</v>
      </c>
      <c r="N1310" s="475">
        <f t="shared" si="130"/>
        <v>90917</v>
      </c>
    </row>
    <row r="1311" spans="7:14" ht="11.25" customHeight="1" x14ac:dyDescent="0.3">
      <c r="G1311" s="470"/>
      <c r="H1311" s="470">
        <v>1304</v>
      </c>
      <c r="I1311" s="455">
        <f t="shared" ca="1" si="128"/>
        <v>-38905889.547086254</v>
      </c>
      <c r="J1311" s="455">
        <f t="array" ref="J1311">IFERROR(INDEX('Retirement Calculator'!J:J,MATCH('Isaac 401k'!N1311,'Retirement Calculator'!A:A,0),0),0)</f>
        <v>0</v>
      </c>
      <c r="K1311" s="455">
        <f t="shared" ca="1" si="126"/>
        <v>-162107.87311285938</v>
      </c>
      <c r="L1311" s="455">
        <f t="shared" ca="1" si="127"/>
        <v>-39067997.420199111</v>
      </c>
      <c r="M1311" s="471">
        <f t="shared" si="129"/>
        <v>0.05</v>
      </c>
      <c r="N1311" s="475">
        <f t="shared" si="130"/>
        <v>90948</v>
      </c>
    </row>
    <row r="1312" spans="7:14" ht="11.25" customHeight="1" x14ac:dyDescent="0.3">
      <c r="G1312" s="470"/>
      <c r="H1312" s="470">
        <v>1305</v>
      </c>
      <c r="I1312" s="455">
        <f t="shared" ca="1" si="128"/>
        <v>-39067997.420199111</v>
      </c>
      <c r="J1312" s="455">
        <f t="array" ref="J1312">IFERROR(INDEX('Retirement Calculator'!J:J,MATCH('Isaac 401k'!N1312,'Retirement Calculator'!A:A,0),0),0)</f>
        <v>0</v>
      </c>
      <c r="K1312" s="455">
        <f t="shared" ca="1" si="126"/>
        <v>-162783.32258416296</v>
      </c>
      <c r="L1312" s="455">
        <f t="shared" ca="1" si="127"/>
        <v>-39230780.742783271</v>
      </c>
      <c r="M1312" s="471">
        <f t="shared" si="129"/>
        <v>0.05</v>
      </c>
      <c r="N1312" s="475">
        <f t="shared" si="130"/>
        <v>90979</v>
      </c>
    </row>
    <row r="1313" spans="7:14" ht="11.25" customHeight="1" x14ac:dyDescent="0.3">
      <c r="G1313" s="470"/>
      <c r="H1313" s="470">
        <v>1306</v>
      </c>
      <c r="I1313" s="455">
        <f t="shared" ca="1" si="128"/>
        <v>-39230780.742783271</v>
      </c>
      <c r="J1313" s="455">
        <f t="array" ref="J1313">IFERROR(INDEX('Retirement Calculator'!J:J,MATCH('Isaac 401k'!N1313,'Retirement Calculator'!A:A,0),0),0)</f>
        <v>0</v>
      </c>
      <c r="K1313" s="455">
        <f t="shared" ca="1" si="126"/>
        <v>-163461.58642826363</v>
      </c>
      <c r="L1313" s="455">
        <f t="shared" ca="1" si="127"/>
        <v>-39394242.329211533</v>
      </c>
      <c r="M1313" s="471">
        <f t="shared" si="129"/>
        <v>0.05</v>
      </c>
      <c r="N1313" s="475">
        <f t="shared" si="130"/>
        <v>91007</v>
      </c>
    </row>
    <row r="1314" spans="7:14" ht="11.25" customHeight="1" x14ac:dyDescent="0.3">
      <c r="G1314" s="470"/>
      <c r="H1314" s="470">
        <v>1307</v>
      </c>
      <c r="I1314" s="455">
        <f t="shared" ca="1" si="128"/>
        <v>-39394242.329211533</v>
      </c>
      <c r="J1314" s="455">
        <f t="array" ref="J1314">IFERROR(INDEX('Retirement Calculator'!J:J,MATCH('Isaac 401k'!N1314,'Retirement Calculator'!A:A,0),0),0)</f>
        <v>0</v>
      </c>
      <c r="K1314" s="455">
        <f t="shared" ca="1" si="126"/>
        <v>-164142.67637171471</v>
      </c>
      <c r="L1314" s="455">
        <f t="shared" ca="1" si="127"/>
        <v>-39558385.005583249</v>
      </c>
      <c r="M1314" s="471">
        <f t="shared" si="129"/>
        <v>0.05</v>
      </c>
      <c r="N1314" s="475">
        <f t="shared" si="130"/>
        <v>91038</v>
      </c>
    </row>
    <row r="1315" spans="7:14" ht="11.25" customHeight="1" x14ac:dyDescent="0.3">
      <c r="G1315" s="470"/>
      <c r="H1315" s="470">
        <v>1308</v>
      </c>
      <c r="I1315" s="455">
        <f t="shared" ca="1" si="128"/>
        <v>-39558385.005583249</v>
      </c>
      <c r="J1315" s="455">
        <f t="array" ref="J1315">IFERROR(INDEX('Retirement Calculator'!J:J,MATCH('Isaac 401k'!N1315,'Retirement Calculator'!A:A,0),0),0)</f>
        <v>0</v>
      </c>
      <c r="K1315" s="455">
        <f t="shared" ca="1" si="126"/>
        <v>-164826.60418993019</v>
      </c>
      <c r="L1315" s="455">
        <f t="shared" ca="1" si="127"/>
        <v>-39723211.609773181</v>
      </c>
      <c r="M1315" s="471">
        <f t="shared" si="129"/>
        <v>0.05</v>
      </c>
      <c r="N1315" s="475">
        <f t="shared" si="130"/>
        <v>91068</v>
      </c>
    </row>
    <row r="1316" spans="7:14" ht="11.25" customHeight="1" x14ac:dyDescent="0.3">
      <c r="G1316" s="470"/>
      <c r="H1316" s="470">
        <v>1309</v>
      </c>
      <c r="I1316" s="455">
        <f t="shared" ca="1" si="128"/>
        <v>-39723211.609773181</v>
      </c>
      <c r="J1316" s="455">
        <f t="array" ref="J1316">IFERROR(INDEX('Retirement Calculator'!J:J,MATCH('Isaac 401k'!N1316,'Retirement Calculator'!A:A,0),0),0)</f>
        <v>0</v>
      </c>
      <c r="K1316" s="455">
        <f t="shared" ca="1" si="126"/>
        <v>-165513.38170738827</v>
      </c>
      <c r="L1316" s="455">
        <f t="shared" ca="1" si="127"/>
        <v>-39888724.991480567</v>
      </c>
      <c r="M1316" s="471">
        <f t="shared" si="129"/>
        <v>0.05</v>
      </c>
      <c r="N1316" s="475">
        <f t="shared" si="130"/>
        <v>91099</v>
      </c>
    </row>
    <row r="1317" spans="7:14" ht="11.25" customHeight="1" x14ac:dyDescent="0.3">
      <c r="G1317" s="470"/>
      <c r="H1317" s="470">
        <v>1310</v>
      </c>
      <c r="I1317" s="455">
        <f t="shared" ca="1" si="128"/>
        <v>-39888724.991480567</v>
      </c>
      <c r="J1317" s="455">
        <f t="array" ref="J1317">IFERROR(INDEX('Retirement Calculator'!J:J,MATCH('Isaac 401k'!N1317,'Retirement Calculator'!A:A,0),0),0)</f>
        <v>0</v>
      </c>
      <c r="K1317" s="455">
        <f t="shared" ca="1" si="126"/>
        <v>-166203.02079783569</v>
      </c>
      <c r="L1317" s="455">
        <f t="shared" ca="1" si="127"/>
        <v>-40054928.0122784</v>
      </c>
      <c r="M1317" s="471">
        <f t="shared" si="129"/>
        <v>0.05</v>
      </c>
      <c r="N1317" s="475">
        <f t="shared" si="130"/>
        <v>91129</v>
      </c>
    </row>
    <row r="1318" spans="7:14" ht="11.25" customHeight="1" x14ac:dyDescent="0.3">
      <c r="G1318" s="470"/>
      <c r="H1318" s="470">
        <v>1311</v>
      </c>
      <c r="I1318" s="455">
        <f t="shared" ca="1" si="128"/>
        <v>-40054928.0122784</v>
      </c>
      <c r="J1318" s="455">
        <f t="array" ref="J1318">IFERROR(INDEX('Retirement Calculator'!J:J,MATCH('Isaac 401k'!N1318,'Retirement Calculator'!A:A,0),0),0)</f>
        <v>0</v>
      </c>
      <c r="K1318" s="455">
        <f t="shared" ca="1" si="126"/>
        <v>-166895.53338449332</v>
      </c>
      <c r="L1318" s="455">
        <f t="shared" ca="1" si="127"/>
        <v>-40221823.545662895</v>
      </c>
      <c r="M1318" s="471">
        <f t="shared" si="129"/>
        <v>0.05</v>
      </c>
      <c r="N1318" s="475">
        <f t="shared" si="130"/>
        <v>91160</v>
      </c>
    </row>
    <row r="1319" spans="7:14" ht="11.25" customHeight="1" x14ac:dyDescent="0.3">
      <c r="G1319" s="470"/>
      <c r="H1319" s="470">
        <v>1312</v>
      </c>
      <c r="I1319" s="455">
        <f t="shared" ca="1" si="128"/>
        <v>-40221823.545662895</v>
      </c>
      <c r="J1319" s="455">
        <f t="array" ref="J1319">IFERROR(INDEX('Retirement Calculator'!J:J,MATCH('Isaac 401k'!N1319,'Retirement Calculator'!A:A,0),0),0)</f>
        <v>0</v>
      </c>
      <c r="K1319" s="455">
        <f t="shared" ca="1" si="126"/>
        <v>-167590.93144026207</v>
      </c>
      <c r="L1319" s="455">
        <f t="shared" ca="1" si="127"/>
        <v>-40389414.477103159</v>
      </c>
      <c r="M1319" s="471">
        <f t="shared" si="129"/>
        <v>0.05</v>
      </c>
      <c r="N1319" s="475">
        <f t="shared" si="130"/>
        <v>91191</v>
      </c>
    </row>
    <row r="1320" spans="7:14" ht="11.25" customHeight="1" x14ac:dyDescent="0.3">
      <c r="G1320" s="470"/>
      <c r="H1320" s="470">
        <v>1313</v>
      </c>
      <c r="I1320" s="455">
        <f t="shared" ca="1" si="128"/>
        <v>-40389414.477103159</v>
      </c>
      <c r="J1320" s="455">
        <f t="array" ref="J1320">IFERROR(INDEX('Retirement Calculator'!J:J,MATCH('Isaac 401k'!N1320,'Retirement Calculator'!A:A,0),0),0)</f>
        <v>0</v>
      </c>
      <c r="K1320" s="455">
        <f t="shared" ca="1" si="126"/>
        <v>-168289.22698792984</v>
      </c>
      <c r="L1320" s="455">
        <f t="shared" ca="1" si="127"/>
        <v>-40557703.704091087</v>
      </c>
      <c r="M1320" s="471">
        <f t="shared" si="129"/>
        <v>0.05</v>
      </c>
      <c r="N1320" s="475">
        <f t="shared" si="130"/>
        <v>91221</v>
      </c>
    </row>
    <row r="1321" spans="7:14" ht="11.25" customHeight="1" x14ac:dyDescent="0.3">
      <c r="G1321" s="470"/>
      <c r="H1321" s="470">
        <v>1314</v>
      </c>
      <c r="I1321" s="455">
        <f t="shared" ca="1" si="128"/>
        <v>-40557703.704091087</v>
      </c>
      <c r="J1321" s="455">
        <f t="array" ref="J1321">IFERROR(INDEX('Retirement Calculator'!J:J,MATCH('Isaac 401k'!N1321,'Retirement Calculator'!A:A,0),0),0)</f>
        <v>0</v>
      </c>
      <c r="K1321" s="455">
        <f t="shared" ca="1" si="126"/>
        <v>-168990.43210037952</v>
      </c>
      <c r="L1321" s="455">
        <f t="shared" ca="1" si="127"/>
        <v>-40726694.136191465</v>
      </c>
      <c r="M1321" s="471">
        <f t="shared" si="129"/>
        <v>0.05</v>
      </c>
      <c r="N1321" s="475">
        <f t="shared" si="130"/>
        <v>91252</v>
      </c>
    </row>
    <row r="1322" spans="7:14" ht="11.25" customHeight="1" x14ac:dyDescent="0.3">
      <c r="G1322" s="470"/>
      <c r="H1322" s="470">
        <v>1315</v>
      </c>
      <c r="I1322" s="455">
        <f t="shared" ca="1" si="128"/>
        <v>-40726694.136191465</v>
      </c>
      <c r="J1322" s="455">
        <f t="array" ref="J1322">IFERROR(INDEX('Retirement Calculator'!J:J,MATCH('Isaac 401k'!N1322,'Retirement Calculator'!A:A,0),0),0)</f>
        <v>0</v>
      </c>
      <c r="K1322" s="455">
        <f t="shared" ca="1" si="126"/>
        <v>-169694.55890079777</v>
      </c>
      <c r="L1322" s="455">
        <f t="shared" ca="1" si="127"/>
        <v>-40896388.695092261</v>
      </c>
      <c r="M1322" s="471">
        <f t="shared" si="129"/>
        <v>0.05</v>
      </c>
      <c r="N1322" s="475">
        <f t="shared" si="130"/>
        <v>91282</v>
      </c>
    </row>
    <row r="1323" spans="7:14" ht="11.25" customHeight="1" x14ac:dyDescent="0.3">
      <c r="G1323" s="470"/>
      <c r="H1323" s="470">
        <v>1316</v>
      </c>
      <c r="I1323" s="455">
        <f t="shared" ca="1" si="128"/>
        <v>-40896388.695092261</v>
      </c>
      <c r="J1323" s="455">
        <f t="array" ref="J1323">IFERROR(INDEX('Retirement Calculator'!J:J,MATCH('Isaac 401k'!N1323,'Retirement Calculator'!A:A,0),0),0)</f>
        <v>0</v>
      </c>
      <c r="K1323" s="455">
        <f t="shared" ca="1" si="126"/>
        <v>-170401.61956288441</v>
      </c>
      <c r="L1323" s="455">
        <f t="shared" ca="1" si="127"/>
        <v>-41066790.314655147</v>
      </c>
      <c r="M1323" s="471">
        <f t="shared" si="129"/>
        <v>0.05</v>
      </c>
      <c r="N1323" s="475">
        <f t="shared" si="130"/>
        <v>91313</v>
      </c>
    </row>
    <row r="1324" spans="7:14" ht="11.25" customHeight="1" x14ac:dyDescent="0.3">
      <c r="G1324" s="470"/>
      <c r="H1324" s="470">
        <v>1317</v>
      </c>
      <c r="I1324" s="455">
        <f t="shared" ca="1" si="128"/>
        <v>-41066790.314655147</v>
      </c>
      <c r="J1324" s="455">
        <f t="array" ref="J1324">IFERROR(INDEX('Retirement Calculator'!J:J,MATCH('Isaac 401k'!N1324,'Retirement Calculator'!A:A,0),0),0)</f>
        <v>0</v>
      </c>
      <c r="K1324" s="455">
        <f t="shared" ca="1" si="126"/>
        <v>-171111.62631106313</v>
      </c>
      <c r="L1324" s="455">
        <f t="shared" ca="1" si="127"/>
        <v>-41237901.940966211</v>
      </c>
      <c r="M1324" s="471">
        <f t="shared" si="129"/>
        <v>0.05</v>
      </c>
      <c r="N1324" s="475">
        <f t="shared" si="130"/>
        <v>91344</v>
      </c>
    </row>
    <row r="1325" spans="7:14" ht="11.25" customHeight="1" x14ac:dyDescent="0.3">
      <c r="G1325" s="470"/>
      <c r="H1325" s="470">
        <v>1318</v>
      </c>
      <c r="I1325" s="455">
        <f t="shared" ca="1" si="128"/>
        <v>-41237901.940966211</v>
      </c>
      <c r="J1325" s="455">
        <f t="array" ref="J1325">IFERROR(INDEX('Retirement Calculator'!J:J,MATCH('Isaac 401k'!N1325,'Retirement Calculator'!A:A,0),0),0)</f>
        <v>0</v>
      </c>
      <c r="K1325" s="455">
        <f t="shared" ca="1" si="126"/>
        <v>-171824.59142069254</v>
      </c>
      <c r="L1325" s="455">
        <f t="shared" ca="1" si="127"/>
        <v>-41409726.532386906</v>
      </c>
      <c r="M1325" s="471">
        <f t="shared" si="129"/>
        <v>0.05</v>
      </c>
      <c r="N1325" s="475">
        <f t="shared" si="130"/>
        <v>91372</v>
      </c>
    </row>
    <row r="1326" spans="7:14" ht="11.25" customHeight="1" x14ac:dyDescent="0.3">
      <c r="G1326" s="470"/>
      <c r="H1326" s="470">
        <v>1319</v>
      </c>
      <c r="I1326" s="455">
        <f t="shared" ca="1" si="128"/>
        <v>-41409726.532386906</v>
      </c>
      <c r="J1326" s="455">
        <f t="array" ref="J1326">IFERROR(INDEX('Retirement Calculator'!J:J,MATCH('Isaac 401k'!N1326,'Retirement Calculator'!A:A,0),0),0)</f>
        <v>0</v>
      </c>
      <c r="K1326" s="455">
        <f t="shared" ca="1" si="126"/>
        <v>-172540.52721827879</v>
      </c>
      <c r="L1326" s="455">
        <f t="shared" ca="1" si="127"/>
        <v>-41582267.059605189</v>
      </c>
      <c r="M1326" s="471">
        <f t="shared" si="129"/>
        <v>0.05</v>
      </c>
      <c r="N1326" s="475">
        <f t="shared" si="130"/>
        <v>91403</v>
      </c>
    </row>
    <row r="1327" spans="7:14" ht="11.25" customHeight="1" x14ac:dyDescent="0.3">
      <c r="G1327" s="470"/>
      <c r="H1327" s="470">
        <v>1320</v>
      </c>
      <c r="I1327" s="455">
        <f t="shared" ca="1" si="128"/>
        <v>-41582267.059605189</v>
      </c>
      <c r="J1327" s="455">
        <f t="array" ref="J1327">IFERROR(INDEX('Retirement Calculator'!J:J,MATCH('Isaac 401k'!N1327,'Retirement Calculator'!A:A,0),0),0)</f>
        <v>0</v>
      </c>
      <c r="K1327" s="455">
        <f t="shared" ca="1" si="126"/>
        <v>-173259.44608168828</v>
      </c>
      <c r="L1327" s="455">
        <f t="shared" ca="1" si="127"/>
        <v>-41755526.505686879</v>
      </c>
      <c r="M1327" s="471">
        <f t="shared" si="129"/>
        <v>0.05</v>
      </c>
      <c r="N1327" s="475">
        <f t="shared" si="130"/>
        <v>91433</v>
      </c>
    </row>
    <row r="1328" spans="7:14" ht="11.25" customHeight="1" x14ac:dyDescent="0.3">
      <c r="G1328" s="470"/>
      <c r="H1328" s="470">
        <v>1321</v>
      </c>
      <c r="I1328" s="455">
        <f t="shared" ca="1" si="128"/>
        <v>-41755526.505686879</v>
      </c>
      <c r="J1328" s="455">
        <f t="array" ref="J1328">IFERROR(INDEX('Retirement Calculator'!J:J,MATCH('Isaac 401k'!N1328,'Retirement Calculator'!A:A,0),0),0)</f>
        <v>0</v>
      </c>
      <c r="K1328" s="455">
        <f t="shared" ca="1" si="126"/>
        <v>-173981.36044036198</v>
      </c>
      <c r="L1328" s="455">
        <f t="shared" ca="1" si="127"/>
        <v>-41929507.866127238</v>
      </c>
      <c r="M1328" s="471">
        <f t="shared" si="129"/>
        <v>0.05</v>
      </c>
      <c r="N1328" s="475">
        <f t="shared" si="130"/>
        <v>91464</v>
      </c>
    </row>
    <row r="1329" spans="7:14" ht="11.25" customHeight="1" x14ac:dyDescent="0.3">
      <c r="G1329" s="470"/>
      <c r="H1329" s="470">
        <v>1322</v>
      </c>
      <c r="I1329" s="455">
        <f t="shared" ca="1" si="128"/>
        <v>-41929507.866127238</v>
      </c>
      <c r="J1329" s="455">
        <f t="array" ref="J1329">IFERROR(INDEX('Retirement Calculator'!J:J,MATCH('Isaac 401k'!N1329,'Retirement Calculator'!A:A,0),0),0)</f>
        <v>0</v>
      </c>
      <c r="K1329" s="455">
        <f t="shared" ca="1" si="126"/>
        <v>-174706.28277553016</v>
      </c>
      <c r="L1329" s="455">
        <f t="shared" ca="1" si="127"/>
        <v>-42104214.148902766</v>
      </c>
      <c r="M1329" s="471">
        <f t="shared" si="129"/>
        <v>0.05</v>
      </c>
      <c r="N1329" s="475">
        <f t="shared" si="130"/>
        <v>91494</v>
      </c>
    </row>
    <row r="1330" spans="7:14" ht="11.25" customHeight="1" x14ac:dyDescent="0.3">
      <c r="G1330" s="470"/>
      <c r="H1330" s="470">
        <v>1323</v>
      </c>
      <c r="I1330" s="455">
        <f t="shared" ca="1" si="128"/>
        <v>-42104214.148902766</v>
      </c>
      <c r="J1330" s="455">
        <f t="array" ref="J1330">IFERROR(INDEX('Retirement Calculator'!J:J,MATCH('Isaac 401k'!N1330,'Retirement Calculator'!A:A,0),0),0)</f>
        <v>0</v>
      </c>
      <c r="K1330" s="455">
        <f t="shared" ca="1" si="126"/>
        <v>-175434.22562042819</v>
      </c>
      <c r="L1330" s="455">
        <f t="shared" ca="1" si="127"/>
        <v>-42279648.374523193</v>
      </c>
      <c r="M1330" s="471">
        <f t="shared" si="129"/>
        <v>0.05</v>
      </c>
      <c r="N1330" s="475">
        <f t="shared" si="130"/>
        <v>91525</v>
      </c>
    </row>
    <row r="1331" spans="7:14" ht="11.25" customHeight="1" x14ac:dyDescent="0.3">
      <c r="G1331" s="470"/>
      <c r="H1331" s="470">
        <v>1324</v>
      </c>
      <c r="I1331" s="455">
        <f t="shared" ca="1" si="128"/>
        <v>-42279648.374523193</v>
      </c>
      <c r="J1331" s="455">
        <f t="array" ref="J1331">IFERROR(INDEX('Retirement Calculator'!J:J,MATCH('Isaac 401k'!N1331,'Retirement Calculator'!A:A,0),0),0)</f>
        <v>0</v>
      </c>
      <c r="K1331" s="455">
        <f t="shared" ca="1" si="126"/>
        <v>-176165.20156051329</v>
      </c>
      <c r="L1331" s="455">
        <f t="shared" ca="1" si="127"/>
        <v>-42455813.576083705</v>
      </c>
      <c r="M1331" s="471">
        <f t="shared" si="129"/>
        <v>0.05</v>
      </c>
      <c r="N1331" s="475">
        <f t="shared" si="130"/>
        <v>91556</v>
      </c>
    </row>
    <row r="1332" spans="7:14" ht="11.25" customHeight="1" x14ac:dyDescent="0.3">
      <c r="G1332" s="470"/>
      <c r="H1332" s="470">
        <v>1325</v>
      </c>
      <c r="I1332" s="455">
        <f t="shared" ca="1" si="128"/>
        <v>-42455813.576083705</v>
      </c>
      <c r="J1332" s="455">
        <f t="array" ref="J1332">IFERROR(INDEX('Retirement Calculator'!J:J,MATCH('Isaac 401k'!N1332,'Retirement Calculator'!A:A,0),0),0)</f>
        <v>0</v>
      </c>
      <c r="K1332" s="455">
        <f t="shared" ca="1" si="126"/>
        <v>-176899.2232336821</v>
      </c>
      <c r="L1332" s="455">
        <f t="shared" ca="1" si="127"/>
        <v>-42632712.79931739</v>
      </c>
      <c r="M1332" s="471">
        <f t="shared" si="129"/>
        <v>0.05</v>
      </c>
      <c r="N1332" s="475">
        <f t="shared" si="130"/>
        <v>91586</v>
      </c>
    </row>
    <row r="1333" spans="7:14" ht="11.25" customHeight="1" x14ac:dyDescent="0.3">
      <c r="G1333" s="470"/>
      <c r="H1333" s="470">
        <v>1326</v>
      </c>
      <c r="I1333" s="455">
        <f t="shared" ca="1" si="128"/>
        <v>-42632712.79931739</v>
      </c>
      <c r="J1333" s="455">
        <f t="array" ref="J1333">IFERROR(INDEX('Retirement Calculator'!J:J,MATCH('Isaac 401k'!N1333,'Retirement Calculator'!A:A,0),0),0)</f>
        <v>0</v>
      </c>
      <c r="K1333" s="455">
        <f t="shared" ca="1" si="126"/>
        <v>-177636.30333048911</v>
      </c>
      <c r="L1333" s="455">
        <f t="shared" ca="1" si="127"/>
        <v>-42810349.102647878</v>
      </c>
      <c r="M1333" s="471">
        <f t="shared" si="129"/>
        <v>0.05</v>
      </c>
      <c r="N1333" s="475">
        <f t="shared" si="130"/>
        <v>91617</v>
      </c>
    </row>
    <row r="1334" spans="7:14" ht="11.25" customHeight="1" x14ac:dyDescent="0.3">
      <c r="G1334" s="470"/>
      <c r="H1334" s="470">
        <v>1327</v>
      </c>
      <c r="I1334" s="455">
        <f t="shared" ca="1" si="128"/>
        <v>-42810349.102647878</v>
      </c>
      <c r="J1334" s="455">
        <f t="array" ref="J1334">IFERROR(INDEX('Retirement Calculator'!J:J,MATCH('Isaac 401k'!N1334,'Retirement Calculator'!A:A,0),0),0)</f>
        <v>0</v>
      </c>
      <c r="K1334" s="455">
        <f t="shared" ca="1" si="126"/>
        <v>-178376.45459436617</v>
      </c>
      <c r="L1334" s="455">
        <f t="shared" ca="1" si="127"/>
        <v>-42988725.557242244</v>
      </c>
      <c r="M1334" s="471">
        <f t="shared" si="129"/>
        <v>0.05</v>
      </c>
      <c r="N1334" s="475">
        <f t="shared" si="130"/>
        <v>91647</v>
      </c>
    </row>
    <row r="1335" spans="7:14" ht="11.25" customHeight="1" x14ac:dyDescent="0.3">
      <c r="G1335" s="470"/>
      <c r="H1335" s="470">
        <v>1328</v>
      </c>
      <c r="I1335" s="455">
        <f t="shared" ca="1" si="128"/>
        <v>-42988725.557242244</v>
      </c>
      <c r="J1335" s="455">
        <f t="array" ref="J1335">IFERROR(INDEX('Retirement Calculator'!J:J,MATCH('Isaac 401k'!N1335,'Retirement Calculator'!A:A,0),0),0)</f>
        <v>0</v>
      </c>
      <c r="K1335" s="455">
        <f t="shared" ca="1" si="126"/>
        <v>-179119.68982184268</v>
      </c>
      <c r="L1335" s="455">
        <f t="shared" ca="1" si="127"/>
        <v>-43167845.247064084</v>
      </c>
      <c r="M1335" s="471">
        <f t="shared" si="129"/>
        <v>0.05</v>
      </c>
      <c r="N1335" s="475">
        <f t="shared" si="130"/>
        <v>91678</v>
      </c>
    </row>
    <row r="1336" spans="7:14" ht="11.25" customHeight="1" x14ac:dyDescent="0.3">
      <c r="G1336" s="470"/>
      <c r="H1336" s="470">
        <v>1329</v>
      </c>
      <c r="I1336" s="455">
        <f t="shared" ca="1" si="128"/>
        <v>-43167845.247064084</v>
      </c>
      <c r="J1336" s="455">
        <f t="array" ref="J1336">IFERROR(INDEX('Retirement Calculator'!J:J,MATCH('Isaac 401k'!N1336,'Retirement Calculator'!A:A,0),0),0)</f>
        <v>0</v>
      </c>
      <c r="K1336" s="455">
        <f t="shared" ca="1" si="126"/>
        <v>-179866.02186276703</v>
      </c>
      <c r="L1336" s="455">
        <f t="shared" ca="1" si="127"/>
        <v>-43347711.268926851</v>
      </c>
      <c r="M1336" s="471">
        <f t="shared" si="129"/>
        <v>0.05</v>
      </c>
      <c r="N1336" s="475">
        <f t="shared" si="130"/>
        <v>91709</v>
      </c>
    </row>
    <row r="1337" spans="7:14" ht="11.25" customHeight="1" x14ac:dyDescent="0.3">
      <c r="G1337" s="470"/>
      <c r="H1337" s="470">
        <v>1330</v>
      </c>
      <c r="I1337" s="455">
        <f t="shared" ca="1" si="128"/>
        <v>-43347711.268926851</v>
      </c>
      <c r="J1337" s="455">
        <f t="array" ref="J1337">IFERROR(INDEX('Retirement Calculator'!J:J,MATCH('Isaac 401k'!N1337,'Retirement Calculator'!A:A,0),0),0)</f>
        <v>0</v>
      </c>
      <c r="K1337" s="455">
        <f t="shared" ca="1" si="126"/>
        <v>-180615.46362052855</v>
      </c>
      <c r="L1337" s="455">
        <f t="shared" ca="1" si="127"/>
        <v>-43528326.73254738</v>
      </c>
      <c r="M1337" s="471">
        <f t="shared" si="129"/>
        <v>0.05</v>
      </c>
      <c r="N1337" s="475">
        <f t="shared" si="130"/>
        <v>91737</v>
      </c>
    </row>
    <row r="1338" spans="7:14" ht="11.25" customHeight="1" x14ac:dyDescent="0.3">
      <c r="G1338" s="470"/>
      <c r="H1338" s="470">
        <v>1331</v>
      </c>
      <c r="I1338" s="455">
        <f t="shared" ca="1" si="128"/>
        <v>-43528326.73254738</v>
      </c>
      <c r="J1338" s="455">
        <f t="array" ref="J1338">IFERROR(INDEX('Retirement Calculator'!J:J,MATCH('Isaac 401k'!N1338,'Retirement Calculator'!A:A,0),0),0)</f>
        <v>0</v>
      </c>
      <c r="K1338" s="455">
        <f t="shared" ca="1" si="126"/>
        <v>-181368.02805228074</v>
      </c>
      <c r="L1338" s="455">
        <f t="shared" ca="1" si="127"/>
        <v>-43709694.760599658</v>
      </c>
      <c r="M1338" s="471">
        <f t="shared" si="129"/>
        <v>0.05</v>
      </c>
      <c r="N1338" s="475">
        <f t="shared" si="130"/>
        <v>91768</v>
      </c>
    </row>
    <row r="1339" spans="7:14" ht="11.25" customHeight="1" x14ac:dyDescent="0.3">
      <c r="G1339" s="470"/>
      <c r="H1339" s="470">
        <v>1332</v>
      </c>
      <c r="I1339" s="455">
        <f t="shared" ca="1" si="128"/>
        <v>-43709694.760599658</v>
      </c>
      <c r="J1339" s="455">
        <f t="array" ref="J1339">IFERROR(INDEX('Retirement Calculator'!J:J,MATCH('Isaac 401k'!N1339,'Retirement Calculator'!A:A,0),0),0)</f>
        <v>0</v>
      </c>
      <c r="K1339" s="455">
        <f t="shared" ca="1" si="126"/>
        <v>-182123.72816916523</v>
      </c>
      <c r="L1339" s="455">
        <f t="shared" ca="1" si="127"/>
        <v>-43891818.488768823</v>
      </c>
      <c r="M1339" s="471">
        <f t="shared" si="129"/>
        <v>0.05</v>
      </c>
      <c r="N1339" s="475">
        <f t="shared" si="130"/>
        <v>91798</v>
      </c>
    </row>
    <row r="1340" spans="7:14" ht="11.25" customHeight="1" x14ac:dyDescent="0.3">
      <c r="G1340" s="470"/>
      <c r="H1340" s="470">
        <v>1333</v>
      </c>
      <c r="I1340" s="455">
        <f t="shared" ca="1" si="128"/>
        <v>-43891818.488768823</v>
      </c>
      <c r="J1340" s="455">
        <f t="array" ref="J1340">IFERROR(INDEX('Retirement Calculator'!J:J,MATCH('Isaac 401k'!N1340,'Retirement Calculator'!A:A,0),0),0)</f>
        <v>0</v>
      </c>
      <c r="K1340" s="455">
        <f t="shared" ca="1" si="126"/>
        <v>-182882.57703653676</v>
      </c>
      <c r="L1340" s="455">
        <f t="shared" ca="1" si="127"/>
        <v>-44074701.065805361</v>
      </c>
      <c r="M1340" s="471">
        <f t="shared" si="129"/>
        <v>0.05</v>
      </c>
      <c r="N1340" s="475">
        <f t="shared" si="130"/>
        <v>91829</v>
      </c>
    </row>
    <row r="1341" spans="7:14" ht="11.25" customHeight="1" x14ac:dyDescent="0.3">
      <c r="G1341" s="470"/>
      <c r="H1341" s="470">
        <v>1334</v>
      </c>
      <c r="I1341" s="455">
        <f t="shared" ca="1" si="128"/>
        <v>-44074701.065805361</v>
      </c>
      <c r="J1341" s="455">
        <f t="array" ref="J1341">IFERROR(INDEX('Retirement Calculator'!J:J,MATCH('Isaac 401k'!N1341,'Retirement Calculator'!A:A,0),0),0)</f>
        <v>0</v>
      </c>
      <c r="K1341" s="455">
        <f t="shared" ca="1" si="126"/>
        <v>-183644.58777418901</v>
      </c>
      <c r="L1341" s="455">
        <f t="shared" ca="1" si="127"/>
        <v>-44258345.653579548</v>
      </c>
      <c r="M1341" s="471">
        <f t="shared" si="129"/>
        <v>0.05</v>
      </c>
      <c r="N1341" s="475">
        <f t="shared" si="130"/>
        <v>91859</v>
      </c>
    </row>
    <row r="1342" spans="7:14" ht="11.25" customHeight="1" x14ac:dyDescent="0.3">
      <c r="G1342" s="470"/>
      <c r="H1342" s="470">
        <v>1335</v>
      </c>
      <c r="I1342" s="455">
        <f t="shared" ca="1" si="128"/>
        <v>-44258345.653579548</v>
      </c>
      <c r="J1342" s="455">
        <f t="array" ref="J1342">IFERROR(INDEX('Retirement Calculator'!J:J,MATCH('Isaac 401k'!N1342,'Retirement Calculator'!A:A,0),0),0)</f>
        <v>0</v>
      </c>
      <c r="K1342" s="455">
        <f t="shared" ca="1" si="126"/>
        <v>-184409.77355658144</v>
      </c>
      <c r="L1342" s="455">
        <f t="shared" ca="1" si="127"/>
        <v>-44442755.427136131</v>
      </c>
      <c r="M1342" s="471">
        <f t="shared" si="129"/>
        <v>0.05</v>
      </c>
      <c r="N1342" s="475">
        <f t="shared" si="130"/>
        <v>91890</v>
      </c>
    </row>
    <row r="1343" spans="7:14" ht="11.25" customHeight="1" x14ac:dyDescent="0.3">
      <c r="G1343" s="470"/>
      <c r="H1343" s="470">
        <v>1336</v>
      </c>
      <c r="I1343" s="455">
        <f t="shared" ca="1" si="128"/>
        <v>-44442755.427136131</v>
      </c>
      <c r="J1343" s="455">
        <f t="array" ref="J1343">IFERROR(INDEX('Retirement Calculator'!J:J,MATCH('Isaac 401k'!N1343,'Retirement Calculator'!A:A,0),0),0)</f>
        <v>0</v>
      </c>
      <c r="K1343" s="455">
        <f t="shared" ca="1" si="126"/>
        <v>-185178.14761306721</v>
      </c>
      <c r="L1343" s="455">
        <f t="shared" ca="1" si="127"/>
        <v>-44627933.574749202</v>
      </c>
      <c r="M1343" s="471">
        <f t="shared" si="129"/>
        <v>0.05</v>
      </c>
      <c r="N1343" s="475">
        <f t="shared" si="130"/>
        <v>91921</v>
      </c>
    </row>
    <row r="1344" spans="7:14" ht="11.25" customHeight="1" x14ac:dyDescent="0.3">
      <c r="G1344" s="470"/>
      <c r="H1344" s="470">
        <v>1337</v>
      </c>
      <c r="I1344" s="455">
        <f t="shared" ca="1" si="128"/>
        <v>-44627933.574749202</v>
      </c>
      <c r="J1344" s="455">
        <f t="array" ref="J1344">IFERROR(INDEX('Retirement Calculator'!J:J,MATCH('Isaac 401k'!N1344,'Retirement Calculator'!A:A,0),0),0)</f>
        <v>0</v>
      </c>
      <c r="K1344" s="455">
        <f t="shared" ca="1" si="126"/>
        <v>-185949.72322812167</v>
      </c>
      <c r="L1344" s="455">
        <f t="shared" ca="1" si="127"/>
        <v>-44813883.297977321</v>
      </c>
      <c r="M1344" s="471">
        <f t="shared" si="129"/>
        <v>0.05</v>
      </c>
      <c r="N1344" s="475">
        <f t="shared" si="130"/>
        <v>91951</v>
      </c>
    </row>
    <row r="1345" spans="7:14" ht="11.25" customHeight="1" x14ac:dyDescent="0.3">
      <c r="G1345" s="470"/>
      <c r="H1345" s="470">
        <v>1338</v>
      </c>
      <c r="I1345" s="455">
        <f t="shared" ca="1" si="128"/>
        <v>-44813883.297977321</v>
      </c>
      <c r="J1345" s="455">
        <f t="array" ref="J1345">IFERROR(INDEX('Retirement Calculator'!J:J,MATCH('Isaac 401k'!N1345,'Retirement Calculator'!A:A,0),0),0)</f>
        <v>0</v>
      </c>
      <c r="K1345" s="455">
        <f t="shared" ca="1" si="126"/>
        <v>-186724.51374157215</v>
      </c>
      <c r="L1345" s="455">
        <f t="shared" ca="1" si="127"/>
        <v>-45000607.811718896</v>
      </c>
      <c r="M1345" s="471">
        <f t="shared" si="129"/>
        <v>0.05</v>
      </c>
      <c r="N1345" s="475">
        <f t="shared" si="130"/>
        <v>91982</v>
      </c>
    </row>
    <row r="1346" spans="7:14" ht="11.25" customHeight="1" x14ac:dyDescent="0.3">
      <c r="G1346" s="470"/>
      <c r="H1346" s="470">
        <v>1339</v>
      </c>
      <c r="I1346" s="455">
        <f t="shared" ca="1" si="128"/>
        <v>-45000607.811718896</v>
      </c>
      <c r="J1346" s="455">
        <f t="array" ref="J1346">IFERROR(INDEX('Retirement Calculator'!J:J,MATCH('Isaac 401k'!N1346,'Retirement Calculator'!A:A,0),0),0)</f>
        <v>0</v>
      </c>
      <c r="K1346" s="455">
        <f t="shared" ca="1" si="126"/>
        <v>-187502.53254882872</v>
      </c>
      <c r="L1346" s="455">
        <f t="shared" ca="1" si="127"/>
        <v>-45188110.344267726</v>
      </c>
      <c r="M1346" s="471">
        <f t="shared" si="129"/>
        <v>0.05</v>
      </c>
      <c r="N1346" s="475">
        <f t="shared" si="130"/>
        <v>92012</v>
      </c>
    </row>
    <row r="1347" spans="7:14" ht="11.25" customHeight="1" x14ac:dyDescent="0.3">
      <c r="G1347" s="470"/>
      <c r="H1347" s="470">
        <v>1340</v>
      </c>
      <c r="I1347" s="455">
        <f t="shared" ca="1" si="128"/>
        <v>-45188110.344267726</v>
      </c>
      <c r="J1347" s="455">
        <f t="array" ref="J1347">IFERROR(INDEX('Retirement Calculator'!J:J,MATCH('Isaac 401k'!N1347,'Retirement Calculator'!A:A,0),0),0)</f>
        <v>0</v>
      </c>
      <c r="K1347" s="455">
        <f t="shared" ca="1" si="126"/>
        <v>-188283.79310111553</v>
      </c>
      <c r="L1347" s="455">
        <f t="shared" ca="1" si="127"/>
        <v>-45376394.137368843</v>
      </c>
      <c r="M1347" s="471">
        <f t="shared" si="129"/>
        <v>0.05</v>
      </c>
      <c r="N1347" s="475">
        <f t="shared" si="130"/>
        <v>92043</v>
      </c>
    </row>
    <row r="1348" spans="7:14" ht="11.25" customHeight="1" x14ac:dyDescent="0.3">
      <c r="G1348" s="470"/>
      <c r="H1348" s="470">
        <v>1341</v>
      </c>
      <c r="I1348" s="455">
        <f t="shared" ca="1" si="128"/>
        <v>-45376394.137368843</v>
      </c>
      <c r="J1348" s="455">
        <f t="array" ref="J1348">IFERROR(INDEX('Retirement Calculator'!J:J,MATCH('Isaac 401k'!N1348,'Retirement Calculator'!A:A,0),0),0)</f>
        <v>0</v>
      </c>
      <c r="K1348" s="455">
        <f t="shared" ca="1" si="126"/>
        <v>-189068.30890570351</v>
      </c>
      <c r="L1348" s="455">
        <f t="shared" ca="1" si="127"/>
        <v>-45565462.446274549</v>
      </c>
      <c r="M1348" s="471">
        <f t="shared" si="129"/>
        <v>0.05</v>
      </c>
      <c r="N1348" s="475">
        <f t="shared" si="130"/>
        <v>92074</v>
      </c>
    </row>
    <row r="1349" spans="7:14" ht="11.25" customHeight="1" x14ac:dyDescent="0.3">
      <c r="G1349" s="470"/>
      <c r="H1349" s="470">
        <v>1342</v>
      </c>
      <c r="I1349" s="455">
        <f t="shared" ca="1" si="128"/>
        <v>-45565462.446274549</v>
      </c>
      <c r="J1349" s="455">
        <f t="array" ref="J1349">IFERROR(INDEX('Retirement Calculator'!J:J,MATCH('Isaac 401k'!N1349,'Retirement Calculator'!A:A,0),0),0)</f>
        <v>0</v>
      </c>
      <c r="K1349" s="455">
        <f t="shared" ca="1" si="126"/>
        <v>-189856.09352614396</v>
      </c>
      <c r="L1349" s="455">
        <f t="shared" ca="1" si="127"/>
        <v>-45755318.539800696</v>
      </c>
      <c r="M1349" s="471">
        <f t="shared" si="129"/>
        <v>0.05</v>
      </c>
      <c r="N1349" s="475">
        <f t="shared" si="130"/>
        <v>92103</v>
      </c>
    </row>
    <row r="1350" spans="7:14" ht="11.25" customHeight="1" x14ac:dyDescent="0.3">
      <c r="G1350" s="470"/>
      <c r="H1350" s="470">
        <v>1343</v>
      </c>
      <c r="I1350" s="455">
        <f t="shared" ca="1" si="128"/>
        <v>-45755318.539800696</v>
      </c>
      <c r="J1350" s="455">
        <f t="array" ref="J1350">IFERROR(INDEX('Retirement Calculator'!J:J,MATCH('Isaac 401k'!N1350,'Retirement Calculator'!A:A,0),0),0)</f>
        <v>0</v>
      </c>
      <c r="K1350" s="455">
        <f t="shared" ca="1" si="126"/>
        <v>-190647.1605825029</v>
      </c>
      <c r="L1350" s="455">
        <f t="shared" ca="1" si="127"/>
        <v>-45945965.700383201</v>
      </c>
      <c r="M1350" s="471">
        <f t="shared" si="129"/>
        <v>0.05</v>
      </c>
      <c r="N1350" s="475">
        <f t="shared" si="130"/>
        <v>92134</v>
      </c>
    </row>
    <row r="1351" spans="7:14" ht="11.25" customHeight="1" x14ac:dyDescent="0.3">
      <c r="G1351" s="470"/>
      <c r="H1351" s="470">
        <v>1344</v>
      </c>
      <c r="I1351" s="455">
        <f t="shared" ca="1" si="128"/>
        <v>-45945965.700383201</v>
      </c>
      <c r="J1351" s="455">
        <f t="array" ref="J1351">IFERROR(INDEX('Retirement Calculator'!J:J,MATCH('Isaac 401k'!N1351,'Retirement Calculator'!A:A,0),0),0)</f>
        <v>0</v>
      </c>
      <c r="K1351" s="455">
        <f t="shared" ca="1" si="126"/>
        <v>-191441.52375159666</v>
      </c>
      <c r="L1351" s="455">
        <f t="shared" ca="1" si="127"/>
        <v>-46137407.224134795</v>
      </c>
      <c r="M1351" s="471">
        <f t="shared" si="129"/>
        <v>0.05</v>
      </c>
      <c r="N1351" s="475">
        <f t="shared" si="130"/>
        <v>92164</v>
      </c>
    </row>
    <row r="1352" spans="7:14" ht="11.25" customHeight="1" x14ac:dyDescent="0.3">
      <c r="G1352" s="470"/>
      <c r="H1352" s="470">
        <v>1345</v>
      </c>
      <c r="I1352" s="455">
        <f t="shared" ca="1" si="128"/>
        <v>-46137407.224134795</v>
      </c>
      <c r="J1352" s="455">
        <f t="array" ref="J1352">IFERROR(INDEX('Retirement Calculator'!J:J,MATCH('Isaac 401k'!N1352,'Retirement Calculator'!A:A,0),0),0)</f>
        <v>0</v>
      </c>
      <c r="K1352" s="455">
        <f t="shared" ca="1" si="126"/>
        <v>-192239.19676722831</v>
      </c>
      <c r="L1352" s="455">
        <f t="shared" ca="1" si="127"/>
        <v>-46329646.420902021</v>
      </c>
      <c r="M1352" s="471">
        <f t="shared" si="129"/>
        <v>0.05</v>
      </c>
      <c r="N1352" s="475">
        <f t="shared" si="130"/>
        <v>92195</v>
      </c>
    </row>
    <row r="1353" spans="7:14" ht="11.25" customHeight="1" x14ac:dyDescent="0.3">
      <c r="G1353" s="470"/>
      <c r="H1353" s="470">
        <v>1346</v>
      </c>
      <c r="I1353" s="455">
        <f t="shared" ca="1" si="128"/>
        <v>-46329646.420902021</v>
      </c>
      <c r="J1353" s="455">
        <f t="array" ref="J1353">IFERROR(INDEX('Retirement Calculator'!J:J,MATCH('Isaac 401k'!N1353,'Retirement Calculator'!A:A,0),0),0)</f>
        <v>0</v>
      </c>
      <c r="K1353" s="455">
        <f t="shared" ca="1" si="126"/>
        <v>-193040.19342042509</v>
      </c>
      <c r="L1353" s="455">
        <f t="shared" ca="1" si="127"/>
        <v>-46522686.614322446</v>
      </c>
      <c r="M1353" s="471">
        <f t="shared" si="129"/>
        <v>0.05</v>
      </c>
      <c r="N1353" s="475">
        <f t="shared" si="130"/>
        <v>92225</v>
      </c>
    </row>
    <row r="1354" spans="7:14" ht="11.25" customHeight="1" x14ac:dyDescent="0.3">
      <c r="G1354" s="470"/>
      <c r="H1354" s="470">
        <v>1347</v>
      </c>
      <c r="I1354" s="455">
        <f t="shared" ca="1" si="128"/>
        <v>-46522686.614322446</v>
      </c>
      <c r="J1354" s="455">
        <f t="array" ref="J1354">IFERROR(INDEX('Retirement Calculator'!J:J,MATCH('Isaac 401k'!N1354,'Retirement Calculator'!A:A,0),0),0)</f>
        <v>0</v>
      </c>
      <c r="K1354" s="455">
        <f t="shared" ca="1" si="126"/>
        <v>-193844.52755967685</v>
      </c>
      <c r="L1354" s="455">
        <f t="shared" ca="1" si="127"/>
        <v>-46716531.141882122</v>
      </c>
      <c r="M1354" s="471">
        <f t="shared" si="129"/>
        <v>0.05</v>
      </c>
      <c r="N1354" s="475">
        <f t="shared" si="130"/>
        <v>92256</v>
      </c>
    </row>
    <row r="1355" spans="7:14" ht="11.25" customHeight="1" x14ac:dyDescent="0.3">
      <c r="G1355" s="470"/>
      <c r="H1355" s="470">
        <v>1348</v>
      </c>
      <c r="I1355" s="455">
        <f t="shared" ca="1" si="128"/>
        <v>-46716531.141882122</v>
      </c>
      <c r="J1355" s="455">
        <f t="array" ref="J1355">IFERROR(INDEX('Retirement Calculator'!J:J,MATCH('Isaac 401k'!N1355,'Retirement Calculator'!A:A,0),0),0)</f>
        <v>0</v>
      </c>
      <c r="K1355" s="455">
        <f t="shared" ca="1" si="126"/>
        <v>-194652.21309117551</v>
      </c>
      <c r="L1355" s="455">
        <f t="shared" ca="1" si="127"/>
        <v>-46911183.354973294</v>
      </c>
      <c r="M1355" s="471">
        <f t="shared" si="129"/>
        <v>0.05</v>
      </c>
      <c r="N1355" s="475">
        <f t="shared" si="130"/>
        <v>92287</v>
      </c>
    </row>
    <row r="1356" spans="7:14" ht="11.25" customHeight="1" x14ac:dyDescent="0.3">
      <c r="G1356" s="470"/>
      <c r="H1356" s="470">
        <v>1349</v>
      </c>
      <c r="I1356" s="455">
        <f t="shared" ca="1" si="128"/>
        <v>-46911183.354973294</v>
      </c>
      <c r="J1356" s="455">
        <f t="array" ref="J1356">IFERROR(INDEX('Retirement Calculator'!J:J,MATCH('Isaac 401k'!N1356,'Retirement Calculator'!A:A,0),0),0)</f>
        <v>0</v>
      </c>
      <c r="K1356" s="455">
        <f t="shared" ca="1" si="126"/>
        <v>-195463.26397905539</v>
      </c>
      <c r="L1356" s="455">
        <f t="shared" ca="1" si="127"/>
        <v>-47106646.618952349</v>
      </c>
      <c r="M1356" s="471">
        <f t="shared" si="129"/>
        <v>0.05</v>
      </c>
      <c r="N1356" s="475">
        <f t="shared" si="130"/>
        <v>92317</v>
      </c>
    </row>
    <row r="1357" spans="7:14" ht="11.25" customHeight="1" x14ac:dyDescent="0.3">
      <c r="G1357" s="470"/>
      <c r="H1357" s="470">
        <v>1350</v>
      </c>
      <c r="I1357" s="455">
        <f t="shared" ca="1" si="128"/>
        <v>-47106646.618952349</v>
      </c>
      <c r="J1357" s="455">
        <f t="array" ref="J1357">IFERROR(INDEX('Retirement Calculator'!J:J,MATCH('Isaac 401k'!N1357,'Retirement Calculator'!A:A,0),0),0)</f>
        <v>0</v>
      </c>
      <c r="K1357" s="455">
        <f t="shared" ca="1" si="126"/>
        <v>-196277.69424563478</v>
      </c>
      <c r="L1357" s="455">
        <f t="shared" ca="1" si="127"/>
        <v>-47302924.313197985</v>
      </c>
      <c r="M1357" s="471">
        <f t="shared" si="129"/>
        <v>0.05</v>
      </c>
      <c r="N1357" s="475">
        <f t="shared" si="130"/>
        <v>92348</v>
      </c>
    </row>
    <row r="1358" spans="7:14" ht="11.25" customHeight="1" x14ac:dyDescent="0.3">
      <c r="G1358" s="470"/>
      <c r="H1358" s="470">
        <v>1351</v>
      </c>
      <c r="I1358" s="455">
        <f t="shared" ca="1" si="128"/>
        <v>-47302924.313197985</v>
      </c>
      <c r="J1358" s="455">
        <f t="array" ref="J1358">IFERROR(INDEX('Retirement Calculator'!J:J,MATCH('Isaac 401k'!N1358,'Retirement Calculator'!A:A,0),0),0)</f>
        <v>0</v>
      </c>
      <c r="K1358" s="455">
        <f t="shared" ca="1" si="126"/>
        <v>-197095.51797165826</v>
      </c>
      <c r="L1358" s="455">
        <f t="shared" ca="1" si="127"/>
        <v>-47500019.831169643</v>
      </c>
      <c r="M1358" s="471">
        <f t="shared" si="129"/>
        <v>0.05</v>
      </c>
      <c r="N1358" s="475">
        <f t="shared" si="130"/>
        <v>92378</v>
      </c>
    </row>
    <row r="1359" spans="7:14" ht="11.25" customHeight="1" x14ac:dyDescent="0.3">
      <c r="G1359" s="470"/>
      <c r="H1359" s="470">
        <v>1352</v>
      </c>
      <c r="I1359" s="455">
        <f t="shared" ca="1" si="128"/>
        <v>-47500019.831169643</v>
      </c>
      <c r="J1359" s="455">
        <f t="array" ref="J1359">IFERROR(INDEX('Retirement Calculator'!J:J,MATCH('Isaac 401k'!N1359,'Retirement Calculator'!A:A,0),0),0)</f>
        <v>0</v>
      </c>
      <c r="K1359" s="455">
        <f t="shared" ca="1" si="126"/>
        <v>-197916.74929654016</v>
      </c>
      <c r="L1359" s="455">
        <f t="shared" ca="1" si="127"/>
        <v>-47697936.580466181</v>
      </c>
      <c r="M1359" s="471">
        <f t="shared" si="129"/>
        <v>0.05</v>
      </c>
      <c r="N1359" s="475">
        <f t="shared" si="130"/>
        <v>92409</v>
      </c>
    </row>
    <row r="1360" spans="7:14" ht="11.25" customHeight="1" x14ac:dyDescent="0.3">
      <c r="G1360" s="470"/>
      <c r="H1360" s="470">
        <v>1353</v>
      </c>
      <c r="I1360" s="455">
        <f t="shared" ca="1" si="128"/>
        <v>-47697936.580466181</v>
      </c>
      <c r="J1360" s="455">
        <f t="array" ref="J1360">IFERROR(INDEX('Retirement Calculator'!J:J,MATCH('Isaac 401k'!N1360,'Retirement Calculator'!A:A,0),0),0)</f>
        <v>0</v>
      </c>
      <c r="K1360" s="455">
        <f t="shared" ca="1" si="126"/>
        <v>-198741.4024186091</v>
      </c>
      <c r="L1360" s="455">
        <f t="shared" ca="1" si="127"/>
        <v>-47896677.982884787</v>
      </c>
      <c r="M1360" s="471">
        <f t="shared" si="129"/>
        <v>0.05</v>
      </c>
      <c r="N1360" s="475">
        <f t="shared" si="130"/>
        <v>92440</v>
      </c>
    </row>
    <row r="1361" spans="7:14" ht="11.25" customHeight="1" x14ac:dyDescent="0.3">
      <c r="G1361" s="470"/>
      <c r="H1361" s="470">
        <v>1354</v>
      </c>
      <c r="I1361" s="455">
        <f t="shared" ca="1" si="128"/>
        <v>-47896677.982884787</v>
      </c>
      <c r="J1361" s="455">
        <f t="array" ref="J1361">IFERROR(INDEX('Retirement Calculator'!J:J,MATCH('Isaac 401k'!N1361,'Retirement Calculator'!A:A,0),0),0)</f>
        <v>0</v>
      </c>
      <c r="K1361" s="455">
        <f t="shared" ca="1" si="126"/>
        <v>-199569.49159535329</v>
      </c>
      <c r="L1361" s="455">
        <f t="shared" ca="1" si="127"/>
        <v>-48096247.474480137</v>
      </c>
      <c r="M1361" s="471">
        <f t="shared" si="129"/>
        <v>0.05</v>
      </c>
      <c r="N1361" s="475">
        <f t="shared" si="130"/>
        <v>92468</v>
      </c>
    </row>
    <row r="1362" spans="7:14" ht="11.25" customHeight="1" x14ac:dyDescent="0.3">
      <c r="G1362" s="470"/>
      <c r="H1362" s="470">
        <v>1355</v>
      </c>
      <c r="I1362" s="455">
        <f t="shared" ca="1" si="128"/>
        <v>-48096247.474480137</v>
      </c>
      <c r="J1362" s="455">
        <f t="array" ref="J1362">IFERROR(INDEX('Retirement Calculator'!J:J,MATCH('Isaac 401k'!N1362,'Retirement Calculator'!A:A,0),0),0)</f>
        <v>0</v>
      </c>
      <c r="K1362" s="455">
        <f t="shared" ca="1" si="126"/>
        <v>-200401.03114366723</v>
      </c>
      <c r="L1362" s="455">
        <f t="shared" ca="1" si="127"/>
        <v>-48296648.505623803</v>
      </c>
      <c r="M1362" s="471">
        <f t="shared" si="129"/>
        <v>0.05</v>
      </c>
      <c r="N1362" s="475">
        <f t="shared" si="130"/>
        <v>92499</v>
      </c>
    </row>
    <row r="1363" spans="7:14" ht="11.25" customHeight="1" x14ac:dyDescent="0.3">
      <c r="G1363" s="470"/>
      <c r="H1363" s="470">
        <v>1356</v>
      </c>
      <c r="I1363" s="455">
        <f t="shared" ca="1" si="128"/>
        <v>-48296648.505623803</v>
      </c>
      <c r="J1363" s="455">
        <f t="array" ref="J1363">IFERROR(INDEX('Retirement Calculator'!J:J,MATCH('Isaac 401k'!N1363,'Retirement Calculator'!A:A,0),0),0)</f>
        <v>0</v>
      </c>
      <c r="K1363" s="455">
        <f t="shared" ca="1" si="126"/>
        <v>-201236.03544009916</v>
      </c>
      <c r="L1363" s="455">
        <f t="shared" ca="1" si="127"/>
        <v>-48497884.541063905</v>
      </c>
      <c r="M1363" s="471">
        <f t="shared" si="129"/>
        <v>0.05</v>
      </c>
      <c r="N1363" s="475">
        <f t="shared" si="130"/>
        <v>92529</v>
      </c>
    </row>
    <row r="1364" spans="7:14" ht="11.25" customHeight="1" x14ac:dyDescent="0.3">
      <c r="G1364" s="470"/>
      <c r="H1364" s="470">
        <v>1357</v>
      </c>
      <c r="I1364" s="455">
        <f t="shared" ca="1" si="128"/>
        <v>-48497884.541063905</v>
      </c>
      <c r="J1364" s="455">
        <f t="array" ref="J1364">IFERROR(INDEX('Retirement Calculator'!J:J,MATCH('Isaac 401k'!N1364,'Retirement Calculator'!A:A,0),0),0)</f>
        <v>0</v>
      </c>
      <c r="K1364" s="455">
        <f t="shared" ca="1" si="126"/>
        <v>-202074.5189210996</v>
      </c>
      <c r="L1364" s="455">
        <f t="shared" ca="1" si="127"/>
        <v>-48699959.059985004</v>
      </c>
      <c r="M1364" s="471">
        <f t="shared" si="129"/>
        <v>0.05</v>
      </c>
      <c r="N1364" s="475">
        <f t="shared" si="130"/>
        <v>92560</v>
      </c>
    </row>
    <row r="1365" spans="7:14" ht="11.25" customHeight="1" x14ac:dyDescent="0.3">
      <c r="G1365" s="470"/>
      <c r="H1365" s="470">
        <v>1358</v>
      </c>
      <c r="I1365" s="455">
        <f t="shared" ca="1" si="128"/>
        <v>-48699959.059985004</v>
      </c>
      <c r="J1365" s="455">
        <f t="array" ref="J1365">IFERROR(INDEX('Retirement Calculator'!J:J,MATCH('Isaac 401k'!N1365,'Retirement Calculator'!A:A,0),0),0)</f>
        <v>0</v>
      </c>
      <c r="K1365" s="455">
        <f t="shared" ca="1" si="126"/>
        <v>-202916.49608327085</v>
      </c>
      <c r="L1365" s="455">
        <f t="shared" ca="1" si="127"/>
        <v>-48902875.556068279</v>
      </c>
      <c r="M1365" s="471">
        <f t="shared" si="129"/>
        <v>0.05</v>
      </c>
      <c r="N1365" s="475">
        <f t="shared" si="130"/>
        <v>92590</v>
      </c>
    </row>
    <row r="1366" spans="7:14" ht="11.25" customHeight="1" x14ac:dyDescent="0.3">
      <c r="G1366" s="470"/>
      <c r="H1366" s="470">
        <v>1359</v>
      </c>
      <c r="I1366" s="455">
        <f t="shared" ca="1" si="128"/>
        <v>-48902875.556068279</v>
      </c>
      <c r="J1366" s="455">
        <f t="array" ref="J1366">IFERROR(INDEX('Retirement Calculator'!J:J,MATCH('Isaac 401k'!N1366,'Retirement Calculator'!A:A,0),0),0)</f>
        <v>0</v>
      </c>
      <c r="K1366" s="455">
        <f t="shared" ca="1" si="126"/>
        <v>-203761.98148361783</v>
      </c>
      <c r="L1366" s="455">
        <f t="shared" ca="1" si="127"/>
        <v>-49106637.537551895</v>
      </c>
      <c r="M1366" s="471">
        <f t="shared" si="129"/>
        <v>0.05</v>
      </c>
      <c r="N1366" s="475">
        <f t="shared" si="130"/>
        <v>92621</v>
      </c>
    </row>
    <row r="1367" spans="7:14" ht="11.25" customHeight="1" x14ac:dyDescent="0.3">
      <c r="G1367" s="470"/>
      <c r="H1367" s="470">
        <v>1360</v>
      </c>
      <c r="I1367" s="455">
        <f t="shared" ca="1" si="128"/>
        <v>-49106637.537551895</v>
      </c>
      <c r="J1367" s="455">
        <f t="array" ref="J1367">IFERROR(INDEX('Retirement Calculator'!J:J,MATCH('Isaac 401k'!N1367,'Retirement Calculator'!A:A,0),0),0)</f>
        <v>0</v>
      </c>
      <c r="K1367" s="455">
        <f t="shared" ca="1" si="126"/>
        <v>-204610.98973979955</v>
      </c>
      <c r="L1367" s="455">
        <f t="shared" ca="1" si="127"/>
        <v>-49311248.527291693</v>
      </c>
      <c r="M1367" s="471">
        <f t="shared" si="129"/>
        <v>0.05</v>
      </c>
      <c r="N1367" s="475">
        <f t="shared" si="130"/>
        <v>92652</v>
      </c>
    </row>
    <row r="1368" spans="7:14" ht="11.25" customHeight="1" x14ac:dyDescent="0.3">
      <c r="G1368" s="470"/>
      <c r="H1368" s="470">
        <v>1361</v>
      </c>
      <c r="I1368" s="455">
        <f t="shared" ca="1" si="128"/>
        <v>-49311248.527291693</v>
      </c>
      <c r="J1368" s="455">
        <f t="array" ref="J1368">IFERROR(INDEX('Retirement Calculator'!J:J,MATCH('Isaac 401k'!N1368,'Retirement Calculator'!A:A,0),0),0)</f>
        <v>0</v>
      </c>
      <c r="K1368" s="455">
        <f t="shared" ca="1" si="126"/>
        <v>-205463.53553038204</v>
      </c>
      <c r="L1368" s="455">
        <f t="shared" ca="1" si="127"/>
        <v>-49516712.062822074</v>
      </c>
      <c r="M1368" s="471">
        <f t="shared" si="129"/>
        <v>0.05</v>
      </c>
      <c r="N1368" s="475">
        <f t="shared" si="130"/>
        <v>92682</v>
      </c>
    </row>
    <row r="1369" spans="7:14" ht="11.25" customHeight="1" x14ac:dyDescent="0.3">
      <c r="G1369" s="470"/>
      <c r="H1369" s="470">
        <v>1362</v>
      </c>
      <c r="I1369" s="455">
        <f t="shared" ca="1" si="128"/>
        <v>-49516712.062822074</v>
      </c>
      <c r="J1369" s="455">
        <f t="array" ref="J1369">IFERROR(INDEX('Retirement Calculator'!J:J,MATCH('Isaac 401k'!N1369,'Retirement Calculator'!A:A,0),0),0)</f>
        <v>0</v>
      </c>
      <c r="K1369" s="455">
        <f t="shared" ca="1" si="126"/>
        <v>-206319.63359509196</v>
      </c>
      <c r="L1369" s="455">
        <f t="shared" ca="1" si="127"/>
        <v>-49723031.696417168</v>
      </c>
      <c r="M1369" s="471">
        <f t="shared" si="129"/>
        <v>0.05</v>
      </c>
      <c r="N1369" s="475">
        <f t="shared" si="130"/>
        <v>92713</v>
      </c>
    </row>
    <row r="1370" spans="7:14" ht="11.25" customHeight="1" x14ac:dyDescent="0.3">
      <c r="G1370" s="470"/>
      <c r="H1370" s="470">
        <v>1363</v>
      </c>
      <c r="I1370" s="455">
        <f t="shared" ca="1" si="128"/>
        <v>-49723031.696417168</v>
      </c>
      <c r="J1370" s="455">
        <f t="array" ref="J1370">IFERROR(INDEX('Retirement Calculator'!J:J,MATCH('Isaac 401k'!N1370,'Retirement Calculator'!A:A,0),0),0)</f>
        <v>0</v>
      </c>
      <c r="K1370" s="455">
        <f t="shared" ca="1" si="126"/>
        <v>-207179.29873507153</v>
      </c>
      <c r="L1370" s="455">
        <f t="shared" ca="1" si="127"/>
        <v>-49930210.995152242</v>
      </c>
      <c r="M1370" s="471">
        <f t="shared" si="129"/>
        <v>0.05</v>
      </c>
      <c r="N1370" s="475">
        <f t="shared" si="130"/>
        <v>92743</v>
      </c>
    </row>
    <row r="1371" spans="7:14" ht="11.25" customHeight="1" x14ac:dyDescent="0.3">
      <c r="G1371" s="470"/>
      <c r="H1371" s="470">
        <v>1364</v>
      </c>
      <c r="I1371" s="455">
        <f t="shared" ca="1" si="128"/>
        <v>-49930210.995152242</v>
      </c>
      <c r="J1371" s="455">
        <f t="array" ref="J1371">IFERROR(INDEX('Retirement Calculator'!J:J,MATCH('Isaac 401k'!N1371,'Retirement Calculator'!A:A,0),0),0)</f>
        <v>0</v>
      </c>
      <c r="K1371" s="455">
        <f t="shared" ca="1" si="126"/>
        <v>-208042.54581313435</v>
      </c>
      <c r="L1371" s="455">
        <f t="shared" ca="1" si="127"/>
        <v>-50138253.540965378</v>
      </c>
      <c r="M1371" s="471">
        <f t="shared" si="129"/>
        <v>0.05</v>
      </c>
      <c r="N1371" s="475">
        <f t="shared" si="130"/>
        <v>92774</v>
      </c>
    </row>
    <row r="1372" spans="7:14" ht="11.25" customHeight="1" x14ac:dyDescent="0.3">
      <c r="G1372" s="470"/>
      <c r="H1372" s="470">
        <v>1365</v>
      </c>
      <c r="I1372" s="455">
        <f t="shared" ca="1" si="128"/>
        <v>-50138253.540965378</v>
      </c>
      <c r="J1372" s="455">
        <f t="array" ref="J1372">IFERROR(INDEX('Retirement Calculator'!J:J,MATCH('Isaac 401k'!N1372,'Retirement Calculator'!A:A,0),0),0)</f>
        <v>0</v>
      </c>
      <c r="K1372" s="455">
        <f t="shared" ca="1" si="126"/>
        <v>-208909.38975402241</v>
      </c>
      <c r="L1372" s="455">
        <f t="shared" ca="1" si="127"/>
        <v>-50347162.930719398</v>
      </c>
      <c r="M1372" s="471">
        <f t="shared" si="129"/>
        <v>0.05</v>
      </c>
      <c r="N1372" s="475">
        <f t="shared" si="130"/>
        <v>92805</v>
      </c>
    </row>
    <row r="1373" spans="7:14" ht="11.25" customHeight="1" x14ac:dyDescent="0.3">
      <c r="G1373" s="470"/>
      <c r="H1373" s="470">
        <v>1366</v>
      </c>
      <c r="I1373" s="455">
        <f t="shared" ca="1" si="128"/>
        <v>-50347162.930719398</v>
      </c>
      <c r="J1373" s="455">
        <f t="array" ref="J1373">IFERROR(INDEX('Retirement Calculator'!J:J,MATCH('Isaac 401k'!N1373,'Retirement Calculator'!A:A,0),0),0)</f>
        <v>0</v>
      </c>
      <c r="K1373" s="455">
        <f t="shared" ca="1" si="126"/>
        <v>-209779.84554466416</v>
      </c>
      <c r="L1373" s="455">
        <f t="shared" ca="1" si="127"/>
        <v>-50556942.776264064</v>
      </c>
      <c r="M1373" s="471">
        <f t="shared" si="129"/>
        <v>0.05</v>
      </c>
      <c r="N1373" s="475">
        <f t="shared" si="130"/>
        <v>92833</v>
      </c>
    </row>
    <row r="1374" spans="7:14" ht="11.25" customHeight="1" x14ac:dyDescent="0.3">
      <c r="G1374" s="470"/>
      <c r="H1374" s="470">
        <v>1367</v>
      </c>
      <c r="I1374" s="455">
        <f t="shared" ca="1" si="128"/>
        <v>-50556942.776264064</v>
      </c>
      <c r="J1374" s="455">
        <f t="array" ref="J1374">IFERROR(INDEX('Retirement Calculator'!J:J,MATCH('Isaac 401k'!N1374,'Retirement Calculator'!A:A,0),0),0)</f>
        <v>0</v>
      </c>
      <c r="K1374" s="455">
        <f t="shared" ca="1" si="126"/>
        <v>-210653.92823443361</v>
      </c>
      <c r="L1374" s="455">
        <f t="shared" ca="1" si="127"/>
        <v>-50767596.7044985</v>
      </c>
      <c r="M1374" s="471">
        <f t="shared" si="129"/>
        <v>0.05</v>
      </c>
      <c r="N1374" s="475">
        <f t="shared" si="130"/>
        <v>92864</v>
      </c>
    </row>
    <row r="1375" spans="7:14" ht="11.25" customHeight="1" x14ac:dyDescent="0.3">
      <c r="G1375" s="470"/>
      <c r="H1375" s="470">
        <v>1368</v>
      </c>
      <c r="I1375" s="455">
        <f t="shared" ca="1" si="128"/>
        <v>-50767596.7044985</v>
      </c>
      <c r="J1375" s="455">
        <f t="array" ref="J1375">IFERROR(INDEX('Retirement Calculator'!J:J,MATCH('Isaac 401k'!N1375,'Retirement Calculator'!A:A,0),0),0)</f>
        <v>0</v>
      </c>
      <c r="K1375" s="455">
        <f t="shared" ca="1" si="126"/>
        <v>-211531.65293541041</v>
      </c>
      <c r="L1375" s="455">
        <f t="shared" ca="1" si="127"/>
        <v>-50979128.357433908</v>
      </c>
      <c r="M1375" s="471">
        <f t="shared" si="129"/>
        <v>0.05</v>
      </c>
      <c r="N1375" s="475">
        <f t="shared" si="130"/>
        <v>92894</v>
      </c>
    </row>
    <row r="1376" spans="7:14" ht="11.25" customHeight="1" x14ac:dyDescent="0.3">
      <c r="G1376" s="470"/>
      <c r="H1376" s="470">
        <v>1369</v>
      </c>
      <c r="I1376" s="455">
        <f t="shared" ca="1" si="128"/>
        <v>-50979128.357433908</v>
      </c>
      <c r="J1376" s="455">
        <f t="array" ref="J1376">IFERROR(INDEX('Retirement Calculator'!J:J,MATCH('Isaac 401k'!N1376,'Retirement Calculator'!A:A,0),0),0)</f>
        <v>0</v>
      </c>
      <c r="K1376" s="455">
        <f t="shared" ca="1" si="126"/>
        <v>-212413.03482264129</v>
      </c>
      <c r="L1376" s="455">
        <f t="shared" ca="1" si="127"/>
        <v>-51191541.39225655</v>
      </c>
      <c r="M1376" s="471">
        <f t="shared" si="129"/>
        <v>0.05</v>
      </c>
      <c r="N1376" s="475">
        <f t="shared" si="130"/>
        <v>92925</v>
      </c>
    </row>
    <row r="1377" spans="7:14" ht="11.25" customHeight="1" x14ac:dyDescent="0.3">
      <c r="G1377" s="470"/>
      <c r="H1377" s="470">
        <v>1370</v>
      </c>
      <c r="I1377" s="455">
        <f t="shared" ca="1" si="128"/>
        <v>-51191541.39225655</v>
      </c>
      <c r="J1377" s="455">
        <f t="array" ref="J1377">IFERROR(INDEX('Retirement Calculator'!J:J,MATCH('Isaac 401k'!N1377,'Retirement Calculator'!A:A,0),0),0)</f>
        <v>0</v>
      </c>
      <c r="K1377" s="455">
        <f t="shared" ca="1" si="126"/>
        <v>-213298.08913440228</v>
      </c>
      <c r="L1377" s="455">
        <f t="shared" ca="1" si="127"/>
        <v>-51404839.481390953</v>
      </c>
      <c r="M1377" s="471">
        <f t="shared" si="129"/>
        <v>0.05</v>
      </c>
      <c r="N1377" s="475">
        <f t="shared" si="130"/>
        <v>92955</v>
      </c>
    </row>
    <row r="1378" spans="7:14" ht="11.25" customHeight="1" x14ac:dyDescent="0.3">
      <c r="G1378" s="470"/>
      <c r="H1378" s="470">
        <v>1371</v>
      </c>
      <c r="I1378" s="455">
        <f t="shared" ca="1" si="128"/>
        <v>-51404839.481390953</v>
      </c>
      <c r="J1378" s="455">
        <f t="array" ref="J1378">IFERROR(INDEX('Retirement Calculator'!J:J,MATCH('Isaac 401k'!N1378,'Retirement Calculator'!A:A,0),0),0)</f>
        <v>0</v>
      </c>
      <c r="K1378" s="455">
        <f t="shared" ca="1" si="126"/>
        <v>-214186.83117246229</v>
      </c>
      <c r="L1378" s="455">
        <f t="shared" ca="1" si="127"/>
        <v>-51619026.312563412</v>
      </c>
      <c r="M1378" s="471">
        <f t="shared" si="129"/>
        <v>0.05</v>
      </c>
      <c r="N1378" s="475">
        <f t="shared" si="130"/>
        <v>92986</v>
      </c>
    </row>
    <row r="1379" spans="7:14" ht="11.25" customHeight="1" x14ac:dyDescent="0.3">
      <c r="G1379" s="470"/>
      <c r="H1379" s="470">
        <v>1372</v>
      </c>
      <c r="I1379" s="455">
        <f t="shared" ca="1" si="128"/>
        <v>-51619026.312563412</v>
      </c>
      <c r="J1379" s="455">
        <f t="array" ref="J1379">IFERROR(INDEX('Retirement Calculator'!J:J,MATCH('Isaac 401k'!N1379,'Retirement Calculator'!A:A,0),0),0)</f>
        <v>0</v>
      </c>
      <c r="K1379" s="455">
        <f t="shared" ca="1" si="126"/>
        <v>-215079.27630234754</v>
      </c>
      <c r="L1379" s="455">
        <f t="shared" ca="1" si="127"/>
        <v>-51834105.588865757</v>
      </c>
      <c r="M1379" s="471">
        <f t="shared" si="129"/>
        <v>0.05</v>
      </c>
      <c r="N1379" s="475">
        <f t="shared" si="130"/>
        <v>93017</v>
      </c>
    </row>
    <row r="1380" spans="7:14" ht="11.25" customHeight="1" x14ac:dyDescent="0.3">
      <c r="G1380" s="470"/>
      <c r="H1380" s="470">
        <v>1373</v>
      </c>
      <c r="I1380" s="455">
        <f t="shared" ca="1" si="128"/>
        <v>-51834105.588865757</v>
      </c>
      <c r="J1380" s="455">
        <f t="array" ref="J1380">IFERROR(INDEX('Retirement Calculator'!J:J,MATCH('Isaac 401k'!N1380,'Retirement Calculator'!A:A,0),0),0)</f>
        <v>0</v>
      </c>
      <c r="K1380" s="455">
        <f t="shared" ca="1" si="126"/>
        <v>-215975.4399536073</v>
      </c>
      <c r="L1380" s="455">
        <f t="shared" ca="1" si="127"/>
        <v>-52050081.028819367</v>
      </c>
      <c r="M1380" s="471">
        <f t="shared" si="129"/>
        <v>0.05</v>
      </c>
      <c r="N1380" s="475">
        <f t="shared" si="130"/>
        <v>93047</v>
      </c>
    </row>
    <row r="1381" spans="7:14" ht="11.25" customHeight="1" x14ac:dyDescent="0.3">
      <c r="G1381" s="470"/>
      <c r="H1381" s="470">
        <v>1374</v>
      </c>
      <c r="I1381" s="455">
        <f t="shared" ca="1" si="128"/>
        <v>-52050081.028819367</v>
      </c>
      <c r="J1381" s="455">
        <f t="array" ref="J1381">IFERROR(INDEX('Retirement Calculator'!J:J,MATCH('Isaac 401k'!N1381,'Retirement Calculator'!A:A,0),0),0)</f>
        <v>0</v>
      </c>
      <c r="K1381" s="455">
        <f t="shared" ca="1" si="126"/>
        <v>-216875.33762008068</v>
      </c>
      <c r="L1381" s="455">
        <f t="shared" ca="1" si="127"/>
        <v>-52266956.366439447</v>
      </c>
      <c r="M1381" s="471">
        <f t="shared" si="129"/>
        <v>0.05</v>
      </c>
      <c r="N1381" s="475">
        <f t="shared" si="130"/>
        <v>93078</v>
      </c>
    </row>
    <row r="1382" spans="7:14" ht="11.25" customHeight="1" x14ac:dyDescent="0.3">
      <c r="G1382" s="470"/>
      <c r="H1382" s="470">
        <v>1375</v>
      </c>
      <c r="I1382" s="455">
        <f t="shared" ca="1" si="128"/>
        <v>-52266956.366439447</v>
      </c>
      <c r="J1382" s="455">
        <f t="array" ref="J1382">IFERROR(INDEX('Retirement Calculator'!J:J,MATCH('Isaac 401k'!N1382,'Retirement Calculator'!A:A,0),0),0)</f>
        <v>0</v>
      </c>
      <c r="K1382" s="455">
        <f t="shared" ca="1" si="126"/>
        <v>-217778.98486016435</v>
      </c>
      <c r="L1382" s="455">
        <f t="shared" ca="1" si="127"/>
        <v>-52484735.351299614</v>
      </c>
      <c r="M1382" s="471">
        <f t="shared" si="129"/>
        <v>0.05</v>
      </c>
      <c r="N1382" s="475">
        <f t="shared" si="130"/>
        <v>93108</v>
      </c>
    </row>
    <row r="1383" spans="7:14" ht="11.25" customHeight="1" x14ac:dyDescent="0.3">
      <c r="G1383" s="470"/>
      <c r="H1383" s="470">
        <v>1376</v>
      </c>
      <c r="I1383" s="455">
        <f t="shared" ca="1" si="128"/>
        <v>-52484735.351299614</v>
      </c>
      <c r="J1383" s="455">
        <f t="array" ref="J1383">IFERROR(INDEX('Retirement Calculator'!J:J,MATCH('Isaac 401k'!N1383,'Retirement Calculator'!A:A,0),0),0)</f>
        <v>0</v>
      </c>
      <c r="K1383" s="455">
        <f t="shared" ca="1" si="126"/>
        <v>-218686.39729708168</v>
      </c>
      <c r="L1383" s="455">
        <f t="shared" ca="1" si="127"/>
        <v>-52703421.748596698</v>
      </c>
      <c r="M1383" s="471">
        <f t="shared" si="129"/>
        <v>0.05</v>
      </c>
      <c r="N1383" s="475">
        <f t="shared" si="130"/>
        <v>93139</v>
      </c>
    </row>
    <row r="1384" spans="7:14" ht="11.25" customHeight="1" x14ac:dyDescent="0.3">
      <c r="G1384" s="470"/>
      <c r="H1384" s="470">
        <v>1377</v>
      </c>
      <c r="I1384" s="455">
        <f t="shared" ca="1" si="128"/>
        <v>-52703421.748596698</v>
      </c>
      <c r="J1384" s="455">
        <f t="array" ref="J1384">IFERROR(INDEX('Retirement Calculator'!J:J,MATCH('Isaac 401k'!N1384,'Retirement Calculator'!A:A,0),0),0)</f>
        <v>0</v>
      </c>
      <c r="K1384" s="455">
        <f t="shared" ca="1" si="126"/>
        <v>-219597.59061915291</v>
      </c>
      <c r="L1384" s="455">
        <f t="shared" ca="1" si="127"/>
        <v>-52923019.339215852</v>
      </c>
      <c r="M1384" s="471">
        <f t="shared" si="129"/>
        <v>0.05</v>
      </c>
      <c r="N1384" s="475">
        <f t="shared" si="130"/>
        <v>93170</v>
      </c>
    </row>
    <row r="1385" spans="7:14" ht="11.25" customHeight="1" x14ac:dyDescent="0.3">
      <c r="G1385" s="470"/>
      <c r="H1385" s="470">
        <v>1378</v>
      </c>
      <c r="I1385" s="455">
        <f t="shared" ca="1" si="128"/>
        <v>-52923019.339215852</v>
      </c>
      <c r="J1385" s="455">
        <f t="array" ref="J1385">IFERROR(INDEX('Retirement Calculator'!J:J,MATCH('Isaac 401k'!N1385,'Retirement Calculator'!A:A,0),0),0)</f>
        <v>0</v>
      </c>
      <c r="K1385" s="455">
        <f t="shared" ca="1" si="126"/>
        <v>-220512.58058006602</v>
      </c>
      <c r="L1385" s="455">
        <f t="shared" ca="1" si="127"/>
        <v>-53143531.919795915</v>
      </c>
      <c r="M1385" s="471">
        <f t="shared" si="129"/>
        <v>0.05</v>
      </c>
      <c r="N1385" s="475">
        <f t="shared" si="130"/>
        <v>93198</v>
      </c>
    </row>
    <row r="1386" spans="7:14" ht="11.25" customHeight="1" x14ac:dyDescent="0.3">
      <c r="G1386" s="470"/>
      <c r="H1386" s="470">
        <v>1379</v>
      </c>
      <c r="I1386" s="455">
        <f t="shared" ca="1" si="128"/>
        <v>-53143531.919795915</v>
      </c>
      <c r="J1386" s="455">
        <f t="array" ref="J1386">IFERROR(INDEX('Retirement Calculator'!J:J,MATCH('Isaac 401k'!N1386,'Retirement Calculator'!A:A,0),0),0)</f>
        <v>0</v>
      </c>
      <c r="K1386" s="455">
        <f t="shared" ca="1" si="126"/>
        <v>-221431.38299914962</v>
      </c>
      <c r="L1386" s="455">
        <f t="shared" ca="1" si="127"/>
        <v>-53364963.302795067</v>
      </c>
      <c r="M1386" s="471">
        <f t="shared" si="129"/>
        <v>0.05</v>
      </c>
      <c r="N1386" s="475">
        <f t="shared" si="130"/>
        <v>93229</v>
      </c>
    </row>
    <row r="1387" spans="7:14" ht="11.25" customHeight="1" x14ac:dyDescent="0.3">
      <c r="G1387" s="470"/>
      <c r="H1387" s="470">
        <v>1380</v>
      </c>
      <c r="I1387" s="455">
        <f t="shared" ca="1" si="128"/>
        <v>-53364963.302795067</v>
      </c>
      <c r="J1387" s="455">
        <f t="array" ref="J1387">IFERROR(INDEX('Retirement Calculator'!J:J,MATCH('Isaac 401k'!N1387,'Retirement Calculator'!A:A,0),0),0)</f>
        <v>0</v>
      </c>
      <c r="K1387" s="455">
        <f t="shared" ca="1" si="126"/>
        <v>-222354.01376164614</v>
      </c>
      <c r="L1387" s="455">
        <f t="shared" ca="1" si="127"/>
        <v>-53587317.316556714</v>
      </c>
      <c r="M1387" s="471">
        <f t="shared" si="129"/>
        <v>0.05</v>
      </c>
      <c r="N1387" s="475">
        <f t="shared" si="130"/>
        <v>93259</v>
      </c>
    </row>
    <row r="1388" spans="7:14" ht="11.25" customHeight="1" x14ac:dyDescent="0.3">
      <c r="G1388" s="470"/>
      <c r="H1388" s="470">
        <v>1381</v>
      </c>
      <c r="I1388" s="455">
        <f t="shared" ca="1" si="128"/>
        <v>-53587317.316556714</v>
      </c>
      <c r="J1388" s="455">
        <f t="array" ref="J1388">IFERROR(INDEX('Retirement Calculator'!J:J,MATCH('Isaac 401k'!N1388,'Retirement Calculator'!A:A,0),0),0)</f>
        <v>0</v>
      </c>
      <c r="K1388" s="455">
        <f t="shared" ca="1" si="126"/>
        <v>-223280.48881898631</v>
      </c>
      <c r="L1388" s="455">
        <f t="shared" ca="1" si="127"/>
        <v>-53810597.805375703</v>
      </c>
      <c r="M1388" s="471">
        <f t="shared" si="129"/>
        <v>0.05</v>
      </c>
      <c r="N1388" s="475">
        <f t="shared" si="130"/>
        <v>93290</v>
      </c>
    </row>
    <row r="1389" spans="7:14" ht="11.25" customHeight="1" x14ac:dyDescent="0.3">
      <c r="G1389" s="470"/>
      <c r="H1389" s="470">
        <v>1382</v>
      </c>
      <c r="I1389" s="455">
        <f t="shared" ca="1" si="128"/>
        <v>-53810597.805375703</v>
      </c>
      <c r="J1389" s="455">
        <f t="array" ref="J1389">IFERROR(INDEX('Retirement Calculator'!J:J,MATCH('Isaac 401k'!N1389,'Retirement Calculator'!A:A,0),0),0)</f>
        <v>0</v>
      </c>
      <c r="K1389" s="455">
        <f t="shared" ca="1" si="126"/>
        <v>-224210.82418906543</v>
      </c>
      <c r="L1389" s="455">
        <f t="shared" ca="1" si="127"/>
        <v>-54034808.62956477</v>
      </c>
      <c r="M1389" s="471">
        <f t="shared" si="129"/>
        <v>0.05</v>
      </c>
      <c r="N1389" s="475">
        <f t="shared" si="130"/>
        <v>93320</v>
      </c>
    </row>
    <row r="1390" spans="7:14" ht="11.25" customHeight="1" x14ac:dyDescent="0.3">
      <c r="G1390" s="470"/>
      <c r="H1390" s="470">
        <v>1383</v>
      </c>
      <c r="I1390" s="455">
        <f t="shared" ca="1" si="128"/>
        <v>-54034808.62956477</v>
      </c>
      <c r="J1390" s="455">
        <f t="array" ref="J1390">IFERROR(INDEX('Retirement Calculator'!J:J,MATCH('Isaac 401k'!N1390,'Retirement Calculator'!A:A,0),0),0)</f>
        <v>0</v>
      </c>
      <c r="K1390" s="455">
        <f t="shared" ca="1" si="126"/>
        <v>-225145.03595651989</v>
      </c>
      <c r="L1390" s="455">
        <f t="shared" ca="1" si="127"/>
        <v>-54259953.665521286</v>
      </c>
      <c r="M1390" s="471">
        <f t="shared" si="129"/>
        <v>0.05</v>
      </c>
      <c r="N1390" s="475">
        <f t="shared" si="130"/>
        <v>93351</v>
      </c>
    </row>
    <row r="1391" spans="7:14" ht="11.25" customHeight="1" x14ac:dyDescent="0.3">
      <c r="G1391" s="470"/>
      <c r="H1391" s="470">
        <v>1384</v>
      </c>
      <c r="I1391" s="455">
        <f t="shared" ca="1" si="128"/>
        <v>-54259953.665521286</v>
      </c>
      <c r="J1391" s="455">
        <f t="array" ref="J1391">IFERROR(INDEX('Retirement Calculator'!J:J,MATCH('Isaac 401k'!N1391,'Retirement Calculator'!A:A,0),0),0)</f>
        <v>0</v>
      </c>
      <c r="K1391" s="455">
        <f t="shared" ca="1" si="126"/>
        <v>-226083.14027300535</v>
      </c>
      <c r="L1391" s="455">
        <f t="shared" ca="1" si="127"/>
        <v>-54486036.805794291</v>
      </c>
      <c r="M1391" s="471">
        <f t="shared" si="129"/>
        <v>0.05</v>
      </c>
      <c r="N1391" s="475">
        <f t="shared" si="130"/>
        <v>93382</v>
      </c>
    </row>
    <row r="1392" spans="7:14" ht="11.25" customHeight="1" x14ac:dyDescent="0.3">
      <c r="G1392" s="470"/>
      <c r="H1392" s="470">
        <v>1385</v>
      </c>
      <c r="I1392" s="455">
        <f t="shared" ca="1" si="128"/>
        <v>-54486036.805794291</v>
      </c>
      <c r="J1392" s="455">
        <f t="array" ref="J1392">IFERROR(INDEX('Retirement Calculator'!J:J,MATCH('Isaac 401k'!N1392,'Retirement Calculator'!A:A,0),0),0)</f>
        <v>0</v>
      </c>
      <c r="K1392" s="455">
        <f t="shared" ca="1" si="126"/>
        <v>-227025.1533574762</v>
      </c>
      <c r="L1392" s="455">
        <f t="shared" ca="1" si="127"/>
        <v>-54713061.959151767</v>
      </c>
      <c r="M1392" s="471">
        <f t="shared" si="129"/>
        <v>0.05</v>
      </c>
      <c r="N1392" s="475">
        <f t="shared" si="130"/>
        <v>93412</v>
      </c>
    </row>
    <row r="1393" spans="7:14" ht="11.25" customHeight="1" x14ac:dyDescent="0.3">
      <c r="G1393" s="470"/>
      <c r="H1393" s="470">
        <v>1386</v>
      </c>
      <c r="I1393" s="455">
        <f t="shared" ca="1" si="128"/>
        <v>-54713061.959151767</v>
      </c>
      <c r="J1393" s="455">
        <f t="array" ref="J1393">IFERROR(INDEX('Retirement Calculator'!J:J,MATCH('Isaac 401k'!N1393,'Retirement Calculator'!A:A,0),0),0)</f>
        <v>0</v>
      </c>
      <c r="K1393" s="455">
        <f t="shared" ca="1" si="126"/>
        <v>-227971.0914964657</v>
      </c>
      <c r="L1393" s="455">
        <f t="shared" ca="1" si="127"/>
        <v>-54941033.050648235</v>
      </c>
      <c r="M1393" s="471">
        <f t="shared" si="129"/>
        <v>0.05</v>
      </c>
      <c r="N1393" s="475">
        <f t="shared" si="130"/>
        <v>93443</v>
      </c>
    </row>
    <row r="1394" spans="7:14" ht="11.25" customHeight="1" x14ac:dyDescent="0.3">
      <c r="G1394" s="470"/>
      <c r="H1394" s="470">
        <v>1387</v>
      </c>
      <c r="I1394" s="455">
        <f t="shared" ca="1" si="128"/>
        <v>-54941033.050648235</v>
      </c>
      <c r="J1394" s="455">
        <f t="array" ref="J1394">IFERROR(INDEX('Retirement Calculator'!J:J,MATCH('Isaac 401k'!N1394,'Retirement Calculator'!A:A,0),0),0)</f>
        <v>0</v>
      </c>
      <c r="K1394" s="455">
        <f t="shared" ca="1" si="126"/>
        <v>-228920.97104436764</v>
      </c>
      <c r="L1394" s="455">
        <f t="shared" ca="1" si="127"/>
        <v>-55169954.021692604</v>
      </c>
      <c r="M1394" s="471">
        <f t="shared" si="129"/>
        <v>0.05</v>
      </c>
      <c r="N1394" s="475">
        <f t="shared" si="130"/>
        <v>93473</v>
      </c>
    </row>
    <row r="1395" spans="7:14" ht="11.25" customHeight="1" x14ac:dyDescent="0.3">
      <c r="G1395" s="470"/>
      <c r="H1395" s="470">
        <v>1388</v>
      </c>
      <c r="I1395" s="455">
        <f t="shared" ca="1" si="128"/>
        <v>-55169954.021692604</v>
      </c>
      <c r="J1395" s="455">
        <f t="array" ref="J1395">IFERROR(INDEX('Retirement Calculator'!J:J,MATCH('Isaac 401k'!N1395,'Retirement Calculator'!A:A,0),0),0)</f>
        <v>0</v>
      </c>
      <c r="K1395" s="455">
        <f t="shared" ca="1" si="126"/>
        <v>-229874.80842371914</v>
      </c>
      <c r="L1395" s="455">
        <f t="shared" ca="1" si="127"/>
        <v>-55399828.830116324</v>
      </c>
      <c r="M1395" s="471">
        <f t="shared" si="129"/>
        <v>0.05</v>
      </c>
      <c r="N1395" s="475">
        <f t="shared" si="130"/>
        <v>93504</v>
      </c>
    </row>
    <row r="1396" spans="7:14" ht="11.25" customHeight="1" x14ac:dyDescent="0.3">
      <c r="G1396" s="470"/>
      <c r="H1396" s="470">
        <v>1389</v>
      </c>
      <c r="I1396" s="455">
        <f t="shared" ca="1" si="128"/>
        <v>-55399828.830116324</v>
      </c>
      <c r="J1396" s="455">
        <f t="array" ref="J1396">IFERROR(INDEX('Retirement Calculator'!J:J,MATCH('Isaac 401k'!N1396,'Retirement Calculator'!A:A,0),0),0)</f>
        <v>0</v>
      </c>
      <c r="K1396" s="455">
        <f t="shared" ca="1" si="126"/>
        <v>-230832.62012548468</v>
      </c>
      <c r="L1396" s="455">
        <f t="shared" ca="1" si="127"/>
        <v>-55630661.450241812</v>
      </c>
      <c r="M1396" s="471">
        <f t="shared" si="129"/>
        <v>0.05</v>
      </c>
      <c r="N1396" s="475">
        <f t="shared" si="130"/>
        <v>93535</v>
      </c>
    </row>
    <row r="1397" spans="7:14" ht="11.25" customHeight="1" x14ac:dyDescent="0.3">
      <c r="G1397" s="470"/>
      <c r="H1397" s="470">
        <v>1390</v>
      </c>
      <c r="I1397" s="455">
        <f t="shared" ca="1" si="128"/>
        <v>-55630661.450241812</v>
      </c>
      <c r="J1397" s="455">
        <f t="array" ref="J1397">IFERROR(INDEX('Retirement Calculator'!J:J,MATCH('Isaac 401k'!N1397,'Retirement Calculator'!A:A,0),0),0)</f>
        <v>0</v>
      </c>
      <c r="K1397" s="455">
        <f t="shared" ca="1" si="126"/>
        <v>-231794.42270934087</v>
      </c>
      <c r="L1397" s="455">
        <f t="shared" ca="1" si="127"/>
        <v>-55862455.87295115</v>
      </c>
      <c r="M1397" s="471">
        <f t="shared" si="129"/>
        <v>0.05</v>
      </c>
      <c r="N1397" s="475">
        <f t="shared" si="130"/>
        <v>93564</v>
      </c>
    </row>
    <row r="1398" spans="7:14" ht="11.25" customHeight="1" x14ac:dyDescent="0.3">
      <c r="G1398" s="470"/>
      <c r="H1398" s="470">
        <v>1391</v>
      </c>
      <c r="I1398" s="455">
        <f t="shared" ca="1" si="128"/>
        <v>-55862455.87295115</v>
      </c>
      <c r="J1398" s="455">
        <f t="array" ref="J1398">IFERROR(INDEX('Retirement Calculator'!J:J,MATCH('Isaac 401k'!N1398,'Retirement Calculator'!A:A,0),0),0)</f>
        <v>0</v>
      </c>
      <c r="K1398" s="455">
        <f t="shared" ca="1" si="126"/>
        <v>-232760.23280396315</v>
      </c>
      <c r="L1398" s="455">
        <f t="shared" ca="1" si="127"/>
        <v>-56095216.105755113</v>
      </c>
      <c r="M1398" s="471">
        <f t="shared" si="129"/>
        <v>0.05</v>
      </c>
      <c r="N1398" s="475">
        <f t="shared" si="130"/>
        <v>93595</v>
      </c>
    </row>
    <row r="1399" spans="7:14" ht="11.25" customHeight="1" x14ac:dyDescent="0.3">
      <c r="G1399" s="470"/>
      <c r="H1399" s="470">
        <v>1392</v>
      </c>
      <c r="I1399" s="455">
        <f t="shared" ca="1" si="128"/>
        <v>-56095216.105755113</v>
      </c>
      <c r="J1399" s="455">
        <f t="array" ref="J1399">IFERROR(INDEX('Retirement Calculator'!J:J,MATCH('Isaac 401k'!N1399,'Retirement Calculator'!A:A,0),0),0)</f>
        <v>0</v>
      </c>
      <c r="K1399" s="455">
        <f t="shared" ca="1" si="126"/>
        <v>-233730.06710731296</v>
      </c>
      <c r="L1399" s="455">
        <f t="shared" ca="1" si="127"/>
        <v>-56328946.172862425</v>
      </c>
      <c r="M1399" s="471">
        <f t="shared" si="129"/>
        <v>0.05</v>
      </c>
      <c r="N1399" s="475">
        <f t="shared" si="130"/>
        <v>93625</v>
      </c>
    </row>
    <row r="1400" spans="7:14" ht="11.25" customHeight="1" x14ac:dyDescent="0.3">
      <c r="G1400" s="470"/>
      <c r="H1400" s="470">
        <v>1393</v>
      </c>
      <c r="I1400" s="455">
        <f t="shared" ca="1" si="128"/>
        <v>-56328946.172862425</v>
      </c>
      <c r="J1400" s="455">
        <f t="array" ref="J1400">IFERROR(INDEX('Retirement Calculator'!J:J,MATCH('Isaac 401k'!N1400,'Retirement Calculator'!A:A,0),0),0)</f>
        <v>0</v>
      </c>
      <c r="K1400" s="455">
        <f t="shared" ca="1" si="126"/>
        <v>-234703.94238692676</v>
      </c>
      <c r="L1400" s="455">
        <f t="shared" ca="1" si="127"/>
        <v>-56563650.115249351</v>
      </c>
      <c r="M1400" s="471">
        <f t="shared" si="129"/>
        <v>0.05</v>
      </c>
      <c r="N1400" s="475">
        <f t="shared" si="130"/>
        <v>93656</v>
      </c>
    </row>
    <row r="1401" spans="7:14" ht="11.25" customHeight="1" x14ac:dyDescent="0.3">
      <c r="G1401" s="470"/>
      <c r="H1401" s="470">
        <v>1394</v>
      </c>
      <c r="I1401" s="455">
        <f t="shared" ca="1" si="128"/>
        <v>-56563650.115249351</v>
      </c>
      <c r="J1401" s="455">
        <f t="array" ref="J1401">IFERROR(INDEX('Retirement Calculator'!J:J,MATCH('Isaac 401k'!N1401,'Retirement Calculator'!A:A,0),0),0)</f>
        <v>0</v>
      </c>
      <c r="K1401" s="455">
        <f t="shared" ca="1" si="126"/>
        <v>-235681.87548020564</v>
      </c>
      <c r="L1401" s="455">
        <f t="shared" ca="1" si="127"/>
        <v>-56799331.990729555</v>
      </c>
      <c r="M1401" s="471">
        <f t="shared" si="129"/>
        <v>0.05</v>
      </c>
      <c r="N1401" s="475">
        <f t="shared" si="130"/>
        <v>93686</v>
      </c>
    </row>
    <row r="1402" spans="7:14" ht="11.25" customHeight="1" x14ac:dyDescent="0.3">
      <c r="G1402" s="470"/>
      <c r="H1402" s="470">
        <v>1395</v>
      </c>
      <c r="I1402" s="455">
        <f t="shared" ca="1" si="128"/>
        <v>-56799331.990729555</v>
      </c>
      <c r="J1402" s="455">
        <f t="array" ref="J1402">IFERROR(INDEX('Retirement Calculator'!J:J,MATCH('Isaac 401k'!N1402,'Retirement Calculator'!A:A,0),0),0)</f>
        <v>0</v>
      </c>
      <c r="K1402" s="455">
        <f t="shared" ca="1" si="126"/>
        <v>-236663.88329470644</v>
      </c>
      <c r="L1402" s="455">
        <f t="shared" ca="1" si="127"/>
        <v>-57035995.874024265</v>
      </c>
      <c r="M1402" s="471">
        <f t="shared" si="129"/>
        <v>0.05</v>
      </c>
      <c r="N1402" s="475">
        <f t="shared" si="130"/>
        <v>93717</v>
      </c>
    </row>
    <row r="1403" spans="7:14" ht="11.25" customHeight="1" x14ac:dyDescent="0.3">
      <c r="G1403" s="470"/>
      <c r="H1403" s="470">
        <v>1396</v>
      </c>
      <c r="I1403" s="455">
        <f t="shared" ca="1" si="128"/>
        <v>-57035995.874024265</v>
      </c>
      <c r="J1403" s="455">
        <f t="array" ref="J1403">IFERROR(INDEX('Retirement Calculator'!J:J,MATCH('Isaac 401k'!N1403,'Retirement Calculator'!A:A,0),0),0)</f>
        <v>0</v>
      </c>
      <c r="K1403" s="455">
        <f t="shared" ca="1" si="126"/>
        <v>-237649.98280843443</v>
      </c>
      <c r="L1403" s="455">
        <f t="shared" ca="1" si="127"/>
        <v>-57273645.856832698</v>
      </c>
      <c r="M1403" s="471">
        <f t="shared" si="129"/>
        <v>0.05</v>
      </c>
      <c r="N1403" s="475">
        <f t="shared" si="130"/>
        <v>93748</v>
      </c>
    </row>
    <row r="1404" spans="7:14" ht="11.25" customHeight="1" x14ac:dyDescent="0.3">
      <c r="G1404" s="470"/>
      <c r="H1404" s="470">
        <v>1397</v>
      </c>
      <c r="I1404" s="455">
        <f t="shared" ca="1" si="128"/>
        <v>-57273645.856832698</v>
      </c>
      <c r="J1404" s="455">
        <f t="array" ref="J1404">IFERROR(INDEX('Retirement Calculator'!J:J,MATCH('Isaac 401k'!N1404,'Retirement Calculator'!A:A,0),0),0)</f>
        <v>0</v>
      </c>
      <c r="K1404" s="455">
        <f t="shared" ca="1" si="126"/>
        <v>-238640.19107013624</v>
      </c>
      <c r="L1404" s="455">
        <f t="shared" ca="1" si="127"/>
        <v>-57512286.047902837</v>
      </c>
      <c r="M1404" s="471">
        <f t="shared" si="129"/>
        <v>0.05</v>
      </c>
      <c r="N1404" s="475">
        <f t="shared" si="130"/>
        <v>93778</v>
      </c>
    </row>
    <row r="1405" spans="7:14" ht="11.25" customHeight="1" x14ac:dyDescent="0.3">
      <c r="G1405" s="470"/>
      <c r="H1405" s="470">
        <v>1398</v>
      </c>
      <c r="I1405" s="455">
        <f t="shared" ca="1" si="128"/>
        <v>-57512286.047902837</v>
      </c>
      <c r="J1405" s="455">
        <f t="array" ref="J1405">IFERROR(INDEX('Retirement Calculator'!J:J,MATCH('Isaac 401k'!N1405,'Retirement Calculator'!A:A,0),0),0)</f>
        <v>0</v>
      </c>
      <c r="K1405" s="455">
        <f t="shared" ca="1" si="126"/>
        <v>-239634.52519959511</v>
      </c>
      <c r="L1405" s="455">
        <f t="shared" ca="1" si="127"/>
        <v>-57751920.57310243</v>
      </c>
      <c r="M1405" s="471">
        <f t="shared" si="129"/>
        <v>0.05</v>
      </c>
      <c r="N1405" s="475">
        <f t="shared" si="130"/>
        <v>93809</v>
      </c>
    </row>
    <row r="1406" spans="7:14" ht="11.25" customHeight="1" x14ac:dyDescent="0.3">
      <c r="G1406" s="470"/>
      <c r="H1406" s="470">
        <v>1399</v>
      </c>
      <c r="I1406" s="455">
        <f t="shared" ca="1" si="128"/>
        <v>-57751920.57310243</v>
      </c>
      <c r="J1406" s="455">
        <f t="array" ref="J1406">IFERROR(INDEX('Retirement Calculator'!J:J,MATCH('Isaac 401k'!N1406,'Retirement Calculator'!A:A,0),0),0)</f>
        <v>0</v>
      </c>
      <c r="K1406" s="455">
        <f t="shared" ca="1" si="126"/>
        <v>-240633.0023879268</v>
      </c>
      <c r="L1406" s="455">
        <f t="shared" ca="1" si="127"/>
        <v>-57992553.575490355</v>
      </c>
      <c r="M1406" s="471">
        <f t="shared" si="129"/>
        <v>0.05</v>
      </c>
      <c r="N1406" s="475">
        <f t="shared" si="130"/>
        <v>93839</v>
      </c>
    </row>
    <row r="1407" spans="7:14" ht="11.25" customHeight="1" x14ac:dyDescent="0.3">
      <c r="G1407" s="470"/>
      <c r="H1407" s="470">
        <v>1400</v>
      </c>
      <c r="I1407" s="455">
        <f t="shared" ca="1" si="128"/>
        <v>-57992553.575490355</v>
      </c>
      <c r="J1407" s="455">
        <f t="array" ref="J1407">IFERROR(INDEX('Retirement Calculator'!J:J,MATCH('Isaac 401k'!N1407,'Retirement Calculator'!A:A,0),0),0)</f>
        <v>0</v>
      </c>
      <c r="K1407" s="455">
        <f t="shared" ca="1" si="126"/>
        <v>-241635.63989787648</v>
      </c>
      <c r="L1407" s="455">
        <f t="shared" ca="1" si="127"/>
        <v>-58234189.215388231</v>
      </c>
      <c r="M1407" s="471">
        <f t="shared" si="129"/>
        <v>0.05</v>
      </c>
      <c r="N1407" s="475">
        <f t="shared" si="130"/>
        <v>93870</v>
      </c>
    </row>
    <row r="1408" spans="7:14" ht="11.25" customHeight="1" x14ac:dyDescent="0.3">
      <c r="G1408" s="470"/>
      <c r="H1408" s="470">
        <v>1401</v>
      </c>
      <c r="I1408" s="455">
        <f t="shared" ca="1" si="128"/>
        <v>-58234189.215388231</v>
      </c>
      <c r="J1408" s="455">
        <f t="array" ref="J1408">IFERROR(INDEX('Retirement Calculator'!J:J,MATCH('Isaac 401k'!N1408,'Retirement Calculator'!A:A,0),0),0)</f>
        <v>0</v>
      </c>
      <c r="K1408" s="455">
        <f t="shared" ca="1" si="126"/>
        <v>-242642.45506411765</v>
      </c>
      <c r="L1408" s="455">
        <f t="shared" ca="1" si="127"/>
        <v>-58476831.670452349</v>
      </c>
      <c r="M1408" s="471">
        <f t="shared" si="129"/>
        <v>0.05</v>
      </c>
      <c r="N1408" s="475">
        <f t="shared" si="130"/>
        <v>93901</v>
      </c>
    </row>
    <row r="1409" spans="7:14" ht="11.25" customHeight="1" x14ac:dyDescent="0.3">
      <c r="G1409" s="470"/>
      <c r="H1409" s="470">
        <v>1402</v>
      </c>
      <c r="I1409" s="455">
        <f t="shared" ca="1" si="128"/>
        <v>-58476831.670452349</v>
      </c>
      <c r="J1409" s="455">
        <f t="array" ref="J1409">IFERROR(INDEX('Retirement Calculator'!J:J,MATCH('Isaac 401k'!N1409,'Retirement Calculator'!A:A,0),0),0)</f>
        <v>0</v>
      </c>
      <c r="K1409" s="455">
        <f t="shared" ca="1" si="126"/>
        <v>-243653.46529355148</v>
      </c>
      <c r="L1409" s="455">
        <f t="shared" ca="1" si="127"/>
        <v>-58720485.135745898</v>
      </c>
      <c r="M1409" s="471">
        <f t="shared" si="129"/>
        <v>0.05</v>
      </c>
      <c r="N1409" s="475">
        <f t="shared" si="130"/>
        <v>93929</v>
      </c>
    </row>
    <row r="1410" spans="7:14" ht="11.25" customHeight="1" x14ac:dyDescent="0.3">
      <c r="G1410" s="470"/>
      <c r="H1410" s="470">
        <v>1403</v>
      </c>
      <c r="I1410" s="455">
        <f t="shared" ca="1" si="128"/>
        <v>-58720485.135745898</v>
      </c>
      <c r="J1410" s="455">
        <f t="array" ref="J1410">IFERROR(INDEX('Retirement Calculator'!J:J,MATCH('Isaac 401k'!N1410,'Retirement Calculator'!A:A,0),0),0)</f>
        <v>0</v>
      </c>
      <c r="K1410" s="455">
        <f t="shared" ca="1" si="126"/>
        <v>-244668.68806560792</v>
      </c>
      <c r="L1410" s="455">
        <f t="shared" ca="1" si="127"/>
        <v>-58965153.823811509</v>
      </c>
      <c r="M1410" s="471">
        <f t="shared" si="129"/>
        <v>0.05</v>
      </c>
      <c r="N1410" s="475">
        <f t="shared" si="130"/>
        <v>93960</v>
      </c>
    </row>
    <row r="1411" spans="7:14" ht="11.25" customHeight="1" x14ac:dyDescent="0.3">
      <c r="G1411" s="470"/>
      <c r="H1411" s="470">
        <v>1404</v>
      </c>
      <c r="I1411" s="455">
        <f t="shared" ca="1" si="128"/>
        <v>-58965153.823811509</v>
      </c>
      <c r="J1411" s="455">
        <f t="array" ref="J1411">IFERROR(INDEX('Retirement Calculator'!J:J,MATCH('Isaac 401k'!N1411,'Retirement Calculator'!A:A,0),0),0)</f>
        <v>0</v>
      </c>
      <c r="K1411" s="455">
        <f t="shared" ca="1" si="126"/>
        <v>-245688.14093254795</v>
      </c>
      <c r="L1411" s="455">
        <f t="shared" ca="1" si="127"/>
        <v>-59210841.964744054</v>
      </c>
      <c r="M1411" s="471">
        <f t="shared" si="129"/>
        <v>0.05</v>
      </c>
      <c r="N1411" s="475">
        <f t="shared" si="130"/>
        <v>93990</v>
      </c>
    </row>
    <row r="1412" spans="7:14" ht="11.25" customHeight="1" x14ac:dyDescent="0.3">
      <c r="G1412" s="470"/>
      <c r="H1412" s="470">
        <v>1405</v>
      </c>
      <c r="I1412" s="455">
        <f t="shared" ca="1" si="128"/>
        <v>-59210841.964744054</v>
      </c>
      <c r="J1412" s="455">
        <f t="array" ref="J1412">IFERROR(INDEX('Retirement Calculator'!J:J,MATCH('Isaac 401k'!N1412,'Retirement Calculator'!A:A,0),0),0)</f>
        <v>0</v>
      </c>
      <c r="K1412" s="455">
        <f t="shared" ca="1" si="126"/>
        <v>-246711.84151976687</v>
      </c>
      <c r="L1412" s="455">
        <f t="shared" ca="1" si="127"/>
        <v>-59457553.806263819</v>
      </c>
      <c r="M1412" s="471">
        <f t="shared" si="129"/>
        <v>0.05</v>
      </c>
      <c r="N1412" s="475">
        <f t="shared" si="130"/>
        <v>94021</v>
      </c>
    </row>
    <row r="1413" spans="7:14" ht="11.25" customHeight="1" x14ac:dyDescent="0.3">
      <c r="G1413" s="470"/>
      <c r="H1413" s="470">
        <v>1406</v>
      </c>
      <c r="I1413" s="455">
        <f t="shared" ca="1" si="128"/>
        <v>-59457553.806263819</v>
      </c>
      <c r="J1413" s="455">
        <f t="array" ref="J1413">IFERROR(INDEX('Retirement Calculator'!J:J,MATCH('Isaac 401k'!N1413,'Retirement Calculator'!A:A,0),0),0)</f>
        <v>0</v>
      </c>
      <c r="K1413" s="455">
        <f t="shared" ca="1" si="126"/>
        <v>-247739.80752609923</v>
      </c>
      <c r="L1413" s="455">
        <f t="shared" ca="1" si="127"/>
        <v>-59705293.613789916</v>
      </c>
      <c r="M1413" s="471">
        <f t="shared" si="129"/>
        <v>0.05</v>
      </c>
      <c r="N1413" s="475">
        <f t="shared" si="130"/>
        <v>94051</v>
      </c>
    </row>
    <row r="1414" spans="7:14" ht="11.25" customHeight="1" x14ac:dyDescent="0.3">
      <c r="G1414" s="470"/>
      <c r="H1414" s="470">
        <v>1407</v>
      </c>
      <c r="I1414" s="455">
        <f t="shared" ca="1" si="128"/>
        <v>-59705293.613789916</v>
      </c>
      <c r="J1414" s="455">
        <f t="array" ref="J1414">IFERROR(INDEX('Retirement Calculator'!J:J,MATCH('Isaac 401k'!N1414,'Retirement Calculator'!A:A,0),0),0)</f>
        <v>0</v>
      </c>
      <c r="K1414" s="455">
        <f t="shared" ca="1" si="126"/>
        <v>-248772.05672412462</v>
      </c>
      <c r="L1414" s="455">
        <f t="shared" ca="1" si="127"/>
        <v>-59954065.67051404</v>
      </c>
      <c r="M1414" s="471">
        <f t="shared" si="129"/>
        <v>0.05</v>
      </c>
      <c r="N1414" s="475">
        <f t="shared" si="130"/>
        <v>94082</v>
      </c>
    </row>
    <row r="1415" spans="7:14" ht="11.25" customHeight="1" x14ac:dyDescent="0.3">
      <c r="G1415" s="470"/>
      <c r="H1415" s="470">
        <v>1408</v>
      </c>
      <c r="I1415" s="455">
        <f t="shared" ca="1" si="128"/>
        <v>-59954065.67051404</v>
      </c>
      <c r="J1415" s="455">
        <f t="array" ref="J1415">IFERROR(INDEX('Retirement Calculator'!J:J,MATCH('Isaac 401k'!N1415,'Retirement Calculator'!A:A,0),0),0)</f>
        <v>0</v>
      </c>
      <c r="K1415" s="455">
        <f t="shared" ca="1" si="126"/>
        <v>-249808.60696047515</v>
      </c>
      <c r="L1415" s="455">
        <f t="shared" ca="1" si="127"/>
        <v>-60203874.277474515</v>
      </c>
      <c r="M1415" s="471">
        <f t="shared" si="129"/>
        <v>0.05</v>
      </c>
      <c r="N1415" s="475">
        <f t="shared" si="130"/>
        <v>94113</v>
      </c>
    </row>
    <row r="1416" spans="7:14" ht="11.25" customHeight="1" x14ac:dyDescent="0.3">
      <c r="G1416" s="470"/>
      <c r="H1416" s="470">
        <v>1409</v>
      </c>
      <c r="I1416" s="455">
        <f t="shared" ca="1" si="128"/>
        <v>-60203874.277474515</v>
      </c>
      <c r="J1416" s="455">
        <f t="array" ref="J1416">IFERROR(INDEX('Retirement Calculator'!J:J,MATCH('Isaac 401k'!N1416,'Retirement Calculator'!A:A,0),0),0)</f>
        <v>0</v>
      </c>
      <c r="K1416" s="455">
        <f t="shared" ca="1" si="126"/>
        <v>-250849.47615614382</v>
      </c>
      <c r="L1416" s="455">
        <f t="shared" ca="1" si="127"/>
        <v>-60454723.75363066</v>
      </c>
      <c r="M1416" s="471">
        <f t="shared" si="129"/>
        <v>0.05</v>
      </c>
      <c r="N1416" s="475">
        <f t="shared" si="130"/>
        <v>94143</v>
      </c>
    </row>
    <row r="1417" spans="7:14" ht="11.25" customHeight="1" x14ac:dyDescent="0.3">
      <c r="G1417" s="470"/>
      <c r="H1417" s="470">
        <v>1410</v>
      </c>
      <c r="I1417" s="455">
        <f t="shared" ca="1" si="128"/>
        <v>-60454723.75363066</v>
      </c>
      <c r="J1417" s="455">
        <f t="array" ref="J1417">IFERROR(INDEX('Retirement Calculator'!J:J,MATCH('Isaac 401k'!N1417,'Retirement Calculator'!A:A,0),0),0)</f>
        <v>0</v>
      </c>
      <c r="K1417" s="455">
        <f t="shared" ca="1" si="126"/>
        <v>-251894.68230679445</v>
      </c>
      <c r="L1417" s="455">
        <f t="shared" ca="1" si="127"/>
        <v>-60706618.435937457</v>
      </c>
      <c r="M1417" s="471">
        <f t="shared" si="129"/>
        <v>0.05</v>
      </c>
      <c r="N1417" s="475">
        <f t="shared" si="130"/>
        <v>94174</v>
      </c>
    </row>
    <row r="1418" spans="7:14" ht="11.25" customHeight="1" x14ac:dyDescent="0.3">
      <c r="G1418" s="470"/>
      <c r="H1418" s="470">
        <v>1411</v>
      </c>
      <c r="I1418" s="455">
        <f t="shared" ca="1" si="128"/>
        <v>-60706618.435937457</v>
      </c>
      <c r="J1418" s="455">
        <f t="array" ref="J1418">IFERROR(INDEX('Retirement Calculator'!J:J,MATCH('Isaac 401k'!N1418,'Retirement Calculator'!A:A,0),0),0)</f>
        <v>0</v>
      </c>
      <c r="K1418" s="455">
        <f t="shared" ca="1" si="126"/>
        <v>-252944.24348307273</v>
      </c>
      <c r="L1418" s="455">
        <f t="shared" ca="1" si="127"/>
        <v>-60959562.679420531</v>
      </c>
      <c r="M1418" s="471">
        <f t="shared" si="129"/>
        <v>0.05</v>
      </c>
      <c r="N1418" s="475">
        <f t="shared" si="130"/>
        <v>94204</v>
      </c>
    </row>
    <row r="1419" spans="7:14" ht="11.25" customHeight="1" x14ac:dyDescent="0.3">
      <c r="G1419" s="470"/>
      <c r="H1419" s="470">
        <v>1412</v>
      </c>
      <c r="I1419" s="455">
        <f t="shared" ca="1" si="128"/>
        <v>-60959562.679420531</v>
      </c>
      <c r="J1419" s="455">
        <f t="array" ref="J1419">IFERROR(INDEX('Retirement Calculator'!J:J,MATCH('Isaac 401k'!N1419,'Retirement Calculator'!A:A,0),0),0)</f>
        <v>0</v>
      </c>
      <c r="K1419" s="455">
        <f t="shared" ca="1" si="126"/>
        <v>-253998.17783091887</v>
      </c>
      <c r="L1419" s="455">
        <f t="shared" ca="1" si="127"/>
        <v>-61213560.85725145</v>
      </c>
      <c r="M1419" s="471">
        <f t="shared" si="129"/>
        <v>0.05</v>
      </c>
      <c r="N1419" s="475">
        <f t="shared" si="130"/>
        <v>94235</v>
      </c>
    </row>
    <row r="1420" spans="7:14" ht="11.25" customHeight="1" x14ac:dyDescent="0.3">
      <c r="G1420" s="470"/>
      <c r="H1420" s="470">
        <v>1413</v>
      </c>
      <c r="I1420" s="455">
        <f t="shared" ca="1" si="128"/>
        <v>-61213560.85725145</v>
      </c>
      <c r="J1420" s="455">
        <f t="array" ref="J1420">IFERROR(INDEX('Retirement Calculator'!J:J,MATCH('Isaac 401k'!N1420,'Retirement Calculator'!A:A,0),0),0)</f>
        <v>0</v>
      </c>
      <c r="K1420" s="455">
        <f t="shared" ca="1" si="126"/>
        <v>-255056.50357188107</v>
      </c>
      <c r="L1420" s="455">
        <f t="shared" ca="1" si="127"/>
        <v>-61468617.360823333</v>
      </c>
      <c r="M1420" s="471">
        <f t="shared" si="129"/>
        <v>0.05</v>
      </c>
      <c r="N1420" s="475">
        <f t="shared" si="130"/>
        <v>94266</v>
      </c>
    </row>
    <row r="1421" spans="7:14" ht="11.25" customHeight="1" x14ac:dyDescent="0.3">
      <c r="G1421" s="470"/>
      <c r="H1421" s="470">
        <v>1414</v>
      </c>
      <c r="I1421" s="455">
        <f t="shared" ca="1" si="128"/>
        <v>-61468617.360823333</v>
      </c>
      <c r="J1421" s="455">
        <f t="array" ref="J1421">IFERROR(INDEX('Retirement Calculator'!J:J,MATCH('Isaac 401k'!N1421,'Retirement Calculator'!A:A,0),0),0)</f>
        <v>0</v>
      </c>
      <c r="K1421" s="455">
        <f t="shared" ca="1" si="126"/>
        <v>-256119.23900343053</v>
      </c>
      <c r="L1421" s="455">
        <f t="shared" ca="1" si="127"/>
        <v>-61724736.599826761</v>
      </c>
      <c r="M1421" s="471">
        <f t="shared" si="129"/>
        <v>0.05</v>
      </c>
      <c r="N1421" s="475">
        <f t="shared" si="130"/>
        <v>94294</v>
      </c>
    </row>
    <row r="1422" spans="7:14" ht="11.25" customHeight="1" x14ac:dyDescent="0.3">
      <c r="G1422" s="470"/>
      <c r="H1422" s="470">
        <v>1415</v>
      </c>
      <c r="I1422" s="455">
        <f t="shared" ca="1" si="128"/>
        <v>-61724736.599826761</v>
      </c>
      <c r="J1422" s="455">
        <f t="array" ref="J1422">IFERROR(INDEX('Retirement Calculator'!J:J,MATCH('Isaac 401k'!N1422,'Retirement Calculator'!A:A,0),0),0)</f>
        <v>0</v>
      </c>
      <c r="K1422" s="455">
        <f t="shared" ca="1" si="126"/>
        <v>-257186.40249927819</v>
      </c>
      <c r="L1422" s="455">
        <f t="shared" ca="1" si="127"/>
        <v>-61981923.002326041</v>
      </c>
      <c r="M1422" s="471">
        <f t="shared" si="129"/>
        <v>0.05</v>
      </c>
      <c r="N1422" s="475">
        <f t="shared" si="130"/>
        <v>94325</v>
      </c>
    </row>
    <row r="1423" spans="7:14" ht="11.25" customHeight="1" x14ac:dyDescent="0.3">
      <c r="G1423" s="470"/>
      <c r="H1423" s="470">
        <v>1416</v>
      </c>
      <c r="I1423" s="455">
        <f t="shared" ca="1" si="128"/>
        <v>-61981923.002326041</v>
      </c>
      <c r="J1423" s="455">
        <f t="array" ref="J1423">IFERROR(INDEX('Retirement Calculator'!J:J,MATCH('Isaac 401k'!N1423,'Retirement Calculator'!A:A,0),0),0)</f>
        <v>0</v>
      </c>
      <c r="K1423" s="455">
        <f t="shared" ca="1" si="126"/>
        <v>-258258.01250969185</v>
      </c>
      <c r="L1423" s="455">
        <f t="shared" ca="1" si="127"/>
        <v>-62240181.01483573</v>
      </c>
      <c r="M1423" s="471">
        <f t="shared" si="129"/>
        <v>0.05</v>
      </c>
      <c r="N1423" s="475">
        <f t="shared" si="130"/>
        <v>94355</v>
      </c>
    </row>
    <row r="1424" spans="7:14" ht="11.25" customHeight="1" x14ac:dyDescent="0.3">
      <c r="G1424" s="470"/>
      <c r="H1424" s="470">
        <v>1417</v>
      </c>
      <c r="I1424" s="455">
        <f t="shared" ca="1" si="128"/>
        <v>-62240181.01483573</v>
      </c>
      <c r="J1424" s="455">
        <f t="array" ref="J1424">IFERROR(INDEX('Retirement Calculator'!J:J,MATCH('Isaac 401k'!N1424,'Retirement Calculator'!A:A,0),0),0)</f>
        <v>0</v>
      </c>
      <c r="K1424" s="455">
        <f t="shared" ca="1" si="126"/>
        <v>-259334.08756181554</v>
      </c>
      <c r="L1424" s="455">
        <f t="shared" ca="1" si="127"/>
        <v>-62499515.102397546</v>
      </c>
      <c r="M1424" s="471">
        <f t="shared" si="129"/>
        <v>0.05</v>
      </c>
      <c r="N1424" s="475">
        <f t="shared" si="130"/>
        <v>94386</v>
      </c>
    </row>
    <row r="1425" spans="7:14" ht="11.25" customHeight="1" x14ac:dyDescent="0.3">
      <c r="G1425" s="470"/>
      <c r="H1425" s="470">
        <v>1418</v>
      </c>
      <c r="I1425" s="455">
        <f t="shared" ca="1" si="128"/>
        <v>-62499515.102397546</v>
      </c>
      <c r="J1425" s="455">
        <f t="array" ref="J1425">IFERROR(INDEX('Retirement Calculator'!J:J,MATCH('Isaac 401k'!N1425,'Retirement Calculator'!A:A,0),0),0)</f>
        <v>0</v>
      </c>
      <c r="K1425" s="455">
        <f t="shared" ca="1" si="126"/>
        <v>-260414.64625998979</v>
      </c>
      <c r="L1425" s="455">
        <f t="shared" ca="1" si="127"/>
        <v>-62759929.748657539</v>
      </c>
      <c r="M1425" s="471">
        <f t="shared" si="129"/>
        <v>0.05</v>
      </c>
      <c r="N1425" s="475">
        <f t="shared" si="130"/>
        <v>94416</v>
      </c>
    </row>
    <row r="1426" spans="7:14" ht="11.25" customHeight="1" x14ac:dyDescent="0.3">
      <c r="G1426" s="470"/>
      <c r="H1426" s="470">
        <v>1419</v>
      </c>
      <c r="I1426" s="455">
        <f t="shared" ca="1" si="128"/>
        <v>-62759929.748657539</v>
      </c>
      <c r="J1426" s="455">
        <f t="array" ref="J1426">IFERROR(INDEX('Retirement Calculator'!J:J,MATCH('Isaac 401k'!N1426,'Retirement Calculator'!A:A,0),0),0)</f>
        <v>0</v>
      </c>
      <c r="K1426" s="455">
        <f t="shared" ca="1" si="126"/>
        <v>-261499.70728607304</v>
      </c>
      <c r="L1426" s="455">
        <f t="shared" ca="1" si="127"/>
        <v>-63021429.455943614</v>
      </c>
      <c r="M1426" s="471">
        <f t="shared" si="129"/>
        <v>0.05</v>
      </c>
      <c r="N1426" s="475">
        <f t="shared" si="130"/>
        <v>94447</v>
      </c>
    </row>
    <row r="1427" spans="7:14" ht="11.25" customHeight="1" x14ac:dyDescent="0.3">
      <c r="G1427" s="470"/>
      <c r="H1427" s="470">
        <v>1420</v>
      </c>
      <c r="I1427" s="455">
        <f t="shared" ca="1" si="128"/>
        <v>-63021429.455943614</v>
      </c>
      <c r="J1427" s="455">
        <f t="array" ref="J1427">IFERROR(INDEX('Retirement Calculator'!J:J,MATCH('Isaac 401k'!N1427,'Retirement Calculator'!A:A,0),0),0)</f>
        <v>0</v>
      </c>
      <c r="K1427" s="455">
        <f t="shared" ca="1" si="126"/>
        <v>-262589.28939976508</v>
      </c>
      <c r="L1427" s="455">
        <f t="shared" ca="1" si="127"/>
        <v>-63284018.74534338</v>
      </c>
      <c r="M1427" s="471">
        <f t="shared" si="129"/>
        <v>0.05</v>
      </c>
      <c r="N1427" s="475">
        <f t="shared" si="130"/>
        <v>94478</v>
      </c>
    </row>
    <row r="1428" spans="7:14" ht="11.25" customHeight="1" x14ac:dyDescent="0.3">
      <c r="G1428" s="470"/>
      <c r="H1428" s="470">
        <v>1421</v>
      </c>
      <c r="I1428" s="455">
        <f t="shared" ca="1" si="128"/>
        <v>-63284018.74534338</v>
      </c>
      <c r="J1428" s="455">
        <f t="array" ref="J1428">IFERROR(INDEX('Retirement Calculator'!J:J,MATCH('Isaac 401k'!N1428,'Retirement Calculator'!A:A,0),0),0)</f>
        <v>0</v>
      </c>
      <c r="K1428" s="455">
        <f t="shared" ca="1" si="126"/>
        <v>-263683.41143893072</v>
      </c>
      <c r="L1428" s="455">
        <f t="shared" ca="1" si="127"/>
        <v>-63547702.156782307</v>
      </c>
      <c r="M1428" s="471">
        <f t="shared" si="129"/>
        <v>0.05</v>
      </c>
      <c r="N1428" s="475">
        <f t="shared" si="130"/>
        <v>94508</v>
      </c>
    </row>
    <row r="1429" spans="7:14" ht="11.25" customHeight="1" x14ac:dyDescent="0.3">
      <c r="G1429" s="470"/>
      <c r="H1429" s="470">
        <v>1422</v>
      </c>
      <c r="I1429" s="455">
        <f t="shared" ca="1" si="128"/>
        <v>-63547702.156782307</v>
      </c>
      <c r="J1429" s="455">
        <f t="array" ref="J1429">IFERROR(INDEX('Retirement Calculator'!J:J,MATCH('Isaac 401k'!N1429,'Retirement Calculator'!A:A,0),0),0)</f>
        <v>0</v>
      </c>
      <c r="K1429" s="455">
        <f t="shared" ca="1" si="126"/>
        <v>-264782.09231992625</v>
      </c>
      <c r="L1429" s="455">
        <f t="shared" ca="1" si="127"/>
        <v>-63812484.249102235</v>
      </c>
      <c r="M1429" s="471">
        <f t="shared" si="129"/>
        <v>0.05</v>
      </c>
      <c r="N1429" s="475">
        <f t="shared" si="130"/>
        <v>94539</v>
      </c>
    </row>
    <row r="1430" spans="7:14" ht="11.25" customHeight="1" x14ac:dyDescent="0.3">
      <c r="G1430" s="470"/>
      <c r="H1430" s="470">
        <v>1423</v>
      </c>
      <c r="I1430" s="455">
        <f t="shared" ca="1" si="128"/>
        <v>-63812484.249102235</v>
      </c>
      <c r="J1430" s="455">
        <f t="array" ref="J1430">IFERROR(INDEX('Retirement Calculator'!J:J,MATCH('Isaac 401k'!N1430,'Retirement Calculator'!A:A,0),0),0)</f>
        <v>0</v>
      </c>
      <c r="K1430" s="455">
        <f t="shared" ca="1" si="126"/>
        <v>-265885.35103792598</v>
      </c>
      <c r="L1430" s="455">
        <f t="shared" ca="1" si="127"/>
        <v>-64078369.600140162</v>
      </c>
      <c r="M1430" s="471">
        <f t="shared" si="129"/>
        <v>0.05</v>
      </c>
      <c r="N1430" s="475">
        <f t="shared" si="130"/>
        <v>94569</v>
      </c>
    </row>
    <row r="1431" spans="7:14" ht="11.25" customHeight="1" x14ac:dyDescent="0.3">
      <c r="G1431" s="470"/>
      <c r="H1431" s="470">
        <v>1424</v>
      </c>
      <c r="I1431" s="455">
        <f t="shared" ca="1" si="128"/>
        <v>-64078369.600140162</v>
      </c>
      <c r="J1431" s="455">
        <f t="array" ref="J1431">IFERROR(INDEX('Retirement Calculator'!J:J,MATCH('Isaac 401k'!N1431,'Retirement Calculator'!A:A,0),0),0)</f>
        <v>0</v>
      </c>
      <c r="K1431" s="455">
        <f t="shared" ca="1" si="126"/>
        <v>-266993.20666725072</v>
      </c>
      <c r="L1431" s="455">
        <f t="shared" ca="1" si="127"/>
        <v>-64345362.806807414</v>
      </c>
      <c r="M1431" s="471">
        <f t="shared" si="129"/>
        <v>0.05</v>
      </c>
      <c r="N1431" s="475">
        <f t="shared" si="130"/>
        <v>94600</v>
      </c>
    </row>
    <row r="1432" spans="7:14" ht="11.25" customHeight="1" x14ac:dyDescent="0.3">
      <c r="G1432" s="470"/>
      <c r="H1432" s="470">
        <v>1425</v>
      </c>
      <c r="I1432" s="455">
        <f t="shared" ca="1" si="128"/>
        <v>-64345362.806807414</v>
      </c>
      <c r="J1432" s="455">
        <f t="array" ref="J1432">IFERROR(INDEX('Retirement Calculator'!J:J,MATCH('Isaac 401k'!N1432,'Retirement Calculator'!A:A,0),0),0)</f>
        <v>0</v>
      </c>
      <c r="K1432" s="455">
        <f t="shared" ca="1" si="126"/>
        <v>-268105.67836169759</v>
      </c>
      <c r="L1432" s="455">
        <f t="shared" ca="1" si="127"/>
        <v>-64613468.485169113</v>
      </c>
      <c r="M1432" s="471">
        <f t="shared" si="129"/>
        <v>0.05</v>
      </c>
      <c r="N1432" s="475">
        <f t="shared" si="130"/>
        <v>94631</v>
      </c>
    </row>
    <row r="1433" spans="7:14" ht="11.25" customHeight="1" x14ac:dyDescent="0.3">
      <c r="G1433" s="470"/>
      <c r="H1433" s="470">
        <v>1426</v>
      </c>
      <c r="I1433" s="455">
        <f t="shared" ca="1" si="128"/>
        <v>-64613468.485169113</v>
      </c>
      <c r="J1433" s="455">
        <f t="array" ref="J1433">IFERROR(INDEX('Retirement Calculator'!J:J,MATCH('Isaac 401k'!N1433,'Retirement Calculator'!A:A,0),0),0)</f>
        <v>0</v>
      </c>
      <c r="K1433" s="455">
        <f t="shared" ca="1" si="126"/>
        <v>-269222.7853548713</v>
      </c>
      <c r="L1433" s="455">
        <f t="shared" ca="1" si="127"/>
        <v>-64882691.27052398</v>
      </c>
      <c r="M1433" s="471">
        <f t="shared" si="129"/>
        <v>0.05</v>
      </c>
      <c r="N1433" s="475">
        <f t="shared" si="130"/>
        <v>94659</v>
      </c>
    </row>
    <row r="1434" spans="7:14" ht="11.25" customHeight="1" x14ac:dyDescent="0.3">
      <c r="G1434" s="470"/>
      <c r="H1434" s="470">
        <v>1427</v>
      </c>
      <c r="I1434" s="455">
        <f t="shared" ca="1" si="128"/>
        <v>-64882691.27052398</v>
      </c>
      <c r="J1434" s="455">
        <f t="array" ref="J1434">IFERROR(INDEX('Retirement Calculator'!J:J,MATCH('Isaac 401k'!N1434,'Retirement Calculator'!A:A,0),0),0)</f>
        <v>0</v>
      </c>
      <c r="K1434" s="455">
        <f t="shared" ca="1" si="126"/>
        <v>-270344.5469605166</v>
      </c>
      <c r="L1434" s="455">
        <f t="shared" ca="1" si="127"/>
        <v>-65153035.817484498</v>
      </c>
      <c r="M1434" s="471">
        <f t="shared" si="129"/>
        <v>0.05</v>
      </c>
      <c r="N1434" s="475">
        <f t="shared" si="130"/>
        <v>94690</v>
      </c>
    </row>
    <row r="1435" spans="7:14" ht="11.25" customHeight="1" x14ac:dyDescent="0.3">
      <c r="G1435" s="470"/>
      <c r="H1435" s="470">
        <v>1428</v>
      </c>
      <c r="I1435" s="455">
        <f t="shared" ca="1" si="128"/>
        <v>-65153035.817484498</v>
      </c>
      <c r="J1435" s="455">
        <f t="array" ref="J1435">IFERROR(INDEX('Retirement Calculator'!J:J,MATCH('Isaac 401k'!N1435,'Retirement Calculator'!A:A,0),0),0)</f>
        <v>0</v>
      </c>
      <c r="K1435" s="455">
        <f t="shared" ca="1" si="126"/>
        <v>-271470.98257285211</v>
      </c>
      <c r="L1435" s="455">
        <f t="shared" ca="1" si="127"/>
        <v>-65424506.800057352</v>
      </c>
      <c r="M1435" s="471">
        <f t="shared" si="129"/>
        <v>0.05</v>
      </c>
      <c r="N1435" s="475">
        <f t="shared" si="130"/>
        <v>94720</v>
      </c>
    </row>
    <row r="1436" spans="7:14" ht="11.25" customHeight="1" x14ac:dyDescent="0.3">
      <c r="G1436" s="470"/>
      <c r="H1436" s="470">
        <v>1429</v>
      </c>
      <c r="I1436" s="455">
        <f t="shared" ca="1" si="128"/>
        <v>-65424506.800057352</v>
      </c>
      <c r="J1436" s="455">
        <f t="array" ref="J1436">IFERROR(INDEX('Retirement Calculator'!J:J,MATCH('Isaac 401k'!N1436,'Retirement Calculator'!A:A,0),0),0)</f>
        <v>0</v>
      </c>
      <c r="K1436" s="455">
        <f t="shared" ca="1" si="126"/>
        <v>-272602.11166690558</v>
      </c>
      <c r="L1436" s="455">
        <f t="shared" ca="1" si="127"/>
        <v>-65697108.911724254</v>
      </c>
      <c r="M1436" s="471">
        <f t="shared" si="129"/>
        <v>0.05</v>
      </c>
      <c r="N1436" s="475">
        <f t="shared" si="130"/>
        <v>94751</v>
      </c>
    </row>
    <row r="1437" spans="7:14" ht="11.25" customHeight="1" x14ac:dyDescent="0.3">
      <c r="G1437" s="470"/>
      <c r="H1437" s="470">
        <v>1430</v>
      </c>
      <c r="I1437" s="455">
        <f t="shared" ca="1" si="128"/>
        <v>-65697108.911724254</v>
      </c>
      <c r="J1437" s="455">
        <f t="array" ref="J1437">IFERROR(INDEX('Retirement Calculator'!J:J,MATCH('Isaac 401k'!N1437,'Retirement Calculator'!A:A,0),0),0)</f>
        <v>0</v>
      </c>
      <c r="K1437" s="455">
        <f t="shared" ca="1" si="126"/>
        <v>-273737.95379885111</v>
      </c>
      <c r="L1437" s="455">
        <f t="shared" ca="1" si="127"/>
        <v>-65970846.865523107</v>
      </c>
      <c r="M1437" s="471">
        <f t="shared" si="129"/>
        <v>0.05</v>
      </c>
      <c r="N1437" s="475">
        <f t="shared" si="130"/>
        <v>94781</v>
      </c>
    </row>
    <row r="1438" spans="7:14" ht="11.25" customHeight="1" x14ac:dyDescent="0.3">
      <c r="G1438" s="470"/>
      <c r="H1438" s="470">
        <v>1431</v>
      </c>
      <c r="I1438" s="455">
        <f t="shared" ca="1" si="128"/>
        <v>-65970846.865523107</v>
      </c>
      <c r="J1438" s="455">
        <f t="array" ref="J1438">IFERROR(INDEX('Retirement Calculator'!J:J,MATCH('Isaac 401k'!N1438,'Retirement Calculator'!A:A,0),0),0)</f>
        <v>0</v>
      </c>
      <c r="K1438" s="455">
        <f t="shared" ca="1" si="126"/>
        <v>-274878.52860634628</v>
      </c>
      <c r="L1438" s="455">
        <f t="shared" ca="1" si="127"/>
        <v>-66245725.394129455</v>
      </c>
      <c r="M1438" s="471">
        <f t="shared" si="129"/>
        <v>0.05</v>
      </c>
      <c r="N1438" s="475">
        <f t="shared" si="130"/>
        <v>94812</v>
      </c>
    </row>
    <row r="1439" spans="7:14" ht="11.25" customHeight="1" x14ac:dyDescent="0.3">
      <c r="G1439" s="470"/>
      <c r="H1439" s="470">
        <v>1432</v>
      </c>
      <c r="I1439" s="455">
        <f t="shared" ca="1" si="128"/>
        <v>-66245725.394129455</v>
      </c>
      <c r="J1439" s="455">
        <f t="array" ref="J1439">IFERROR(INDEX('Retirement Calculator'!J:J,MATCH('Isaac 401k'!N1439,'Retirement Calculator'!A:A,0),0),0)</f>
        <v>0</v>
      </c>
      <c r="K1439" s="455">
        <f t="shared" ca="1" si="126"/>
        <v>-276023.85580887273</v>
      </c>
      <c r="L1439" s="455">
        <f t="shared" ca="1" si="127"/>
        <v>-66521749.249938324</v>
      </c>
      <c r="M1439" s="471">
        <f t="shared" si="129"/>
        <v>0.05</v>
      </c>
      <c r="N1439" s="475">
        <f t="shared" si="130"/>
        <v>94843</v>
      </c>
    </row>
    <row r="1440" spans="7:14" ht="11.25" customHeight="1" x14ac:dyDescent="0.3">
      <c r="G1440" s="470"/>
      <c r="H1440" s="470">
        <v>1433</v>
      </c>
      <c r="I1440" s="455">
        <f t="shared" ca="1" si="128"/>
        <v>-66521749.249938324</v>
      </c>
      <c r="J1440" s="455">
        <f t="array" ref="J1440">IFERROR(INDEX('Retirement Calculator'!J:J,MATCH('Isaac 401k'!N1440,'Retirement Calculator'!A:A,0),0),0)</f>
        <v>0</v>
      </c>
      <c r="K1440" s="455">
        <f t="shared" ca="1" si="126"/>
        <v>-277173.95520807634</v>
      </c>
      <c r="L1440" s="455">
        <f t="shared" ca="1" si="127"/>
        <v>-66798923.205146402</v>
      </c>
      <c r="M1440" s="471">
        <f t="shared" si="129"/>
        <v>0.05</v>
      </c>
      <c r="N1440" s="475">
        <f t="shared" si="130"/>
        <v>94873</v>
      </c>
    </row>
    <row r="1441" spans="7:14" ht="11.25" customHeight="1" x14ac:dyDescent="0.3">
      <c r="G1441" s="470"/>
      <c r="H1441" s="470">
        <v>1434</v>
      </c>
      <c r="I1441" s="455">
        <f t="shared" ca="1" si="128"/>
        <v>-66798923.205146402</v>
      </c>
      <c r="J1441" s="455">
        <f t="array" ref="J1441">IFERROR(INDEX('Retirement Calculator'!J:J,MATCH('Isaac 401k'!N1441,'Retirement Calculator'!A:A,0),0),0)</f>
        <v>0</v>
      </c>
      <c r="K1441" s="455">
        <f t="shared" ca="1" si="126"/>
        <v>-278328.84668810997</v>
      </c>
      <c r="L1441" s="455">
        <f t="shared" ca="1" si="127"/>
        <v>-67077252.051834509</v>
      </c>
      <c r="M1441" s="471">
        <f t="shared" si="129"/>
        <v>0.05</v>
      </c>
      <c r="N1441" s="475">
        <f t="shared" si="130"/>
        <v>94904</v>
      </c>
    </row>
    <row r="1442" spans="7:14" ht="11.25" customHeight="1" x14ac:dyDescent="0.3">
      <c r="G1442" s="470"/>
      <c r="H1442" s="470">
        <v>1435</v>
      </c>
      <c r="I1442" s="455">
        <f t="shared" ca="1" si="128"/>
        <v>-67077252.051834509</v>
      </c>
      <c r="J1442" s="455">
        <f t="array" ref="J1442">IFERROR(INDEX('Retirement Calculator'!J:J,MATCH('Isaac 401k'!N1442,'Retirement Calculator'!A:A,0),0),0)</f>
        <v>0</v>
      </c>
      <c r="K1442" s="455">
        <f t="shared" ca="1" si="126"/>
        <v>-279488.55021597713</v>
      </c>
      <c r="L1442" s="455">
        <f t="shared" ca="1" si="127"/>
        <v>-67356740.602050483</v>
      </c>
      <c r="M1442" s="471">
        <f t="shared" si="129"/>
        <v>0.05</v>
      </c>
      <c r="N1442" s="475">
        <f t="shared" si="130"/>
        <v>94934</v>
      </c>
    </row>
    <row r="1443" spans="7:14" ht="11.25" customHeight="1" x14ac:dyDescent="0.3">
      <c r="G1443" s="470"/>
      <c r="H1443" s="470">
        <v>1436</v>
      </c>
      <c r="I1443" s="455">
        <f t="shared" ca="1" si="128"/>
        <v>-67356740.602050483</v>
      </c>
      <c r="J1443" s="455">
        <f t="array" ref="J1443">IFERROR(INDEX('Retirement Calculator'!J:J,MATCH('Isaac 401k'!N1443,'Retirement Calculator'!A:A,0),0),0)</f>
        <v>0</v>
      </c>
      <c r="K1443" s="455">
        <f t="shared" ca="1" si="126"/>
        <v>-280653.08584187704</v>
      </c>
      <c r="L1443" s="455">
        <f t="shared" ca="1" si="127"/>
        <v>-67637393.687892362</v>
      </c>
      <c r="M1443" s="471">
        <f t="shared" si="129"/>
        <v>0.05</v>
      </c>
      <c r="N1443" s="475">
        <f t="shared" si="130"/>
        <v>94965</v>
      </c>
    </row>
    <row r="1444" spans="7:14" ht="11.25" customHeight="1" x14ac:dyDescent="0.3">
      <c r="G1444" s="470"/>
      <c r="H1444" s="470">
        <v>1437</v>
      </c>
      <c r="I1444" s="455">
        <f t="shared" ca="1" si="128"/>
        <v>-67637393.687892362</v>
      </c>
      <c r="J1444" s="455">
        <f t="array" ref="J1444">IFERROR(INDEX('Retirement Calculator'!J:J,MATCH('Isaac 401k'!N1444,'Retirement Calculator'!A:A,0),0),0)</f>
        <v>0</v>
      </c>
      <c r="K1444" s="455">
        <f t="shared" ca="1" si="126"/>
        <v>-281822.47369955148</v>
      </c>
      <c r="L1444" s="455">
        <f t="shared" ca="1" si="127"/>
        <v>-67919216.161591917</v>
      </c>
      <c r="M1444" s="471">
        <f t="shared" si="129"/>
        <v>0.05</v>
      </c>
      <c r="N1444" s="475">
        <f t="shared" si="130"/>
        <v>94996</v>
      </c>
    </row>
    <row r="1445" spans="7:14" ht="11.25" customHeight="1" x14ac:dyDescent="0.3">
      <c r="G1445" s="470"/>
      <c r="H1445" s="470">
        <v>1438</v>
      </c>
      <c r="I1445" s="455">
        <f t="shared" ca="1" si="128"/>
        <v>-67919216.161591917</v>
      </c>
      <c r="J1445" s="455">
        <f t="array" ref="J1445">IFERROR(INDEX('Retirement Calculator'!J:J,MATCH('Isaac 401k'!N1445,'Retirement Calculator'!A:A,0),0),0)</f>
        <v>0</v>
      </c>
      <c r="K1445" s="455">
        <f t="shared" ca="1" si="126"/>
        <v>-282996.73400663299</v>
      </c>
      <c r="L1445" s="455">
        <f t="shared" ca="1" si="127"/>
        <v>-68202212.895598546</v>
      </c>
      <c r="M1445" s="471">
        <f t="shared" si="129"/>
        <v>0.05</v>
      </c>
      <c r="N1445" s="475">
        <f t="shared" si="130"/>
        <v>95025</v>
      </c>
    </row>
    <row r="1446" spans="7:14" ht="11.25" customHeight="1" x14ac:dyDescent="0.3">
      <c r="G1446" s="470"/>
      <c r="H1446" s="470">
        <v>1439</v>
      </c>
      <c r="I1446" s="455">
        <f t="shared" ca="1" si="128"/>
        <v>-68202212.895598546</v>
      </c>
      <c r="J1446" s="455">
        <f t="array" ref="J1446">IFERROR(INDEX('Retirement Calculator'!J:J,MATCH('Isaac 401k'!N1446,'Retirement Calculator'!A:A,0),0),0)</f>
        <v>0</v>
      </c>
      <c r="K1446" s="455">
        <f t="shared" ca="1" si="126"/>
        <v>-284175.88706499396</v>
      </c>
      <c r="L1446" s="455">
        <f t="shared" ca="1" si="127"/>
        <v>-68486388.782663539</v>
      </c>
      <c r="M1446" s="471">
        <f t="shared" si="129"/>
        <v>0.05</v>
      </c>
      <c r="N1446" s="475">
        <f t="shared" si="130"/>
        <v>95056</v>
      </c>
    </row>
    <row r="1447" spans="7:14" ht="11.25" customHeight="1" x14ac:dyDescent="0.3">
      <c r="G1447" s="470"/>
      <c r="H1447" s="470">
        <v>1440</v>
      </c>
      <c r="I1447" s="455">
        <f t="shared" ca="1" si="128"/>
        <v>-68486388.782663539</v>
      </c>
      <c r="J1447" s="455">
        <f t="array" ref="J1447">IFERROR(INDEX('Retirement Calculator'!J:J,MATCH('Isaac 401k'!N1447,'Retirement Calculator'!A:A,0),0),0)</f>
        <v>0</v>
      </c>
      <c r="K1447" s="455">
        <f t="shared" ca="1" si="126"/>
        <v>-285359.95326109807</v>
      </c>
      <c r="L1447" s="455">
        <f t="shared" ca="1" si="127"/>
        <v>-68771748.735924631</v>
      </c>
      <c r="M1447" s="471">
        <f t="shared" si="129"/>
        <v>0.05</v>
      </c>
      <c r="N1447" s="475">
        <f t="shared" si="130"/>
        <v>95086</v>
      </c>
    </row>
    <row r="1448" spans="7:14" ht="11.25" customHeight="1" x14ac:dyDescent="0.3">
      <c r="G1448" s="470"/>
      <c r="H1448" s="470">
        <v>1441</v>
      </c>
      <c r="I1448" s="455">
        <f t="shared" ca="1" si="128"/>
        <v>-68771748.735924631</v>
      </c>
      <c r="J1448" s="455">
        <f t="array" ref="J1448">IFERROR(INDEX('Retirement Calculator'!J:J,MATCH('Isaac 401k'!N1448,'Retirement Calculator'!A:A,0),0),0)</f>
        <v>0</v>
      </c>
      <c r="K1448" s="455">
        <f t="shared" ca="1" si="126"/>
        <v>-286548.95306635264</v>
      </c>
      <c r="L1448" s="455">
        <f t="shared" ca="1" si="127"/>
        <v>-69058297.68899098</v>
      </c>
      <c r="M1448" s="471">
        <f t="shared" si="129"/>
        <v>0.05</v>
      </c>
      <c r="N1448" s="475">
        <f t="shared" si="130"/>
        <v>95117</v>
      </c>
    </row>
    <row r="1449" spans="7:14" ht="11.25" customHeight="1" x14ac:dyDescent="0.3">
      <c r="G1449" s="470"/>
      <c r="H1449" s="470">
        <v>1442</v>
      </c>
      <c r="I1449" s="455">
        <f t="shared" ca="1" si="128"/>
        <v>-69058297.68899098</v>
      </c>
      <c r="J1449" s="455">
        <f t="array" ref="J1449">IFERROR(INDEX('Retirement Calculator'!J:J,MATCH('Isaac 401k'!N1449,'Retirement Calculator'!A:A,0),0),0)</f>
        <v>0</v>
      </c>
      <c r="K1449" s="455">
        <f t="shared" ca="1" si="126"/>
        <v>-287742.9070374624</v>
      </c>
      <c r="L1449" s="455">
        <f t="shared" ca="1" si="127"/>
        <v>-69346040.596028447</v>
      </c>
      <c r="M1449" s="471">
        <f t="shared" si="129"/>
        <v>0.05</v>
      </c>
      <c r="N1449" s="475">
        <f t="shared" si="130"/>
        <v>95147</v>
      </c>
    </row>
    <row r="1450" spans="7:14" ht="11.25" customHeight="1" x14ac:dyDescent="0.3">
      <c r="G1450" s="470"/>
      <c r="H1450" s="470">
        <v>1443</v>
      </c>
      <c r="I1450" s="455">
        <f t="shared" ca="1" si="128"/>
        <v>-69346040.596028447</v>
      </c>
      <c r="J1450" s="455">
        <f t="array" ref="J1450">IFERROR(INDEX('Retirement Calculator'!J:J,MATCH('Isaac 401k'!N1450,'Retirement Calculator'!A:A,0),0),0)</f>
        <v>0</v>
      </c>
      <c r="K1450" s="455">
        <f t="shared" ca="1" si="126"/>
        <v>-288941.83581678517</v>
      </c>
      <c r="L1450" s="455">
        <f t="shared" ca="1" si="127"/>
        <v>-69634982.431845233</v>
      </c>
      <c r="M1450" s="471">
        <f t="shared" si="129"/>
        <v>0.05</v>
      </c>
      <c r="N1450" s="475">
        <f t="shared" si="130"/>
        <v>95178</v>
      </c>
    </row>
    <row r="1451" spans="7:14" ht="11.25" customHeight="1" x14ac:dyDescent="0.3">
      <c r="G1451" s="470"/>
      <c r="H1451" s="470">
        <v>1444</v>
      </c>
      <c r="I1451" s="455">
        <f t="shared" ca="1" si="128"/>
        <v>-69634982.431845233</v>
      </c>
      <c r="J1451" s="455">
        <f t="array" ref="J1451">IFERROR(INDEX('Retirement Calculator'!J:J,MATCH('Isaac 401k'!N1451,'Retirement Calculator'!A:A,0),0),0)</f>
        <v>0</v>
      </c>
      <c r="K1451" s="455">
        <f t="shared" ca="1" si="126"/>
        <v>-290145.76013268845</v>
      </c>
      <c r="L1451" s="455">
        <f t="shared" ca="1" si="127"/>
        <v>-69925128.191977918</v>
      </c>
      <c r="M1451" s="471">
        <f t="shared" si="129"/>
        <v>0.05</v>
      </c>
      <c r="N1451" s="475">
        <f t="shared" si="130"/>
        <v>95209</v>
      </c>
    </row>
    <row r="1452" spans="7:14" ht="11.25" customHeight="1" x14ac:dyDescent="0.3">
      <c r="G1452" s="470"/>
      <c r="H1452" s="470">
        <v>1445</v>
      </c>
      <c r="I1452" s="455">
        <f t="shared" ca="1" si="128"/>
        <v>-69925128.191977918</v>
      </c>
      <c r="J1452" s="455">
        <f t="array" ref="J1452">IFERROR(INDEX('Retirement Calculator'!J:J,MATCH('Isaac 401k'!N1452,'Retirement Calculator'!A:A,0),0),0)</f>
        <v>0</v>
      </c>
      <c r="K1452" s="455">
        <f t="shared" ca="1" si="126"/>
        <v>-291354.70079990797</v>
      </c>
      <c r="L1452" s="455">
        <f t="shared" ca="1" si="127"/>
        <v>-70216482.89277783</v>
      </c>
      <c r="M1452" s="471">
        <f t="shared" si="129"/>
        <v>0.05</v>
      </c>
      <c r="N1452" s="475">
        <f t="shared" si="130"/>
        <v>95239</v>
      </c>
    </row>
    <row r="1453" spans="7:14" ht="11.25" customHeight="1" x14ac:dyDescent="0.3">
      <c r="G1453" s="470"/>
      <c r="H1453" s="470">
        <v>1446</v>
      </c>
      <c r="I1453" s="455">
        <f t="shared" ca="1" si="128"/>
        <v>-70216482.89277783</v>
      </c>
      <c r="J1453" s="455">
        <f t="array" ref="J1453">IFERROR(INDEX('Retirement Calculator'!J:J,MATCH('Isaac 401k'!N1453,'Retirement Calculator'!A:A,0),0),0)</f>
        <v>0</v>
      </c>
      <c r="K1453" s="455">
        <f t="shared" ca="1" si="126"/>
        <v>-292568.67871990765</v>
      </c>
      <c r="L1453" s="455">
        <f t="shared" ca="1" si="127"/>
        <v>-70509051.571497738</v>
      </c>
      <c r="M1453" s="471">
        <f t="shared" si="129"/>
        <v>0.05</v>
      </c>
      <c r="N1453" s="475">
        <f t="shared" si="130"/>
        <v>95270</v>
      </c>
    </row>
    <row r="1454" spans="7:14" ht="11.25" customHeight="1" x14ac:dyDescent="0.3">
      <c r="G1454" s="470"/>
      <c r="H1454" s="470">
        <v>1447</v>
      </c>
      <c r="I1454" s="455">
        <f t="shared" ca="1" si="128"/>
        <v>-70509051.571497738</v>
      </c>
      <c r="J1454" s="455">
        <f t="array" ref="J1454">IFERROR(INDEX('Retirement Calculator'!J:J,MATCH('Isaac 401k'!N1454,'Retirement Calculator'!A:A,0),0),0)</f>
        <v>0</v>
      </c>
      <c r="K1454" s="455">
        <f t="shared" ca="1" si="126"/>
        <v>-293787.71488124056</v>
      </c>
      <c r="L1454" s="455">
        <f t="shared" ca="1" si="127"/>
        <v>-70802839.28637898</v>
      </c>
      <c r="M1454" s="471">
        <f t="shared" si="129"/>
        <v>0.05</v>
      </c>
      <c r="N1454" s="475">
        <f t="shared" si="130"/>
        <v>95300</v>
      </c>
    </row>
    <row r="1455" spans="7:14" ht="11.25" customHeight="1" x14ac:dyDescent="0.3">
      <c r="G1455" s="470"/>
      <c r="H1455" s="470">
        <v>1448</v>
      </c>
      <c r="I1455" s="455">
        <f t="shared" ca="1" si="128"/>
        <v>-70802839.28637898</v>
      </c>
      <c r="J1455" s="455">
        <f t="array" ref="J1455">IFERROR(INDEX('Retirement Calculator'!J:J,MATCH('Isaac 401k'!N1455,'Retirement Calculator'!A:A,0),0),0)</f>
        <v>0</v>
      </c>
      <c r="K1455" s="455">
        <f t="shared" ca="1" si="126"/>
        <v>-295011.83035991242</v>
      </c>
      <c r="L1455" s="455">
        <f t="shared" ca="1" si="127"/>
        <v>-71097851.116738886</v>
      </c>
      <c r="M1455" s="471">
        <f t="shared" si="129"/>
        <v>0.05</v>
      </c>
      <c r="N1455" s="475">
        <f t="shared" si="130"/>
        <v>95331</v>
      </c>
    </row>
    <row r="1456" spans="7:14" ht="11.25" customHeight="1" x14ac:dyDescent="0.3">
      <c r="G1456" s="470"/>
      <c r="H1456" s="470">
        <v>1449</v>
      </c>
      <c r="I1456" s="455">
        <f t="shared" ca="1" si="128"/>
        <v>-71097851.116738886</v>
      </c>
      <c r="J1456" s="455">
        <f t="array" ref="J1456">IFERROR(INDEX('Retirement Calculator'!J:J,MATCH('Isaac 401k'!N1456,'Retirement Calculator'!A:A,0),0),0)</f>
        <v>0</v>
      </c>
      <c r="K1456" s="455">
        <f t="shared" ca="1" si="126"/>
        <v>-296241.04631974536</v>
      </c>
      <c r="L1456" s="455">
        <f t="shared" ca="1" si="127"/>
        <v>-71394092.163058624</v>
      </c>
      <c r="M1456" s="471">
        <f t="shared" si="129"/>
        <v>0.05</v>
      </c>
      <c r="N1456" s="475">
        <f t="shared" si="130"/>
        <v>95362</v>
      </c>
    </row>
    <row r="1457" spans="7:14" ht="11.25" customHeight="1" x14ac:dyDescent="0.3">
      <c r="G1457" s="470"/>
      <c r="H1457" s="470">
        <v>1450</v>
      </c>
      <c r="I1457" s="455">
        <f t="shared" ca="1" si="128"/>
        <v>-71394092.163058624</v>
      </c>
      <c r="J1457" s="455">
        <f t="array" ref="J1457">IFERROR(INDEX('Retirement Calculator'!J:J,MATCH('Isaac 401k'!N1457,'Retirement Calculator'!A:A,0),0),0)</f>
        <v>0</v>
      </c>
      <c r="K1457" s="455">
        <f t="shared" ca="1" si="126"/>
        <v>-297475.38401274424</v>
      </c>
      <c r="L1457" s="455">
        <f t="shared" ca="1" si="127"/>
        <v>-71691567.547071368</v>
      </c>
      <c r="M1457" s="471">
        <f t="shared" si="129"/>
        <v>0.05</v>
      </c>
      <c r="N1457" s="475">
        <f t="shared" si="130"/>
        <v>95390</v>
      </c>
    </row>
    <row r="1458" spans="7:14" ht="11.25" customHeight="1" x14ac:dyDescent="0.3">
      <c r="G1458" s="470"/>
      <c r="H1458" s="470">
        <v>1451</v>
      </c>
      <c r="I1458" s="455">
        <f t="shared" ca="1" si="128"/>
        <v>-71691567.547071368</v>
      </c>
      <c r="J1458" s="455">
        <f t="array" ref="J1458">IFERROR(INDEX('Retirement Calculator'!J:J,MATCH('Isaac 401k'!N1458,'Retirement Calculator'!A:A,0),0),0)</f>
        <v>0</v>
      </c>
      <c r="K1458" s="455">
        <f t="shared" ca="1" si="126"/>
        <v>-298714.86477946403</v>
      </c>
      <c r="L1458" s="455">
        <f t="shared" ca="1" si="127"/>
        <v>-71990282.411850825</v>
      </c>
      <c r="M1458" s="471">
        <f t="shared" si="129"/>
        <v>0.05</v>
      </c>
      <c r="N1458" s="475">
        <f t="shared" si="130"/>
        <v>95421</v>
      </c>
    </row>
    <row r="1459" spans="7:14" ht="11.25" customHeight="1" x14ac:dyDescent="0.3">
      <c r="G1459" s="470"/>
      <c r="H1459" s="470">
        <v>1452</v>
      </c>
      <c r="I1459" s="455">
        <f t="shared" ca="1" si="128"/>
        <v>-71990282.411850825</v>
      </c>
      <c r="J1459" s="455">
        <f t="array" ref="J1459">IFERROR(INDEX('Retirement Calculator'!J:J,MATCH('Isaac 401k'!N1459,'Retirement Calculator'!A:A,0),0),0)</f>
        <v>0</v>
      </c>
      <c r="K1459" s="455">
        <f t="shared" ca="1" si="126"/>
        <v>-299959.51004937844</v>
      </c>
      <c r="L1459" s="455">
        <f t="shared" ca="1" si="127"/>
        <v>-72290241.921900198</v>
      </c>
      <c r="M1459" s="471">
        <f t="shared" si="129"/>
        <v>0.05</v>
      </c>
      <c r="N1459" s="475">
        <f t="shared" si="130"/>
        <v>95451</v>
      </c>
    </row>
    <row r="1460" spans="7:14" ht="11.25" customHeight="1" x14ac:dyDescent="0.3">
      <c r="G1460" s="470"/>
      <c r="H1460" s="470">
        <v>1453</v>
      </c>
      <c r="I1460" s="455">
        <f t="shared" ca="1" si="128"/>
        <v>-72290241.921900198</v>
      </c>
      <c r="J1460" s="455">
        <f t="array" ref="J1460">IFERROR(INDEX('Retirement Calculator'!J:J,MATCH('Isaac 401k'!N1460,'Retirement Calculator'!A:A,0),0),0)</f>
        <v>0</v>
      </c>
      <c r="K1460" s="455">
        <f t="shared" ca="1" si="126"/>
        <v>-301209.34134125081</v>
      </c>
      <c r="L1460" s="455">
        <f t="shared" ca="1" si="127"/>
        <v>-72591451.263241455</v>
      </c>
      <c r="M1460" s="471">
        <f t="shared" si="129"/>
        <v>0.05</v>
      </c>
      <c r="N1460" s="475">
        <f t="shared" si="130"/>
        <v>95482</v>
      </c>
    </row>
    <row r="1461" spans="7:14" ht="11.25" customHeight="1" x14ac:dyDescent="0.3">
      <c r="G1461" s="470"/>
      <c r="H1461" s="470">
        <v>1454</v>
      </c>
      <c r="I1461" s="455">
        <f t="shared" ca="1" si="128"/>
        <v>-72591451.263241455</v>
      </c>
      <c r="J1461" s="455">
        <f t="array" ref="J1461">IFERROR(INDEX('Retirement Calculator'!J:J,MATCH('Isaac 401k'!N1461,'Retirement Calculator'!A:A,0),0),0)</f>
        <v>0</v>
      </c>
      <c r="K1461" s="455">
        <f t="shared" ca="1" si="126"/>
        <v>-302464.38026350609</v>
      </c>
      <c r="L1461" s="455">
        <f t="shared" ca="1" si="127"/>
        <v>-72893915.643504962</v>
      </c>
      <c r="M1461" s="471">
        <f t="shared" si="129"/>
        <v>0.05</v>
      </c>
      <c r="N1461" s="475">
        <f t="shared" si="130"/>
        <v>95512</v>
      </c>
    </row>
    <row r="1462" spans="7:14" ht="11.25" customHeight="1" x14ac:dyDescent="0.3">
      <c r="G1462" s="470"/>
      <c r="H1462" s="470">
        <v>1455</v>
      </c>
      <c r="I1462" s="455">
        <f t="shared" ca="1" si="128"/>
        <v>-72893915.643504962</v>
      </c>
      <c r="J1462" s="455">
        <f t="array" ref="J1462">IFERROR(INDEX('Retirement Calculator'!J:J,MATCH('Isaac 401k'!N1462,'Retirement Calculator'!A:A,0),0),0)</f>
        <v>0</v>
      </c>
      <c r="K1462" s="455">
        <f t="shared" ca="1" si="126"/>
        <v>-303724.64851460402</v>
      </c>
      <c r="L1462" s="455">
        <f t="shared" ca="1" si="127"/>
        <v>-73197640.292019561</v>
      </c>
      <c r="M1462" s="471">
        <f t="shared" si="129"/>
        <v>0.05</v>
      </c>
      <c r="N1462" s="475">
        <f t="shared" si="130"/>
        <v>95543</v>
      </c>
    </row>
    <row r="1463" spans="7:14" ht="11.25" customHeight="1" x14ac:dyDescent="0.3">
      <c r="G1463" s="470"/>
      <c r="H1463" s="470">
        <v>1456</v>
      </c>
      <c r="I1463" s="455">
        <f t="shared" ca="1" si="128"/>
        <v>-73197640.292019561</v>
      </c>
      <c r="J1463" s="455">
        <f t="array" ref="J1463">IFERROR(INDEX('Retirement Calculator'!J:J,MATCH('Isaac 401k'!N1463,'Retirement Calculator'!A:A,0),0),0)</f>
        <v>0</v>
      </c>
      <c r="K1463" s="455">
        <f t="shared" ca="1" si="126"/>
        <v>-304990.16788341483</v>
      </c>
      <c r="L1463" s="455">
        <f t="shared" ca="1" si="127"/>
        <v>-73502630.459902972</v>
      </c>
      <c r="M1463" s="471">
        <f t="shared" si="129"/>
        <v>0.05</v>
      </c>
      <c r="N1463" s="475">
        <f t="shared" si="130"/>
        <v>95574</v>
      </c>
    </row>
    <row r="1464" spans="7:14" ht="11.25" customHeight="1" x14ac:dyDescent="0.3">
      <c r="G1464" s="470"/>
      <c r="H1464" s="470">
        <v>1457</v>
      </c>
      <c r="I1464" s="455">
        <f t="shared" ca="1" si="128"/>
        <v>-73502630.459902972</v>
      </c>
      <c r="J1464" s="455">
        <f t="array" ref="J1464">IFERROR(INDEX('Retirement Calculator'!J:J,MATCH('Isaac 401k'!N1464,'Retirement Calculator'!A:A,0),0),0)</f>
        <v>0</v>
      </c>
      <c r="K1464" s="455">
        <f t="shared" ca="1" si="126"/>
        <v>-306260.96024959569</v>
      </c>
      <c r="L1464" s="455">
        <f t="shared" ca="1" si="127"/>
        <v>-73808891.420152575</v>
      </c>
      <c r="M1464" s="471">
        <f t="shared" si="129"/>
        <v>0.05</v>
      </c>
      <c r="N1464" s="475">
        <f t="shared" si="130"/>
        <v>95604</v>
      </c>
    </row>
    <row r="1465" spans="7:14" ht="11.25" customHeight="1" x14ac:dyDescent="0.3">
      <c r="G1465" s="470"/>
      <c r="H1465" s="470">
        <v>1458</v>
      </c>
      <c r="I1465" s="455">
        <f t="shared" ca="1" si="128"/>
        <v>-73808891.420152575</v>
      </c>
      <c r="J1465" s="455">
        <f t="array" ref="J1465">IFERROR(INDEX('Retirement Calculator'!J:J,MATCH('Isaac 401k'!N1465,'Retirement Calculator'!A:A,0),0),0)</f>
        <v>0</v>
      </c>
      <c r="K1465" s="455">
        <f t="shared" ca="1" si="126"/>
        <v>-307537.04758396908</v>
      </c>
      <c r="L1465" s="455">
        <f t="shared" ca="1" si="127"/>
        <v>-74116428.467736542</v>
      </c>
      <c r="M1465" s="471">
        <f t="shared" si="129"/>
        <v>0.05</v>
      </c>
      <c r="N1465" s="475">
        <f t="shared" si="130"/>
        <v>95635</v>
      </c>
    </row>
    <row r="1466" spans="7:14" ht="11.25" customHeight="1" x14ac:dyDescent="0.3">
      <c r="G1466" s="470"/>
      <c r="H1466" s="470">
        <v>1459</v>
      </c>
      <c r="I1466" s="455">
        <f t="shared" ca="1" si="128"/>
        <v>-74116428.467736542</v>
      </c>
      <c r="J1466" s="455">
        <f t="array" ref="J1466">IFERROR(INDEX('Retirement Calculator'!J:J,MATCH('Isaac 401k'!N1466,'Retirement Calculator'!A:A,0),0),0)</f>
        <v>0</v>
      </c>
      <c r="K1466" s="455">
        <f t="shared" ca="1" si="126"/>
        <v>-308818.45194890228</v>
      </c>
      <c r="L1466" s="455">
        <f t="shared" ca="1" si="127"/>
        <v>-74425246.919685438</v>
      </c>
      <c r="M1466" s="471">
        <f t="shared" si="129"/>
        <v>0.05</v>
      </c>
      <c r="N1466" s="475">
        <f t="shared" si="130"/>
        <v>95665</v>
      </c>
    </row>
    <row r="1467" spans="7:14" ht="11.25" customHeight="1" x14ac:dyDescent="0.3">
      <c r="G1467" s="470"/>
      <c r="H1467" s="470">
        <v>1460</v>
      </c>
      <c r="I1467" s="455">
        <f t="shared" ca="1" si="128"/>
        <v>-74425246.919685438</v>
      </c>
      <c r="J1467" s="455">
        <f t="array" ref="J1467">IFERROR(INDEX('Retirement Calculator'!J:J,MATCH('Isaac 401k'!N1467,'Retirement Calculator'!A:A,0),0),0)</f>
        <v>0</v>
      </c>
      <c r="K1467" s="455">
        <f t="shared" ca="1" si="126"/>
        <v>-310105.19549868931</v>
      </c>
      <c r="L1467" s="455">
        <f t="shared" ca="1" si="127"/>
        <v>-74735352.115184128</v>
      </c>
      <c r="M1467" s="471">
        <f t="shared" si="129"/>
        <v>0.05</v>
      </c>
      <c r="N1467" s="475">
        <f t="shared" si="130"/>
        <v>95696</v>
      </c>
    </row>
    <row r="1468" spans="7:14" ht="11.25" customHeight="1" x14ac:dyDescent="0.3">
      <c r="G1468" s="470"/>
      <c r="H1468" s="470">
        <v>1461</v>
      </c>
      <c r="I1468" s="455">
        <f t="shared" ca="1" si="128"/>
        <v>-74735352.115184128</v>
      </c>
      <c r="J1468" s="455">
        <f t="array" ref="J1468">IFERROR(INDEX('Retirement Calculator'!J:J,MATCH('Isaac 401k'!N1468,'Retirement Calculator'!A:A,0),0),0)</f>
        <v>0</v>
      </c>
      <c r="K1468" s="455">
        <f t="shared" ca="1" si="126"/>
        <v>-311397.30047993385</v>
      </c>
      <c r="L1468" s="455">
        <f t="shared" ca="1" si="127"/>
        <v>-75046749.415664062</v>
      </c>
      <c r="M1468" s="471">
        <f t="shared" si="129"/>
        <v>0.05</v>
      </c>
      <c r="N1468" s="475">
        <f t="shared" si="130"/>
        <v>95727</v>
      </c>
    </row>
    <row r="1469" spans="7:14" ht="11.25" customHeight="1" x14ac:dyDescent="0.3">
      <c r="G1469" s="470"/>
      <c r="H1469" s="470">
        <v>1462</v>
      </c>
      <c r="I1469" s="455">
        <f t="shared" ca="1" si="128"/>
        <v>-75046749.415664062</v>
      </c>
      <c r="J1469" s="455">
        <f t="array" ref="J1469">IFERROR(INDEX('Retirement Calculator'!J:J,MATCH('Isaac 401k'!N1469,'Retirement Calculator'!A:A,0),0),0)</f>
        <v>0</v>
      </c>
      <c r="K1469" s="455">
        <f t="shared" ca="1" si="126"/>
        <v>-312694.7892319336</v>
      </c>
      <c r="L1469" s="455">
        <f t="shared" ca="1" si="127"/>
        <v>-75359444.204895988</v>
      </c>
      <c r="M1469" s="471">
        <f t="shared" si="129"/>
        <v>0.05</v>
      </c>
      <c r="N1469" s="475">
        <f t="shared" si="130"/>
        <v>95755</v>
      </c>
    </row>
    <row r="1470" spans="7:14" ht="11.25" customHeight="1" x14ac:dyDescent="0.3">
      <c r="G1470" s="470"/>
      <c r="H1470" s="470">
        <v>1463</v>
      </c>
      <c r="I1470" s="455">
        <f t="shared" ca="1" si="128"/>
        <v>-75359444.204895988</v>
      </c>
      <c r="J1470" s="455">
        <f t="array" ref="J1470">IFERROR(INDEX('Retirement Calculator'!J:J,MATCH('Isaac 401k'!N1470,'Retirement Calculator'!A:A,0),0),0)</f>
        <v>0</v>
      </c>
      <c r="K1470" s="455">
        <f t="shared" ca="1" si="126"/>
        <v>-313997.68418706662</v>
      </c>
      <c r="L1470" s="455">
        <f t="shared" ca="1" si="127"/>
        <v>-75673441.889083058</v>
      </c>
      <c r="M1470" s="471">
        <f t="shared" si="129"/>
        <v>0.05</v>
      </c>
      <c r="N1470" s="475">
        <f t="shared" si="130"/>
        <v>95786</v>
      </c>
    </row>
    <row r="1471" spans="7:14" ht="11.25" customHeight="1" x14ac:dyDescent="0.3">
      <c r="G1471" s="470"/>
      <c r="H1471" s="470">
        <v>1464</v>
      </c>
      <c r="I1471" s="455">
        <f t="shared" ca="1" si="128"/>
        <v>-75673441.889083058</v>
      </c>
      <c r="J1471" s="455">
        <f t="array" ref="J1471">IFERROR(INDEX('Retirement Calculator'!J:J,MATCH('Isaac 401k'!N1471,'Retirement Calculator'!A:A,0),0),0)</f>
        <v>0</v>
      </c>
      <c r="K1471" s="455">
        <f t="shared" ca="1" si="126"/>
        <v>-315306.00787117938</v>
      </c>
      <c r="L1471" s="455">
        <f t="shared" ca="1" si="127"/>
        <v>-75988747.896954238</v>
      </c>
      <c r="M1471" s="471">
        <f t="shared" si="129"/>
        <v>0.05</v>
      </c>
      <c r="N1471" s="475">
        <f t="shared" si="130"/>
        <v>95816</v>
      </c>
    </row>
    <row r="1472" spans="7:14" ht="11.25" customHeight="1" x14ac:dyDescent="0.3">
      <c r="G1472" s="470"/>
      <c r="H1472" s="470">
        <v>1465</v>
      </c>
      <c r="I1472" s="455">
        <f t="shared" ca="1" si="128"/>
        <v>-75988747.896954238</v>
      </c>
      <c r="J1472" s="455">
        <f t="array" ref="J1472">IFERROR(INDEX('Retirement Calculator'!J:J,MATCH('Isaac 401k'!N1472,'Retirement Calculator'!A:A,0),0),0)</f>
        <v>0</v>
      </c>
      <c r="K1472" s="455">
        <f t="shared" ca="1" si="126"/>
        <v>-316619.78290397598</v>
      </c>
      <c r="L1472" s="455">
        <f t="shared" ca="1" si="127"/>
        <v>-76305367.679858208</v>
      </c>
      <c r="M1472" s="471">
        <f t="shared" si="129"/>
        <v>0.05</v>
      </c>
      <c r="N1472" s="475">
        <f t="shared" si="130"/>
        <v>95847</v>
      </c>
    </row>
    <row r="1473" spans="7:14" ht="11.25" customHeight="1" x14ac:dyDescent="0.3">
      <c r="G1473" s="470"/>
      <c r="H1473" s="470">
        <v>1466</v>
      </c>
      <c r="I1473" s="455">
        <f t="shared" ca="1" si="128"/>
        <v>-76305367.679858208</v>
      </c>
      <c r="J1473" s="455">
        <f t="array" ref="J1473">IFERROR(INDEX('Retirement Calculator'!J:J,MATCH('Isaac 401k'!N1473,'Retirement Calculator'!A:A,0),0),0)</f>
        <v>0</v>
      </c>
      <c r="K1473" s="455">
        <f t="shared" ca="1" si="126"/>
        <v>-317939.0319994092</v>
      </c>
      <c r="L1473" s="455">
        <f t="shared" ca="1" si="127"/>
        <v>-76623306.711857617</v>
      </c>
      <c r="M1473" s="471">
        <f t="shared" si="129"/>
        <v>0.05</v>
      </c>
      <c r="N1473" s="475">
        <f t="shared" si="130"/>
        <v>95877</v>
      </c>
    </row>
    <row r="1474" spans="7:14" ht="11.25" customHeight="1" x14ac:dyDescent="0.3">
      <c r="G1474" s="470"/>
      <c r="H1474" s="470">
        <v>1467</v>
      </c>
      <c r="I1474" s="455">
        <f t="shared" ca="1" si="128"/>
        <v>-76623306.711857617</v>
      </c>
      <c r="J1474" s="455">
        <f t="array" ref="J1474">IFERROR(INDEX('Retirement Calculator'!J:J,MATCH('Isaac 401k'!N1474,'Retirement Calculator'!A:A,0),0),0)</f>
        <v>0</v>
      </c>
      <c r="K1474" s="455">
        <f t="shared" ca="1" si="126"/>
        <v>-319263.77796607342</v>
      </c>
      <c r="L1474" s="455">
        <f t="shared" ca="1" si="127"/>
        <v>-76942570.489823684</v>
      </c>
      <c r="M1474" s="471">
        <f t="shared" si="129"/>
        <v>0.05</v>
      </c>
      <c r="N1474" s="475">
        <f t="shared" si="130"/>
        <v>95908</v>
      </c>
    </row>
    <row r="1475" spans="7:14" ht="11.25" customHeight="1" x14ac:dyDescent="0.3">
      <c r="G1475" s="470"/>
      <c r="H1475" s="470">
        <v>1468</v>
      </c>
      <c r="I1475" s="455">
        <f t="shared" ca="1" si="128"/>
        <v>-76942570.489823684</v>
      </c>
      <c r="J1475" s="455">
        <f t="array" ref="J1475">IFERROR(INDEX('Retirement Calculator'!J:J,MATCH('Isaac 401k'!N1475,'Retirement Calculator'!A:A,0),0),0)</f>
        <v>0</v>
      </c>
      <c r="K1475" s="455">
        <f t="shared" ca="1" si="126"/>
        <v>-320594.0437075987</v>
      </c>
      <c r="L1475" s="455">
        <f t="shared" ca="1" si="127"/>
        <v>-77263164.533531278</v>
      </c>
      <c r="M1475" s="471">
        <f t="shared" si="129"/>
        <v>0.05</v>
      </c>
      <c r="N1475" s="475">
        <f t="shared" si="130"/>
        <v>95939</v>
      </c>
    </row>
    <row r="1476" spans="7:14" ht="11.25" customHeight="1" x14ac:dyDescent="0.3">
      <c r="G1476" s="470"/>
      <c r="H1476" s="470">
        <v>1469</v>
      </c>
      <c r="I1476" s="455">
        <f t="shared" ca="1" si="128"/>
        <v>-77263164.533531278</v>
      </c>
      <c r="J1476" s="455">
        <f t="array" ref="J1476">IFERROR(INDEX('Retirement Calculator'!J:J,MATCH('Isaac 401k'!N1476,'Retirement Calculator'!A:A,0),0),0)</f>
        <v>0</v>
      </c>
      <c r="K1476" s="455">
        <f t="shared" ca="1" si="126"/>
        <v>-321929.852223047</v>
      </c>
      <c r="L1476" s="455">
        <f t="shared" ca="1" si="127"/>
        <v>-77585094.385754332</v>
      </c>
      <c r="M1476" s="471">
        <f t="shared" si="129"/>
        <v>0.05</v>
      </c>
      <c r="N1476" s="475">
        <f t="shared" si="130"/>
        <v>95969</v>
      </c>
    </row>
    <row r="1477" spans="7:14" ht="11.25" customHeight="1" x14ac:dyDescent="0.3">
      <c r="G1477" s="470"/>
      <c r="H1477" s="470">
        <v>1470</v>
      </c>
      <c r="I1477" s="455">
        <f t="shared" ca="1" si="128"/>
        <v>-77585094.385754332</v>
      </c>
      <c r="J1477" s="455">
        <f t="array" ref="J1477">IFERROR(INDEX('Retirement Calculator'!J:J,MATCH('Isaac 401k'!N1477,'Retirement Calculator'!A:A,0),0),0)</f>
        <v>0</v>
      </c>
      <c r="K1477" s="455">
        <f t="shared" ca="1" si="126"/>
        <v>-323271.22660730971</v>
      </c>
      <c r="L1477" s="455">
        <f t="shared" ca="1" si="127"/>
        <v>-77908365.61236164</v>
      </c>
      <c r="M1477" s="471">
        <f t="shared" si="129"/>
        <v>0.05</v>
      </c>
      <c r="N1477" s="475">
        <f t="shared" si="130"/>
        <v>96000</v>
      </c>
    </row>
    <row r="1478" spans="7:14" ht="11.25" customHeight="1" x14ac:dyDescent="0.3">
      <c r="G1478" s="470"/>
      <c r="H1478" s="470">
        <v>1471</v>
      </c>
      <c r="I1478" s="455">
        <f t="shared" ca="1" si="128"/>
        <v>-77908365.61236164</v>
      </c>
      <c r="J1478" s="455">
        <f t="array" ref="J1478">IFERROR(INDEX('Retirement Calculator'!J:J,MATCH('Isaac 401k'!N1478,'Retirement Calculator'!A:A,0),0),0)</f>
        <v>0</v>
      </c>
      <c r="K1478" s="455">
        <f t="shared" ca="1" si="126"/>
        <v>-324618.19005150686</v>
      </c>
      <c r="L1478" s="455">
        <f t="shared" ca="1" si="127"/>
        <v>-78232983.802413151</v>
      </c>
      <c r="M1478" s="471">
        <f t="shared" si="129"/>
        <v>0.05</v>
      </c>
      <c r="N1478" s="475">
        <f t="shared" si="130"/>
        <v>96030</v>
      </c>
    </row>
    <row r="1479" spans="7:14" ht="11.25" customHeight="1" x14ac:dyDescent="0.3">
      <c r="G1479" s="470"/>
      <c r="H1479" s="470">
        <v>1472</v>
      </c>
      <c r="I1479" s="455">
        <f t="shared" ca="1" si="128"/>
        <v>-78232983.802413151</v>
      </c>
      <c r="J1479" s="455">
        <f t="array" ref="J1479">IFERROR(INDEX('Retirement Calculator'!J:J,MATCH('Isaac 401k'!N1479,'Retirement Calculator'!A:A,0),0),0)</f>
        <v>0</v>
      </c>
      <c r="K1479" s="455">
        <f t="shared" ca="1" si="126"/>
        <v>-325970.7658433881</v>
      </c>
      <c r="L1479" s="455">
        <f t="shared" ca="1" si="127"/>
        <v>-78558954.568256542</v>
      </c>
      <c r="M1479" s="471">
        <f t="shared" si="129"/>
        <v>0.05</v>
      </c>
      <c r="N1479" s="475">
        <f t="shared" si="130"/>
        <v>96061</v>
      </c>
    </row>
    <row r="1480" spans="7:14" ht="11.25" customHeight="1" x14ac:dyDescent="0.3">
      <c r="G1480" s="470"/>
      <c r="H1480" s="470">
        <v>1473</v>
      </c>
      <c r="I1480" s="455">
        <f t="shared" ca="1" si="128"/>
        <v>-78558954.568256542</v>
      </c>
      <c r="J1480" s="455">
        <f t="array" ref="J1480">IFERROR(INDEX('Retirement Calculator'!J:J,MATCH('Isaac 401k'!N1480,'Retirement Calculator'!A:A,0),0),0)</f>
        <v>0</v>
      </c>
      <c r="K1480" s="455">
        <f t="shared" ca="1" si="126"/>
        <v>-327328.97736773558</v>
      </c>
      <c r="L1480" s="455">
        <f t="shared" ca="1" si="127"/>
        <v>-78886283.545624271</v>
      </c>
      <c r="M1480" s="471">
        <f t="shared" si="129"/>
        <v>0.05</v>
      </c>
      <c r="N1480" s="475">
        <f t="shared" si="130"/>
        <v>96092</v>
      </c>
    </row>
    <row r="1481" spans="7:14" ht="11.25" customHeight="1" x14ac:dyDescent="0.3">
      <c r="G1481" s="470"/>
      <c r="H1481" s="470">
        <v>1474</v>
      </c>
      <c r="I1481" s="455">
        <f t="shared" ca="1" si="128"/>
        <v>-78886283.545624271</v>
      </c>
      <c r="J1481" s="455">
        <f t="array" ref="J1481">IFERROR(INDEX('Retirement Calculator'!J:J,MATCH('Isaac 401k'!N1481,'Retirement Calculator'!A:A,0),0),0)</f>
        <v>0</v>
      </c>
      <c r="K1481" s="455">
        <f t="shared" ca="1" si="126"/>
        <v>-328692.84810676781</v>
      </c>
      <c r="L1481" s="455">
        <f t="shared" ca="1" si="127"/>
        <v>-79214976.393731043</v>
      </c>
      <c r="M1481" s="471">
        <f t="shared" si="129"/>
        <v>0.05</v>
      </c>
      <c r="N1481" s="475">
        <f t="shared" si="130"/>
        <v>96120</v>
      </c>
    </row>
    <row r="1482" spans="7:14" ht="11.25" customHeight="1" x14ac:dyDescent="0.3">
      <c r="G1482" s="470"/>
      <c r="H1482" s="470">
        <v>1475</v>
      </c>
      <c r="I1482" s="455">
        <f t="shared" ca="1" si="128"/>
        <v>-79214976.393731043</v>
      </c>
      <c r="J1482" s="455">
        <f t="array" ref="J1482">IFERROR(INDEX('Retirement Calculator'!J:J,MATCH('Isaac 401k'!N1482,'Retirement Calculator'!A:A,0),0),0)</f>
        <v>0</v>
      </c>
      <c r="K1482" s="455">
        <f t="shared" ca="1" si="126"/>
        <v>-330062.40164054598</v>
      </c>
      <c r="L1482" s="455">
        <f t="shared" ca="1" si="127"/>
        <v>-79545038.795371592</v>
      </c>
      <c r="M1482" s="471">
        <f t="shared" si="129"/>
        <v>0.05</v>
      </c>
      <c r="N1482" s="475">
        <f t="shared" si="130"/>
        <v>96151</v>
      </c>
    </row>
    <row r="1483" spans="7:14" ht="11.25" customHeight="1" x14ac:dyDescent="0.3">
      <c r="G1483" s="470"/>
      <c r="H1483" s="470">
        <v>1476</v>
      </c>
      <c r="I1483" s="455">
        <f t="shared" ca="1" si="128"/>
        <v>-79545038.795371592</v>
      </c>
      <c r="J1483" s="455">
        <f t="array" ref="J1483">IFERROR(INDEX('Retirement Calculator'!J:J,MATCH('Isaac 401k'!N1483,'Retirement Calculator'!A:A,0),0),0)</f>
        <v>0</v>
      </c>
      <c r="K1483" s="455">
        <f t="shared" ca="1" si="126"/>
        <v>-331437.66164738161</v>
      </c>
      <c r="L1483" s="455">
        <f t="shared" ca="1" si="127"/>
        <v>-79876476.457018971</v>
      </c>
      <c r="M1483" s="471">
        <f t="shared" si="129"/>
        <v>0.05</v>
      </c>
      <c r="N1483" s="475">
        <f t="shared" si="130"/>
        <v>96181</v>
      </c>
    </row>
    <row r="1484" spans="7:14" ht="11.25" customHeight="1" x14ac:dyDescent="0.3">
      <c r="G1484" s="470"/>
      <c r="H1484" s="470">
        <v>1477</v>
      </c>
      <c r="I1484" s="455">
        <f t="shared" ca="1" si="128"/>
        <v>-79876476.457018971</v>
      </c>
      <c r="J1484" s="455">
        <f t="array" ref="J1484">IFERROR(INDEX('Retirement Calculator'!J:J,MATCH('Isaac 401k'!N1484,'Retirement Calculator'!A:A,0),0),0)</f>
        <v>0</v>
      </c>
      <c r="K1484" s="455">
        <f t="shared" ca="1" si="126"/>
        <v>-332818.65190424572</v>
      </c>
      <c r="L1484" s="455">
        <f t="shared" ca="1" si="127"/>
        <v>-80209295.108923212</v>
      </c>
      <c r="M1484" s="471">
        <f t="shared" si="129"/>
        <v>0.05</v>
      </c>
      <c r="N1484" s="475">
        <f t="shared" si="130"/>
        <v>96212</v>
      </c>
    </row>
    <row r="1485" spans="7:14" ht="11.25" customHeight="1" x14ac:dyDescent="0.3">
      <c r="G1485" s="470"/>
      <c r="H1485" s="470">
        <v>1478</v>
      </c>
      <c r="I1485" s="455">
        <f t="shared" ca="1" si="128"/>
        <v>-80209295.108923212</v>
      </c>
      <c r="J1485" s="455">
        <f t="array" ref="J1485">IFERROR(INDEX('Retirement Calculator'!J:J,MATCH('Isaac 401k'!N1485,'Retirement Calculator'!A:A,0),0),0)</f>
        <v>0</v>
      </c>
      <c r="K1485" s="455">
        <f t="shared" ca="1" si="126"/>
        <v>-334205.39628718002</v>
      </c>
      <c r="L1485" s="455">
        <f t="shared" ca="1" si="127"/>
        <v>-80543500.505210385</v>
      </c>
      <c r="M1485" s="471">
        <f t="shared" si="129"/>
        <v>0.05</v>
      </c>
      <c r="N1485" s="475">
        <f t="shared" si="130"/>
        <v>96242</v>
      </c>
    </row>
    <row r="1486" spans="7:14" ht="11.25" customHeight="1" x14ac:dyDescent="0.3">
      <c r="G1486" s="470"/>
      <c r="H1486" s="470">
        <v>1479</v>
      </c>
      <c r="I1486" s="455">
        <f t="shared" ca="1" si="128"/>
        <v>-80543500.505210385</v>
      </c>
      <c r="J1486" s="455">
        <f t="array" ref="J1486">IFERROR(INDEX('Retirement Calculator'!J:J,MATCH('Isaac 401k'!N1486,'Retirement Calculator'!A:A,0),0),0)</f>
        <v>0</v>
      </c>
      <c r="K1486" s="455">
        <f t="shared" ca="1" si="126"/>
        <v>-335597.91877170996</v>
      </c>
      <c r="L1486" s="455">
        <f t="shared" ca="1" si="127"/>
        <v>-80879098.423982099</v>
      </c>
      <c r="M1486" s="471">
        <f t="shared" si="129"/>
        <v>0.05</v>
      </c>
      <c r="N1486" s="475">
        <f t="shared" si="130"/>
        <v>96273</v>
      </c>
    </row>
    <row r="1487" spans="7:14" ht="11.25" customHeight="1" x14ac:dyDescent="0.3">
      <c r="G1487" s="470"/>
      <c r="H1487" s="470">
        <v>1480</v>
      </c>
      <c r="I1487" s="455">
        <f t="shared" ca="1" si="128"/>
        <v>-80879098.423982099</v>
      </c>
      <c r="J1487" s="455">
        <f t="array" ref="J1487">IFERROR(INDEX('Retirement Calculator'!J:J,MATCH('Isaac 401k'!N1487,'Retirement Calculator'!A:A,0),0),0)</f>
        <v>0</v>
      </c>
      <c r="K1487" s="455">
        <f t="shared" ca="1" si="126"/>
        <v>-336996.24343325873</v>
      </c>
      <c r="L1487" s="455">
        <f t="shared" ca="1" si="127"/>
        <v>-81216094.667415351</v>
      </c>
      <c r="M1487" s="471">
        <f t="shared" si="129"/>
        <v>0.05</v>
      </c>
      <c r="N1487" s="475">
        <f t="shared" si="130"/>
        <v>96304</v>
      </c>
    </row>
    <row r="1488" spans="7:14" ht="11.25" customHeight="1" x14ac:dyDescent="0.3">
      <c r="G1488" s="470"/>
      <c r="H1488" s="470">
        <v>1481</v>
      </c>
      <c r="I1488" s="455">
        <f t="shared" ca="1" si="128"/>
        <v>-81216094.667415351</v>
      </c>
      <c r="J1488" s="455">
        <f t="array" ref="J1488">IFERROR(INDEX('Retirement Calculator'!J:J,MATCH('Isaac 401k'!N1488,'Retirement Calculator'!A:A,0),0),0)</f>
        <v>0</v>
      </c>
      <c r="K1488" s="455">
        <f t="shared" ca="1" si="126"/>
        <v>-338400.39444756397</v>
      </c>
      <c r="L1488" s="455">
        <f t="shared" ca="1" si="127"/>
        <v>-81554495.061862916</v>
      </c>
      <c r="M1488" s="471">
        <f t="shared" si="129"/>
        <v>0.05</v>
      </c>
      <c r="N1488" s="475">
        <f t="shared" si="130"/>
        <v>96334</v>
      </c>
    </row>
    <row r="1489" spans="7:14" ht="11.25" customHeight="1" x14ac:dyDescent="0.3">
      <c r="G1489" s="470"/>
      <c r="H1489" s="470">
        <v>1482</v>
      </c>
      <c r="I1489" s="455">
        <f t="shared" ca="1" si="128"/>
        <v>-81554495.061862916</v>
      </c>
      <c r="J1489" s="455">
        <f t="array" ref="J1489">IFERROR(INDEX('Retirement Calculator'!J:J,MATCH('Isaac 401k'!N1489,'Retirement Calculator'!A:A,0),0),0)</f>
        <v>0</v>
      </c>
      <c r="K1489" s="455">
        <f t="shared" ca="1" si="126"/>
        <v>-339810.39609109546</v>
      </c>
      <c r="L1489" s="455">
        <f t="shared" ca="1" si="127"/>
        <v>-81894305.457954004</v>
      </c>
      <c r="M1489" s="471">
        <f t="shared" si="129"/>
        <v>0.05</v>
      </c>
      <c r="N1489" s="475">
        <f t="shared" si="130"/>
        <v>96365</v>
      </c>
    </row>
    <row r="1490" spans="7:14" ht="11.25" customHeight="1" x14ac:dyDescent="0.3">
      <c r="G1490" s="470"/>
      <c r="H1490" s="470">
        <v>1483</v>
      </c>
      <c r="I1490" s="455">
        <f t="shared" ca="1" si="128"/>
        <v>-81894305.457954004</v>
      </c>
      <c r="J1490" s="455">
        <f t="array" ref="J1490">IFERROR(INDEX('Retirement Calculator'!J:J,MATCH('Isaac 401k'!N1490,'Retirement Calculator'!A:A,0),0),0)</f>
        <v>0</v>
      </c>
      <c r="K1490" s="455">
        <f t="shared" ca="1" si="126"/>
        <v>-341226.27274147503</v>
      </c>
      <c r="L1490" s="455">
        <f t="shared" ca="1" si="127"/>
        <v>-82235531.730695486</v>
      </c>
      <c r="M1490" s="471">
        <f t="shared" si="129"/>
        <v>0.05</v>
      </c>
      <c r="N1490" s="475">
        <f t="shared" si="130"/>
        <v>96395</v>
      </c>
    </row>
    <row r="1491" spans="7:14" ht="11.25" customHeight="1" x14ac:dyDescent="0.3">
      <c r="G1491" s="470"/>
      <c r="H1491" s="470">
        <v>1484</v>
      </c>
      <c r="I1491" s="455">
        <f t="shared" ca="1" si="128"/>
        <v>-82235531.730695486</v>
      </c>
      <c r="J1491" s="455">
        <f t="array" ref="J1491">IFERROR(INDEX('Retirement Calculator'!J:J,MATCH('Isaac 401k'!N1491,'Retirement Calculator'!A:A,0),0),0)</f>
        <v>0</v>
      </c>
      <c r="K1491" s="455">
        <f t="shared" ca="1" si="126"/>
        <v>-342648.04887789785</v>
      </c>
      <c r="L1491" s="455">
        <f t="shared" ca="1" si="127"/>
        <v>-82578179.779573381</v>
      </c>
      <c r="M1491" s="471">
        <f t="shared" si="129"/>
        <v>0.05</v>
      </c>
      <c r="N1491" s="475">
        <f t="shared" si="130"/>
        <v>96426</v>
      </c>
    </row>
    <row r="1492" spans="7:14" ht="11.25" customHeight="1" x14ac:dyDescent="0.3">
      <c r="G1492" s="470"/>
      <c r="H1492" s="470">
        <v>1485</v>
      </c>
      <c r="I1492" s="455">
        <f t="shared" ca="1" si="128"/>
        <v>-82578179.779573381</v>
      </c>
      <c r="J1492" s="455">
        <f t="array" ref="J1492">IFERROR(INDEX('Retirement Calculator'!J:J,MATCH('Isaac 401k'!N1492,'Retirement Calculator'!A:A,0),0),0)</f>
        <v>0</v>
      </c>
      <c r="K1492" s="455">
        <f t="shared" ca="1" si="126"/>
        <v>-344075.74908155575</v>
      </c>
      <c r="L1492" s="455">
        <f t="shared" ca="1" si="127"/>
        <v>-82922255.528654933</v>
      </c>
      <c r="M1492" s="471">
        <f t="shared" si="129"/>
        <v>0.05</v>
      </c>
      <c r="N1492" s="475">
        <f t="shared" si="130"/>
        <v>96457</v>
      </c>
    </row>
    <row r="1493" spans="7:14" ht="11.25" customHeight="1" x14ac:dyDescent="0.3">
      <c r="G1493" s="470"/>
      <c r="H1493" s="470">
        <v>1486</v>
      </c>
      <c r="I1493" s="455">
        <f t="shared" ca="1" si="128"/>
        <v>-82922255.528654933</v>
      </c>
      <c r="J1493" s="455">
        <f t="array" ref="J1493">IFERROR(INDEX('Retirement Calculator'!J:J,MATCH('Isaac 401k'!N1493,'Retirement Calculator'!A:A,0),0),0)</f>
        <v>0</v>
      </c>
      <c r="K1493" s="455">
        <f t="shared" ca="1" si="126"/>
        <v>-345509.39803606219</v>
      </c>
      <c r="L1493" s="455">
        <f t="shared" ca="1" si="127"/>
        <v>-83267764.926690996</v>
      </c>
      <c r="M1493" s="471">
        <f t="shared" si="129"/>
        <v>0.05</v>
      </c>
      <c r="N1493" s="475">
        <f t="shared" si="130"/>
        <v>96486</v>
      </c>
    </row>
    <row r="1494" spans="7:14" ht="11.25" customHeight="1" x14ac:dyDescent="0.3">
      <c r="G1494" s="470"/>
      <c r="H1494" s="470">
        <v>1487</v>
      </c>
      <c r="I1494" s="455">
        <f t="shared" ca="1" si="128"/>
        <v>-83267764.926690996</v>
      </c>
      <c r="J1494" s="455">
        <f t="array" ref="J1494">IFERROR(INDEX('Retirement Calculator'!J:J,MATCH('Isaac 401k'!N1494,'Retirement Calculator'!A:A,0),0),0)</f>
        <v>0</v>
      </c>
      <c r="K1494" s="455">
        <f t="shared" ca="1" si="126"/>
        <v>-346949.02052787913</v>
      </c>
      <c r="L1494" s="455">
        <f t="shared" ca="1" si="127"/>
        <v>-83614713.94721888</v>
      </c>
      <c r="M1494" s="471">
        <f t="shared" si="129"/>
        <v>0.05</v>
      </c>
      <c r="N1494" s="475">
        <f t="shared" si="130"/>
        <v>96517</v>
      </c>
    </row>
    <row r="1495" spans="7:14" ht="11.25" customHeight="1" x14ac:dyDescent="0.3">
      <c r="G1495" s="470"/>
      <c r="H1495" s="470">
        <v>1488</v>
      </c>
      <c r="I1495" s="455">
        <f t="shared" ca="1" si="128"/>
        <v>-83614713.94721888</v>
      </c>
      <c r="J1495" s="455">
        <f t="array" ref="J1495">IFERROR(INDEX('Retirement Calculator'!J:J,MATCH('Isaac 401k'!N1495,'Retirement Calculator'!A:A,0),0),0)</f>
        <v>0</v>
      </c>
      <c r="K1495" s="455">
        <f t="shared" ca="1" si="126"/>
        <v>-348394.64144674531</v>
      </c>
      <c r="L1495" s="455">
        <f t="shared" ca="1" si="127"/>
        <v>-83963108.588665619</v>
      </c>
      <c r="M1495" s="471">
        <f t="shared" si="129"/>
        <v>0.05</v>
      </c>
      <c r="N1495" s="475">
        <f t="shared" si="130"/>
        <v>96547</v>
      </c>
    </row>
    <row r="1496" spans="7:14" ht="11.25" customHeight="1" x14ac:dyDescent="0.3">
      <c r="G1496" s="470"/>
      <c r="H1496" s="470">
        <v>1489</v>
      </c>
      <c r="I1496" s="455">
        <f t="shared" ca="1" si="128"/>
        <v>-83963108.588665619</v>
      </c>
      <c r="J1496" s="455">
        <f t="array" ref="J1496">IFERROR(INDEX('Retirement Calculator'!J:J,MATCH('Isaac 401k'!N1496,'Retirement Calculator'!A:A,0),0),0)</f>
        <v>0</v>
      </c>
      <c r="K1496" s="455">
        <f t="shared" ca="1" si="126"/>
        <v>-349846.28578610672</v>
      </c>
      <c r="L1496" s="455">
        <f t="shared" ca="1" si="127"/>
        <v>-84312954.874451727</v>
      </c>
      <c r="M1496" s="471">
        <f t="shared" si="129"/>
        <v>0.05</v>
      </c>
      <c r="N1496" s="475">
        <f t="shared" si="130"/>
        <v>96578</v>
      </c>
    </row>
    <row r="1497" spans="7:14" ht="11.25" customHeight="1" x14ac:dyDescent="0.3">
      <c r="G1497" s="470"/>
      <c r="H1497" s="470">
        <v>1490</v>
      </c>
      <c r="I1497" s="455">
        <f t="shared" ca="1" si="128"/>
        <v>-84312954.874451727</v>
      </c>
      <c r="J1497" s="455">
        <f t="array" ref="J1497">IFERROR(INDEX('Retirement Calculator'!J:J,MATCH('Isaac 401k'!N1497,'Retirement Calculator'!A:A,0),0),0)</f>
        <v>0</v>
      </c>
      <c r="K1497" s="455">
        <f t="shared" ca="1" si="126"/>
        <v>-351303.97864354885</v>
      </c>
      <c r="L1497" s="455">
        <f t="shared" ca="1" si="127"/>
        <v>-84664258.853095278</v>
      </c>
      <c r="M1497" s="471">
        <f t="shared" si="129"/>
        <v>0.05</v>
      </c>
      <c r="N1497" s="475">
        <f t="shared" si="130"/>
        <v>96608</v>
      </c>
    </row>
    <row r="1498" spans="7:14" ht="11.25" customHeight="1" x14ac:dyDescent="0.3">
      <c r="G1498" s="470"/>
      <c r="H1498" s="470">
        <v>1491</v>
      </c>
      <c r="I1498" s="455">
        <f t="shared" ca="1" si="128"/>
        <v>-84664258.853095278</v>
      </c>
      <c r="J1498" s="455">
        <f t="array" ref="J1498">IFERROR(INDEX('Retirement Calculator'!J:J,MATCH('Isaac 401k'!N1498,'Retirement Calculator'!A:A,0),0),0)</f>
        <v>0</v>
      </c>
      <c r="K1498" s="455">
        <f t="shared" ca="1" si="126"/>
        <v>-352767.74522123032</v>
      </c>
      <c r="L1498" s="455">
        <f t="shared" ca="1" si="127"/>
        <v>-85017026.598316506</v>
      </c>
      <c r="M1498" s="471">
        <f t="shared" si="129"/>
        <v>0.05</v>
      </c>
      <c r="N1498" s="475">
        <f t="shared" si="130"/>
        <v>96639</v>
      </c>
    </row>
    <row r="1499" spans="7:14" ht="11.25" customHeight="1" x14ac:dyDescent="0.3">
      <c r="G1499" s="470"/>
      <c r="H1499" s="470">
        <v>1492</v>
      </c>
      <c r="I1499" s="455">
        <f t="shared" ca="1" si="128"/>
        <v>-85017026.598316506</v>
      </c>
      <c r="J1499" s="455">
        <f t="array" ref="J1499">IFERROR(INDEX('Retirement Calculator'!J:J,MATCH('Isaac 401k'!N1499,'Retirement Calculator'!A:A,0),0),0)</f>
        <v>0</v>
      </c>
      <c r="K1499" s="455">
        <f t="shared" ca="1" si="126"/>
        <v>-354237.61082631879</v>
      </c>
      <c r="L1499" s="455">
        <f t="shared" ca="1" si="127"/>
        <v>-85371264.209142819</v>
      </c>
      <c r="M1499" s="471">
        <f t="shared" si="129"/>
        <v>0.05</v>
      </c>
      <c r="N1499" s="475">
        <f t="shared" si="130"/>
        <v>96670</v>
      </c>
    </row>
    <row r="1500" spans="7:14" ht="11.25" customHeight="1" x14ac:dyDescent="0.3">
      <c r="G1500" s="470"/>
      <c r="H1500" s="470">
        <v>1493</v>
      </c>
      <c r="I1500" s="455">
        <f t="shared" ca="1" si="128"/>
        <v>-85371264.209142819</v>
      </c>
      <c r="J1500" s="455">
        <f t="array" ref="J1500">IFERROR(INDEX('Retirement Calculator'!J:J,MATCH('Isaac 401k'!N1500,'Retirement Calculator'!A:A,0),0),0)</f>
        <v>0</v>
      </c>
      <c r="K1500" s="455">
        <f t="shared" ca="1" si="126"/>
        <v>-355713.60087142838</v>
      </c>
      <c r="L1500" s="455">
        <f t="shared" ca="1" si="127"/>
        <v>-85726977.810014248</v>
      </c>
      <c r="M1500" s="471">
        <f t="shared" si="129"/>
        <v>0.05</v>
      </c>
      <c r="N1500" s="475">
        <f t="shared" si="130"/>
        <v>96700</v>
      </c>
    </row>
    <row r="1501" spans="7:14" ht="11.25" customHeight="1" x14ac:dyDescent="0.3">
      <c r="G1501" s="470"/>
      <c r="H1501" s="470">
        <v>1494</v>
      </c>
      <c r="I1501" s="455">
        <f t="shared" ca="1" si="128"/>
        <v>-85726977.810014248</v>
      </c>
      <c r="J1501" s="455">
        <f t="array" ref="J1501">IFERROR(INDEX('Retirement Calculator'!J:J,MATCH('Isaac 401k'!N1501,'Retirement Calculator'!A:A,0),0),0)</f>
        <v>0</v>
      </c>
      <c r="K1501" s="455">
        <f t="shared" ca="1" si="126"/>
        <v>-357195.74087505939</v>
      </c>
      <c r="L1501" s="455">
        <f t="shared" ca="1" si="127"/>
        <v>-86084173.550889313</v>
      </c>
      <c r="M1501" s="471">
        <f t="shared" si="129"/>
        <v>0.05</v>
      </c>
      <c r="N1501" s="475">
        <f t="shared" si="130"/>
        <v>96731</v>
      </c>
    </row>
    <row r="1502" spans="7:14" ht="11.25" customHeight="1" x14ac:dyDescent="0.3">
      <c r="G1502" s="470"/>
      <c r="H1502" s="470">
        <v>1495</v>
      </c>
      <c r="I1502" s="455">
        <f t="shared" ca="1" si="128"/>
        <v>-86084173.550889313</v>
      </c>
      <c r="J1502" s="455">
        <f t="array" ref="J1502">IFERROR(INDEX('Retirement Calculator'!J:J,MATCH('Isaac 401k'!N1502,'Retirement Calculator'!A:A,0),0),0)</f>
        <v>0</v>
      </c>
      <c r="K1502" s="455">
        <f t="shared" ca="1" si="126"/>
        <v>-358684.05646203877</v>
      </c>
      <c r="L1502" s="455">
        <f t="shared" ca="1" si="127"/>
        <v>-86442857.607351348</v>
      </c>
      <c r="M1502" s="471">
        <f t="shared" si="129"/>
        <v>0.05</v>
      </c>
      <c r="N1502" s="475">
        <f t="shared" si="130"/>
        <v>96761</v>
      </c>
    </row>
    <row r="1503" spans="7:14" ht="11.25" customHeight="1" x14ac:dyDescent="0.3">
      <c r="G1503" s="470"/>
      <c r="H1503" s="470">
        <v>1496</v>
      </c>
      <c r="I1503" s="455">
        <f t="shared" ca="1" si="128"/>
        <v>-86442857.607351348</v>
      </c>
      <c r="J1503" s="455">
        <f t="array" ref="J1503">IFERROR(INDEX('Retirement Calculator'!J:J,MATCH('Isaac 401k'!N1503,'Retirement Calculator'!A:A,0),0),0)</f>
        <v>0</v>
      </c>
      <c r="K1503" s="455">
        <f t="shared" ca="1" si="126"/>
        <v>-360178.57336396392</v>
      </c>
      <c r="L1503" s="455">
        <f t="shared" ca="1" si="127"/>
        <v>-86803036.180715308</v>
      </c>
      <c r="M1503" s="471">
        <f t="shared" si="129"/>
        <v>0.05</v>
      </c>
      <c r="N1503" s="475">
        <f t="shared" si="130"/>
        <v>96792</v>
      </c>
    </row>
    <row r="1504" spans="7:14" ht="11.25" customHeight="1" x14ac:dyDescent="0.3">
      <c r="G1504" s="470"/>
      <c r="H1504" s="470">
        <v>1497</v>
      </c>
      <c r="I1504" s="455">
        <f t="shared" ca="1" si="128"/>
        <v>-86803036.180715308</v>
      </c>
      <c r="J1504" s="455">
        <f t="array" ref="J1504">IFERROR(INDEX('Retirement Calculator'!J:J,MATCH('Isaac 401k'!N1504,'Retirement Calculator'!A:A,0),0),0)</f>
        <v>0</v>
      </c>
      <c r="K1504" s="455">
        <f t="shared" ca="1" si="126"/>
        <v>-361679.31741964712</v>
      </c>
      <c r="L1504" s="455">
        <f t="shared" ca="1" si="127"/>
        <v>-87164715.498134956</v>
      </c>
      <c r="M1504" s="471">
        <f t="shared" si="129"/>
        <v>0.05</v>
      </c>
      <c r="N1504" s="475">
        <f t="shared" si="130"/>
        <v>96823</v>
      </c>
    </row>
    <row r="1505" spans="7:14" ht="11.25" customHeight="1" x14ac:dyDescent="0.3">
      <c r="G1505" s="470"/>
      <c r="H1505" s="470">
        <v>1498</v>
      </c>
      <c r="I1505" s="455">
        <f t="shared" ca="1" si="128"/>
        <v>-87164715.498134956</v>
      </c>
      <c r="J1505" s="455">
        <f t="array" ref="J1505">IFERROR(INDEX('Retirement Calculator'!J:J,MATCH('Isaac 401k'!N1505,'Retirement Calculator'!A:A,0),0),0)</f>
        <v>0</v>
      </c>
      <c r="K1505" s="455">
        <f t="shared" ca="1" si="126"/>
        <v>-363186.31457556231</v>
      </c>
      <c r="L1505" s="455">
        <f t="shared" ca="1" si="127"/>
        <v>-87527901.812710524</v>
      </c>
      <c r="M1505" s="471">
        <f t="shared" si="129"/>
        <v>0.05</v>
      </c>
      <c r="N1505" s="475">
        <f t="shared" si="130"/>
        <v>96851</v>
      </c>
    </row>
    <row r="1506" spans="7:14" ht="11.25" customHeight="1" x14ac:dyDescent="0.3">
      <c r="G1506" s="470"/>
      <c r="H1506" s="470">
        <v>1499</v>
      </c>
      <c r="I1506" s="455">
        <f t="shared" ca="1" si="128"/>
        <v>-87527901.812710524</v>
      </c>
      <c r="J1506" s="455">
        <f t="array" ref="J1506">IFERROR(INDEX('Retirement Calculator'!J:J,MATCH('Isaac 401k'!N1506,'Retirement Calculator'!A:A,0),0),0)</f>
        <v>0</v>
      </c>
      <c r="K1506" s="455">
        <f t="shared" ca="1" si="126"/>
        <v>-364699.59088629385</v>
      </c>
      <c r="L1506" s="455">
        <f t="shared" ca="1" si="127"/>
        <v>-87892601.403596818</v>
      </c>
      <c r="M1506" s="471">
        <f t="shared" si="129"/>
        <v>0.05</v>
      </c>
      <c r="N1506" s="475">
        <f t="shared" si="130"/>
        <v>96882</v>
      </c>
    </row>
    <row r="1507" spans="7:14" ht="11.25" customHeight="1" x14ac:dyDescent="0.3">
      <c r="G1507" s="470"/>
      <c r="H1507" s="470">
        <v>1500</v>
      </c>
      <c r="I1507" s="455">
        <f t="shared" ca="1" si="128"/>
        <v>-87892601.403596818</v>
      </c>
      <c r="J1507" s="455">
        <f t="array" ref="J1507">IFERROR(INDEX('Retirement Calculator'!J:J,MATCH('Isaac 401k'!N1507,'Retirement Calculator'!A:A,0),0),0)</f>
        <v>0</v>
      </c>
      <c r="K1507" s="455">
        <f t="shared" ca="1" si="126"/>
        <v>-366219.17251498671</v>
      </c>
      <c r="L1507" s="455">
        <f t="shared" ca="1" si="127"/>
        <v>-88258820.576111808</v>
      </c>
      <c r="M1507" s="471">
        <f t="shared" si="129"/>
        <v>0.05</v>
      </c>
      <c r="N1507" s="475">
        <f t="shared" si="130"/>
        <v>96912</v>
      </c>
    </row>
    <row r="1508" spans="7:14" ht="11.25" customHeight="1" x14ac:dyDescent="0.3">
      <c r="G1508" s="470"/>
      <c r="H1508" s="470">
        <v>1501</v>
      </c>
      <c r="I1508" s="455">
        <f t="shared" ca="1" si="128"/>
        <v>-88258820.576111808</v>
      </c>
      <c r="J1508" s="455">
        <f t="array" ref="J1508">IFERROR(INDEX('Retirement Calculator'!J:J,MATCH('Isaac 401k'!N1508,'Retirement Calculator'!A:A,0),0),0)</f>
        <v>0</v>
      </c>
      <c r="K1508" s="455">
        <f t="shared" ca="1" si="126"/>
        <v>-367745.08573379921</v>
      </c>
      <c r="L1508" s="455">
        <f t="shared" ca="1" si="127"/>
        <v>-88626565.66184561</v>
      </c>
      <c r="M1508" s="471">
        <f t="shared" si="129"/>
        <v>0.05</v>
      </c>
      <c r="N1508" s="475">
        <f t="shared" si="130"/>
        <v>96943</v>
      </c>
    </row>
    <row r="1509" spans="7:14" ht="11.25" customHeight="1" x14ac:dyDescent="0.3">
      <c r="G1509" s="470"/>
      <c r="H1509" s="470">
        <v>1502</v>
      </c>
      <c r="I1509" s="455">
        <f t="shared" ca="1" si="128"/>
        <v>-88626565.66184561</v>
      </c>
      <c r="J1509" s="455">
        <f t="array" ref="J1509">IFERROR(INDEX('Retirement Calculator'!J:J,MATCH('Isaac 401k'!N1509,'Retirement Calculator'!A:A,0),0),0)</f>
        <v>0</v>
      </c>
      <c r="K1509" s="455">
        <f t="shared" ca="1" si="126"/>
        <v>-369277.35692435672</v>
      </c>
      <c r="L1509" s="455">
        <f t="shared" ca="1" si="127"/>
        <v>-88995843.018769965</v>
      </c>
      <c r="M1509" s="471">
        <f t="shared" si="129"/>
        <v>0.05</v>
      </c>
      <c r="N1509" s="475">
        <f t="shared" si="130"/>
        <v>96973</v>
      </c>
    </row>
    <row r="1510" spans="7:14" ht="11.25" customHeight="1" x14ac:dyDescent="0.3">
      <c r="G1510" s="470"/>
      <c r="H1510" s="470">
        <v>1503</v>
      </c>
      <c r="I1510" s="455">
        <f t="shared" ca="1" si="128"/>
        <v>-88995843.018769965</v>
      </c>
      <c r="J1510" s="455">
        <f t="array" ref="J1510">IFERROR(INDEX('Retirement Calculator'!J:J,MATCH('Isaac 401k'!N1510,'Retirement Calculator'!A:A,0),0),0)</f>
        <v>0</v>
      </c>
      <c r="K1510" s="455">
        <f t="shared" ca="1" si="126"/>
        <v>-370816.01257820817</v>
      </c>
      <c r="L1510" s="455">
        <f t="shared" ca="1" si="127"/>
        <v>-89366659.031348169</v>
      </c>
      <c r="M1510" s="471">
        <f t="shared" si="129"/>
        <v>0.05</v>
      </c>
      <c r="N1510" s="475">
        <f t="shared" si="130"/>
        <v>97004</v>
      </c>
    </row>
    <row r="1511" spans="7:14" ht="11.25" customHeight="1" x14ac:dyDescent="0.3">
      <c r="G1511" s="470"/>
      <c r="H1511" s="470">
        <v>1504</v>
      </c>
      <c r="I1511" s="455">
        <f t="shared" ca="1" si="128"/>
        <v>-89366659.031348169</v>
      </c>
      <c r="J1511" s="455">
        <f t="array" ref="J1511">IFERROR(INDEX('Retirement Calculator'!J:J,MATCH('Isaac 401k'!N1511,'Retirement Calculator'!A:A,0),0),0)</f>
        <v>0</v>
      </c>
      <c r="K1511" s="455">
        <f t="shared" ca="1" si="126"/>
        <v>-372361.07929728401</v>
      </c>
      <c r="L1511" s="455">
        <f t="shared" ca="1" si="127"/>
        <v>-89739020.110645458</v>
      </c>
      <c r="M1511" s="471">
        <f t="shared" si="129"/>
        <v>0.05</v>
      </c>
      <c r="N1511" s="475">
        <f t="shared" si="130"/>
        <v>97035</v>
      </c>
    </row>
    <row r="1512" spans="7:14" ht="11.25" customHeight="1" x14ac:dyDescent="0.3">
      <c r="G1512" s="470"/>
      <c r="H1512" s="470">
        <v>1505</v>
      </c>
      <c r="I1512" s="455">
        <f t="shared" ca="1" si="128"/>
        <v>-89739020.110645458</v>
      </c>
      <c r="J1512" s="455">
        <f t="array" ref="J1512">IFERROR(INDEX('Retirement Calculator'!J:J,MATCH('Isaac 401k'!N1512,'Retirement Calculator'!A:A,0),0),0)</f>
        <v>0</v>
      </c>
      <c r="K1512" s="455">
        <f t="shared" ca="1" si="126"/>
        <v>-373912.58379435609</v>
      </c>
      <c r="L1512" s="455">
        <f t="shared" ca="1" si="127"/>
        <v>-90112932.694439813</v>
      </c>
      <c r="M1512" s="471">
        <f t="shared" si="129"/>
        <v>0.05</v>
      </c>
      <c r="N1512" s="475">
        <f t="shared" si="130"/>
        <v>97065</v>
      </c>
    </row>
    <row r="1513" spans="7:14" ht="11.25" customHeight="1" x14ac:dyDescent="0.3">
      <c r="G1513" s="470"/>
      <c r="H1513" s="470">
        <v>1506</v>
      </c>
      <c r="I1513" s="455">
        <f t="shared" ca="1" si="128"/>
        <v>-90112932.694439813</v>
      </c>
      <c r="J1513" s="455">
        <f t="array" ref="J1513">IFERROR(INDEX('Retirement Calculator'!J:J,MATCH('Isaac 401k'!N1513,'Retirement Calculator'!A:A,0),0),0)</f>
        <v>0</v>
      </c>
      <c r="K1513" s="455">
        <f t="shared" ca="1" si="126"/>
        <v>-375470.5528934992</v>
      </c>
      <c r="L1513" s="455">
        <f t="shared" ca="1" si="127"/>
        <v>-90488403.247333318</v>
      </c>
      <c r="M1513" s="471">
        <f t="shared" si="129"/>
        <v>0.05</v>
      </c>
      <c r="N1513" s="475">
        <f t="shared" si="130"/>
        <v>97096</v>
      </c>
    </row>
    <row r="1514" spans="7:14" ht="11.25" customHeight="1" x14ac:dyDescent="0.3">
      <c r="G1514" s="470"/>
      <c r="H1514" s="470">
        <v>1507</v>
      </c>
      <c r="I1514" s="455">
        <f t="shared" ca="1" si="128"/>
        <v>-90488403.247333318</v>
      </c>
      <c r="J1514" s="455">
        <f t="array" ref="J1514">IFERROR(INDEX('Retirement Calculator'!J:J,MATCH('Isaac 401k'!N1514,'Retirement Calculator'!A:A,0),0),0)</f>
        <v>0</v>
      </c>
      <c r="K1514" s="455">
        <f t="shared" ca="1" si="126"/>
        <v>-377035.01353055547</v>
      </c>
      <c r="L1514" s="455">
        <f t="shared" ca="1" si="127"/>
        <v>-90865438.26086387</v>
      </c>
      <c r="M1514" s="471">
        <f t="shared" si="129"/>
        <v>0.05</v>
      </c>
      <c r="N1514" s="475">
        <f t="shared" si="130"/>
        <v>97126</v>
      </c>
    </row>
    <row r="1515" spans="7:14" ht="11.25" customHeight="1" x14ac:dyDescent="0.3">
      <c r="G1515" s="470"/>
      <c r="H1515" s="470">
        <v>1508</v>
      </c>
      <c r="I1515" s="455">
        <f t="shared" ca="1" si="128"/>
        <v>-90865438.26086387</v>
      </c>
      <c r="J1515" s="455">
        <f t="array" ref="J1515">IFERROR(INDEX('Retirement Calculator'!J:J,MATCH('Isaac 401k'!N1515,'Retirement Calculator'!A:A,0),0),0)</f>
        <v>0</v>
      </c>
      <c r="K1515" s="455">
        <f t="shared" ca="1" si="126"/>
        <v>-378605.99275359948</v>
      </c>
      <c r="L1515" s="455">
        <f t="shared" ca="1" si="127"/>
        <v>-91244044.253617465</v>
      </c>
      <c r="M1515" s="471">
        <f t="shared" si="129"/>
        <v>0.05</v>
      </c>
      <c r="N1515" s="475">
        <f t="shared" si="130"/>
        <v>97157</v>
      </c>
    </row>
    <row r="1516" spans="7:14" ht="11.25" customHeight="1" x14ac:dyDescent="0.3">
      <c r="G1516" s="470"/>
      <c r="H1516" s="470">
        <v>1509</v>
      </c>
      <c r="I1516" s="455">
        <f t="shared" ca="1" si="128"/>
        <v>-91244044.253617465</v>
      </c>
      <c r="J1516" s="455">
        <f t="array" ref="J1516">IFERROR(INDEX('Retirement Calculator'!J:J,MATCH('Isaac 401k'!N1516,'Retirement Calculator'!A:A,0),0),0)</f>
        <v>0</v>
      </c>
      <c r="K1516" s="455">
        <f t="shared" ca="1" si="126"/>
        <v>-380183.51772340608</v>
      </c>
      <c r="L1516" s="455">
        <f t="shared" ca="1" si="127"/>
        <v>-91624227.771340877</v>
      </c>
      <c r="M1516" s="471">
        <f t="shared" si="129"/>
        <v>0.05</v>
      </c>
      <c r="N1516" s="475">
        <f t="shared" si="130"/>
        <v>97188</v>
      </c>
    </row>
    <row r="1517" spans="7:14" ht="11.25" customHeight="1" x14ac:dyDescent="0.3">
      <c r="G1517" s="470"/>
      <c r="H1517" s="470">
        <v>1510</v>
      </c>
      <c r="I1517" s="455">
        <f t="shared" ca="1" si="128"/>
        <v>-91624227.771340877</v>
      </c>
      <c r="J1517" s="455">
        <f t="array" ref="J1517">IFERROR(INDEX('Retirement Calculator'!J:J,MATCH('Isaac 401k'!N1517,'Retirement Calculator'!A:A,0),0),0)</f>
        <v>0</v>
      </c>
      <c r="K1517" s="455">
        <f t="shared" ca="1" si="126"/>
        <v>-381767.61571392033</v>
      </c>
      <c r="L1517" s="455">
        <f t="shared" ca="1" si="127"/>
        <v>-92005995.387054801</v>
      </c>
      <c r="M1517" s="471">
        <f t="shared" si="129"/>
        <v>0.05</v>
      </c>
      <c r="N1517" s="475">
        <f t="shared" si="130"/>
        <v>97216</v>
      </c>
    </row>
    <row r="1518" spans="7:14" ht="11.25" customHeight="1" x14ac:dyDescent="0.3">
      <c r="G1518" s="470"/>
      <c r="H1518" s="470">
        <v>1511</v>
      </c>
      <c r="I1518" s="455">
        <f t="shared" ca="1" si="128"/>
        <v>-92005995.387054801</v>
      </c>
      <c r="J1518" s="455">
        <f t="array" ref="J1518">IFERROR(INDEX('Retirement Calculator'!J:J,MATCH('Isaac 401k'!N1518,'Retirement Calculator'!A:A,0),0),0)</f>
        <v>0</v>
      </c>
      <c r="K1518" s="455">
        <f t="shared" ca="1" si="126"/>
        <v>-383358.31411272835</v>
      </c>
      <c r="L1518" s="455">
        <f t="shared" ca="1" si="127"/>
        <v>-92389353.701167524</v>
      </c>
      <c r="M1518" s="471">
        <f t="shared" si="129"/>
        <v>0.05</v>
      </c>
      <c r="N1518" s="475">
        <f t="shared" si="130"/>
        <v>97247</v>
      </c>
    </row>
    <row r="1519" spans="7:14" ht="11.25" customHeight="1" x14ac:dyDescent="0.3">
      <c r="G1519" s="470"/>
      <c r="H1519" s="470">
        <v>1512</v>
      </c>
      <c r="I1519" s="455">
        <f t="shared" ca="1" si="128"/>
        <v>-92389353.701167524</v>
      </c>
      <c r="J1519" s="455">
        <f t="array" ref="J1519">IFERROR(INDEX('Retirement Calculator'!J:J,MATCH('Isaac 401k'!N1519,'Retirement Calculator'!A:A,0),0),0)</f>
        <v>0</v>
      </c>
      <c r="K1519" s="455">
        <f t="shared" ca="1" si="126"/>
        <v>-384955.64042153134</v>
      </c>
      <c r="L1519" s="455">
        <f t="shared" ca="1" si="127"/>
        <v>-92774309.341589049</v>
      </c>
      <c r="M1519" s="471">
        <f t="shared" si="129"/>
        <v>0.05</v>
      </c>
      <c r="N1519" s="475">
        <f t="shared" si="130"/>
        <v>97277</v>
      </c>
    </row>
    <row r="1520" spans="7:14" ht="11.25" customHeight="1" x14ac:dyDescent="0.3">
      <c r="G1520" s="470"/>
      <c r="H1520" s="470">
        <v>1513</v>
      </c>
      <c r="I1520" s="455">
        <f t="shared" ca="1" si="128"/>
        <v>-92774309.341589049</v>
      </c>
      <c r="J1520" s="455">
        <f t="array" ref="J1520">IFERROR(INDEX('Retirement Calculator'!J:J,MATCH('Isaac 401k'!N1520,'Retirement Calculator'!A:A,0),0),0)</f>
        <v>0</v>
      </c>
      <c r="K1520" s="455">
        <f t="shared" ca="1" si="126"/>
        <v>-386559.62225662102</v>
      </c>
      <c r="L1520" s="455">
        <f t="shared" ca="1" si="127"/>
        <v>-93160868.96384567</v>
      </c>
      <c r="M1520" s="471">
        <f t="shared" si="129"/>
        <v>0.05</v>
      </c>
      <c r="N1520" s="475">
        <f t="shared" si="130"/>
        <v>97308</v>
      </c>
    </row>
    <row r="1521" spans="7:14" ht="11.25" customHeight="1" x14ac:dyDescent="0.3">
      <c r="G1521" s="470"/>
      <c r="H1521" s="470">
        <v>1514</v>
      </c>
      <c r="I1521" s="455">
        <f t="shared" ca="1" si="128"/>
        <v>-93160868.96384567</v>
      </c>
      <c r="J1521" s="455">
        <f t="array" ref="J1521">IFERROR(INDEX('Retirement Calculator'!J:J,MATCH('Isaac 401k'!N1521,'Retirement Calculator'!A:A,0),0),0)</f>
        <v>0</v>
      </c>
      <c r="K1521" s="455">
        <f t="shared" ca="1" si="126"/>
        <v>-388170.28734935698</v>
      </c>
      <c r="L1521" s="455">
        <f t="shared" ca="1" si="127"/>
        <v>-93549039.251195028</v>
      </c>
      <c r="M1521" s="471">
        <f t="shared" si="129"/>
        <v>0.05</v>
      </c>
      <c r="N1521" s="475">
        <f t="shared" si="130"/>
        <v>97338</v>
      </c>
    </row>
    <row r="1522" spans="7:14" ht="11.25" customHeight="1" x14ac:dyDescent="0.3">
      <c r="G1522" s="470"/>
      <c r="H1522" s="470">
        <v>1515</v>
      </c>
      <c r="I1522" s="455">
        <f t="shared" ca="1" si="128"/>
        <v>-93549039.251195028</v>
      </c>
      <c r="J1522" s="455">
        <f t="array" ref="J1522">IFERROR(INDEX('Retirement Calculator'!J:J,MATCH('Isaac 401k'!N1522,'Retirement Calculator'!A:A,0),0),0)</f>
        <v>0</v>
      </c>
      <c r="K1522" s="455">
        <f t="shared" ca="1" si="126"/>
        <v>-389787.66354664596</v>
      </c>
      <c r="L1522" s="455">
        <f t="shared" ca="1" si="127"/>
        <v>-93938826.91474168</v>
      </c>
      <c r="M1522" s="471">
        <f t="shared" si="129"/>
        <v>0.05</v>
      </c>
      <c r="N1522" s="475">
        <f t="shared" si="130"/>
        <v>97369</v>
      </c>
    </row>
    <row r="1523" spans="7:14" ht="11.25" customHeight="1" x14ac:dyDescent="0.3">
      <c r="G1523" s="470"/>
      <c r="H1523" s="470">
        <v>1516</v>
      </c>
      <c r="I1523" s="455">
        <f t="shared" ca="1" si="128"/>
        <v>-93938826.91474168</v>
      </c>
      <c r="J1523" s="455">
        <f t="array" ref="J1523">IFERROR(INDEX('Retirement Calculator'!J:J,MATCH('Isaac 401k'!N1523,'Retirement Calculator'!A:A,0),0),0)</f>
        <v>0</v>
      </c>
      <c r="K1523" s="455">
        <f t="shared" ca="1" si="126"/>
        <v>-391411.77881142369</v>
      </c>
      <c r="L1523" s="455">
        <f t="shared" ca="1" si="127"/>
        <v>-94330238.693553105</v>
      </c>
      <c r="M1523" s="471">
        <f t="shared" si="129"/>
        <v>0.05</v>
      </c>
      <c r="N1523" s="475">
        <f t="shared" si="130"/>
        <v>97400</v>
      </c>
    </row>
    <row r="1524" spans="7:14" ht="11.25" customHeight="1" x14ac:dyDescent="0.3">
      <c r="G1524" s="470"/>
      <c r="H1524" s="470">
        <v>1517</v>
      </c>
      <c r="I1524" s="455">
        <f t="shared" ca="1" si="128"/>
        <v>-94330238.693553105</v>
      </c>
      <c r="J1524" s="455">
        <f t="array" ref="J1524">IFERROR(INDEX('Retirement Calculator'!J:J,MATCH('Isaac 401k'!N1524,'Retirement Calculator'!A:A,0),0),0)</f>
        <v>0</v>
      </c>
      <c r="K1524" s="455">
        <f t="shared" ca="1" si="126"/>
        <v>-393042.66122313793</v>
      </c>
      <c r="L1524" s="455">
        <f t="shared" ca="1" si="127"/>
        <v>-94723281.354776248</v>
      </c>
      <c r="M1524" s="471">
        <f t="shared" si="129"/>
        <v>0.05</v>
      </c>
      <c r="N1524" s="475">
        <f t="shared" si="130"/>
        <v>97430</v>
      </c>
    </row>
    <row r="1525" spans="7:14" ht="11.25" customHeight="1" x14ac:dyDescent="0.3">
      <c r="G1525" s="470"/>
      <c r="H1525" s="470">
        <v>1518</v>
      </c>
      <c r="I1525" s="455">
        <f t="shared" ca="1" si="128"/>
        <v>-94723281.354776248</v>
      </c>
      <c r="J1525" s="455">
        <f t="array" ref="J1525">IFERROR(INDEX('Retirement Calculator'!J:J,MATCH('Isaac 401k'!N1525,'Retirement Calculator'!A:A,0),0),0)</f>
        <v>0</v>
      </c>
      <c r="K1525" s="455">
        <f t="shared" ca="1" si="126"/>
        <v>-394680.33897823439</v>
      </c>
      <c r="L1525" s="455">
        <f t="shared" ca="1" si="127"/>
        <v>-95117961.693754479</v>
      </c>
      <c r="M1525" s="471">
        <f t="shared" si="129"/>
        <v>0.05</v>
      </c>
      <c r="N1525" s="475">
        <f t="shared" si="130"/>
        <v>97461</v>
      </c>
    </row>
    <row r="1526" spans="7:14" ht="11.25" customHeight="1" x14ac:dyDescent="0.3">
      <c r="G1526" s="470"/>
      <c r="H1526" s="470">
        <v>1519</v>
      </c>
      <c r="I1526" s="455">
        <f t="shared" ca="1" si="128"/>
        <v>-95117961.693754479</v>
      </c>
      <c r="J1526" s="455">
        <f t="array" ref="J1526">IFERROR(INDEX('Retirement Calculator'!J:J,MATCH('Isaac 401k'!N1526,'Retirement Calculator'!A:A,0),0),0)</f>
        <v>0</v>
      </c>
      <c r="K1526" s="455">
        <f t="shared" ca="1" si="126"/>
        <v>-396324.84039064369</v>
      </c>
      <c r="L1526" s="455">
        <f t="shared" ca="1" si="127"/>
        <v>-95514286.534145117</v>
      </c>
      <c r="M1526" s="471">
        <f t="shared" si="129"/>
        <v>0.05</v>
      </c>
      <c r="N1526" s="475">
        <f t="shared" si="130"/>
        <v>97491</v>
      </c>
    </row>
    <row r="1527" spans="7:14" ht="11.25" customHeight="1" x14ac:dyDescent="0.3">
      <c r="G1527" s="470"/>
      <c r="H1527" s="470">
        <v>1520</v>
      </c>
      <c r="I1527" s="455">
        <f t="shared" ca="1" si="128"/>
        <v>-95514286.534145117</v>
      </c>
      <c r="J1527" s="455">
        <f t="array" ref="J1527">IFERROR(INDEX('Retirement Calculator'!J:J,MATCH('Isaac 401k'!N1527,'Retirement Calculator'!A:A,0),0),0)</f>
        <v>0</v>
      </c>
      <c r="K1527" s="455">
        <f t="shared" ca="1" si="126"/>
        <v>-397976.19389227132</v>
      </c>
      <c r="L1527" s="455">
        <f t="shared" ca="1" si="127"/>
        <v>-95912262.728037387</v>
      </c>
      <c r="M1527" s="471">
        <f t="shared" si="129"/>
        <v>0.05</v>
      </c>
      <c r="N1527" s="475">
        <f t="shared" si="130"/>
        <v>97522</v>
      </c>
    </row>
    <row r="1528" spans="7:14" ht="11.25" customHeight="1" x14ac:dyDescent="0.3">
      <c r="G1528" s="470"/>
      <c r="H1528" s="470">
        <v>1521</v>
      </c>
      <c r="I1528" s="455">
        <f t="shared" ca="1" si="128"/>
        <v>-95912262.728037387</v>
      </c>
      <c r="J1528" s="455">
        <f t="array" ref="J1528">IFERROR(INDEX('Retirement Calculator'!J:J,MATCH('Isaac 401k'!N1528,'Retirement Calculator'!A:A,0),0),0)</f>
        <v>0</v>
      </c>
      <c r="K1528" s="455">
        <f t="shared" ca="1" si="126"/>
        <v>-399634.42803348909</v>
      </c>
      <c r="L1528" s="455">
        <f t="shared" ca="1" si="127"/>
        <v>-96311897.156070873</v>
      </c>
      <c r="M1528" s="471">
        <f t="shared" si="129"/>
        <v>0.05</v>
      </c>
      <c r="N1528" s="475">
        <f t="shared" si="130"/>
        <v>97553</v>
      </c>
    </row>
    <row r="1529" spans="7:14" ht="11.25" customHeight="1" x14ac:dyDescent="0.3">
      <c r="G1529" s="470"/>
      <c r="H1529" s="470">
        <v>1522</v>
      </c>
      <c r="I1529" s="455">
        <f t="shared" ca="1" si="128"/>
        <v>-96311897.156070873</v>
      </c>
      <c r="J1529" s="455">
        <f t="array" ref="J1529">IFERROR(INDEX('Retirement Calculator'!J:J,MATCH('Isaac 401k'!N1529,'Retirement Calculator'!A:A,0),0),0)</f>
        <v>0</v>
      </c>
      <c r="K1529" s="455">
        <f t="shared" ca="1" si="126"/>
        <v>-401299.57148362865</v>
      </c>
      <c r="L1529" s="455">
        <f t="shared" ca="1" si="127"/>
        <v>-96713196.7275545</v>
      </c>
      <c r="M1529" s="471">
        <f t="shared" si="129"/>
        <v>0.05</v>
      </c>
      <c r="N1529" s="475">
        <f t="shared" si="130"/>
        <v>97581</v>
      </c>
    </row>
    <row r="1530" spans="7:14" ht="11.25" customHeight="1" x14ac:dyDescent="0.3">
      <c r="G1530" s="470"/>
      <c r="H1530" s="470">
        <v>1523</v>
      </c>
      <c r="I1530" s="455">
        <f t="shared" ca="1" si="128"/>
        <v>-96713196.7275545</v>
      </c>
      <c r="J1530" s="455">
        <f t="array" ref="J1530">IFERROR(INDEX('Retirement Calculator'!J:J,MATCH('Isaac 401k'!N1530,'Retirement Calculator'!A:A,0),0),0)</f>
        <v>0</v>
      </c>
      <c r="K1530" s="455">
        <f t="shared" ca="1" si="126"/>
        <v>-402971.65303147706</v>
      </c>
      <c r="L1530" s="455">
        <f t="shared" ca="1" si="127"/>
        <v>-97116168.380585983</v>
      </c>
      <c r="M1530" s="471">
        <f t="shared" si="129"/>
        <v>0.05</v>
      </c>
      <c r="N1530" s="475">
        <f t="shared" si="130"/>
        <v>97612</v>
      </c>
    </row>
    <row r="1531" spans="7:14" ht="11.25" customHeight="1" x14ac:dyDescent="0.3">
      <c r="G1531" s="470"/>
      <c r="H1531" s="470">
        <v>1524</v>
      </c>
      <c r="I1531" s="455">
        <f t="shared" ca="1" si="128"/>
        <v>-97116168.380585983</v>
      </c>
      <c r="J1531" s="455">
        <f t="array" ref="J1531">IFERROR(INDEX('Retirement Calculator'!J:J,MATCH('Isaac 401k'!N1531,'Retirement Calculator'!A:A,0),0),0)</f>
        <v>0</v>
      </c>
      <c r="K1531" s="455">
        <f t="shared" ca="1" si="126"/>
        <v>-404650.70158577495</v>
      </c>
      <c r="L1531" s="455">
        <f t="shared" ca="1" si="127"/>
        <v>-97520819.082171753</v>
      </c>
      <c r="M1531" s="471">
        <f t="shared" si="129"/>
        <v>0.05</v>
      </c>
      <c r="N1531" s="475">
        <f t="shared" si="130"/>
        <v>97642</v>
      </c>
    </row>
    <row r="1532" spans="7:14" ht="11.25" customHeight="1" x14ac:dyDescent="0.3">
      <c r="G1532" s="470"/>
      <c r="H1532" s="470">
        <v>1525</v>
      </c>
      <c r="I1532" s="455">
        <f t="shared" ca="1" si="128"/>
        <v>-97520819.082171753</v>
      </c>
      <c r="J1532" s="455">
        <f t="array" ref="J1532">IFERROR(INDEX('Retirement Calculator'!J:J,MATCH('Isaac 401k'!N1532,'Retirement Calculator'!A:A,0),0),0)</f>
        <v>0</v>
      </c>
      <c r="K1532" s="455">
        <f t="shared" ca="1" si="126"/>
        <v>-406336.74617571564</v>
      </c>
      <c r="L1532" s="455">
        <f t="shared" ca="1" si="127"/>
        <v>-97927155.828347474</v>
      </c>
      <c r="M1532" s="471">
        <f t="shared" si="129"/>
        <v>0.05</v>
      </c>
      <c r="N1532" s="475">
        <f t="shared" si="130"/>
        <v>97673</v>
      </c>
    </row>
    <row r="1533" spans="7:14" ht="11.25" customHeight="1" x14ac:dyDescent="0.3">
      <c r="G1533" s="470"/>
      <c r="H1533" s="470">
        <v>1526</v>
      </c>
      <c r="I1533" s="455">
        <f t="shared" ca="1" si="128"/>
        <v>-97927155.828347474</v>
      </c>
      <c r="J1533" s="455">
        <f t="array" ref="J1533">IFERROR(INDEX('Retirement Calculator'!J:J,MATCH('Isaac 401k'!N1533,'Retirement Calculator'!A:A,0),0),0)</f>
        <v>0</v>
      </c>
      <c r="K1533" s="455">
        <f t="shared" ca="1" si="126"/>
        <v>-408029.81595144782</v>
      </c>
      <c r="L1533" s="455">
        <f t="shared" ca="1" si="127"/>
        <v>-98335185.644298926</v>
      </c>
      <c r="M1533" s="471">
        <f t="shared" si="129"/>
        <v>0.05</v>
      </c>
      <c r="N1533" s="475">
        <f t="shared" si="130"/>
        <v>97703</v>
      </c>
    </row>
    <row r="1534" spans="7:14" ht="11.25" customHeight="1" x14ac:dyDescent="0.3">
      <c r="G1534" s="470"/>
      <c r="H1534" s="470">
        <v>1527</v>
      </c>
      <c r="I1534" s="455">
        <f t="shared" ca="1" si="128"/>
        <v>-98335185.644298926</v>
      </c>
      <c r="J1534" s="455">
        <f t="array" ref="J1534">IFERROR(INDEX('Retirement Calculator'!J:J,MATCH('Isaac 401k'!N1534,'Retirement Calculator'!A:A,0),0),0)</f>
        <v>0</v>
      </c>
      <c r="K1534" s="455">
        <f t="shared" ca="1" si="126"/>
        <v>-409729.94018457888</v>
      </c>
      <c r="L1534" s="455">
        <f t="shared" ca="1" si="127"/>
        <v>-98744915.584483504</v>
      </c>
      <c r="M1534" s="471">
        <f t="shared" si="129"/>
        <v>0.05</v>
      </c>
      <c r="N1534" s="475">
        <f t="shared" si="130"/>
        <v>97734</v>
      </c>
    </row>
    <row r="1535" spans="7:14" ht="11.25" customHeight="1" x14ac:dyDescent="0.3">
      <c r="G1535" s="470"/>
      <c r="H1535" s="470">
        <v>1528</v>
      </c>
      <c r="I1535" s="455">
        <f t="shared" ca="1" si="128"/>
        <v>-98744915.584483504</v>
      </c>
      <c r="J1535" s="455">
        <f t="array" ref="J1535">IFERROR(INDEX('Retirement Calculator'!J:J,MATCH('Isaac 401k'!N1535,'Retirement Calculator'!A:A,0),0),0)</f>
        <v>0</v>
      </c>
      <c r="K1535" s="455">
        <f t="shared" ca="1" si="126"/>
        <v>-411437.14826868125</v>
      </c>
      <c r="L1535" s="455">
        <f t="shared" ca="1" si="127"/>
        <v>-99156352.732752189</v>
      </c>
      <c r="M1535" s="471">
        <f t="shared" si="129"/>
        <v>0.05</v>
      </c>
      <c r="N1535" s="475">
        <f t="shared" si="130"/>
        <v>97765</v>
      </c>
    </row>
    <row r="1536" spans="7:14" ht="11.25" customHeight="1" x14ac:dyDescent="0.3">
      <c r="G1536" s="470"/>
      <c r="H1536" s="470">
        <v>1529</v>
      </c>
      <c r="I1536" s="455">
        <f t="shared" ca="1" si="128"/>
        <v>-99156352.732752189</v>
      </c>
      <c r="J1536" s="455">
        <f t="array" ref="J1536">IFERROR(INDEX('Retirement Calculator'!J:J,MATCH('Isaac 401k'!N1536,'Retirement Calculator'!A:A,0),0),0)</f>
        <v>0</v>
      </c>
      <c r="K1536" s="455">
        <f t="shared" ca="1" si="126"/>
        <v>-413151.46971980081</v>
      </c>
      <c r="L1536" s="455">
        <f t="shared" ca="1" si="127"/>
        <v>-99569504.202471986</v>
      </c>
      <c r="M1536" s="471">
        <f t="shared" si="129"/>
        <v>0.05</v>
      </c>
      <c r="N1536" s="475">
        <f t="shared" si="130"/>
        <v>97795</v>
      </c>
    </row>
    <row r="1537" spans="7:14" ht="11.25" customHeight="1" x14ac:dyDescent="0.3">
      <c r="G1537" s="470"/>
      <c r="H1537" s="470">
        <v>1530</v>
      </c>
      <c r="I1537" s="455">
        <f t="shared" ca="1" si="128"/>
        <v>-99569504.202471986</v>
      </c>
      <c r="J1537" s="455">
        <f t="array" ref="J1537">IFERROR(INDEX('Retirement Calculator'!J:J,MATCH('Isaac 401k'!N1537,'Retirement Calculator'!A:A,0),0),0)</f>
        <v>0</v>
      </c>
      <c r="K1537" s="455">
        <f t="shared" ca="1" si="126"/>
        <v>-414872.93417696661</v>
      </c>
      <c r="L1537" s="455">
        <f t="shared" ca="1" si="127"/>
        <v>-99984377.136648953</v>
      </c>
      <c r="M1537" s="471">
        <f t="shared" si="129"/>
        <v>0.05</v>
      </c>
      <c r="N1537" s="475">
        <f t="shared" si="130"/>
        <v>97826</v>
      </c>
    </row>
    <row r="1538" spans="7:14" ht="11.25" customHeight="1" x14ac:dyDescent="0.3">
      <c r="G1538" s="470"/>
      <c r="H1538" s="470">
        <v>1531</v>
      </c>
      <c r="I1538" s="455">
        <f t="shared" ca="1" si="128"/>
        <v>-99984377.136648953</v>
      </c>
      <c r="J1538" s="455">
        <f t="array" ref="J1538">IFERROR(INDEX('Retirement Calculator'!J:J,MATCH('Isaac 401k'!N1538,'Retirement Calculator'!A:A,0),0),0)</f>
        <v>0</v>
      </c>
      <c r="K1538" s="455">
        <f t="shared" ref="K1538:K1792" ca="1" si="131">IPMT(M1538/12,1,12,-I1538+J1538,,0)</f>
        <v>-416601.57140270399</v>
      </c>
      <c r="L1538" s="455">
        <f t="shared" ref="L1538:L1792" ca="1" si="132">I1538-J1538+K1538</f>
        <v>-100400978.70805165</v>
      </c>
      <c r="M1538" s="471">
        <f t="shared" si="129"/>
        <v>0.05</v>
      </c>
      <c r="N1538" s="475">
        <f t="shared" si="130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33">L1538</f>
        <v>-100400978.70805165</v>
      </c>
      <c r="J1539" s="455">
        <f t="array" ref="J1539">IFERROR(INDEX('Retirement Calculator'!J:J,MATCH('Isaac 401k'!N1539,'Retirement Calculator'!A:A,0),0),0)</f>
        <v>0</v>
      </c>
      <c r="K1539" s="455">
        <f t="shared" ca="1" si="131"/>
        <v>-418337.41128354857</v>
      </c>
      <c r="L1539" s="455">
        <f t="shared" ca="1" si="132"/>
        <v>-100819316.1193352</v>
      </c>
      <c r="M1539" s="471">
        <f t="shared" ref="M1539:M1793" si="134">M1538</f>
        <v>0.05</v>
      </c>
      <c r="N1539" s="475">
        <f t="shared" ref="N1539:N1793" si="135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33"/>
        <v>-100819316.1193352</v>
      </c>
      <c r="J1540" s="455">
        <f t="array" ref="J1540">IFERROR(INDEX('Retirement Calculator'!J:J,MATCH('Isaac 401k'!N1540,'Retirement Calculator'!A:A,0),0),0)</f>
        <v>0</v>
      </c>
      <c r="K1540" s="455">
        <f t="shared" ca="1" si="131"/>
        <v>-420080.48383056337</v>
      </c>
      <c r="L1540" s="455">
        <f t="shared" ca="1" si="132"/>
        <v>-101239396.60316576</v>
      </c>
      <c r="M1540" s="471">
        <f t="shared" si="134"/>
        <v>0.05</v>
      </c>
      <c r="N1540" s="475">
        <f t="shared" si="135"/>
        <v>97918</v>
      </c>
    </row>
    <row r="1541" spans="7:14" ht="11.25" customHeight="1" x14ac:dyDescent="0.3">
      <c r="G1541" s="470"/>
      <c r="H1541" s="470">
        <v>1534</v>
      </c>
      <c r="I1541" s="455">
        <f t="shared" ca="1" si="133"/>
        <v>-101239396.60316576</v>
      </c>
      <c r="J1541" s="455">
        <f t="array" ref="J1541">IFERROR(INDEX('Retirement Calculator'!J:J,MATCH('Isaac 401k'!N1541,'Retirement Calculator'!A:A,0),0),0)</f>
        <v>0</v>
      </c>
      <c r="K1541" s="455">
        <f t="shared" ca="1" si="131"/>
        <v>-421830.81917985732</v>
      </c>
      <c r="L1541" s="455">
        <f t="shared" ca="1" si="132"/>
        <v>-101661227.42234562</v>
      </c>
      <c r="M1541" s="471">
        <f t="shared" si="134"/>
        <v>0.05</v>
      </c>
      <c r="N1541" s="475">
        <f t="shared" si="135"/>
        <v>97947</v>
      </c>
    </row>
    <row r="1542" spans="7:14" ht="11.25" customHeight="1" x14ac:dyDescent="0.3">
      <c r="G1542" s="470"/>
      <c r="H1542" s="470">
        <v>1535</v>
      </c>
      <c r="I1542" s="455">
        <f t="shared" ca="1" si="133"/>
        <v>-101661227.42234562</v>
      </c>
      <c r="J1542" s="455">
        <f t="array" ref="J1542">IFERROR(INDEX('Retirement Calculator'!J:J,MATCH('Isaac 401k'!N1542,'Retirement Calculator'!A:A,0),0),0)</f>
        <v>0</v>
      </c>
      <c r="K1542" s="455">
        <f t="shared" ca="1" si="131"/>
        <v>-423588.44759310677</v>
      </c>
      <c r="L1542" s="455">
        <f t="shared" ca="1" si="132"/>
        <v>-102084815.86993873</v>
      </c>
      <c r="M1542" s="471">
        <f t="shared" si="134"/>
        <v>0.05</v>
      </c>
      <c r="N1542" s="475">
        <f t="shared" si="135"/>
        <v>97978</v>
      </c>
    </row>
    <row r="1543" spans="7:14" ht="11.25" customHeight="1" x14ac:dyDescent="0.3">
      <c r="G1543" s="470"/>
      <c r="H1543" s="470">
        <v>1536</v>
      </c>
      <c r="I1543" s="455">
        <f t="shared" ca="1" si="133"/>
        <v>-102084815.86993873</v>
      </c>
      <c r="J1543" s="455">
        <f t="array" ref="J1543">IFERROR(INDEX('Retirement Calculator'!J:J,MATCH('Isaac 401k'!N1543,'Retirement Calculator'!A:A,0),0),0)</f>
        <v>0</v>
      </c>
      <c r="K1543" s="455">
        <f t="shared" ca="1" si="131"/>
        <v>-425353.39945807803</v>
      </c>
      <c r="L1543" s="455">
        <f t="shared" ca="1" si="132"/>
        <v>-102510169.26939681</v>
      </c>
      <c r="M1543" s="471">
        <f t="shared" si="134"/>
        <v>0.05</v>
      </c>
      <c r="N1543" s="475">
        <f t="shared" si="135"/>
        <v>98008</v>
      </c>
    </row>
    <row r="1544" spans="7:14" ht="11.25" customHeight="1" x14ac:dyDescent="0.3">
      <c r="G1544" s="470"/>
      <c r="H1544" s="470">
        <v>1537</v>
      </c>
      <c r="I1544" s="455">
        <f t="shared" ca="1" si="133"/>
        <v>-102510169.26939681</v>
      </c>
      <c r="J1544" s="455">
        <f t="array" ref="J1544">IFERROR(INDEX('Retirement Calculator'!J:J,MATCH('Isaac 401k'!N1544,'Retirement Calculator'!A:A,0),0),0)</f>
        <v>0</v>
      </c>
      <c r="K1544" s="455">
        <f t="shared" ca="1" si="131"/>
        <v>-427125.70528915338</v>
      </c>
      <c r="L1544" s="455">
        <f t="shared" ca="1" si="132"/>
        <v>-102937294.97468597</v>
      </c>
      <c r="M1544" s="471">
        <f t="shared" si="134"/>
        <v>0.05</v>
      </c>
      <c r="N1544" s="475">
        <f t="shared" si="135"/>
        <v>98039</v>
      </c>
    </row>
    <row r="1545" spans="7:14" ht="11.25" customHeight="1" x14ac:dyDescent="0.3">
      <c r="G1545" s="470"/>
      <c r="H1545" s="470">
        <v>1538</v>
      </c>
      <c r="I1545" s="455">
        <f t="shared" ca="1" si="133"/>
        <v>-102937294.97468597</v>
      </c>
      <c r="J1545" s="455">
        <f t="array" ref="J1545">IFERROR(INDEX('Retirement Calculator'!J:J,MATCH('Isaac 401k'!N1545,'Retirement Calculator'!A:A,0),0),0)</f>
        <v>0</v>
      </c>
      <c r="K1545" s="455">
        <f t="shared" ca="1" si="131"/>
        <v>-428905.39572785818</v>
      </c>
      <c r="L1545" s="455">
        <f t="shared" ca="1" si="132"/>
        <v>-103366200.37041382</v>
      </c>
      <c r="M1545" s="471">
        <f t="shared" si="134"/>
        <v>0.05</v>
      </c>
      <c r="N1545" s="475">
        <f t="shared" si="135"/>
        <v>98069</v>
      </c>
    </row>
    <row r="1546" spans="7:14" ht="11.25" customHeight="1" x14ac:dyDescent="0.3">
      <c r="G1546" s="470"/>
      <c r="H1546" s="470">
        <v>1539</v>
      </c>
      <c r="I1546" s="455">
        <f t="shared" ca="1" si="133"/>
        <v>-103366200.37041382</v>
      </c>
      <c r="J1546" s="455">
        <f t="array" ref="J1546">IFERROR(INDEX('Retirement Calculator'!J:J,MATCH('Isaac 401k'!N1546,'Retirement Calculator'!A:A,0),0),0)</f>
        <v>0</v>
      </c>
      <c r="K1546" s="455">
        <f t="shared" ca="1" si="131"/>
        <v>-430692.50154339091</v>
      </c>
      <c r="L1546" s="455">
        <f t="shared" ca="1" si="132"/>
        <v>-103796892.87195721</v>
      </c>
      <c r="M1546" s="471">
        <f t="shared" si="134"/>
        <v>0.05</v>
      </c>
      <c r="N1546" s="475">
        <f t="shared" si="135"/>
        <v>98100</v>
      </c>
    </row>
    <row r="1547" spans="7:14" ht="11.25" customHeight="1" x14ac:dyDescent="0.3">
      <c r="G1547" s="470"/>
      <c r="H1547" s="470">
        <v>1540</v>
      </c>
      <c r="I1547" s="455">
        <f t="shared" ca="1" si="133"/>
        <v>-103796892.87195721</v>
      </c>
      <c r="J1547" s="455">
        <f t="array" ref="J1547">IFERROR(INDEX('Retirement Calculator'!J:J,MATCH('Isaac 401k'!N1547,'Retirement Calculator'!A:A,0),0),0)</f>
        <v>0</v>
      </c>
      <c r="K1547" s="455">
        <f t="shared" ca="1" si="131"/>
        <v>-432487.05363315507</v>
      </c>
      <c r="L1547" s="455">
        <f t="shared" ca="1" si="132"/>
        <v>-104229379.92559037</v>
      </c>
      <c r="M1547" s="471">
        <f t="shared" si="134"/>
        <v>0.05</v>
      </c>
      <c r="N1547" s="475">
        <f t="shared" si="135"/>
        <v>98131</v>
      </c>
    </row>
    <row r="1548" spans="7:14" ht="11.25" customHeight="1" x14ac:dyDescent="0.3">
      <c r="G1548" s="470"/>
      <c r="H1548" s="470">
        <v>1541</v>
      </c>
      <c r="I1548" s="455">
        <f t="shared" ca="1" si="133"/>
        <v>-104229379.92559037</v>
      </c>
      <c r="J1548" s="455">
        <f t="array" ref="J1548">IFERROR(INDEX('Retirement Calculator'!J:J,MATCH('Isaac 401k'!N1548,'Retirement Calculator'!A:A,0),0),0)</f>
        <v>0</v>
      </c>
      <c r="K1548" s="455">
        <f t="shared" ca="1" si="131"/>
        <v>-434289.08302329318</v>
      </c>
      <c r="L1548" s="455">
        <f t="shared" ca="1" si="132"/>
        <v>-104663669.00861366</v>
      </c>
      <c r="M1548" s="471">
        <f t="shared" si="134"/>
        <v>0.05</v>
      </c>
      <c r="N1548" s="475">
        <f t="shared" si="135"/>
        <v>98161</v>
      </c>
    </row>
    <row r="1549" spans="7:14" ht="11.25" customHeight="1" x14ac:dyDescent="0.3">
      <c r="G1549" s="470"/>
      <c r="H1549" s="470">
        <v>1542</v>
      </c>
      <c r="I1549" s="455">
        <f t="shared" ca="1" si="133"/>
        <v>-104663669.00861366</v>
      </c>
      <c r="J1549" s="455">
        <f t="array" ref="J1549">IFERROR(INDEX('Retirement Calculator'!J:J,MATCH('Isaac 401k'!N1549,'Retirement Calculator'!A:A,0),0),0)</f>
        <v>0</v>
      </c>
      <c r="K1549" s="455">
        <f t="shared" ca="1" si="131"/>
        <v>-436098.62086922355</v>
      </c>
      <c r="L1549" s="455">
        <f t="shared" ca="1" si="132"/>
        <v>-105099767.62948288</v>
      </c>
      <c r="M1549" s="471">
        <f t="shared" si="134"/>
        <v>0.05</v>
      </c>
      <c r="N1549" s="475">
        <f t="shared" si="135"/>
        <v>98192</v>
      </c>
    </row>
    <row r="1550" spans="7:14" ht="11.25" customHeight="1" x14ac:dyDescent="0.3">
      <c r="G1550" s="470"/>
      <c r="H1550" s="470">
        <v>1543</v>
      </c>
      <c r="I1550" s="455">
        <f t="shared" ca="1" si="133"/>
        <v>-105099767.62948288</v>
      </c>
      <c r="J1550" s="455">
        <f t="array" ref="J1550">IFERROR(INDEX('Retirement Calculator'!J:J,MATCH('Isaac 401k'!N1550,'Retirement Calculator'!A:A,0),0),0)</f>
        <v>0</v>
      </c>
      <c r="K1550" s="455">
        <f t="shared" ca="1" si="131"/>
        <v>-437915.69845617859</v>
      </c>
      <c r="L1550" s="455">
        <f t="shared" ca="1" si="132"/>
        <v>-105537683.32793906</v>
      </c>
      <c r="M1550" s="471">
        <f t="shared" si="134"/>
        <v>0.05</v>
      </c>
      <c r="N1550" s="475">
        <f t="shared" si="135"/>
        <v>98222</v>
      </c>
    </row>
    <row r="1551" spans="7:14" ht="11.25" customHeight="1" x14ac:dyDescent="0.3">
      <c r="G1551" s="470"/>
      <c r="H1551" s="470">
        <v>1544</v>
      </c>
      <c r="I1551" s="455">
        <f t="shared" ca="1" si="133"/>
        <v>-105537683.32793906</v>
      </c>
      <c r="J1551" s="455">
        <f t="array" ref="J1551">IFERROR(INDEX('Retirement Calculator'!J:J,MATCH('Isaac 401k'!N1551,'Retirement Calculator'!A:A,0),0),0)</f>
        <v>0</v>
      </c>
      <c r="K1551" s="455">
        <f t="shared" ca="1" si="131"/>
        <v>-439740.347199746</v>
      </c>
      <c r="L1551" s="455">
        <f t="shared" ca="1" si="132"/>
        <v>-105977423.67513882</v>
      </c>
      <c r="M1551" s="471">
        <f t="shared" si="134"/>
        <v>0.05</v>
      </c>
      <c r="N1551" s="475">
        <f t="shared" si="135"/>
        <v>98253</v>
      </c>
    </row>
    <row r="1552" spans="7:14" ht="11.25" customHeight="1" x14ac:dyDescent="0.3">
      <c r="G1552" s="470"/>
      <c r="H1552" s="470">
        <v>1545</v>
      </c>
      <c r="I1552" s="455">
        <f t="shared" ca="1" si="133"/>
        <v>-105977423.67513882</v>
      </c>
      <c r="J1552" s="455">
        <f t="array" ref="J1552">IFERROR(INDEX('Retirement Calculator'!J:J,MATCH('Isaac 401k'!N1552,'Retirement Calculator'!A:A,0),0),0)</f>
        <v>0</v>
      </c>
      <c r="K1552" s="455">
        <f t="shared" ca="1" si="131"/>
        <v>-441572.59864641173</v>
      </c>
      <c r="L1552" s="455">
        <f t="shared" ca="1" si="132"/>
        <v>-106418996.27378523</v>
      </c>
      <c r="M1552" s="471">
        <f t="shared" si="134"/>
        <v>0.05</v>
      </c>
      <c r="N1552" s="475">
        <f t="shared" si="135"/>
        <v>98284</v>
      </c>
    </row>
    <row r="1553" spans="7:14" ht="11.25" customHeight="1" x14ac:dyDescent="0.3">
      <c r="G1553" s="470"/>
      <c r="H1553" s="470">
        <v>1546</v>
      </c>
      <c r="I1553" s="455">
        <f t="shared" ca="1" si="133"/>
        <v>-106418996.27378523</v>
      </c>
      <c r="J1553" s="455">
        <f t="array" ref="J1553">IFERROR(INDEX('Retirement Calculator'!J:J,MATCH('Isaac 401k'!N1553,'Retirement Calculator'!A:A,0),0),0)</f>
        <v>0</v>
      </c>
      <c r="K1553" s="455">
        <f t="shared" ca="1" si="131"/>
        <v>-443412.48447410512</v>
      </c>
      <c r="L1553" s="455">
        <f t="shared" ca="1" si="132"/>
        <v>-106862408.75825934</v>
      </c>
      <c r="M1553" s="471">
        <f t="shared" si="134"/>
        <v>0.05</v>
      </c>
      <c r="N1553" s="475">
        <f t="shared" si="135"/>
        <v>98312</v>
      </c>
    </row>
    <row r="1554" spans="7:14" ht="11.25" customHeight="1" x14ac:dyDescent="0.3">
      <c r="G1554" s="470"/>
      <c r="H1554" s="470">
        <v>1547</v>
      </c>
      <c r="I1554" s="455">
        <f t="shared" ca="1" si="133"/>
        <v>-106862408.75825934</v>
      </c>
      <c r="J1554" s="455">
        <f t="array" ref="J1554">IFERROR(INDEX('Retirement Calculator'!J:J,MATCH('Isaac 401k'!N1554,'Retirement Calculator'!A:A,0),0),0)</f>
        <v>0</v>
      </c>
      <c r="K1554" s="455">
        <f t="shared" ca="1" si="131"/>
        <v>-445260.03649274725</v>
      </c>
      <c r="L1554" s="455">
        <f t="shared" ca="1" si="132"/>
        <v>-107307668.79475209</v>
      </c>
      <c r="M1554" s="471">
        <f t="shared" si="134"/>
        <v>0.05</v>
      </c>
      <c r="N1554" s="475">
        <f t="shared" si="135"/>
        <v>98343</v>
      </c>
    </row>
    <row r="1555" spans="7:14" ht="11.25" customHeight="1" x14ac:dyDescent="0.3">
      <c r="G1555" s="470"/>
      <c r="H1555" s="470">
        <v>1548</v>
      </c>
      <c r="I1555" s="455">
        <f t="shared" ca="1" si="133"/>
        <v>-107307668.79475209</v>
      </c>
      <c r="J1555" s="455">
        <f t="array" ref="J1555">IFERROR(INDEX('Retirement Calculator'!J:J,MATCH('Isaac 401k'!N1555,'Retirement Calculator'!A:A,0),0),0)</f>
        <v>0</v>
      </c>
      <c r="K1555" s="455">
        <f t="shared" ca="1" si="131"/>
        <v>-447115.28664480045</v>
      </c>
      <c r="L1555" s="455">
        <f t="shared" ca="1" si="132"/>
        <v>-107754784.08139689</v>
      </c>
      <c r="M1555" s="471">
        <f t="shared" si="134"/>
        <v>0.05</v>
      </c>
      <c r="N1555" s="475">
        <f t="shared" si="135"/>
        <v>98373</v>
      </c>
    </row>
    <row r="1556" spans="7:14" ht="11.25" customHeight="1" x14ac:dyDescent="0.3">
      <c r="G1556" s="470"/>
      <c r="H1556" s="470">
        <v>1549</v>
      </c>
      <c r="I1556" s="455">
        <f t="shared" ca="1" si="133"/>
        <v>-107754784.08139689</v>
      </c>
      <c r="J1556" s="455">
        <f t="array" ref="J1556">IFERROR(INDEX('Retirement Calculator'!J:J,MATCH('Isaac 401k'!N1556,'Retirement Calculator'!A:A,0),0),0)</f>
        <v>0</v>
      </c>
      <c r="K1556" s="455">
        <f t="shared" ca="1" si="131"/>
        <v>-448978.26700582035</v>
      </c>
      <c r="L1556" s="455">
        <f t="shared" ca="1" si="132"/>
        <v>-108203762.34840271</v>
      </c>
      <c r="M1556" s="471">
        <f t="shared" si="134"/>
        <v>0.05</v>
      </c>
      <c r="N1556" s="475">
        <f t="shared" si="135"/>
        <v>98404</v>
      </c>
    </row>
    <row r="1557" spans="7:14" ht="11.25" customHeight="1" x14ac:dyDescent="0.3">
      <c r="G1557" s="470"/>
      <c r="H1557" s="470">
        <v>1550</v>
      </c>
      <c r="I1557" s="455">
        <f t="shared" ca="1" si="133"/>
        <v>-108203762.34840271</v>
      </c>
      <c r="J1557" s="455">
        <f t="array" ref="J1557">IFERROR(INDEX('Retirement Calculator'!J:J,MATCH('Isaac 401k'!N1557,'Retirement Calculator'!A:A,0),0),0)</f>
        <v>0</v>
      </c>
      <c r="K1557" s="455">
        <f t="shared" ca="1" si="131"/>
        <v>-450849.00978501129</v>
      </c>
      <c r="L1557" s="455">
        <f t="shared" ca="1" si="132"/>
        <v>-108654611.35818772</v>
      </c>
      <c r="M1557" s="471">
        <f t="shared" si="134"/>
        <v>0.05</v>
      </c>
      <c r="N1557" s="475">
        <f t="shared" si="135"/>
        <v>98434</v>
      </c>
    </row>
    <row r="1558" spans="7:14" ht="11.25" customHeight="1" x14ac:dyDescent="0.3">
      <c r="G1558" s="470"/>
      <c r="H1558" s="470">
        <v>1551</v>
      </c>
      <c r="I1558" s="455">
        <f t="shared" ca="1" si="133"/>
        <v>-108654611.35818772</v>
      </c>
      <c r="J1558" s="455">
        <f t="array" ref="J1558">IFERROR(INDEX('Retirement Calculator'!J:J,MATCH('Isaac 401k'!N1558,'Retirement Calculator'!A:A,0),0),0)</f>
        <v>0</v>
      </c>
      <c r="K1558" s="455">
        <f t="shared" ca="1" si="131"/>
        <v>-452727.54732578219</v>
      </c>
      <c r="L1558" s="455">
        <f t="shared" ca="1" si="132"/>
        <v>-109107338.9055135</v>
      </c>
      <c r="M1558" s="471">
        <f t="shared" si="134"/>
        <v>0.05</v>
      </c>
      <c r="N1558" s="475">
        <f t="shared" si="135"/>
        <v>98465</v>
      </c>
    </row>
    <row r="1559" spans="7:14" ht="11.25" customHeight="1" x14ac:dyDescent="0.3">
      <c r="G1559" s="470"/>
      <c r="H1559" s="470">
        <v>1552</v>
      </c>
      <c r="I1559" s="455">
        <f t="shared" ca="1" si="133"/>
        <v>-109107338.9055135</v>
      </c>
      <c r="J1559" s="455">
        <f t="array" ref="J1559">IFERROR(INDEX('Retirement Calculator'!J:J,MATCH('Isaac 401k'!N1559,'Retirement Calculator'!A:A,0),0),0)</f>
        <v>0</v>
      </c>
      <c r="K1559" s="455">
        <f t="shared" ca="1" si="131"/>
        <v>-454613.91210630623</v>
      </c>
      <c r="L1559" s="455">
        <f t="shared" ca="1" si="132"/>
        <v>-109561952.8176198</v>
      </c>
      <c r="M1559" s="471">
        <f t="shared" si="134"/>
        <v>0.05</v>
      </c>
      <c r="N1559" s="475">
        <f t="shared" si="135"/>
        <v>98496</v>
      </c>
    </row>
    <row r="1560" spans="7:14" ht="11.25" customHeight="1" x14ac:dyDescent="0.3">
      <c r="G1560" s="470"/>
      <c r="H1560" s="470">
        <v>1553</v>
      </c>
      <c r="I1560" s="455">
        <f t="shared" ca="1" si="133"/>
        <v>-109561952.8176198</v>
      </c>
      <c r="J1560" s="455">
        <f t="array" ref="J1560">IFERROR(INDEX('Retirement Calculator'!J:J,MATCH('Isaac 401k'!N1560,'Retirement Calculator'!A:A,0),0),0)</f>
        <v>0</v>
      </c>
      <c r="K1560" s="455">
        <f t="shared" ca="1" si="131"/>
        <v>-456508.13674008247</v>
      </c>
      <c r="L1560" s="455">
        <f t="shared" ca="1" si="132"/>
        <v>-110018460.95435989</v>
      </c>
      <c r="M1560" s="471">
        <f t="shared" si="134"/>
        <v>0.05</v>
      </c>
      <c r="N1560" s="475">
        <f t="shared" si="135"/>
        <v>98526</v>
      </c>
    </row>
    <row r="1561" spans="7:14" ht="11.25" customHeight="1" x14ac:dyDescent="0.3">
      <c r="G1561" s="470"/>
      <c r="H1561" s="470">
        <v>1554</v>
      </c>
      <c r="I1561" s="455">
        <f t="shared" ca="1" si="133"/>
        <v>-110018460.95435989</v>
      </c>
      <c r="J1561" s="455">
        <f t="array" ref="J1561">IFERROR(INDEX('Retirement Calculator'!J:J,MATCH('Isaac 401k'!N1561,'Retirement Calculator'!A:A,0),0),0)</f>
        <v>0</v>
      </c>
      <c r="K1561" s="455">
        <f t="shared" ca="1" si="131"/>
        <v>-458410.2539764996</v>
      </c>
      <c r="L1561" s="455">
        <f t="shared" ca="1" si="132"/>
        <v>-110476871.20833638</v>
      </c>
      <c r="M1561" s="471">
        <f t="shared" si="134"/>
        <v>0.05</v>
      </c>
      <c r="N1561" s="475">
        <f t="shared" si="135"/>
        <v>98557</v>
      </c>
    </row>
    <row r="1562" spans="7:14" ht="11.25" customHeight="1" x14ac:dyDescent="0.3">
      <c r="G1562" s="470"/>
      <c r="H1562" s="470">
        <v>1555</v>
      </c>
      <c r="I1562" s="455">
        <f t="shared" ca="1" si="133"/>
        <v>-110476871.20833638</v>
      </c>
      <c r="J1562" s="455">
        <f t="array" ref="J1562">IFERROR(INDEX('Retirement Calculator'!J:J,MATCH('Isaac 401k'!N1562,'Retirement Calculator'!A:A,0),0),0)</f>
        <v>0</v>
      </c>
      <c r="K1562" s="455">
        <f t="shared" ca="1" si="131"/>
        <v>-460320.29670140159</v>
      </c>
      <c r="L1562" s="455">
        <f t="shared" ca="1" si="132"/>
        <v>-110937191.50503778</v>
      </c>
      <c r="M1562" s="471">
        <f t="shared" si="134"/>
        <v>0.05</v>
      </c>
      <c r="N1562" s="475">
        <f t="shared" si="135"/>
        <v>98587</v>
      </c>
    </row>
    <row r="1563" spans="7:14" ht="11.25" customHeight="1" x14ac:dyDescent="0.3">
      <c r="G1563" s="470"/>
      <c r="H1563" s="470">
        <v>1556</v>
      </c>
      <c r="I1563" s="455">
        <f t="shared" ca="1" si="133"/>
        <v>-110937191.50503778</v>
      </c>
      <c r="J1563" s="455">
        <f t="array" ref="J1563">IFERROR(INDEX('Retirement Calculator'!J:J,MATCH('Isaac 401k'!N1563,'Retirement Calculator'!A:A,0),0),0)</f>
        <v>0</v>
      </c>
      <c r="K1563" s="455">
        <f t="shared" ca="1" si="131"/>
        <v>-462238.29793765745</v>
      </c>
      <c r="L1563" s="455">
        <f t="shared" ca="1" si="132"/>
        <v>-111399429.80297545</v>
      </c>
      <c r="M1563" s="471">
        <f t="shared" si="134"/>
        <v>0.05</v>
      </c>
      <c r="N1563" s="475">
        <f t="shared" si="135"/>
        <v>98618</v>
      </c>
    </row>
    <row r="1564" spans="7:14" ht="11.25" customHeight="1" x14ac:dyDescent="0.3">
      <c r="G1564" s="470"/>
      <c r="H1564" s="470">
        <v>1557</v>
      </c>
      <c r="I1564" s="455">
        <f t="shared" ca="1" si="133"/>
        <v>-111399429.80297545</v>
      </c>
      <c r="J1564" s="455">
        <f t="array" ref="J1564">IFERROR(INDEX('Retirement Calculator'!J:J,MATCH('Isaac 401k'!N1564,'Retirement Calculator'!A:A,0),0),0)</f>
        <v>0</v>
      </c>
      <c r="K1564" s="455">
        <f t="shared" ca="1" si="131"/>
        <v>-464164.2908457311</v>
      </c>
      <c r="L1564" s="455">
        <f t="shared" ca="1" si="132"/>
        <v>-111863594.09382118</v>
      </c>
      <c r="M1564" s="471">
        <f t="shared" si="134"/>
        <v>0.05</v>
      </c>
      <c r="N1564" s="475">
        <f t="shared" si="135"/>
        <v>98649</v>
      </c>
    </row>
    <row r="1565" spans="7:14" ht="11.25" customHeight="1" x14ac:dyDescent="0.3">
      <c r="G1565" s="470"/>
      <c r="H1565" s="470">
        <v>1558</v>
      </c>
      <c r="I1565" s="455">
        <f t="shared" ca="1" si="133"/>
        <v>-111863594.09382118</v>
      </c>
      <c r="J1565" s="455">
        <f t="array" ref="J1565">IFERROR(INDEX('Retirement Calculator'!J:J,MATCH('Isaac 401k'!N1565,'Retirement Calculator'!A:A,0),0),0)</f>
        <v>0</v>
      </c>
      <c r="K1565" s="455">
        <f t="shared" ca="1" si="131"/>
        <v>-466098.30872425489</v>
      </c>
      <c r="L1565" s="455">
        <f t="shared" ca="1" si="132"/>
        <v>-112329692.40254544</v>
      </c>
      <c r="M1565" s="471">
        <f t="shared" si="134"/>
        <v>0.05</v>
      </c>
      <c r="N1565" s="475">
        <f t="shared" si="135"/>
        <v>98677</v>
      </c>
    </row>
    <row r="1566" spans="7:14" ht="11.25" customHeight="1" x14ac:dyDescent="0.3">
      <c r="G1566" s="470"/>
      <c r="H1566" s="470">
        <v>1559</v>
      </c>
      <c r="I1566" s="455">
        <f t="shared" ca="1" si="133"/>
        <v>-112329692.40254544</v>
      </c>
      <c r="J1566" s="455">
        <f t="array" ref="J1566">IFERROR(INDEX('Retirement Calculator'!J:J,MATCH('Isaac 401k'!N1566,'Retirement Calculator'!A:A,0),0),0)</f>
        <v>0</v>
      </c>
      <c r="K1566" s="455">
        <f t="shared" ca="1" si="131"/>
        <v>-468040.38501060597</v>
      </c>
      <c r="L1566" s="455">
        <f t="shared" ca="1" si="132"/>
        <v>-112797732.78755604</v>
      </c>
      <c r="M1566" s="471">
        <f t="shared" si="134"/>
        <v>0.05</v>
      </c>
      <c r="N1566" s="475">
        <f t="shared" si="135"/>
        <v>98708</v>
      </c>
    </row>
    <row r="1567" spans="7:14" ht="11.25" customHeight="1" x14ac:dyDescent="0.3">
      <c r="G1567" s="470"/>
      <c r="H1567" s="470">
        <v>1560</v>
      </c>
      <c r="I1567" s="455">
        <f t="shared" ca="1" si="133"/>
        <v>-112797732.78755604</v>
      </c>
      <c r="J1567" s="455">
        <f t="array" ref="J1567">IFERROR(INDEX('Retirement Calculator'!J:J,MATCH('Isaac 401k'!N1567,'Retirement Calculator'!A:A,0),0),0)</f>
        <v>0</v>
      </c>
      <c r="K1567" s="455">
        <f t="shared" ca="1" si="131"/>
        <v>-469990.55328148347</v>
      </c>
      <c r="L1567" s="455">
        <f t="shared" ca="1" si="132"/>
        <v>-113267723.34083752</v>
      </c>
      <c r="M1567" s="471">
        <f t="shared" si="134"/>
        <v>0.05</v>
      </c>
      <c r="N1567" s="475">
        <f t="shared" si="135"/>
        <v>98738</v>
      </c>
    </row>
    <row r="1568" spans="7:14" ht="11.25" customHeight="1" x14ac:dyDescent="0.3">
      <c r="G1568" s="470"/>
      <c r="H1568" s="470">
        <v>1561</v>
      </c>
      <c r="I1568" s="455">
        <f t="shared" ca="1" si="133"/>
        <v>-113267723.34083752</v>
      </c>
      <c r="J1568" s="455">
        <f t="array" ref="J1568">IFERROR(INDEX('Retirement Calculator'!J:J,MATCH('Isaac 401k'!N1568,'Retirement Calculator'!A:A,0),0),0)</f>
        <v>0</v>
      </c>
      <c r="K1568" s="455">
        <f t="shared" ca="1" si="131"/>
        <v>-471948.84725348966</v>
      </c>
      <c r="L1568" s="455">
        <f t="shared" ca="1" si="132"/>
        <v>-113739672.18809101</v>
      </c>
      <c r="M1568" s="471">
        <f t="shared" si="134"/>
        <v>0.05</v>
      </c>
      <c r="N1568" s="475">
        <f t="shared" si="135"/>
        <v>98769</v>
      </c>
    </row>
    <row r="1569" spans="7:14" ht="11.25" customHeight="1" x14ac:dyDescent="0.3">
      <c r="G1569" s="470"/>
      <c r="H1569" s="470">
        <v>1562</v>
      </c>
      <c r="I1569" s="455">
        <f t="shared" ca="1" si="133"/>
        <v>-113739672.18809101</v>
      </c>
      <c r="J1569" s="455">
        <f t="array" ref="J1569">IFERROR(INDEX('Retirement Calculator'!J:J,MATCH('Isaac 401k'!N1569,'Retirement Calculator'!A:A,0),0),0)</f>
        <v>0</v>
      </c>
      <c r="K1569" s="455">
        <f t="shared" ca="1" si="131"/>
        <v>-473915.30078371253</v>
      </c>
      <c r="L1569" s="455">
        <f t="shared" ca="1" si="132"/>
        <v>-114213587.48887472</v>
      </c>
      <c r="M1569" s="471">
        <f t="shared" si="134"/>
        <v>0.05</v>
      </c>
      <c r="N1569" s="475">
        <f t="shared" si="135"/>
        <v>98799</v>
      </c>
    </row>
    <row r="1570" spans="7:14" ht="11.25" customHeight="1" x14ac:dyDescent="0.3">
      <c r="G1570" s="470"/>
      <c r="H1570" s="470">
        <v>1563</v>
      </c>
      <c r="I1570" s="455">
        <f t="shared" ca="1" si="133"/>
        <v>-114213587.48887472</v>
      </c>
      <c r="J1570" s="455">
        <f t="array" ref="J1570">IFERROR(INDEX('Retirement Calculator'!J:J,MATCH('Isaac 401k'!N1570,'Retirement Calculator'!A:A,0),0),0)</f>
        <v>0</v>
      </c>
      <c r="K1570" s="455">
        <f t="shared" ca="1" si="131"/>
        <v>-475889.94787031133</v>
      </c>
      <c r="L1570" s="455">
        <f t="shared" ca="1" si="132"/>
        <v>-114689477.43674503</v>
      </c>
      <c r="M1570" s="471">
        <f t="shared" si="134"/>
        <v>0.05</v>
      </c>
      <c r="N1570" s="475">
        <f t="shared" si="135"/>
        <v>98830</v>
      </c>
    </row>
    <row r="1571" spans="7:14" ht="11.25" customHeight="1" x14ac:dyDescent="0.3">
      <c r="G1571" s="470"/>
      <c r="H1571" s="470">
        <v>1564</v>
      </c>
      <c r="I1571" s="455">
        <f t="shared" ca="1" si="133"/>
        <v>-114689477.43674503</v>
      </c>
      <c r="J1571" s="455">
        <f t="array" ref="J1571">IFERROR(INDEX('Retirement Calculator'!J:J,MATCH('Isaac 401k'!N1571,'Retirement Calculator'!A:A,0),0),0)</f>
        <v>0</v>
      </c>
      <c r="K1571" s="455">
        <f t="shared" ca="1" si="131"/>
        <v>-477872.82265310432</v>
      </c>
      <c r="L1571" s="455">
        <f t="shared" ca="1" si="132"/>
        <v>-115167350.25939813</v>
      </c>
      <c r="M1571" s="471">
        <f t="shared" si="134"/>
        <v>0.05</v>
      </c>
      <c r="N1571" s="475">
        <f t="shared" si="135"/>
        <v>98861</v>
      </c>
    </row>
    <row r="1572" spans="7:14" ht="11.25" customHeight="1" x14ac:dyDescent="0.3">
      <c r="G1572" s="470"/>
      <c r="H1572" s="470">
        <v>1565</v>
      </c>
      <c r="I1572" s="455">
        <f t="shared" ca="1" si="133"/>
        <v>-115167350.25939813</v>
      </c>
      <c r="J1572" s="455">
        <f t="array" ref="J1572">IFERROR(INDEX('Retirement Calculator'!J:J,MATCH('Isaac 401k'!N1572,'Retirement Calculator'!A:A,0),0),0)</f>
        <v>0</v>
      </c>
      <c r="K1572" s="455">
        <f t="shared" ca="1" si="131"/>
        <v>-479863.95941415883</v>
      </c>
      <c r="L1572" s="455">
        <f t="shared" ca="1" si="132"/>
        <v>-115647214.21881229</v>
      </c>
      <c r="M1572" s="471">
        <f t="shared" si="134"/>
        <v>0.05</v>
      </c>
      <c r="N1572" s="475">
        <f t="shared" si="135"/>
        <v>98891</v>
      </c>
    </row>
    <row r="1573" spans="7:14" ht="11.25" customHeight="1" x14ac:dyDescent="0.3">
      <c r="G1573" s="470"/>
      <c r="H1573" s="470">
        <v>1566</v>
      </c>
      <c r="I1573" s="455">
        <f t="shared" ca="1" si="133"/>
        <v>-115647214.21881229</v>
      </c>
      <c r="J1573" s="455">
        <f t="array" ref="J1573">IFERROR(INDEX('Retirement Calculator'!J:J,MATCH('Isaac 401k'!N1573,'Retirement Calculator'!A:A,0),0),0)</f>
        <v>0</v>
      </c>
      <c r="K1573" s="455">
        <f t="shared" ca="1" si="131"/>
        <v>-481863.39257838461</v>
      </c>
      <c r="L1573" s="455">
        <f t="shared" ca="1" si="132"/>
        <v>-116129077.61139067</v>
      </c>
      <c r="M1573" s="471">
        <f t="shared" si="134"/>
        <v>0.05</v>
      </c>
      <c r="N1573" s="475">
        <f t="shared" si="135"/>
        <v>98922</v>
      </c>
    </row>
    <row r="1574" spans="7:14" ht="11.25" customHeight="1" x14ac:dyDescent="0.3">
      <c r="G1574" s="470"/>
      <c r="H1574" s="470">
        <v>1567</v>
      </c>
      <c r="I1574" s="455">
        <f t="shared" ca="1" si="133"/>
        <v>-116129077.61139067</v>
      </c>
      <c r="J1574" s="455">
        <f t="array" ref="J1574">IFERROR(INDEX('Retirement Calculator'!J:J,MATCH('Isaac 401k'!N1574,'Retirement Calculator'!A:A,0),0),0)</f>
        <v>0</v>
      </c>
      <c r="K1574" s="455">
        <f t="shared" ca="1" si="131"/>
        <v>-483871.15671412781</v>
      </c>
      <c r="L1574" s="455">
        <f t="shared" ca="1" si="132"/>
        <v>-116612948.76810479</v>
      </c>
      <c r="M1574" s="471">
        <f t="shared" si="134"/>
        <v>0.05</v>
      </c>
      <c r="N1574" s="475">
        <f t="shared" si="135"/>
        <v>98952</v>
      </c>
    </row>
    <row r="1575" spans="7:14" ht="11.25" customHeight="1" x14ac:dyDescent="0.3">
      <c r="G1575" s="470"/>
      <c r="H1575" s="470">
        <v>1568</v>
      </c>
      <c r="I1575" s="455">
        <f t="shared" ca="1" si="133"/>
        <v>-116612948.76810479</v>
      </c>
      <c r="J1575" s="455">
        <f t="array" ref="J1575">IFERROR(INDEX('Retirement Calculator'!J:J,MATCH('Isaac 401k'!N1575,'Retirement Calculator'!A:A,0),0),0)</f>
        <v>0</v>
      </c>
      <c r="K1575" s="455">
        <f t="shared" ca="1" si="131"/>
        <v>-485887.28653376998</v>
      </c>
      <c r="L1575" s="455">
        <f t="shared" ca="1" si="132"/>
        <v>-117098836.05463856</v>
      </c>
      <c r="M1575" s="471">
        <f t="shared" si="134"/>
        <v>0.05</v>
      </c>
      <c r="N1575" s="475">
        <f t="shared" si="135"/>
        <v>98983</v>
      </c>
    </row>
    <row r="1576" spans="7:14" ht="11.25" customHeight="1" x14ac:dyDescent="0.3">
      <c r="G1576" s="470"/>
      <c r="H1576" s="470">
        <v>1569</v>
      </c>
      <c r="I1576" s="455">
        <f t="shared" ca="1" si="133"/>
        <v>-117098836.05463856</v>
      </c>
      <c r="J1576" s="455">
        <f t="array" ref="J1576">IFERROR(INDEX('Retirement Calculator'!J:J,MATCH('Isaac 401k'!N1576,'Retirement Calculator'!A:A,0),0),0)</f>
        <v>0</v>
      </c>
      <c r="K1576" s="455">
        <f t="shared" ca="1" si="131"/>
        <v>-487911.81689432729</v>
      </c>
      <c r="L1576" s="455">
        <f t="shared" ca="1" si="132"/>
        <v>-117586747.87153289</v>
      </c>
      <c r="M1576" s="471">
        <f t="shared" si="134"/>
        <v>0.05</v>
      </c>
      <c r="N1576" s="475">
        <f t="shared" si="135"/>
        <v>99014</v>
      </c>
    </row>
    <row r="1577" spans="7:14" ht="11.25" customHeight="1" x14ac:dyDescent="0.3">
      <c r="G1577" s="470"/>
      <c r="H1577" s="470">
        <v>1570</v>
      </c>
      <c r="I1577" s="455">
        <f t="shared" ca="1" si="133"/>
        <v>-117586747.87153289</v>
      </c>
      <c r="J1577" s="455">
        <f t="array" ref="J1577">IFERROR(INDEX('Retirement Calculator'!J:J,MATCH('Isaac 401k'!N1577,'Retirement Calculator'!A:A,0),0),0)</f>
        <v>0</v>
      </c>
      <c r="K1577" s="455">
        <f t="shared" ca="1" si="131"/>
        <v>-489944.78279805375</v>
      </c>
      <c r="L1577" s="455">
        <f t="shared" ca="1" si="132"/>
        <v>-118076692.65433094</v>
      </c>
      <c r="M1577" s="471">
        <f t="shared" si="134"/>
        <v>0.05</v>
      </c>
      <c r="N1577" s="475">
        <f t="shared" si="135"/>
        <v>99042</v>
      </c>
    </row>
    <row r="1578" spans="7:14" ht="11.25" customHeight="1" x14ac:dyDescent="0.3">
      <c r="G1578" s="470"/>
      <c r="H1578" s="470">
        <v>1571</v>
      </c>
      <c r="I1578" s="455">
        <f t="shared" ca="1" si="133"/>
        <v>-118076692.65433094</v>
      </c>
      <c r="J1578" s="455">
        <f t="array" ref="J1578">IFERROR(INDEX('Retirement Calculator'!J:J,MATCH('Isaac 401k'!N1578,'Retirement Calculator'!A:A,0),0),0)</f>
        <v>0</v>
      </c>
      <c r="K1578" s="455">
        <f t="shared" ca="1" si="131"/>
        <v>-491986.21939304558</v>
      </c>
      <c r="L1578" s="455">
        <f t="shared" ca="1" si="132"/>
        <v>-118568678.87372398</v>
      </c>
      <c r="M1578" s="471">
        <f t="shared" si="134"/>
        <v>0.05</v>
      </c>
      <c r="N1578" s="475">
        <f t="shared" si="135"/>
        <v>99073</v>
      </c>
    </row>
    <row r="1579" spans="7:14" ht="11.25" customHeight="1" x14ac:dyDescent="0.3">
      <c r="G1579" s="470"/>
      <c r="H1579" s="470">
        <v>1572</v>
      </c>
      <c r="I1579" s="455">
        <f t="shared" ca="1" si="133"/>
        <v>-118568678.87372398</v>
      </c>
      <c r="J1579" s="455">
        <f t="array" ref="J1579">IFERROR(INDEX('Retirement Calculator'!J:J,MATCH('Isaac 401k'!N1579,'Retirement Calculator'!A:A,0),0),0)</f>
        <v>0</v>
      </c>
      <c r="K1579" s="455">
        <f t="shared" ca="1" si="131"/>
        <v>-494036.16197384993</v>
      </c>
      <c r="L1579" s="455">
        <f t="shared" ca="1" si="132"/>
        <v>-119062715.03569783</v>
      </c>
      <c r="M1579" s="471">
        <f t="shared" si="134"/>
        <v>0.05</v>
      </c>
      <c r="N1579" s="475">
        <f t="shared" si="135"/>
        <v>99103</v>
      </c>
    </row>
    <row r="1580" spans="7:14" ht="11.25" customHeight="1" x14ac:dyDescent="0.3">
      <c r="G1580" s="470"/>
      <c r="H1580" s="470">
        <v>1573</v>
      </c>
      <c r="I1580" s="455">
        <f t="shared" ca="1" si="133"/>
        <v>-119062715.03569783</v>
      </c>
      <c r="J1580" s="455">
        <f t="array" ref="J1580">IFERROR(INDEX('Retirement Calculator'!J:J,MATCH('Isaac 401k'!N1580,'Retirement Calculator'!A:A,0),0),0)</f>
        <v>0</v>
      </c>
      <c r="K1580" s="455">
        <f t="shared" ca="1" si="131"/>
        <v>-496094.64598207432</v>
      </c>
      <c r="L1580" s="455">
        <f t="shared" ca="1" si="132"/>
        <v>-119558809.6816799</v>
      </c>
      <c r="M1580" s="471">
        <f t="shared" si="134"/>
        <v>0.05</v>
      </c>
      <c r="N1580" s="475">
        <f t="shared" si="135"/>
        <v>99134</v>
      </c>
    </row>
    <row r="1581" spans="7:14" ht="11.25" customHeight="1" x14ac:dyDescent="0.3">
      <c r="G1581" s="470"/>
      <c r="H1581" s="470">
        <v>1574</v>
      </c>
      <c r="I1581" s="455">
        <f t="shared" ca="1" si="133"/>
        <v>-119558809.6816799</v>
      </c>
      <c r="J1581" s="455">
        <f t="array" ref="J1581">IFERROR(INDEX('Retirement Calculator'!J:J,MATCH('Isaac 401k'!N1581,'Retirement Calculator'!A:A,0),0),0)</f>
        <v>0</v>
      </c>
      <c r="K1581" s="455">
        <f t="shared" ca="1" si="131"/>
        <v>-498161.70700699964</v>
      </c>
      <c r="L1581" s="455">
        <f t="shared" ca="1" si="132"/>
        <v>-120056971.38868691</v>
      </c>
      <c r="M1581" s="471">
        <f t="shared" si="134"/>
        <v>0.05</v>
      </c>
      <c r="N1581" s="475">
        <f t="shared" si="135"/>
        <v>99164</v>
      </c>
    </row>
    <row r="1582" spans="7:14" ht="11.25" customHeight="1" x14ac:dyDescent="0.3">
      <c r="G1582" s="470"/>
      <c r="H1582" s="470">
        <v>1575</v>
      </c>
      <c r="I1582" s="455">
        <f t="shared" ca="1" si="133"/>
        <v>-120056971.38868691</v>
      </c>
      <c r="J1582" s="455">
        <f t="array" ref="J1582">IFERROR(INDEX('Retirement Calculator'!J:J,MATCH('Isaac 401k'!N1582,'Retirement Calculator'!A:A,0),0),0)</f>
        <v>0</v>
      </c>
      <c r="K1582" s="455">
        <f t="shared" ca="1" si="131"/>
        <v>-500237.38078619546</v>
      </c>
      <c r="L1582" s="455">
        <f t="shared" ca="1" si="132"/>
        <v>-120557208.76947311</v>
      </c>
      <c r="M1582" s="471">
        <f t="shared" si="134"/>
        <v>0.05</v>
      </c>
      <c r="N1582" s="475">
        <f t="shared" si="135"/>
        <v>99195</v>
      </c>
    </row>
    <row r="1583" spans="7:14" ht="11.25" customHeight="1" x14ac:dyDescent="0.3">
      <c r="G1583" s="470"/>
      <c r="H1583" s="470">
        <v>1576</v>
      </c>
      <c r="I1583" s="455">
        <f t="shared" ca="1" si="133"/>
        <v>-120557208.76947311</v>
      </c>
      <c r="J1583" s="455">
        <f t="array" ref="J1583">IFERROR(INDEX('Retirement Calculator'!J:J,MATCH('Isaac 401k'!N1583,'Retirement Calculator'!A:A,0),0),0)</f>
        <v>0</v>
      </c>
      <c r="K1583" s="455">
        <f t="shared" ca="1" si="131"/>
        <v>-502321.70320613793</v>
      </c>
      <c r="L1583" s="455">
        <f t="shared" ca="1" si="132"/>
        <v>-121059530.47267924</v>
      </c>
      <c r="M1583" s="471">
        <f t="shared" si="134"/>
        <v>0.05</v>
      </c>
      <c r="N1583" s="475">
        <f t="shared" si="135"/>
        <v>99226</v>
      </c>
    </row>
    <row r="1584" spans="7:14" ht="11.25" customHeight="1" x14ac:dyDescent="0.3">
      <c r="G1584" s="470"/>
      <c r="H1584" s="470">
        <v>1577</v>
      </c>
      <c r="I1584" s="455">
        <f t="shared" ca="1" si="133"/>
        <v>-121059530.47267924</v>
      </c>
      <c r="J1584" s="455">
        <f t="array" ref="J1584">IFERROR(INDEX('Retirement Calculator'!J:J,MATCH('Isaac 401k'!N1584,'Retirement Calculator'!A:A,0),0),0)</f>
        <v>0</v>
      </c>
      <c r="K1584" s="455">
        <f t="shared" ca="1" si="131"/>
        <v>-504414.71030283015</v>
      </c>
      <c r="L1584" s="455">
        <f t="shared" ca="1" si="132"/>
        <v>-121563945.18298207</v>
      </c>
      <c r="M1584" s="471">
        <f t="shared" si="134"/>
        <v>0.05</v>
      </c>
      <c r="N1584" s="475">
        <f t="shared" si="135"/>
        <v>99256</v>
      </c>
    </row>
    <row r="1585" spans="7:14" ht="11.25" customHeight="1" x14ac:dyDescent="0.3">
      <c r="G1585" s="470"/>
      <c r="H1585" s="470">
        <v>1578</v>
      </c>
      <c r="I1585" s="455">
        <f t="shared" ca="1" si="133"/>
        <v>-121563945.18298207</v>
      </c>
      <c r="J1585" s="455">
        <f t="array" ref="J1585">IFERROR(INDEX('Retirement Calculator'!J:J,MATCH('Isaac 401k'!N1585,'Retirement Calculator'!A:A,0),0),0)</f>
        <v>0</v>
      </c>
      <c r="K1585" s="455">
        <f t="shared" ca="1" si="131"/>
        <v>-506516.43826242525</v>
      </c>
      <c r="L1585" s="455">
        <f t="shared" ca="1" si="132"/>
        <v>-122070461.62124449</v>
      </c>
      <c r="M1585" s="471">
        <f t="shared" si="134"/>
        <v>0.05</v>
      </c>
      <c r="N1585" s="475">
        <f t="shared" si="135"/>
        <v>99287</v>
      </c>
    </row>
    <row r="1586" spans="7:14" ht="11.25" customHeight="1" x14ac:dyDescent="0.3">
      <c r="G1586" s="470"/>
      <c r="H1586" s="470">
        <v>1579</v>
      </c>
      <c r="I1586" s="455">
        <f t="shared" ca="1" si="133"/>
        <v>-122070461.62124449</v>
      </c>
      <c r="J1586" s="455">
        <f t="array" ref="J1586">IFERROR(INDEX('Retirement Calculator'!J:J,MATCH('Isaac 401k'!N1586,'Retirement Calculator'!A:A,0),0),0)</f>
        <v>0</v>
      </c>
      <c r="K1586" s="455">
        <f t="shared" ca="1" si="131"/>
        <v>-508626.92342185206</v>
      </c>
      <c r="L1586" s="455">
        <f t="shared" ca="1" si="132"/>
        <v>-122579088.54466633</v>
      </c>
      <c r="M1586" s="471">
        <f t="shared" si="134"/>
        <v>0.05</v>
      </c>
      <c r="N1586" s="475">
        <f t="shared" si="135"/>
        <v>99317</v>
      </c>
    </row>
    <row r="1587" spans="7:14" ht="11.25" customHeight="1" x14ac:dyDescent="0.3">
      <c r="G1587" s="470"/>
      <c r="H1587" s="470">
        <v>1580</v>
      </c>
      <c r="I1587" s="455">
        <f t="shared" ca="1" si="133"/>
        <v>-122579088.54466633</v>
      </c>
      <c r="J1587" s="455">
        <f t="array" ref="J1587">IFERROR(INDEX('Retirement Calculator'!J:J,MATCH('Isaac 401k'!N1587,'Retirement Calculator'!A:A,0),0),0)</f>
        <v>0</v>
      </c>
      <c r="K1587" s="455">
        <f t="shared" ca="1" si="131"/>
        <v>-510746.20226944308</v>
      </c>
      <c r="L1587" s="455">
        <f t="shared" ca="1" si="132"/>
        <v>-123089834.74693578</v>
      </c>
      <c r="M1587" s="471">
        <f t="shared" si="134"/>
        <v>0.05</v>
      </c>
      <c r="N1587" s="475">
        <f t="shared" si="135"/>
        <v>99348</v>
      </c>
    </row>
    <row r="1588" spans="7:14" ht="11.25" customHeight="1" x14ac:dyDescent="0.3">
      <c r="G1588" s="470"/>
      <c r="H1588" s="470">
        <v>1581</v>
      </c>
      <c r="I1588" s="455">
        <f t="shared" ca="1" si="133"/>
        <v>-123089834.74693578</v>
      </c>
      <c r="J1588" s="455">
        <f t="array" ref="J1588">IFERROR(INDEX('Retirement Calculator'!J:J,MATCH('Isaac 401k'!N1588,'Retirement Calculator'!A:A,0),0),0)</f>
        <v>0</v>
      </c>
      <c r="K1588" s="455">
        <f t="shared" ca="1" si="131"/>
        <v>-512874.31144556578</v>
      </c>
      <c r="L1588" s="455">
        <f t="shared" ca="1" si="132"/>
        <v>-123602709.05838135</v>
      </c>
      <c r="M1588" s="471">
        <f t="shared" si="134"/>
        <v>0.05</v>
      </c>
      <c r="N1588" s="475">
        <f t="shared" si="135"/>
        <v>99379</v>
      </c>
    </row>
    <row r="1589" spans="7:14" ht="11.25" customHeight="1" x14ac:dyDescent="0.3">
      <c r="G1589" s="470"/>
      <c r="H1589" s="470">
        <v>1582</v>
      </c>
      <c r="I1589" s="455">
        <f t="shared" ca="1" si="133"/>
        <v>-123602709.05838135</v>
      </c>
      <c r="J1589" s="455">
        <f t="array" ref="J1589">IFERROR(INDEX('Retirement Calculator'!J:J,MATCH('Isaac 401k'!N1589,'Retirement Calculator'!A:A,0),0),0)</f>
        <v>0</v>
      </c>
      <c r="K1589" s="455">
        <f t="shared" ca="1" si="131"/>
        <v>-515011.28774325561</v>
      </c>
      <c r="L1589" s="455">
        <f t="shared" ca="1" si="132"/>
        <v>-124117720.3461246</v>
      </c>
      <c r="M1589" s="471">
        <f t="shared" si="134"/>
        <v>0.05</v>
      </c>
      <c r="N1589" s="475">
        <f t="shared" si="135"/>
        <v>99408</v>
      </c>
    </row>
    <row r="1590" spans="7:14" ht="11.25" customHeight="1" x14ac:dyDescent="0.3">
      <c r="G1590" s="470"/>
      <c r="H1590" s="470">
        <v>1583</v>
      </c>
      <c r="I1590" s="455">
        <f t="shared" ca="1" si="133"/>
        <v>-124117720.3461246</v>
      </c>
      <c r="J1590" s="455">
        <f t="array" ref="J1590">IFERROR(INDEX('Retirement Calculator'!J:J,MATCH('Isaac 401k'!N1590,'Retirement Calculator'!A:A,0),0),0)</f>
        <v>0</v>
      </c>
      <c r="K1590" s="455">
        <f t="shared" ca="1" si="131"/>
        <v>-517157.16810885252</v>
      </c>
      <c r="L1590" s="455">
        <f t="shared" ca="1" si="132"/>
        <v>-124634877.51423346</v>
      </c>
      <c r="M1590" s="471">
        <f t="shared" si="134"/>
        <v>0.05</v>
      </c>
      <c r="N1590" s="475">
        <f t="shared" si="135"/>
        <v>99439</v>
      </c>
    </row>
    <row r="1591" spans="7:14" ht="11.25" customHeight="1" x14ac:dyDescent="0.3">
      <c r="G1591" s="470"/>
      <c r="H1591" s="470">
        <v>1584</v>
      </c>
      <c r="I1591" s="455">
        <f t="shared" ca="1" si="133"/>
        <v>-124634877.51423346</v>
      </c>
      <c r="J1591" s="455">
        <f t="array" ref="J1591">IFERROR(INDEX('Retirement Calculator'!J:J,MATCH('Isaac 401k'!N1591,'Retirement Calculator'!A:A,0),0),0)</f>
        <v>0</v>
      </c>
      <c r="K1591" s="455">
        <f t="shared" ca="1" si="131"/>
        <v>-519311.98964263935</v>
      </c>
      <c r="L1591" s="455">
        <f t="shared" ca="1" si="132"/>
        <v>-125154189.50387609</v>
      </c>
      <c r="M1591" s="471">
        <f t="shared" si="134"/>
        <v>0.05</v>
      </c>
      <c r="N1591" s="475">
        <f t="shared" si="135"/>
        <v>99469</v>
      </c>
    </row>
    <row r="1592" spans="7:14" ht="11.25" customHeight="1" x14ac:dyDescent="0.3">
      <c r="G1592" s="470"/>
      <c r="H1592" s="470">
        <v>1585</v>
      </c>
      <c r="I1592" s="455">
        <f t="shared" ca="1" si="133"/>
        <v>-125154189.50387609</v>
      </c>
      <c r="J1592" s="455">
        <f t="array" ref="J1592">IFERROR(INDEX('Retirement Calculator'!J:J,MATCH('Isaac 401k'!N1592,'Retirement Calculator'!A:A,0),0),0)</f>
        <v>0</v>
      </c>
      <c r="K1592" s="455">
        <f t="shared" ca="1" si="131"/>
        <v>-521475.78959948372</v>
      </c>
      <c r="L1592" s="455">
        <f t="shared" ca="1" si="132"/>
        <v>-125675665.29347557</v>
      </c>
      <c r="M1592" s="471">
        <f t="shared" si="134"/>
        <v>0.05</v>
      </c>
      <c r="N1592" s="475">
        <f t="shared" si="135"/>
        <v>99500</v>
      </c>
    </row>
    <row r="1593" spans="7:14" ht="11.25" customHeight="1" x14ac:dyDescent="0.3">
      <c r="G1593" s="470"/>
      <c r="H1593" s="470">
        <v>1586</v>
      </c>
      <c r="I1593" s="455">
        <f t="shared" ca="1" si="133"/>
        <v>-125675665.29347557</v>
      </c>
      <c r="J1593" s="455">
        <f t="array" ref="J1593">IFERROR(INDEX('Retirement Calculator'!J:J,MATCH('Isaac 401k'!N1593,'Retirement Calculator'!A:A,0),0),0)</f>
        <v>0</v>
      </c>
      <c r="K1593" s="455">
        <f t="shared" ca="1" si="131"/>
        <v>-523648.60538948153</v>
      </c>
      <c r="L1593" s="455">
        <f t="shared" ca="1" si="132"/>
        <v>-126199313.89886504</v>
      </c>
      <c r="M1593" s="471">
        <f t="shared" si="134"/>
        <v>0.05</v>
      </c>
      <c r="N1593" s="475">
        <f t="shared" si="135"/>
        <v>99530</v>
      </c>
    </row>
    <row r="1594" spans="7:14" ht="11.25" customHeight="1" x14ac:dyDescent="0.3">
      <c r="G1594" s="470"/>
      <c r="H1594" s="470">
        <v>1587</v>
      </c>
      <c r="I1594" s="455">
        <f t="shared" ca="1" si="133"/>
        <v>-126199313.89886504</v>
      </c>
      <c r="J1594" s="455">
        <f t="array" ref="J1594">IFERROR(INDEX('Retirement Calculator'!J:J,MATCH('Isaac 401k'!N1594,'Retirement Calculator'!A:A,0),0),0)</f>
        <v>0</v>
      </c>
      <c r="K1594" s="455">
        <f t="shared" ca="1" si="131"/>
        <v>-525830.47457860433</v>
      </c>
      <c r="L1594" s="455">
        <f t="shared" ca="1" si="132"/>
        <v>-126725144.37344365</v>
      </c>
      <c r="M1594" s="471">
        <f t="shared" si="134"/>
        <v>0.05</v>
      </c>
      <c r="N1594" s="475">
        <f t="shared" si="135"/>
        <v>99561</v>
      </c>
    </row>
    <row r="1595" spans="7:14" ht="11.25" customHeight="1" x14ac:dyDescent="0.3">
      <c r="G1595" s="470"/>
      <c r="H1595" s="470">
        <v>1588</v>
      </c>
      <c r="I1595" s="455">
        <f t="shared" ca="1" si="133"/>
        <v>-126725144.37344365</v>
      </c>
      <c r="J1595" s="455">
        <f t="array" ref="J1595">IFERROR(INDEX('Retirement Calculator'!J:J,MATCH('Isaac 401k'!N1595,'Retirement Calculator'!A:A,0),0),0)</f>
        <v>0</v>
      </c>
      <c r="K1595" s="455">
        <f t="shared" ca="1" si="131"/>
        <v>-528021.43488934857</v>
      </c>
      <c r="L1595" s="455">
        <f t="shared" ca="1" si="132"/>
        <v>-127253165.80833299</v>
      </c>
      <c r="M1595" s="471">
        <f t="shared" si="134"/>
        <v>0.05</v>
      </c>
      <c r="N1595" s="475">
        <f t="shared" si="135"/>
        <v>99592</v>
      </c>
    </row>
    <row r="1596" spans="7:14" ht="11.25" customHeight="1" x14ac:dyDescent="0.3">
      <c r="G1596" s="470"/>
      <c r="H1596" s="470">
        <v>1589</v>
      </c>
      <c r="I1596" s="455">
        <f t="shared" ca="1" si="133"/>
        <v>-127253165.80833299</v>
      </c>
      <c r="J1596" s="455">
        <f t="array" ref="J1596">IFERROR(INDEX('Retirement Calculator'!J:J,MATCH('Isaac 401k'!N1596,'Retirement Calculator'!A:A,0),0),0)</f>
        <v>0</v>
      </c>
      <c r="K1596" s="455">
        <f t="shared" ca="1" si="131"/>
        <v>-530221.52420138742</v>
      </c>
      <c r="L1596" s="455">
        <f t="shared" ca="1" si="132"/>
        <v>-127783387.33253439</v>
      </c>
      <c r="M1596" s="471">
        <f t="shared" si="134"/>
        <v>0.05</v>
      </c>
      <c r="N1596" s="475">
        <f t="shared" si="135"/>
        <v>99622</v>
      </c>
    </row>
    <row r="1597" spans="7:14" ht="11.25" customHeight="1" x14ac:dyDescent="0.3">
      <c r="G1597" s="470"/>
      <c r="H1597" s="470">
        <v>1590</v>
      </c>
      <c r="I1597" s="455">
        <f t="shared" ca="1" si="133"/>
        <v>-127783387.33253439</v>
      </c>
      <c r="J1597" s="455">
        <f t="array" ref="J1597">IFERROR(INDEX('Retirement Calculator'!J:J,MATCH('Isaac 401k'!N1597,'Retirement Calculator'!A:A,0),0),0)</f>
        <v>0</v>
      </c>
      <c r="K1597" s="455">
        <f t="shared" ca="1" si="131"/>
        <v>-532430.7805522267</v>
      </c>
      <c r="L1597" s="455">
        <f t="shared" ca="1" si="132"/>
        <v>-128315818.11308661</v>
      </c>
      <c r="M1597" s="471">
        <f t="shared" si="134"/>
        <v>0.05</v>
      </c>
      <c r="N1597" s="475">
        <f t="shared" si="135"/>
        <v>99653</v>
      </c>
    </row>
    <row r="1598" spans="7:14" ht="11.25" customHeight="1" x14ac:dyDescent="0.3">
      <c r="G1598" s="470"/>
      <c r="H1598" s="470">
        <v>1591</v>
      </c>
      <c r="I1598" s="455">
        <f t="shared" ca="1" si="133"/>
        <v>-128315818.11308661</v>
      </c>
      <c r="J1598" s="455">
        <f t="array" ref="J1598">IFERROR(INDEX('Retirement Calculator'!J:J,MATCH('Isaac 401k'!N1598,'Retirement Calculator'!A:A,0),0),0)</f>
        <v>0</v>
      </c>
      <c r="K1598" s="455">
        <f t="shared" ca="1" si="131"/>
        <v>-534649.24213786086</v>
      </c>
      <c r="L1598" s="455">
        <f t="shared" ca="1" si="132"/>
        <v>-128850467.35522448</v>
      </c>
      <c r="M1598" s="471">
        <f t="shared" si="134"/>
        <v>0.05</v>
      </c>
      <c r="N1598" s="475">
        <f t="shared" si="135"/>
        <v>99683</v>
      </c>
    </row>
    <row r="1599" spans="7:14" ht="11.25" customHeight="1" x14ac:dyDescent="0.3">
      <c r="G1599" s="470"/>
      <c r="H1599" s="470">
        <v>1592</v>
      </c>
      <c r="I1599" s="455">
        <f t="shared" ca="1" si="133"/>
        <v>-128850467.35522448</v>
      </c>
      <c r="J1599" s="455">
        <f t="array" ref="J1599">IFERROR(INDEX('Retirement Calculator'!J:J,MATCH('Isaac 401k'!N1599,'Retirement Calculator'!A:A,0),0),0)</f>
        <v>0</v>
      </c>
      <c r="K1599" s="455">
        <f t="shared" ca="1" si="131"/>
        <v>-536876.94731343538</v>
      </c>
      <c r="L1599" s="455">
        <f t="shared" ca="1" si="132"/>
        <v>-129387344.30253792</v>
      </c>
      <c r="M1599" s="471">
        <f t="shared" si="134"/>
        <v>0.05</v>
      </c>
      <c r="N1599" s="475">
        <f t="shared" si="135"/>
        <v>99714</v>
      </c>
    </row>
    <row r="1600" spans="7:14" ht="11.25" customHeight="1" x14ac:dyDescent="0.3">
      <c r="G1600" s="470"/>
      <c r="H1600" s="470">
        <v>1593</v>
      </c>
      <c r="I1600" s="455">
        <f t="shared" ca="1" si="133"/>
        <v>-129387344.30253792</v>
      </c>
      <c r="J1600" s="455">
        <f t="array" ref="J1600">IFERROR(INDEX('Retirement Calculator'!J:J,MATCH('Isaac 401k'!N1600,'Retirement Calculator'!A:A,0),0),0)</f>
        <v>0</v>
      </c>
      <c r="K1600" s="455">
        <f t="shared" ca="1" si="131"/>
        <v>-539113.93459390791</v>
      </c>
      <c r="L1600" s="455">
        <f t="shared" ca="1" si="132"/>
        <v>-129926458.23713182</v>
      </c>
      <c r="M1600" s="471">
        <f t="shared" si="134"/>
        <v>0.05</v>
      </c>
      <c r="N1600" s="475">
        <f t="shared" si="135"/>
        <v>99745</v>
      </c>
    </row>
    <row r="1601" spans="7:14" ht="11.25" customHeight="1" x14ac:dyDescent="0.3">
      <c r="G1601" s="470"/>
      <c r="H1601" s="470">
        <v>1594</v>
      </c>
      <c r="I1601" s="455">
        <f t="shared" ca="1" si="133"/>
        <v>-129926458.23713182</v>
      </c>
      <c r="J1601" s="455">
        <f t="array" ref="J1601">IFERROR(INDEX('Retirement Calculator'!J:J,MATCH('Isaac 401k'!N1601,'Retirement Calculator'!A:A,0),0),0)</f>
        <v>0</v>
      </c>
      <c r="K1601" s="455">
        <f t="shared" ca="1" si="131"/>
        <v>-541360.24265471601</v>
      </c>
      <c r="L1601" s="455">
        <f t="shared" ca="1" si="132"/>
        <v>-130467818.47978653</v>
      </c>
      <c r="M1601" s="471">
        <f t="shared" si="134"/>
        <v>0.05</v>
      </c>
      <c r="N1601" s="475">
        <f t="shared" si="135"/>
        <v>99773</v>
      </c>
    </row>
    <row r="1602" spans="7:14" ht="11.25" customHeight="1" x14ac:dyDescent="0.3">
      <c r="G1602" s="470"/>
      <c r="H1602" s="470">
        <v>1595</v>
      </c>
      <c r="I1602" s="455">
        <f t="shared" ca="1" si="133"/>
        <v>-130467818.47978653</v>
      </c>
      <c r="J1602" s="455">
        <f t="array" ref="J1602">IFERROR(INDEX('Retirement Calculator'!J:J,MATCH('Isaac 401k'!N1602,'Retirement Calculator'!A:A,0),0),0)</f>
        <v>0</v>
      </c>
      <c r="K1602" s="455">
        <f t="shared" ca="1" si="131"/>
        <v>-543615.91033244377</v>
      </c>
      <c r="L1602" s="455">
        <f t="shared" ca="1" si="132"/>
        <v>-131011434.39011897</v>
      </c>
      <c r="M1602" s="471">
        <f t="shared" si="134"/>
        <v>0.05</v>
      </c>
      <c r="N1602" s="475">
        <f t="shared" si="135"/>
        <v>99804</v>
      </c>
    </row>
    <row r="1603" spans="7:14" ht="11.25" customHeight="1" x14ac:dyDescent="0.3">
      <c r="G1603" s="470"/>
      <c r="H1603" s="470">
        <v>1596</v>
      </c>
      <c r="I1603" s="455">
        <f t="shared" ca="1" si="133"/>
        <v>-131011434.39011897</v>
      </c>
      <c r="J1603" s="455">
        <f t="array" ref="J1603">IFERROR(INDEX('Retirement Calculator'!J:J,MATCH('Isaac 401k'!N1603,'Retirement Calculator'!A:A,0),0),0)</f>
        <v>0</v>
      </c>
      <c r="K1603" s="455">
        <f t="shared" ca="1" si="131"/>
        <v>-545880.97662549559</v>
      </c>
      <c r="L1603" s="455">
        <f t="shared" ca="1" si="132"/>
        <v>-131557315.36674447</v>
      </c>
      <c r="M1603" s="471">
        <f t="shared" si="134"/>
        <v>0.05</v>
      </c>
      <c r="N1603" s="475">
        <f t="shared" si="135"/>
        <v>99834</v>
      </c>
    </row>
    <row r="1604" spans="7:14" ht="11.25" customHeight="1" x14ac:dyDescent="0.3">
      <c r="G1604" s="470"/>
      <c r="H1604" s="470">
        <v>1597</v>
      </c>
      <c r="I1604" s="455">
        <f t="shared" ca="1" si="133"/>
        <v>-131557315.36674447</v>
      </c>
      <c r="J1604" s="455">
        <f t="array" ref="J1604">IFERROR(INDEX('Retirement Calculator'!J:J,MATCH('Isaac 401k'!N1604,'Retirement Calculator'!A:A,0),0),0)</f>
        <v>0</v>
      </c>
      <c r="K1604" s="455">
        <f t="shared" ca="1" si="131"/>
        <v>-548155.4806947686</v>
      </c>
      <c r="L1604" s="455">
        <f t="shared" ca="1" si="132"/>
        <v>-132105470.84743924</v>
      </c>
      <c r="M1604" s="471">
        <f t="shared" si="134"/>
        <v>0.05</v>
      </c>
      <c r="N1604" s="475">
        <f t="shared" si="135"/>
        <v>99865</v>
      </c>
    </row>
    <row r="1605" spans="7:14" ht="11.25" customHeight="1" x14ac:dyDescent="0.3">
      <c r="G1605" s="470"/>
      <c r="H1605" s="470">
        <v>1598</v>
      </c>
      <c r="I1605" s="455">
        <f t="shared" ca="1" si="133"/>
        <v>-132105470.84743924</v>
      </c>
      <c r="J1605" s="455">
        <f t="array" ref="J1605">IFERROR(INDEX('Retirement Calculator'!J:J,MATCH('Isaac 401k'!N1605,'Retirement Calculator'!A:A,0),0),0)</f>
        <v>0</v>
      </c>
      <c r="K1605" s="455">
        <f t="shared" ca="1" si="131"/>
        <v>-550439.46186433022</v>
      </c>
      <c r="L1605" s="455">
        <f t="shared" ca="1" si="132"/>
        <v>-132655910.30930358</v>
      </c>
      <c r="M1605" s="471">
        <f t="shared" si="134"/>
        <v>0.05</v>
      </c>
      <c r="N1605" s="475">
        <f t="shared" si="135"/>
        <v>99895</v>
      </c>
    </row>
    <row r="1606" spans="7:14" ht="11.25" customHeight="1" x14ac:dyDescent="0.3">
      <c r="G1606" s="470"/>
      <c r="H1606" s="470">
        <v>1599</v>
      </c>
      <c r="I1606" s="455">
        <f t="shared" ca="1" si="133"/>
        <v>-132655910.30930358</v>
      </c>
      <c r="J1606" s="455">
        <f t="array" ref="J1606">IFERROR(INDEX('Retirement Calculator'!J:J,MATCH('Isaac 401k'!N1606,'Retirement Calculator'!A:A,0),0),0)</f>
        <v>0</v>
      </c>
      <c r="K1606" s="455">
        <f t="shared" ca="1" si="131"/>
        <v>-552732.95962209837</v>
      </c>
      <c r="L1606" s="455">
        <f t="shared" ca="1" si="132"/>
        <v>-133208643.26892568</v>
      </c>
      <c r="M1606" s="471">
        <f t="shared" si="134"/>
        <v>0.05</v>
      </c>
      <c r="N1606" s="475">
        <f t="shared" si="135"/>
        <v>99926</v>
      </c>
    </row>
    <row r="1607" spans="7:14" ht="11.25" customHeight="1" x14ac:dyDescent="0.3">
      <c r="G1607" s="470"/>
      <c r="H1607" s="470">
        <v>1600</v>
      </c>
      <c r="I1607" s="455">
        <f t="shared" ca="1" si="133"/>
        <v>-133208643.26892568</v>
      </c>
      <c r="J1607" s="455">
        <f t="array" ref="J1607">IFERROR(INDEX('Retirement Calculator'!J:J,MATCH('Isaac 401k'!N1607,'Retirement Calculator'!A:A,0),0),0)</f>
        <v>0</v>
      </c>
      <c r="K1607" s="455">
        <f t="shared" ca="1" si="131"/>
        <v>-555036.01362052362</v>
      </c>
      <c r="L1607" s="455">
        <f t="shared" ca="1" si="132"/>
        <v>-133763679.28254621</v>
      </c>
      <c r="M1607" s="471">
        <f t="shared" si="134"/>
        <v>0.05</v>
      </c>
      <c r="N1607" s="475">
        <f t="shared" si="135"/>
        <v>99957</v>
      </c>
    </row>
    <row r="1608" spans="7:14" ht="11.25" customHeight="1" x14ac:dyDescent="0.3">
      <c r="G1608" s="470"/>
      <c r="H1608" s="470">
        <v>1601</v>
      </c>
      <c r="I1608" s="455">
        <f t="shared" ca="1" si="133"/>
        <v>-133763679.28254621</v>
      </c>
      <c r="J1608" s="455">
        <f t="array" ref="J1608">IFERROR(INDEX('Retirement Calculator'!J:J,MATCH('Isaac 401k'!N1608,'Retirement Calculator'!A:A,0),0),0)</f>
        <v>0</v>
      </c>
      <c r="K1608" s="455">
        <f t="shared" ca="1" si="131"/>
        <v>-557348.66367727588</v>
      </c>
      <c r="L1608" s="455">
        <f t="shared" ca="1" si="132"/>
        <v>-134321027.9462235</v>
      </c>
      <c r="M1608" s="471">
        <f t="shared" si="134"/>
        <v>0.05</v>
      </c>
      <c r="N1608" s="475">
        <f t="shared" si="135"/>
        <v>99987</v>
      </c>
    </row>
    <row r="1609" spans="7:14" ht="11.25" customHeight="1" x14ac:dyDescent="0.3">
      <c r="G1609" s="470"/>
      <c r="H1609" s="470">
        <v>1602</v>
      </c>
      <c r="I1609" s="455">
        <f t="shared" ca="1" si="133"/>
        <v>-134321027.9462235</v>
      </c>
      <c r="J1609" s="455">
        <f t="array" ref="J1609">IFERROR(INDEX('Retirement Calculator'!J:J,MATCH('Isaac 401k'!N1609,'Retirement Calculator'!A:A,0),0),0)</f>
        <v>0</v>
      </c>
      <c r="K1609" s="455">
        <f t="shared" ca="1" si="131"/>
        <v>-559670.94977593119</v>
      </c>
      <c r="L1609" s="455">
        <f t="shared" ca="1" si="132"/>
        <v>-134880698.89599943</v>
      </c>
      <c r="M1609" s="471">
        <f t="shared" si="134"/>
        <v>0.05</v>
      </c>
      <c r="N1609" s="475">
        <f t="shared" si="135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33"/>
        <v>-134880698.89599943</v>
      </c>
      <c r="J1610" s="455">
        <f t="array" ref="J1610">IFERROR(INDEX('Retirement Calculator'!J:J,MATCH('Isaac 401k'!N1610,'Retirement Calculator'!A:A,0),0),0)</f>
        <v>0</v>
      </c>
      <c r="K1610" s="455">
        <f t="shared" ca="1" si="131"/>
        <v>-562002.91206666431</v>
      </c>
      <c r="L1610" s="455">
        <f t="shared" ca="1" si="132"/>
        <v>-135442701.8080661</v>
      </c>
      <c r="M1610" s="471">
        <f t="shared" si="134"/>
        <v>0.05</v>
      </c>
      <c r="N1610" s="475">
        <f t="shared" si="135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33"/>
        <v>-135442701.8080661</v>
      </c>
      <c r="J1611" s="455">
        <f t="array" ref="J1611">IFERROR(INDEX('Retirement Calculator'!J:J,MATCH('Isaac 401k'!N1611,'Retirement Calculator'!A:A,0),0),0)</f>
        <v>0</v>
      </c>
      <c r="K1611" s="455">
        <f t="shared" ca="1" si="131"/>
        <v>-564344.59086694208</v>
      </c>
      <c r="L1611" s="455">
        <f t="shared" ca="1" si="132"/>
        <v>-136007046.39893305</v>
      </c>
      <c r="M1611" s="471">
        <f t="shared" si="134"/>
        <v>0.05</v>
      </c>
      <c r="N1611" s="475">
        <f t="shared" si="135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33"/>
        <v>-136007046.39893305</v>
      </c>
      <c r="J1612" s="455">
        <f t="array" ref="J1612">IFERROR(INDEX('Retirement Calculator'!J:J,MATCH('Isaac 401k'!N1612,'Retirement Calculator'!A:A,0),0),0)</f>
        <v>0</v>
      </c>
      <c r="K1612" s="455">
        <f t="shared" ca="1" si="131"/>
        <v>-566696.02666222106</v>
      </c>
      <c r="L1612" s="455">
        <f t="shared" ca="1" si="132"/>
        <v>-136573742.42559528</v>
      </c>
      <c r="M1612" s="471">
        <f t="shared" si="134"/>
        <v>0.05</v>
      </c>
      <c r="N1612" s="475">
        <f t="shared" si="135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33"/>
        <v>-136573742.42559528</v>
      </c>
      <c r="J1613" s="455">
        <f t="array" ref="J1613">IFERROR(INDEX('Retirement Calculator'!J:J,MATCH('Isaac 401k'!N1613,'Retirement Calculator'!A:A,0),0),0)</f>
        <v>0</v>
      </c>
      <c r="K1613" s="455">
        <f t="shared" ca="1" si="131"/>
        <v>-569057.26010664704</v>
      </c>
      <c r="L1613" s="455">
        <f t="shared" ca="1" si="132"/>
        <v>-137142799.68570194</v>
      </c>
      <c r="M1613" s="471">
        <f t="shared" si="134"/>
        <v>0.05</v>
      </c>
      <c r="N1613" s="475">
        <f t="shared" si="135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33"/>
        <v>-137142799.68570194</v>
      </c>
      <c r="J1614" s="455">
        <f t="array" ref="J1614">IFERROR(INDEX('Retirement Calculator'!J:J,MATCH('Isaac 401k'!N1614,'Retirement Calculator'!A:A,0),0),0)</f>
        <v>0</v>
      </c>
      <c r="K1614" s="455">
        <f t="shared" ca="1" si="131"/>
        <v>-571428.33202375809</v>
      </c>
      <c r="L1614" s="455">
        <f t="shared" ca="1" si="132"/>
        <v>-137714228.01772571</v>
      </c>
      <c r="M1614" s="471">
        <f t="shared" si="134"/>
        <v>0.05</v>
      </c>
      <c r="N1614" s="475">
        <f t="shared" si="135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33"/>
        <v>-137714228.01772571</v>
      </c>
      <c r="J1615" s="455">
        <f t="array" ref="J1615">IFERROR(INDEX('Retirement Calculator'!J:J,MATCH('Isaac 401k'!N1615,'Retirement Calculator'!A:A,0),0),0)</f>
        <v>0</v>
      </c>
      <c r="K1615" s="455">
        <f t="shared" ca="1" si="131"/>
        <v>-573809.28340719047</v>
      </c>
      <c r="L1615" s="455">
        <f t="shared" ca="1" si="132"/>
        <v>-138288037.30113289</v>
      </c>
      <c r="M1615" s="471">
        <f t="shared" si="134"/>
        <v>0.05</v>
      </c>
      <c r="N1615" s="475">
        <f t="shared" si="135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33"/>
        <v>-138288037.30113289</v>
      </c>
      <c r="J1616" s="455">
        <f t="array" ref="J1616">IFERROR(INDEX('Retirement Calculator'!J:J,MATCH('Isaac 401k'!N1616,'Retirement Calculator'!A:A,0),0),0)</f>
        <v>0</v>
      </c>
      <c r="K1616" s="455">
        <f t="shared" ca="1" si="131"/>
        <v>-576200.15542138705</v>
      </c>
      <c r="L1616" s="455">
        <f t="shared" ca="1" si="132"/>
        <v>-138864237.45655426</v>
      </c>
      <c r="M1616" s="471">
        <f t="shared" si="134"/>
        <v>0.05</v>
      </c>
      <c r="N1616" s="475">
        <f t="shared" si="135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33"/>
        <v>-138864237.45655426</v>
      </c>
      <c r="J1617" s="455">
        <f t="array" ref="J1617">IFERROR(INDEX('Retirement Calculator'!J:J,MATCH('Isaac 401k'!N1617,'Retirement Calculator'!A:A,0),0),0)</f>
        <v>0</v>
      </c>
      <c r="K1617" s="455">
        <f t="shared" ca="1" si="131"/>
        <v>-578600.98940230941</v>
      </c>
      <c r="L1617" s="455">
        <f t="shared" ca="1" si="132"/>
        <v>-139442838.44595659</v>
      </c>
      <c r="M1617" s="471">
        <f t="shared" si="134"/>
        <v>0.05</v>
      </c>
      <c r="N1617" s="475">
        <f t="shared" si="135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33"/>
        <v>-139442838.44595659</v>
      </c>
      <c r="J1618" s="455">
        <f t="array" ref="J1618">IFERROR(INDEX('Retirement Calculator'!J:J,MATCH('Isaac 401k'!N1618,'Retirement Calculator'!A:A,0),0),0)</f>
        <v>0</v>
      </c>
      <c r="K1618" s="455">
        <f t="shared" ca="1" si="131"/>
        <v>-581011.8268581524</v>
      </c>
      <c r="L1618" s="455">
        <f t="shared" ca="1" si="132"/>
        <v>-140023850.27281475</v>
      </c>
      <c r="M1618" s="471">
        <f t="shared" si="134"/>
        <v>0.05</v>
      </c>
      <c r="N1618" s="475">
        <f t="shared" si="135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33"/>
        <v>-140023850.27281475</v>
      </c>
      <c r="J1619" s="455">
        <f t="array" ref="J1619">IFERROR(INDEX('Retirement Calculator'!J:J,MATCH('Isaac 401k'!N1619,'Retirement Calculator'!A:A,0),0),0)</f>
        <v>0</v>
      </c>
      <c r="K1619" s="455">
        <f t="shared" ca="1" si="131"/>
        <v>-583432.70947006147</v>
      </c>
      <c r="L1619" s="455">
        <f t="shared" ca="1" si="132"/>
        <v>-140607282.98228481</v>
      </c>
      <c r="M1619" s="471">
        <f t="shared" si="134"/>
        <v>0.05</v>
      </c>
      <c r="N1619" s="475">
        <f t="shared" si="135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33"/>
        <v>-140607282.98228481</v>
      </c>
      <c r="J1620" s="455">
        <f t="array" ref="J1620">IFERROR(INDEX('Retirement Calculator'!J:J,MATCH('Isaac 401k'!N1620,'Retirement Calculator'!A:A,0),0),0)</f>
        <v>0</v>
      </c>
      <c r="K1620" s="455">
        <f t="shared" ca="1" si="131"/>
        <v>-585863.67909285333</v>
      </c>
      <c r="L1620" s="455">
        <f t="shared" ca="1" si="132"/>
        <v>-141193146.66137767</v>
      </c>
      <c r="M1620" s="471">
        <f t="shared" si="134"/>
        <v>0.05</v>
      </c>
      <c r="N1620" s="475">
        <f t="shared" si="135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33"/>
        <v>-141193146.66137767</v>
      </c>
      <c r="J1621" s="455">
        <f t="array" ref="J1621">IFERROR(INDEX('Retirement Calculator'!J:J,MATCH('Isaac 401k'!N1621,'Retirement Calculator'!A:A,0),0),0)</f>
        <v>0</v>
      </c>
      <c r="K1621" s="455">
        <f t="shared" ca="1" si="131"/>
        <v>-588304.77775574033</v>
      </c>
      <c r="L1621" s="455">
        <f t="shared" ca="1" si="132"/>
        <v>-141781451.43913341</v>
      </c>
      <c r="M1621" s="471">
        <f t="shared" si="134"/>
        <v>0.05</v>
      </c>
      <c r="N1621" s="475">
        <f t="shared" si="135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33"/>
        <v>-141781451.43913341</v>
      </c>
      <c r="J1622" s="455">
        <f t="array" ref="J1622">IFERROR(INDEX('Retirement Calculator'!J:J,MATCH('Isaac 401k'!N1622,'Retirement Calculator'!A:A,0),0),0)</f>
        <v>0</v>
      </c>
      <c r="K1622" s="455">
        <f t="shared" ca="1" si="131"/>
        <v>-590756.04766305583</v>
      </c>
      <c r="L1622" s="455">
        <f t="shared" ca="1" si="132"/>
        <v>-142372207.48679647</v>
      </c>
      <c r="M1622" s="471">
        <f t="shared" si="134"/>
        <v>0.05</v>
      </c>
      <c r="N1622" s="475">
        <f t="shared" si="135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33"/>
        <v>-142372207.48679647</v>
      </c>
      <c r="J1623" s="455">
        <f t="array" ref="J1623">IFERROR(INDEX('Retirement Calculator'!J:J,MATCH('Isaac 401k'!N1623,'Retirement Calculator'!A:A,0),0),0)</f>
        <v>0</v>
      </c>
      <c r="K1623" s="455">
        <f t="shared" ca="1" si="131"/>
        <v>-593217.53119498526</v>
      </c>
      <c r="L1623" s="455">
        <f t="shared" ca="1" si="132"/>
        <v>-142965425.01799145</v>
      </c>
      <c r="M1623" s="471">
        <f t="shared" si="134"/>
        <v>0.05</v>
      </c>
      <c r="N1623" s="475">
        <f t="shared" si="135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33"/>
        <v>-142965425.01799145</v>
      </c>
      <c r="J1624" s="455">
        <f t="array" ref="J1624">IFERROR(INDEX('Retirement Calculator'!J:J,MATCH('Isaac 401k'!N1624,'Retirement Calculator'!A:A,0),0),0)</f>
        <v>0</v>
      </c>
      <c r="K1624" s="455">
        <f t="shared" ca="1" si="131"/>
        <v>-595689.27090829774</v>
      </c>
      <c r="L1624" s="455">
        <f t="shared" ca="1" si="132"/>
        <v>-143561114.28889975</v>
      </c>
      <c r="M1624" s="471">
        <f t="shared" si="134"/>
        <v>0.05</v>
      </c>
      <c r="N1624" s="475">
        <f t="shared" si="135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33"/>
        <v>-143561114.28889975</v>
      </c>
      <c r="J1625" s="455">
        <f t="array" ref="J1625">IFERROR(INDEX('Retirement Calculator'!J:J,MATCH('Isaac 401k'!N1625,'Retirement Calculator'!A:A,0),0),0)</f>
        <v>0</v>
      </c>
      <c r="K1625" s="455">
        <f t="shared" ca="1" si="131"/>
        <v>-598171.30953708233</v>
      </c>
      <c r="L1625" s="455">
        <f t="shared" ca="1" si="132"/>
        <v>-144159285.59843683</v>
      </c>
      <c r="M1625" s="471">
        <f t="shared" si="134"/>
        <v>0.05</v>
      </c>
      <c r="N1625" s="475">
        <f t="shared" si="135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33"/>
        <v>-144159285.59843683</v>
      </c>
      <c r="J1626" s="455">
        <f t="array" ref="J1626">IFERROR(INDEX('Retirement Calculator'!J:J,MATCH('Isaac 401k'!N1626,'Retirement Calculator'!A:A,0),0),0)</f>
        <v>0</v>
      </c>
      <c r="K1626" s="455">
        <f t="shared" ca="1" si="131"/>
        <v>-600663.68999348674</v>
      </c>
      <c r="L1626" s="455">
        <f t="shared" ca="1" si="132"/>
        <v>-144759949.28843033</v>
      </c>
      <c r="M1626" s="471">
        <f t="shared" si="134"/>
        <v>0.05</v>
      </c>
      <c r="N1626" s="475">
        <f t="shared" si="135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33"/>
        <v>-144759949.28843033</v>
      </c>
      <c r="J1627" s="455">
        <f t="array" ref="J1627">IFERROR(INDEX('Retirement Calculator'!J:J,MATCH('Isaac 401k'!N1627,'Retirement Calculator'!A:A,0),0),0)</f>
        <v>0</v>
      </c>
      <c r="K1627" s="455">
        <f t="shared" ca="1" si="131"/>
        <v>-603166.45536845969</v>
      </c>
      <c r="L1627" s="455">
        <f t="shared" ca="1" si="132"/>
        <v>-145363115.74379879</v>
      </c>
      <c r="M1627" s="471">
        <f t="shared" si="134"/>
        <v>0.05</v>
      </c>
      <c r="N1627" s="475">
        <f t="shared" si="135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33"/>
        <v>-145363115.74379879</v>
      </c>
      <c r="J1628" s="455">
        <f t="array" ref="J1628">IFERROR(INDEX('Retirement Calculator'!J:J,MATCH('Isaac 401k'!N1628,'Retirement Calculator'!A:A,0),0),0)</f>
        <v>0</v>
      </c>
      <c r="K1628" s="455">
        <f t="shared" ca="1" si="131"/>
        <v>-605679.64893249492</v>
      </c>
      <c r="L1628" s="455">
        <f t="shared" ca="1" si="132"/>
        <v>-145968795.39273128</v>
      </c>
      <c r="M1628" s="471">
        <f t="shared" si="134"/>
        <v>0.05</v>
      </c>
      <c r="N1628" s="475">
        <f t="shared" si="135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33"/>
        <v>-145968795.39273128</v>
      </c>
      <c r="J1629" s="455">
        <f t="array" ref="J1629">IFERROR(INDEX('Retirement Calculator'!J:J,MATCH('Isaac 401k'!N1629,'Retirement Calculator'!A:A,0),0),0)</f>
        <v>0</v>
      </c>
      <c r="K1629" s="455">
        <f t="shared" ca="1" si="131"/>
        <v>-608203.31413638033</v>
      </c>
      <c r="L1629" s="455">
        <f t="shared" ca="1" si="132"/>
        <v>-146576998.70686767</v>
      </c>
      <c r="M1629" s="471">
        <f t="shared" si="134"/>
        <v>0.05</v>
      </c>
      <c r="N1629" s="475">
        <f t="shared" si="135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33"/>
        <v>-146576998.70686767</v>
      </c>
      <c r="J1630" s="455">
        <f t="array" ref="J1630">IFERROR(INDEX('Retirement Calculator'!J:J,MATCH('Isaac 401k'!N1630,'Retirement Calculator'!A:A,0),0),0)</f>
        <v>0</v>
      </c>
      <c r="K1630" s="455">
        <f t="shared" ca="1" si="131"/>
        <v>-610737.49461194861</v>
      </c>
      <c r="L1630" s="455">
        <f t="shared" ca="1" si="132"/>
        <v>-147187736.20147961</v>
      </c>
      <c r="M1630" s="471">
        <f t="shared" si="134"/>
        <v>0.05</v>
      </c>
      <c r="N1630" s="475">
        <f t="shared" si="135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33"/>
        <v>-147187736.20147961</v>
      </c>
      <c r="J1631" s="455">
        <f t="array" ref="J1631">IFERROR(INDEX('Retirement Calculator'!J:J,MATCH('Isaac 401k'!N1631,'Retirement Calculator'!A:A,0),0),0)</f>
        <v>0</v>
      </c>
      <c r="K1631" s="455">
        <f t="shared" ca="1" si="131"/>
        <v>-613282.23417283176</v>
      </c>
      <c r="L1631" s="455">
        <f t="shared" ca="1" si="132"/>
        <v>-147801018.43565243</v>
      </c>
      <c r="M1631" s="471">
        <f t="shared" si="134"/>
        <v>0.05</v>
      </c>
      <c r="N1631" s="475">
        <f t="shared" si="135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33"/>
        <v>-147801018.43565243</v>
      </c>
      <c r="J1632" s="455">
        <f t="array" ref="J1632">IFERROR(INDEX('Retirement Calculator'!J:J,MATCH('Isaac 401k'!N1632,'Retirement Calculator'!A:A,0),0),0)</f>
        <v>0</v>
      </c>
      <c r="K1632" s="455">
        <f t="shared" ca="1" si="131"/>
        <v>-615837.57681521843</v>
      </c>
      <c r="L1632" s="455">
        <f t="shared" ca="1" si="132"/>
        <v>-148416856.01246765</v>
      </c>
      <c r="M1632" s="471">
        <f t="shared" si="134"/>
        <v>0.05</v>
      </c>
      <c r="N1632" s="475">
        <f t="shared" si="135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33"/>
        <v>-148416856.01246765</v>
      </c>
      <c r="J1633" s="455">
        <f t="array" ref="J1633">IFERROR(INDEX('Retirement Calculator'!J:J,MATCH('Isaac 401k'!N1633,'Retirement Calculator'!A:A,0),0),0)</f>
        <v>0</v>
      </c>
      <c r="K1633" s="455">
        <f t="shared" ca="1" si="131"/>
        <v>-618403.56671861524</v>
      </c>
      <c r="L1633" s="455">
        <f t="shared" ca="1" si="132"/>
        <v>-149035259.57918626</v>
      </c>
      <c r="M1633" s="471">
        <f t="shared" si="134"/>
        <v>0.05</v>
      </c>
      <c r="N1633" s="475">
        <f t="shared" si="135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33"/>
        <v>-149035259.57918626</v>
      </c>
      <c r="J1634" s="455">
        <f t="array" ref="J1634">IFERROR(INDEX('Retirement Calculator'!J:J,MATCH('Isaac 401k'!N1634,'Retirement Calculator'!A:A,0),0),0)</f>
        <v>0</v>
      </c>
      <c r="K1634" s="455">
        <f t="shared" ca="1" si="131"/>
        <v>-620980.24824660947</v>
      </c>
      <c r="L1634" s="455">
        <f t="shared" ca="1" si="132"/>
        <v>-149656239.82743287</v>
      </c>
      <c r="M1634" s="471">
        <f t="shared" si="134"/>
        <v>0.05</v>
      </c>
      <c r="N1634" s="475">
        <f t="shared" si="135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33"/>
        <v>-149656239.82743287</v>
      </c>
      <c r="J1635" s="455">
        <f t="array" ref="J1635">IFERROR(INDEX('Retirement Calculator'!J:J,MATCH('Isaac 401k'!N1635,'Retirement Calculator'!A:A,0),0),0)</f>
        <v>0</v>
      </c>
      <c r="K1635" s="455">
        <f t="shared" ca="1" si="131"/>
        <v>-623567.66594763694</v>
      </c>
      <c r="L1635" s="455">
        <f t="shared" ca="1" si="132"/>
        <v>-150279807.49338052</v>
      </c>
      <c r="M1635" s="471">
        <f t="shared" si="134"/>
        <v>0.05</v>
      </c>
      <c r="N1635" s="475">
        <f t="shared" si="135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33"/>
        <v>-150279807.49338052</v>
      </c>
      <c r="J1636" s="455">
        <f t="array" ref="J1636">IFERROR(INDEX('Retirement Calculator'!J:J,MATCH('Isaac 401k'!N1636,'Retirement Calculator'!A:A,0),0),0)</f>
        <v>0</v>
      </c>
      <c r="K1636" s="455">
        <f t="shared" ca="1" si="131"/>
        <v>-626165.86455575214</v>
      </c>
      <c r="L1636" s="455">
        <f t="shared" ca="1" si="132"/>
        <v>-150905973.35793626</v>
      </c>
      <c r="M1636" s="471">
        <f t="shared" si="134"/>
        <v>0.05</v>
      </c>
      <c r="N1636" s="475">
        <f t="shared" si="135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33"/>
        <v>-150905973.35793626</v>
      </c>
      <c r="J1637" s="455">
        <f t="array" ref="J1637">IFERROR(INDEX('Retirement Calculator'!J:J,MATCH('Isaac 401k'!N1637,'Retirement Calculator'!A:A,0),0),0)</f>
        <v>0</v>
      </c>
      <c r="K1637" s="455">
        <f t="shared" ca="1" si="131"/>
        <v>-628774.88899140107</v>
      </c>
      <c r="L1637" s="455">
        <f t="shared" ca="1" si="132"/>
        <v>-151534748.24692768</v>
      </c>
      <c r="M1637" s="471">
        <f t="shared" si="134"/>
        <v>0.05</v>
      </c>
      <c r="N1637" s="475">
        <f t="shared" si="135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33"/>
        <v>-151534748.24692768</v>
      </c>
      <c r="J1638" s="455">
        <f t="array" ref="J1638">IFERROR(INDEX('Retirement Calculator'!J:J,MATCH('Isaac 401k'!N1638,'Retirement Calculator'!A:A,0),0),0)</f>
        <v>0</v>
      </c>
      <c r="K1638" s="455">
        <f t="shared" ca="1" si="131"/>
        <v>-631394.78436219867</v>
      </c>
      <c r="L1638" s="455">
        <f t="shared" ca="1" si="132"/>
        <v>-152166143.03128988</v>
      </c>
      <c r="M1638" s="471">
        <f t="shared" si="134"/>
        <v>0.05</v>
      </c>
      <c r="N1638" s="475">
        <f t="shared" si="135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33"/>
        <v>-152166143.03128988</v>
      </c>
      <c r="J1639" s="455">
        <f t="array" ref="J1639">IFERROR(INDEX('Retirement Calculator'!J:J,MATCH('Isaac 401k'!N1639,'Retirement Calculator'!A:A,0),0),0)</f>
        <v>0</v>
      </c>
      <c r="K1639" s="455">
        <f t="shared" ca="1" si="131"/>
        <v>-634025.59596370778</v>
      </c>
      <c r="L1639" s="455">
        <f t="shared" ca="1" si="132"/>
        <v>-152800168.62725359</v>
      </c>
      <c r="M1639" s="471">
        <f t="shared" si="134"/>
        <v>0.05</v>
      </c>
      <c r="N1639" s="475">
        <f t="shared" si="135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33"/>
        <v>-152800168.62725359</v>
      </c>
      <c r="J1640" s="455">
        <f t="array" ref="J1640">IFERROR(INDEX('Retirement Calculator'!J:J,MATCH('Isaac 401k'!N1640,'Retirement Calculator'!A:A,0),0),0)</f>
        <v>0</v>
      </c>
      <c r="K1640" s="455">
        <f t="shared" ca="1" si="131"/>
        <v>-636667.36928022327</v>
      </c>
      <c r="L1640" s="455">
        <f t="shared" ca="1" si="132"/>
        <v>-153436835.99653381</v>
      </c>
      <c r="M1640" s="471">
        <f t="shared" si="134"/>
        <v>0.05</v>
      </c>
      <c r="N1640" s="475">
        <f t="shared" si="135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33"/>
        <v>-153436835.99653381</v>
      </c>
      <c r="J1641" s="455">
        <f t="array" ref="J1641">IFERROR(INDEX('Retirement Calculator'!J:J,MATCH('Isaac 401k'!N1641,'Retirement Calculator'!A:A,0),0),0)</f>
        <v>0</v>
      </c>
      <c r="K1641" s="455">
        <f t="shared" ca="1" si="131"/>
        <v>-639320.14998555754</v>
      </c>
      <c r="L1641" s="455">
        <f t="shared" ca="1" si="132"/>
        <v>-154076156.14651936</v>
      </c>
      <c r="M1641" s="471">
        <f t="shared" si="134"/>
        <v>0.05</v>
      </c>
      <c r="N1641" s="475">
        <f t="shared" si="135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33"/>
        <v>-154076156.14651936</v>
      </c>
      <c r="J1642" s="455">
        <f t="array" ref="J1642">IFERROR(INDEX('Retirement Calculator'!J:J,MATCH('Isaac 401k'!N1642,'Retirement Calculator'!A:A,0),0),0)</f>
        <v>0</v>
      </c>
      <c r="K1642" s="455">
        <f t="shared" ca="1" si="131"/>
        <v>-641983.98394383071</v>
      </c>
      <c r="L1642" s="455">
        <f t="shared" ca="1" si="132"/>
        <v>-154718140.13046318</v>
      </c>
      <c r="M1642" s="471">
        <f t="shared" si="134"/>
        <v>0.05</v>
      </c>
      <c r="N1642" s="475">
        <f t="shared" si="135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33"/>
        <v>-154718140.13046318</v>
      </c>
      <c r="J1643" s="455">
        <f t="array" ref="J1643">IFERROR(INDEX('Retirement Calculator'!J:J,MATCH('Isaac 401k'!N1643,'Retirement Calculator'!A:A,0),0),0)</f>
        <v>0</v>
      </c>
      <c r="K1643" s="455">
        <f t="shared" ca="1" si="131"/>
        <v>-644658.9172102632</v>
      </c>
      <c r="L1643" s="455">
        <f t="shared" ca="1" si="132"/>
        <v>-155362799.04767343</v>
      </c>
      <c r="M1643" s="471">
        <f t="shared" si="134"/>
        <v>0.05</v>
      </c>
      <c r="N1643" s="475">
        <f t="shared" si="135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33"/>
        <v>-155362799.04767343</v>
      </c>
      <c r="J1644" s="455">
        <f t="array" ref="J1644">IFERROR(INDEX('Retirement Calculator'!J:J,MATCH('Isaac 401k'!N1644,'Retirement Calculator'!A:A,0),0),0)</f>
        <v>0</v>
      </c>
      <c r="K1644" s="455">
        <f t="shared" ca="1" si="131"/>
        <v>-647344.99603197258</v>
      </c>
      <c r="L1644" s="455">
        <f t="shared" ca="1" si="132"/>
        <v>-156010144.0437054</v>
      </c>
      <c r="M1644" s="471">
        <f t="shared" si="134"/>
        <v>0.05</v>
      </c>
      <c r="N1644" s="475">
        <f t="shared" si="135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33"/>
        <v>-156010144.0437054</v>
      </c>
      <c r="J1645" s="455">
        <f t="array" ref="J1645">IFERROR(INDEX('Retirement Calculator'!J:J,MATCH('Isaac 401k'!N1645,'Retirement Calculator'!A:A,0),0),0)</f>
        <v>0</v>
      </c>
      <c r="K1645" s="455">
        <f t="shared" ca="1" si="131"/>
        <v>-650042.26684877253</v>
      </c>
      <c r="L1645" s="455">
        <f t="shared" ca="1" si="132"/>
        <v>-156660186.31055418</v>
      </c>
      <c r="M1645" s="471">
        <f t="shared" si="134"/>
        <v>0.05</v>
      </c>
      <c r="N1645" s="475">
        <f t="shared" si="135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33"/>
        <v>-156660186.31055418</v>
      </c>
      <c r="J1646" s="455">
        <f t="array" ref="J1646">IFERROR(INDEX('Retirement Calculator'!J:J,MATCH('Isaac 401k'!N1646,'Retirement Calculator'!A:A,0),0),0)</f>
        <v>0</v>
      </c>
      <c r="K1646" s="455">
        <f t="shared" ca="1" si="131"/>
        <v>-652750.77629397577</v>
      </c>
      <c r="L1646" s="455">
        <f t="shared" ca="1" si="132"/>
        <v>-157312937.08684814</v>
      </c>
      <c r="M1646" s="471">
        <f t="shared" si="134"/>
        <v>0.05</v>
      </c>
      <c r="N1646" s="475">
        <f t="shared" si="135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33"/>
        <v>-157312937.08684814</v>
      </c>
      <c r="J1647" s="455">
        <f t="array" ref="J1647">IFERROR(INDEX('Retirement Calculator'!J:J,MATCH('Isaac 401k'!N1647,'Retirement Calculator'!A:A,0),0),0)</f>
        <v>0</v>
      </c>
      <c r="K1647" s="455">
        <f t="shared" ca="1" si="131"/>
        <v>-655470.57119520055</v>
      </c>
      <c r="L1647" s="455">
        <f t="shared" ca="1" si="132"/>
        <v>-157968407.65804335</v>
      </c>
      <c r="M1647" s="471">
        <f t="shared" si="134"/>
        <v>0.05</v>
      </c>
      <c r="N1647" s="475">
        <f t="shared" si="135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33"/>
        <v>-157968407.65804335</v>
      </c>
      <c r="J1648" s="455">
        <f t="array" ref="J1648">IFERROR(INDEX('Retirement Calculator'!J:J,MATCH('Isaac 401k'!N1648,'Retirement Calculator'!A:A,0),0),0)</f>
        <v>0</v>
      </c>
      <c r="K1648" s="455">
        <f t="shared" ca="1" si="131"/>
        <v>-658201.69857518061</v>
      </c>
      <c r="L1648" s="455">
        <f t="shared" ca="1" si="132"/>
        <v>-158626609.35661852</v>
      </c>
      <c r="M1648" s="471">
        <f t="shared" si="134"/>
        <v>0.05</v>
      </c>
      <c r="N1648" s="475">
        <f t="shared" si="135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33"/>
        <v>-158626609.35661852</v>
      </c>
      <c r="J1649" s="455">
        <f t="array" ref="J1649">IFERROR(INDEX('Retirement Calculator'!J:J,MATCH('Isaac 401k'!N1649,'Retirement Calculator'!A:A,0),0),0)</f>
        <v>0</v>
      </c>
      <c r="K1649" s="455">
        <f t="shared" ca="1" si="131"/>
        <v>-660944.20565257722</v>
      </c>
      <c r="L1649" s="455">
        <f t="shared" ca="1" si="132"/>
        <v>-159287553.56227109</v>
      </c>
      <c r="M1649" s="471">
        <f t="shared" si="134"/>
        <v>0.05</v>
      </c>
      <c r="N1649" s="475">
        <f t="shared" si="135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33"/>
        <v>-159287553.56227109</v>
      </c>
      <c r="J1650" s="455">
        <f t="array" ref="J1650">IFERROR(INDEX('Retirement Calculator'!J:J,MATCH('Isaac 401k'!N1650,'Retirement Calculator'!A:A,0),0),0)</f>
        <v>0</v>
      </c>
      <c r="K1650" s="455">
        <f t="shared" ca="1" si="131"/>
        <v>-663698.13984279614</v>
      </c>
      <c r="L1650" s="455">
        <f t="shared" ca="1" si="132"/>
        <v>-159951251.7021139</v>
      </c>
      <c r="M1650" s="471">
        <f t="shared" si="134"/>
        <v>0.05</v>
      </c>
      <c r="N1650" s="475">
        <f t="shared" si="135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33"/>
        <v>-159951251.7021139</v>
      </c>
      <c r="J1651" s="455">
        <f t="array" ref="J1651">IFERROR(INDEX('Retirement Calculator'!J:J,MATCH('Isaac 401k'!N1651,'Retirement Calculator'!A:A,0),0),0)</f>
        <v>0</v>
      </c>
      <c r="K1651" s="455">
        <f t="shared" ca="1" si="131"/>
        <v>-666463.54875880794</v>
      </c>
      <c r="L1651" s="455">
        <f t="shared" ca="1" si="132"/>
        <v>-160617715.2508727</v>
      </c>
      <c r="M1651" s="471">
        <f t="shared" si="134"/>
        <v>0.05</v>
      </c>
      <c r="N1651" s="475">
        <f t="shared" si="135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33"/>
        <v>-160617715.2508727</v>
      </c>
      <c r="J1652" s="455">
        <f t="array" ref="J1652">IFERROR(INDEX('Retirement Calculator'!J:J,MATCH('Isaac 401k'!N1652,'Retirement Calculator'!A:A,0),0),0)</f>
        <v>0</v>
      </c>
      <c r="K1652" s="455">
        <f t="shared" ca="1" si="131"/>
        <v>-669240.48021196958</v>
      </c>
      <c r="L1652" s="455">
        <f t="shared" ca="1" si="132"/>
        <v>-161286955.73108467</v>
      </c>
      <c r="M1652" s="471">
        <f t="shared" si="134"/>
        <v>0.05</v>
      </c>
      <c r="N1652" s="475">
        <f t="shared" si="135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33"/>
        <v>-161286955.73108467</v>
      </c>
      <c r="J1653" s="455">
        <f t="array" ref="J1653">IFERROR(INDEX('Retirement Calculator'!J:J,MATCH('Isaac 401k'!N1653,'Retirement Calculator'!A:A,0),0),0)</f>
        <v>0</v>
      </c>
      <c r="K1653" s="455">
        <f t="shared" ca="1" si="131"/>
        <v>-672028.9822128528</v>
      </c>
      <c r="L1653" s="455">
        <f t="shared" ca="1" si="132"/>
        <v>-161958984.71329752</v>
      </c>
      <c r="M1653" s="471">
        <f t="shared" si="134"/>
        <v>0.05</v>
      </c>
      <c r="N1653" s="475">
        <f t="shared" si="135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33"/>
        <v>-161958984.71329752</v>
      </c>
      <c r="J1654" s="455">
        <f t="array" ref="J1654">IFERROR(INDEX('Retirement Calculator'!J:J,MATCH('Isaac 401k'!N1654,'Retirement Calculator'!A:A,0),0),0)</f>
        <v>0</v>
      </c>
      <c r="K1654" s="455">
        <f t="shared" ca="1" si="131"/>
        <v>-674829.10297207301</v>
      </c>
      <c r="L1654" s="455">
        <f t="shared" ca="1" si="132"/>
        <v>-162633813.81626958</v>
      </c>
      <c r="M1654" s="471">
        <f t="shared" si="134"/>
        <v>0.05</v>
      </c>
      <c r="N1654" s="475">
        <f t="shared" si="135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33"/>
        <v>-162633813.81626958</v>
      </c>
      <c r="J1655" s="455">
        <f t="array" ref="J1655">IFERROR(INDEX('Retirement Calculator'!J:J,MATCH('Isaac 401k'!N1655,'Retirement Calculator'!A:A,0),0),0)</f>
        <v>0</v>
      </c>
      <c r="K1655" s="455">
        <f t="shared" ca="1" si="131"/>
        <v>-677640.89090112317</v>
      </c>
      <c r="L1655" s="455">
        <f t="shared" ca="1" si="132"/>
        <v>-163311454.7071707</v>
      </c>
      <c r="M1655" s="471">
        <f t="shared" si="134"/>
        <v>0.05</v>
      </c>
      <c r="N1655" s="475">
        <f t="shared" si="135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33"/>
        <v>-163311454.7071707</v>
      </c>
      <c r="J1656" s="455">
        <f t="array" ref="J1656">IFERROR(INDEX('Retirement Calculator'!J:J,MATCH('Isaac 401k'!N1656,'Retirement Calculator'!A:A,0),0),0)</f>
        <v>0</v>
      </c>
      <c r="K1656" s="455">
        <f t="shared" ca="1" si="131"/>
        <v>-680464.39461321128</v>
      </c>
      <c r="L1656" s="455">
        <f t="shared" ca="1" si="132"/>
        <v>-163991919.1017839</v>
      </c>
      <c r="M1656" s="471">
        <f t="shared" si="134"/>
        <v>0.05</v>
      </c>
      <c r="N1656" s="475">
        <f t="shared" si="135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33"/>
        <v>-163991919.1017839</v>
      </c>
      <c r="J1657" s="455">
        <f t="array" ref="J1657">IFERROR(INDEX('Retirement Calculator'!J:J,MATCH('Isaac 401k'!N1657,'Retirement Calculator'!A:A,0),0),0)</f>
        <v>0</v>
      </c>
      <c r="K1657" s="455">
        <f t="shared" ca="1" si="131"/>
        <v>-683299.6629240996</v>
      </c>
      <c r="L1657" s="455">
        <f t="shared" ca="1" si="132"/>
        <v>-164675218.76470801</v>
      </c>
      <c r="M1657" s="471">
        <f t="shared" si="134"/>
        <v>0.05</v>
      </c>
      <c r="N1657" s="475">
        <f t="shared" si="135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33"/>
        <v>-164675218.76470801</v>
      </c>
      <c r="J1658" s="455">
        <f t="array" ref="J1658">IFERROR(INDEX('Retirement Calculator'!J:J,MATCH('Isaac 401k'!N1658,'Retirement Calculator'!A:A,0),0),0)</f>
        <v>0</v>
      </c>
      <c r="K1658" s="455">
        <f t="shared" ca="1" si="131"/>
        <v>-686146.7448529501</v>
      </c>
      <c r="L1658" s="455">
        <f t="shared" ca="1" si="132"/>
        <v>-165361365.50956097</v>
      </c>
      <c r="M1658" s="471">
        <f t="shared" si="134"/>
        <v>0.05</v>
      </c>
      <c r="N1658" s="475">
        <f t="shared" si="135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33"/>
        <v>-165361365.50956097</v>
      </c>
      <c r="J1659" s="455">
        <f t="array" ref="J1659">IFERROR(INDEX('Retirement Calculator'!J:J,MATCH('Isaac 401k'!N1659,'Retirement Calculator'!A:A,0),0),0)</f>
        <v>0</v>
      </c>
      <c r="K1659" s="455">
        <f t="shared" ca="1" si="131"/>
        <v>-689005.68962317077</v>
      </c>
      <c r="L1659" s="455">
        <f t="shared" ca="1" si="132"/>
        <v>-166050371.19918415</v>
      </c>
      <c r="M1659" s="471">
        <f t="shared" si="134"/>
        <v>0.05</v>
      </c>
      <c r="N1659" s="475">
        <f t="shared" si="135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33"/>
        <v>-166050371.19918415</v>
      </c>
      <c r="J1660" s="455">
        <f t="array" ref="J1660">IFERROR(INDEX('Retirement Calculator'!J:J,MATCH('Isaac 401k'!N1660,'Retirement Calculator'!A:A,0),0),0)</f>
        <v>0</v>
      </c>
      <c r="K1660" s="455">
        <f t="shared" ca="1" si="131"/>
        <v>-691876.54666326731</v>
      </c>
      <c r="L1660" s="455">
        <f t="shared" ca="1" si="132"/>
        <v>-166742247.7458474</v>
      </c>
      <c r="M1660" s="471">
        <f t="shared" si="134"/>
        <v>0.05</v>
      </c>
      <c r="N1660" s="475">
        <f t="shared" si="135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33"/>
        <v>-166742247.7458474</v>
      </c>
      <c r="J1661" s="455">
        <f t="array" ref="J1661">IFERROR(INDEX('Retirement Calculator'!J:J,MATCH('Isaac 401k'!N1661,'Retirement Calculator'!A:A,0),0),0)</f>
        <v>0</v>
      </c>
      <c r="K1661" s="455">
        <f t="shared" ca="1" si="131"/>
        <v>-694759.36560769752</v>
      </c>
      <c r="L1661" s="455">
        <f t="shared" ca="1" si="132"/>
        <v>-167437007.11145511</v>
      </c>
      <c r="M1661" s="471">
        <f t="shared" si="134"/>
        <v>0.05</v>
      </c>
      <c r="N1661" s="475">
        <f t="shared" si="135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33"/>
        <v>-167437007.11145511</v>
      </c>
      <c r="J1662" s="455">
        <f t="array" ref="J1662">IFERROR(INDEX('Retirement Calculator'!J:J,MATCH('Isaac 401k'!N1662,'Retirement Calculator'!A:A,0),0),0)</f>
        <v>0</v>
      </c>
      <c r="K1662" s="455">
        <f t="shared" ca="1" si="131"/>
        <v>-697654.19629772962</v>
      </c>
      <c r="L1662" s="455">
        <f t="shared" ca="1" si="132"/>
        <v>-168134661.30775285</v>
      </c>
      <c r="M1662" s="471">
        <f t="shared" si="134"/>
        <v>0.05</v>
      </c>
      <c r="N1662" s="475">
        <f t="shared" si="135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33"/>
        <v>-168134661.30775285</v>
      </c>
      <c r="J1663" s="455">
        <f t="array" ref="J1663">IFERROR(INDEX('Retirement Calculator'!J:J,MATCH('Isaac 401k'!N1663,'Retirement Calculator'!A:A,0),0),0)</f>
        <v>0</v>
      </c>
      <c r="K1663" s="455">
        <f t="shared" ca="1" si="131"/>
        <v>-700561.0887823035</v>
      </c>
      <c r="L1663" s="455">
        <f t="shared" ca="1" si="132"/>
        <v>-168835222.39653516</v>
      </c>
      <c r="M1663" s="471">
        <f t="shared" si="134"/>
        <v>0.05</v>
      </c>
      <c r="N1663" s="475">
        <f t="shared" si="135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33"/>
        <v>-168835222.39653516</v>
      </c>
      <c r="J1664" s="455">
        <f t="array" ref="J1664">IFERROR(INDEX('Retirement Calculator'!J:J,MATCH('Isaac 401k'!N1664,'Retirement Calculator'!A:A,0),0),0)</f>
        <v>0</v>
      </c>
      <c r="K1664" s="455">
        <f t="shared" ca="1" si="131"/>
        <v>-703480.09331889648</v>
      </c>
      <c r="L1664" s="455">
        <f t="shared" ca="1" si="132"/>
        <v>-169538702.48985407</v>
      </c>
      <c r="M1664" s="471">
        <f t="shared" si="134"/>
        <v>0.05</v>
      </c>
      <c r="N1664" s="475">
        <f t="shared" si="135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33"/>
        <v>-169538702.48985407</v>
      </c>
      <c r="J1665" s="455">
        <f t="array" ref="J1665">IFERROR(INDEX('Retirement Calculator'!J:J,MATCH('Isaac 401k'!N1665,'Retirement Calculator'!A:A,0),0),0)</f>
        <v>0</v>
      </c>
      <c r="K1665" s="455">
        <f t="shared" ca="1" si="131"/>
        <v>-706411.26037439192</v>
      </c>
      <c r="L1665" s="455">
        <f t="shared" ca="1" si="132"/>
        <v>-170245113.75022846</v>
      </c>
      <c r="M1665" s="471">
        <f t="shared" si="134"/>
        <v>0.05</v>
      </c>
      <c r="N1665" s="475">
        <f t="shared" si="135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33"/>
        <v>-170245113.75022846</v>
      </c>
      <c r="J1666" s="455">
        <f t="array" ref="J1666">IFERROR(INDEX('Retirement Calculator'!J:J,MATCH('Isaac 401k'!N1666,'Retirement Calculator'!A:A,0),0),0)</f>
        <v>0</v>
      </c>
      <c r="K1666" s="455">
        <f t="shared" ca="1" si="131"/>
        <v>-709354.64062595193</v>
      </c>
      <c r="L1666" s="455">
        <f t="shared" ca="1" si="132"/>
        <v>-170954468.39085442</v>
      </c>
      <c r="M1666" s="471">
        <f t="shared" si="134"/>
        <v>0.05</v>
      </c>
      <c r="N1666" s="475">
        <f t="shared" si="135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33"/>
        <v>-170954468.39085442</v>
      </c>
      <c r="J1667" s="455">
        <f t="array" ref="J1667">IFERROR(INDEX('Retirement Calculator'!J:J,MATCH('Isaac 401k'!N1667,'Retirement Calculator'!A:A,0),0),0)</f>
        <v>0</v>
      </c>
      <c r="K1667" s="455">
        <f t="shared" ca="1" si="131"/>
        <v>-712310.28496189346</v>
      </c>
      <c r="L1667" s="455">
        <f t="shared" ca="1" si="132"/>
        <v>-171666778.6758163</v>
      </c>
      <c r="M1667" s="471">
        <f t="shared" si="134"/>
        <v>0.05</v>
      </c>
      <c r="N1667" s="475">
        <f t="shared" si="135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33"/>
        <v>-171666778.6758163</v>
      </c>
      <c r="J1668" s="455">
        <f t="array" ref="J1668">IFERROR(INDEX('Retirement Calculator'!J:J,MATCH('Isaac 401k'!N1668,'Retirement Calculator'!A:A,0),0),0)</f>
        <v>0</v>
      </c>
      <c r="K1668" s="455">
        <f t="shared" ca="1" si="131"/>
        <v>-715278.24448256788</v>
      </c>
      <c r="L1668" s="455">
        <f t="shared" ca="1" si="132"/>
        <v>-172382056.92029887</v>
      </c>
      <c r="M1668" s="471">
        <f t="shared" si="134"/>
        <v>0.05</v>
      </c>
      <c r="N1668" s="475">
        <f t="shared" si="135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33"/>
        <v>-172382056.92029887</v>
      </c>
      <c r="J1669" s="455">
        <f t="array" ref="J1669">IFERROR(INDEX('Retirement Calculator'!J:J,MATCH('Isaac 401k'!N1669,'Retirement Calculator'!A:A,0),0),0)</f>
        <v>0</v>
      </c>
      <c r="K1669" s="455">
        <f t="shared" ca="1" si="131"/>
        <v>-718258.57050124533</v>
      </c>
      <c r="L1669" s="455">
        <f t="shared" ca="1" si="132"/>
        <v>-173100315.49080011</v>
      </c>
      <c r="M1669" s="471">
        <f t="shared" si="134"/>
        <v>0.05</v>
      </c>
      <c r="N1669" s="475">
        <f t="shared" si="135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33"/>
        <v>-173100315.49080011</v>
      </c>
      <c r="J1670" s="455">
        <f t="array" ref="J1670">IFERROR(INDEX('Retirement Calculator'!J:J,MATCH('Isaac 401k'!N1670,'Retirement Calculator'!A:A,0),0),0)</f>
        <v>0</v>
      </c>
      <c r="K1670" s="455">
        <f t="shared" ca="1" si="131"/>
        <v>-721251.31454500044</v>
      </c>
      <c r="L1670" s="455">
        <f t="shared" ca="1" si="132"/>
        <v>-173821566.80534512</v>
      </c>
      <c r="M1670" s="471">
        <f t="shared" si="134"/>
        <v>0.05</v>
      </c>
      <c r="N1670" s="475">
        <f t="shared" si="135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33"/>
        <v>-173821566.80534512</v>
      </c>
      <c r="J1671" s="455">
        <f t="array" ref="J1671">IFERROR(INDEX('Retirement Calculator'!J:J,MATCH('Isaac 401k'!N1671,'Retirement Calculator'!A:A,0),0),0)</f>
        <v>0</v>
      </c>
      <c r="K1671" s="455">
        <f t="shared" ca="1" si="131"/>
        <v>-724256.52835560462</v>
      </c>
      <c r="L1671" s="455">
        <f t="shared" ca="1" si="132"/>
        <v>-174545823.33370072</v>
      </c>
      <c r="M1671" s="471">
        <f t="shared" si="134"/>
        <v>0.05</v>
      </c>
      <c r="N1671" s="475">
        <f t="shared" si="135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33"/>
        <v>-174545823.33370072</v>
      </c>
      <c r="J1672" s="455">
        <f t="array" ref="J1672">IFERROR(INDEX('Retirement Calculator'!J:J,MATCH('Isaac 401k'!N1672,'Retirement Calculator'!A:A,0),0),0)</f>
        <v>0</v>
      </c>
      <c r="K1672" s="455">
        <f t="shared" ca="1" si="131"/>
        <v>-727274.26389041962</v>
      </c>
      <c r="L1672" s="455">
        <f t="shared" ca="1" si="132"/>
        <v>-175273097.59759113</v>
      </c>
      <c r="M1672" s="471">
        <f t="shared" si="134"/>
        <v>0.05</v>
      </c>
      <c r="N1672" s="475">
        <f t="shared" si="135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33"/>
        <v>-175273097.59759113</v>
      </c>
      <c r="J1673" s="455">
        <f t="array" ref="J1673">IFERROR(INDEX('Retirement Calculator'!J:J,MATCH('Isaac 401k'!N1673,'Retirement Calculator'!A:A,0),0),0)</f>
        <v>0</v>
      </c>
      <c r="K1673" s="455">
        <f t="shared" ca="1" si="131"/>
        <v>-730304.57332329638</v>
      </c>
      <c r="L1673" s="455">
        <f t="shared" ca="1" si="132"/>
        <v>-176003402.17091444</v>
      </c>
      <c r="M1673" s="471">
        <f t="shared" si="134"/>
        <v>0.05</v>
      </c>
      <c r="N1673" s="475">
        <f t="shared" si="135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33"/>
        <v>-176003402.17091444</v>
      </c>
      <c r="J1674" s="455">
        <f t="array" ref="J1674">IFERROR(INDEX('Retirement Calculator'!J:J,MATCH('Isaac 401k'!N1674,'Retirement Calculator'!A:A,0),0),0)</f>
        <v>0</v>
      </c>
      <c r="K1674" s="455">
        <f t="shared" ca="1" si="131"/>
        <v>-733347.50904547679</v>
      </c>
      <c r="L1674" s="455">
        <f t="shared" ca="1" si="132"/>
        <v>-176736749.67995992</v>
      </c>
      <c r="M1674" s="471">
        <f t="shared" si="134"/>
        <v>0.05</v>
      </c>
      <c r="N1674" s="475">
        <f t="shared" si="135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33"/>
        <v>-176736749.67995992</v>
      </c>
      <c r="J1675" s="455">
        <f t="array" ref="J1675">IFERROR(INDEX('Retirement Calculator'!J:J,MATCH('Isaac 401k'!N1675,'Retirement Calculator'!A:A,0),0),0)</f>
        <v>0</v>
      </c>
      <c r="K1675" s="455">
        <f t="shared" ca="1" si="131"/>
        <v>-736403.12366649962</v>
      </c>
      <c r="L1675" s="455">
        <f t="shared" ca="1" si="132"/>
        <v>-177473152.80362642</v>
      </c>
      <c r="M1675" s="471">
        <f t="shared" si="134"/>
        <v>0.05</v>
      </c>
      <c r="N1675" s="475">
        <f t="shared" si="135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33"/>
        <v>-177473152.80362642</v>
      </c>
      <c r="J1676" s="455">
        <f t="array" ref="J1676">IFERROR(INDEX('Retirement Calculator'!J:J,MATCH('Isaac 401k'!N1676,'Retirement Calculator'!A:A,0),0),0)</f>
        <v>0</v>
      </c>
      <c r="K1676" s="455">
        <f t="shared" ca="1" si="131"/>
        <v>-739471.4700151101</v>
      </c>
      <c r="L1676" s="455">
        <f t="shared" ca="1" si="132"/>
        <v>-178212624.27364153</v>
      </c>
      <c r="M1676" s="471">
        <f t="shared" si="134"/>
        <v>0.05</v>
      </c>
      <c r="N1676" s="475">
        <f t="shared" si="135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33"/>
        <v>-178212624.27364153</v>
      </c>
      <c r="J1677" s="455">
        <f t="array" ref="J1677">IFERROR(INDEX('Retirement Calculator'!J:J,MATCH('Isaac 401k'!N1677,'Retirement Calculator'!A:A,0),0),0)</f>
        <v>0</v>
      </c>
      <c r="K1677" s="455">
        <f t="shared" ca="1" si="131"/>
        <v>-742552.60114017304</v>
      </c>
      <c r="L1677" s="455">
        <f t="shared" ca="1" si="132"/>
        <v>-178955176.8747817</v>
      </c>
      <c r="M1677" s="471">
        <f t="shared" si="134"/>
        <v>0.05</v>
      </c>
      <c r="N1677" s="475">
        <f t="shared" si="135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33"/>
        <v>-178955176.8747817</v>
      </c>
      <c r="J1678" s="455">
        <f t="array" ref="J1678">IFERROR(INDEX('Retirement Calculator'!J:J,MATCH('Isaac 401k'!N1678,'Retirement Calculator'!A:A,0),0),0)</f>
        <v>0</v>
      </c>
      <c r="K1678" s="455">
        <f t="shared" ca="1" si="131"/>
        <v>-745646.57031159045</v>
      </c>
      <c r="L1678" s="455">
        <f t="shared" ca="1" si="132"/>
        <v>-179700823.44509327</v>
      </c>
      <c r="M1678" s="471">
        <f t="shared" si="134"/>
        <v>0.05</v>
      </c>
      <c r="N1678" s="475">
        <f t="shared" si="135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33"/>
        <v>-179700823.44509327</v>
      </c>
      <c r="J1679" s="455">
        <f t="array" ref="J1679">IFERROR(INDEX('Retirement Calculator'!J:J,MATCH('Isaac 401k'!N1679,'Retirement Calculator'!A:A,0),0),0)</f>
        <v>0</v>
      </c>
      <c r="K1679" s="455">
        <f t="shared" ca="1" si="131"/>
        <v>-748753.43102122191</v>
      </c>
      <c r="L1679" s="455">
        <f t="shared" ca="1" si="132"/>
        <v>-180449576.87611449</v>
      </c>
      <c r="M1679" s="471">
        <f t="shared" si="134"/>
        <v>0.05</v>
      </c>
      <c r="N1679" s="475">
        <f t="shared" si="135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33"/>
        <v>-180449576.87611449</v>
      </c>
      <c r="J1680" s="455">
        <f t="array" ref="J1680">IFERROR(INDEX('Retirement Calculator'!J:J,MATCH('Isaac 401k'!N1680,'Retirement Calculator'!A:A,0),0),0)</f>
        <v>0</v>
      </c>
      <c r="K1680" s="455">
        <f t="shared" ca="1" si="131"/>
        <v>-751873.23698381032</v>
      </c>
      <c r="L1680" s="455">
        <f t="shared" ca="1" si="132"/>
        <v>-181201450.11309829</v>
      </c>
      <c r="M1680" s="471">
        <f t="shared" si="134"/>
        <v>0.05</v>
      </c>
      <c r="N1680" s="475">
        <f t="shared" si="135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33"/>
        <v>-181201450.11309829</v>
      </c>
      <c r="J1681" s="455">
        <f t="array" ref="J1681">IFERROR(INDEX('Retirement Calculator'!J:J,MATCH('Isaac 401k'!N1681,'Retirement Calculator'!A:A,0),0),0)</f>
        <v>0</v>
      </c>
      <c r="K1681" s="455">
        <f t="shared" ca="1" si="131"/>
        <v>-755006.04213790956</v>
      </c>
      <c r="L1681" s="455">
        <f t="shared" ca="1" si="132"/>
        <v>-181956456.15523621</v>
      </c>
      <c r="M1681" s="471">
        <f t="shared" si="134"/>
        <v>0.05</v>
      </c>
      <c r="N1681" s="475">
        <f t="shared" si="135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33"/>
        <v>-181956456.15523621</v>
      </c>
      <c r="J1682" s="455">
        <f t="array" ref="J1682">IFERROR(INDEX('Retirement Calculator'!J:J,MATCH('Isaac 401k'!N1682,'Retirement Calculator'!A:A,0),0),0)</f>
        <v>0</v>
      </c>
      <c r="K1682" s="455">
        <f t="shared" ca="1" si="131"/>
        <v>-758151.90064681752</v>
      </c>
      <c r="L1682" s="455">
        <f t="shared" ca="1" si="132"/>
        <v>-182714608.05588302</v>
      </c>
      <c r="M1682" s="471">
        <f t="shared" si="134"/>
        <v>0.05</v>
      </c>
      <c r="N1682" s="475">
        <f t="shared" si="135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33"/>
        <v>-182714608.05588302</v>
      </c>
      <c r="J1683" s="455">
        <f t="array" ref="J1683">IFERROR(INDEX('Retirement Calculator'!J:J,MATCH('Isaac 401k'!N1683,'Retirement Calculator'!A:A,0),0),0)</f>
        <v>0</v>
      </c>
      <c r="K1683" s="455">
        <f t="shared" ca="1" si="131"/>
        <v>-761310.86689951259</v>
      </c>
      <c r="L1683" s="455">
        <f t="shared" ca="1" si="132"/>
        <v>-183475918.92278254</v>
      </c>
      <c r="M1683" s="471">
        <f t="shared" si="134"/>
        <v>0.05</v>
      </c>
      <c r="N1683" s="475">
        <f t="shared" si="135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33"/>
        <v>-183475918.92278254</v>
      </c>
      <c r="J1684" s="455">
        <f t="array" ref="J1684">IFERROR(INDEX('Retirement Calculator'!J:J,MATCH('Isaac 401k'!N1684,'Retirement Calculator'!A:A,0),0),0)</f>
        <v>0</v>
      </c>
      <c r="K1684" s="455">
        <f t="shared" ca="1" si="131"/>
        <v>-764482.99551159388</v>
      </c>
      <c r="L1684" s="455">
        <f t="shared" ca="1" si="132"/>
        <v>-184240401.91829413</v>
      </c>
      <c r="M1684" s="471">
        <f t="shared" si="134"/>
        <v>0.05</v>
      </c>
      <c r="N1684" s="475">
        <f t="shared" si="135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33"/>
        <v>-184240401.91829413</v>
      </c>
      <c r="J1685" s="455">
        <f t="array" ref="J1685">IFERROR(INDEX('Retirement Calculator'!J:J,MATCH('Isaac 401k'!N1685,'Retirement Calculator'!A:A,0),0),0)</f>
        <v>0</v>
      </c>
      <c r="K1685" s="455">
        <f t="shared" ca="1" si="131"/>
        <v>-767668.34132622555</v>
      </c>
      <c r="L1685" s="455">
        <f t="shared" ca="1" si="132"/>
        <v>-185008070.25962037</v>
      </c>
      <c r="M1685" s="471">
        <f t="shared" si="134"/>
        <v>0.05</v>
      </c>
      <c r="N1685" s="475">
        <f t="shared" si="135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33"/>
        <v>-185008070.25962037</v>
      </c>
      <c r="J1686" s="455">
        <f t="array" ref="J1686">IFERROR(INDEX('Retirement Calculator'!J:J,MATCH('Isaac 401k'!N1686,'Retirement Calculator'!A:A,0),0),0)</f>
        <v>0</v>
      </c>
      <c r="K1686" s="455">
        <f t="shared" ca="1" si="131"/>
        <v>-770866.95941508492</v>
      </c>
      <c r="L1686" s="455">
        <f t="shared" ca="1" si="132"/>
        <v>-185778937.21903545</v>
      </c>
      <c r="M1686" s="471">
        <f t="shared" si="134"/>
        <v>0.05</v>
      </c>
      <c r="N1686" s="475">
        <f t="shared" si="135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33"/>
        <v>-185778937.21903545</v>
      </c>
      <c r="J1687" s="455">
        <f t="array" ref="J1687">IFERROR(INDEX('Retirement Calculator'!J:J,MATCH('Isaac 401k'!N1687,'Retirement Calculator'!A:A,0),0),0)</f>
        <v>0</v>
      </c>
      <c r="K1687" s="455">
        <f t="shared" ca="1" si="131"/>
        <v>-774078.90507931437</v>
      </c>
      <c r="L1687" s="455">
        <f t="shared" ca="1" si="132"/>
        <v>-186553016.12411475</v>
      </c>
      <c r="M1687" s="471">
        <f t="shared" si="134"/>
        <v>0.05</v>
      </c>
      <c r="N1687" s="475">
        <f t="shared" si="135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33"/>
        <v>-186553016.12411475</v>
      </c>
      <c r="J1688" s="455">
        <f t="array" ref="J1688">IFERROR(INDEX('Retirement Calculator'!J:J,MATCH('Isaac 401k'!N1688,'Retirement Calculator'!A:A,0),0),0)</f>
        <v>0</v>
      </c>
      <c r="K1688" s="455">
        <f t="shared" ca="1" si="131"/>
        <v>-777304.23385047808</v>
      </c>
      <c r="L1688" s="455">
        <f t="shared" ca="1" si="132"/>
        <v>-187330320.35796523</v>
      </c>
      <c r="M1688" s="471">
        <f t="shared" si="134"/>
        <v>0.05</v>
      </c>
      <c r="N1688" s="475">
        <f t="shared" si="135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33"/>
        <v>-187330320.35796523</v>
      </c>
      <c r="J1689" s="455">
        <f t="array" ref="J1689">IFERROR(INDEX('Retirement Calculator'!J:J,MATCH('Isaac 401k'!N1689,'Retirement Calculator'!A:A,0),0),0)</f>
        <v>0</v>
      </c>
      <c r="K1689" s="455">
        <f t="shared" ca="1" si="131"/>
        <v>-780543.00149152183</v>
      </c>
      <c r="L1689" s="455">
        <f t="shared" ca="1" si="132"/>
        <v>-188110863.35945675</v>
      </c>
      <c r="M1689" s="471">
        <f t="shared" si="134"/>
        <v>0.05</v>
      </c>
      <c r="N1689" s="475">
        <f t="shared" si="135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33"/>
        <v>-188110863.35945675</v>
      </c>
      <c r="J1690" s="455">
        <f t="array" ref="J1690">IFERROR(INDEX('Retirement Calculator'!J:J,MATCH('Isaac 401k'!N1690,'Retirement Calculator'!A:A,0),0),0)</f>
        <v>0</v>
      </c>
      <c r="K1690" s="455">
        <f t="shared" ca="1" si="131"/>
        <v>-783795.26399773639</v>
      </c>
      <c r="L1690" s="455">
        <f t="shared" ca="1" si="132"/>
        <v>-188894658.62345448</v>
      </c>
      <c r="M1690" s="471">
        <f t="shared" si="134"/>
        <v>0.05</v>
      </c>
      <c r="N1690" s="475">
        <f t="shared" si="135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33"/>
        <v>-188894658.62345448</v>
      </c>
      <c r="J1691" s="455">
        <f t="array" ref="J1691">IFERROR(INDEX('Retirement Calculator'!J:J,MATCH('Isaac 401k'!N1691,'Retirement Calculator'!A:A,0),0),0)</f>
        <v>0</v>
      </c>
      <c r="K1691" s="455">
        <f t="shared" ca="1" si="131"/>
        <v>-787061.07759772695</v>
      </c>
      <c r="L1691" s="455">
        <f t="shared" ca="1" si="132"/>
        <v>-189681719.70105222</v>
      </c>
      <c r="M1691" s="471">
        <f t="shared" si="134"/>
        <v>0.05</v>
      </c>
      <c r="N1691" s="475">
        <f t="shared" si="135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33"/>
        <v>-189681719.70105222</v>
      </c>
      <c r="J1692" s="455">
        <f t="array" ref="J1692">IFERROR(INDEX('Retirement Calculator'!J:J,MATCH('Isaac 401k'!N1692,'Retirement Calculator'!A:A,0),0),0)</f>
        <v>0</v>
      </c>
      <c r="K1692" s="455">
        <f t="shared" ca="1" si="131"/>
        <v>-790340.49875438423</v>
      </c>
      <c r="L1692" s="455">
        <f t="shared" ca="1" si="132"/>
        <v>-190472060.1998066</v>
      </c>
      <c r="M1692" s="471">
        <f t="shared" si="134"/>
        <v>0.05</v>
      </c>
      <c r="N1692" s="475">
        <f t="shared" si="135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33"/>
        <v>-190472060.1998066</v>
      </c>
      <c r="J1693" s="455">
        <f t="array" ref="J1693">IFERROR(INDEX('Retirement Calculator'!J:J,MATCH('Isaac 401k'!N1693,'Retirement Calculator'!A:A,0),0),0)</f>
        <v>0</v>
      </c>
      <c r="K1693" s="455">
        <f t="shared" ca="1" si="131"/>
        <v>-793633.58416586078</v>
      </c>
      <c r="L1693" s="455">
        <f t="shared" ca="1" si="132"/>
        <v>-191265693.78397247</v>
      </c>
      <c r="M1693" s="471">
        <f t="shared" si="134"/>
        <v>0.05</v>
      </c>
      <c r="N1693" s="475">
        <f t="shared" si="135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33"/>
        <v>-191265693.78397247</v>
      </c>
      <c r="J1694" s="455">
        <f t="array" ref="J1694">IFERROR(INDEX('Retirement Calculator'!J:J,MATCH('Isaac 401k'!N1694,'Retirement Calculator'!A:A,0),0),0)</f>
        <v>0</v>
      </c>
      <c r="K1694" s="455">
        <f t="shared" ca="1" si="131"/>
        <v>-796940.39076655195</v>
      </c>
      <c r="L1694" s="455">
        <f t="shared" ca="1" si="132"/>
        <v>-192062634.17473903</v>
      </c>
      <c r="M1694" s="471">
        <f t="shared" si="134"/>
        <v>0.05</v>
      </c>
      <c r="N1694" s="475">
        <f t="shared" si="135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33"/>
        <v>-192062634.17473903</v>
      </c>
      <c r="J1695" s="455">
        <f t="array" ref="J1695">IFERROR(INDEX('Retirement Calculator'!J:J,MATCH('Isaac 401k'!N1695,'Retirement Calculator'!A:A,0),0),0)</f>
        <v>0</v>
      </c>
      <c r="K1695" s="455">
        <f t="shared" ca="1" si="131"/>
        <v>-800260.97572807933</v>
      </c>
      <c r="L1695" s="455">
        <f t="shared" ca="1" si="132"/>
        <v>-192862895.1504671</v>
      </c>
      <c r="M1695" s="471">
        <f t="shared" si="134"/>
        <v>0.05</v>
      </c>
      <c r="N1695" s="475">
        <f t="shared" si="135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33"/>
        <v>-192862895.1504671</v>
      </c>
      <c r="J1696" s="455">
        <f t="array" ref="J1696">IFERROR(INDEX('Retirement Calculator'!J:J,MATCH('Isaac 401k'!N1696,'Retirement Calculator'!A:A,0),0),0)</f>
        <v>0</v>
      </c>
      <c r="K1696" s="455">
        <f t="shared" ca="1" si="131"/>
        <v>-803595.39646027959</v>
      </c>
      <c r="L1696" s="455">
        <f t="shared" ca="1" si="132"/>
        <v>-193666490.54692736</v>
      </c>
      <c r="M1696" s="471">
        <f t="shared" si="134"/>
        <v>0.05</v>
      </c>
      <c r="N1696" s="475">
        <f t="shared" si="135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33"/>
        <v>-193666490.54692736</v>
      </c>
      <c r="J1697" s="455">
        <f t="array" ref="J1697">IFERROR(INDEX('Retirement Calculator'!J:J,MATCH('Isaac 401k'!N1697,'Retirement Calculator'!A:A,0),0),0)</f>
        <v>0</v>
      </c>
      <c r="K1697" s="455">
        <f t="shared" ca="1" si="131"/>
        <v>-806943.71061219729</v>
      </c>
      <c r="L1697" s="455">
        <f t="shared" ca="1" si="132"/>
        <v>-194473434.25753957</v>
      </c>
      <c r="M1697" s="471">
        <f t="shared" si="134"/>
        <v>0.05</v>
      </c>
      <c r="N1697" s="475">
        <f t="shared" si="135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33"/>
        <v>-194473434.25753957</v>
      </c>
      <c r="J1698" s="455">
        <f t="array" ref="J1698">IFERROR(INDEX('Retirement Calculator'!J:J,MATCH('Isaac 401k'!N1698,'Retirement Calculator'!A:A,0),0),0)</f>
        <v>0</v>
      </c>
      <c r="K1698" s="455">
        <f t="shared" ca="1" si="131"/>
        <v>-810305.97607308149</v>
      </c>
      <c r="L1698" s="455">
        <f t="shared" ca="1" si="132"/>
        <v>-195283740.23361266</v>
      </c>
      <c r="M1698" s="471">
        <f t="shared" si="134"/>
        <v>0.05</v>
      </c>
      <c r="N1698" s="475">
        <f t="shared" si="135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33"/>
        <v>-195283740.23361266</v>
      </c>
      <c r="J1699" s="455">
        <f t="array" ref="J1699">IFERROR(INDEX('Retirement Calculator'!J:J,MATCH('Isaac 401k'!N1699,'Retirement Calculator'!A:A,0),0),0)</f>
        <v>0</v>
      </c>
      <c r="K1699" s="455">
        <f t="shared" ca="1" si="131"/>
        <v>-813682.25097338611</v>
      </c>
      <c r="L1699" s="455">
        <f t="shared" ca="1" si="132"/>
        <v>-196097422.48458603</v>
      </c>
      <c r="M1699" s="471">
        <f t="shared" si="134"/>
        <v>0.05</v>
      </c>
      <c r="N1699" s="475">
        <f t="shared" si="135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33"/>
        <v>-196097422.48458603</v>
      </c>
      <c r="J1700" s="455">
        <f t="array" ref="J1700">IFERROR(INDEX('Retirement Calculator'!J:J,MATCH('Isaac 401k'!N1700,'Retirement Calculator'!A:A,0),0),0)</f>
        <v>0</v>
      </c>
      <c r="K1700" s="455">
        <f t="shared" ca="1" si="131"/>
        <v>-817072.59368577506</v>
      </c>
      <c r="L1700" s="455">
        <f t="shared" ca="1" si="132"/>
        <v>-196914495.07827181</v>
      </c>
      <c r="M1700" s="471">
        <f t="shared" si="134"/>
        <v>0.05</v>
      </c>
      <c r="N1700" s="475">
        <f t="shared" si="135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33"/>
        <v>-196914495.07827181</v>
      </c>
      <c r="J1701" s="455">
        <f t="array" ref="J1701">IFERROR(INDEX('Retirement Calculator'!J:J,MATCH('Isaac 401k'!N1701,'Retirement Calculator'!A:A,0),0),0)</f>
        <v>0</v>
      </c>
      <c r="K1701" s="455">
        <f t="shared" ca="1" si="131"/>
        <v>-820477.06282613252</v>
      </c>
      <c r="L1701" s="455">
        <f t="shared" ca="1" si="132"/>
        <v>-197734972.14109793</v>
      </c>
      <c r="M1701" s="471">
        <f t="shared" si="134"/>
        <v>0.05</v>
      </c>
      <c r="N1701" s="475">
        <f t="shared" si="135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33"/>
        <v>-197734972.14109793</v>
      </c>
      <c r="J1702" s="455">
        <f t="array" ref="J1702">IFERROR(INDEX('Retirement Calculator'!J:J,MATCH('Isaac 401k'!N1702,'Retirement Calculator'!A:A,0),0),0)</f>
        <v>0</v>
      </c>
      <c r="K1702" s="455">
        <f t="shared" ca="1" si="131"/>
        <v>-823895.71725457476</v>
      </c>
      <c r="L1702" s="455">
        <f t="shared" ca="1" si="132"/>
        <v>-198558867.85835251</v>
      </c>
      <c r="M1702" s="471">
        <f t="shared" si="134"/>
        <v>0.05</v>
      </c>
      <c r="N1702" s="475">
        <f t="shared" si="135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33"/>
        <v>-198558867.85835251</v>
      </c>
      <c r="J1703" s="455">
        <f t="array" ref="J1703">IFERROR(INDEX('Retirement Calculator'!J:J,MATCH('Isaac 401k'!N1703,'Retirement Calculator'!A:A,0),0),0)</f>
        <v>0</v>
      </c>
      <c r="K1703" s="455">
        <f t="shared" ca="1" si="131"/>
        <v>-827328.61607646884</v>
      </c>
      <c r="L1703" s="455">
        <f t="shared" ca="1" si="132"/>
        <v>-199386196.47442898</v>
      </c>
      <c r="M1703" s="471">
        <f t="shared" si="134"/>
        <v>0.05</v>
      </c>
      <c r="N1703" s="475">
        <f t="shared" si="135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33"/>
        <v>-199386196.47442898</v>
      </c>
      <c r="J1704" s="455">
        <f t="array" ref="J1704">IFERROR(INDEX('Retirement Calculator'!J:J,MATCH('Isaac 401k'!N1704,'Retirement Calculator'!A:A,0),0),0)</f>
        <v>0</v>
      </c>
      <c r="K1704" s="455">
        <f t="shared" ca="1" si="131"/>
        <v>-830775.81864345411</v>
      </c>
      <c r="L1704" s="455">
        <f t="shared" ca="1" si="132"/>
        <v>-200216972.29307243</v>
      </c>
      <c r="M1704" s="471">
        <f t="shared" si="134"/>
        <v>0.05</v>
      </c>
      <c r="N1704" s="475">
        <f t="shared" si="135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33"/>
        <v>-200216972.29307243</v>
      </c>
      <c r="J1705" s="455">
        <f t="array" ref="J1705">IFERROR(INDEX('Retirement Calculator'!J:J,MATCH('Isaac 401k'!N1705,'Retirement Calculator'!A:A,0),0),0)</f>
        <v>0</v>
      </c>
      <c r="K1705" s="455">
        <f t="shared" ca="1" si="131"/>
        <v>-834237.38455446844</v>
      </c>
      <c r="L1705" s="455">
        <f t="shared" ca="1" si="132"/>
        <v>-201051209.67762691</v>
      </c>
      <c r="M1705" s="471">
        <f t="shared" si="134"/>
        <v>0.05</v>
      </c>
      <c r="N1705" s="475">
        <f t="shared" si="135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33"/>
        <v>-201051209.67762691</v>
      </c>
      <c r="J1706" s="455">
        <f t="array" ref="J1706">IFERROR(INDEX('Retirement Calculator'!J:J,MATCH('Isaac 401k'!N1706,'Retirement Calculator'!A:A,0),0),0)</f>
        <v>0</v>
      </c>
      <c r="K1706" s="455">
        <f t="shared" ca="1" si="131"/>
        <v>-837713.37365677883</v>
      </c>
      <c r="L1706" s="455">
        <f t="shared" ca="1" si="132"/>
        <v>-201888923.05128369</v>
      </c>
      <c r="M1706" s="471">
        <f t="shared" si="134"/>
        <v>0.05</v>
      </c>
      <c r="N1706" s="475">
        <f t="shared" si="135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33"/>
        <v>-201888923.05128369</v>
      </c>
      <c r="J1707" s="455">
        <f t="array" ref="J1707">IFERROR(INDEX('Retirement Calculator'!J:J,MATCH('Isaac 401k'!N1707,'Retirement Calculator'!A:A,0),0),0)</f>
        <v>0</v>
      </c>
      <c r="K1707" s="455">
        <f t="shared" ca="1" si="131"/>
        <v>-841203.8460470154</v>
      </c>
      <c r="L1707" s="455">
        <f t="shared" ca="1" si="132"/>
        <v>-202730126.8973307</v>
      </c>
      <c r="M1707" s="471">
        <f t="shared" si="134"/>
        <v>0.05</v>
      </c>
      <c r="N1707" s="475">
        <f t="shared" si="135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33"/>
        <v>-202730126.8973307</v>
      </c>
      <c r="J1708" s="455">
        <f t="array" ref="J1708">IFERROR(INDEX('Retirement Calculator'!J:J,MATCH('Isaac 401k'!N1708,'Retirement Calculator'!A:A,0),0),0)</f>
        <v>0</v>
      </c>
      <c r="K1708" s="455">
        <f t="shared" ca="1" si="131"/>
        <v>-844708.86207221122</v>
      </c>
      <c r="L1708" s="455">
        <f t="shared" ca="1" si="132"/>
        <v>-203574835.7594029</v>
      </c>
      <c r="M1708" s="471">
        <f t="shared" si="134"/>
        <v>0.05</v>
      </c>
      <c r="N1708" s="475">
        <f t="shared" si="135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33"/>
        <v>-203574835.7594029</v>
      </c>
      <c r="J1709" s="455">
        <f t="array" ref="J1709">IFERROR(INDEX('Retirement Calculator'!J:J,MATCH('Isaac 401k'!N1709,'Retirement Calculator'!A:A,0),0),0)</f>
        <v>0</v>
      </c>
      <c r="K1709" s="455">
        <f t="shared" ca="1" si="131"/>
        <v>-848228.48233084544</v>
      </c>
      <c r="L1709" s="455">
        <f t="shared" ca="1" si="132"/>
        <v>-204423064.24173376</v>
      </c>
      <c r="M1709" s="471">
        <f t="shared" si="134"/>
        <v>0.05</v>
      </c>
      <c r="N1709" s="475">
        <f t="shared" si="135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33"/>
        <v>-204423064.24173376</v>
      </c>
      <c r="J1710" s="455">
        <f t="array" ref="J1710">IFERROR(INDEX('Retirement Calculator'!J:J,MATCH('Isaac 401k'!N1710,'Retirement Calculator'!A:A,0),0),0)</f>
        <v>0</v>
      </c>
      <c r="K1710" s="455">
        <f t="shared" ca="1" si="131"/>
        <v>-851762.76767389069</v>
      </c>
      <c r="L1710" s="455">
        <f t="shared" ca="1" si="132"/>
        <v>-205274827.00940764</v>
      </c>
      <c r="M1710" s="471">
        <f t="shared" si="134"/>
        <v>0.05</v>
      </c>
      <c r="N1710" s="475">
        <f t="shared" si="135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33"/>
        <v>-205274827.00940764</v>
      </c>
      <c r="J1711" s="455">
        <f t="array" ref="J1711">IFERROR(INDEX('Retirement Calculator'!J:J,MATCH('Isaac 401k'!N1711,'Retirement Calculator'!A:A,0),0),0)</f>
        <v>0</v>
      </c>
      <c r="K1711" s="455">
        <f t="shared" ca="1" si="131"/>
        <v>-855311.77920586511</v>
      </c>
      <c r="L1711" s="455">
        <f t="shared" ca="1" si="132"/>
        <v>-206130138.7886135</v>
      </c>
      <c r="M1711" s="471">
        <f t="shared" si="134"/>
        <v>0.05</v>
      </c>
      <c r="N1711" s="475">
        <f t="shared" si="135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33"/>
        <v>-206130138.7886135</v>
      </c>
      <c r="J1712" s="455">
        <f t="array" ref="J1712">IFERROR(INDEX('Retirement Calculator'!J:J,MATCH('Isaac 401k'!N1712,'Retirement Calculator'!A:A,0),0),0)</f>
        <v>0</v>
      </c>
      <c r="K1712" s="455">
        <f t="shared" ca="1" si="131"/>
        <v>-858875.57828588958</v>
      </c>
      <c r="L1712" s="455">
        <f t="shared" ca="1" si="132"/>
        <v>-206989014.3668994</v>
      </c>
      <c r="M1712" s="471">
        <f t="shared" si="134"/>
        <v>0.05</v>
      </c>
      <c r="N1712" s="475">
        <f t="shared" si="135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33"/>
        <v>-206989014.3668994</v>
      </c>
      <c r="J1713" s="455">
        <f t="array" ref="J1713">IFERROR(INDEX('Retirement Calculator'!J:J,MATCH('Isaac 401k'!N1713,'Retirement Calculator'!A:A,0),0),0)</f>
        <v>0</v>
      </c>
      <c r="K1713" s="455">
        <f t="shared" ca="1" si="131"/>
        <v>-862454.22652874747</v>
      </c>
      <c r="L1713" s="455">
        <f t="shared" ca="1" si="132"/>
        <v>-207851468.59342813</v>
      </c>
      <c r="M1713" s="471">
        <f t="shared" si="134"/>
        <v>0.05</v>
      </c>
      <c r="N1713" s="475">
        <f t="shared" si="135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33"/>
        <v>-207851468.59342813</v>
      </c>
      <c r="J1714" s="455">
        <f t="array" ref="J1714">IFERROR(INDEX('Retirement Calculator'!J:J,MATCH('Isaac 401k'!N1714,'Retirement Calculator'!A:A,0),0),0)</f>
        <v>0</v>
      </c>
      <c r="K1714" s="455">
        <f t="shared" ca="1" si="131"/>
        <v>-866047.78580595052</v>
      </c>
      <c r="L1714" s="455">
        <f t="shared" ca="1" si="132"/>
        <v>-208717516.37923408</v>
      </c>
      <c r="M1714" s="471">
        <f t="shared" si="134"/>
        <v>0.05</v>
      </c>
      <c r="N1714" s="475">
        <f t="shared" si="135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33"/>
        <v>-208717516.37923408</v>
      </c>
      <c r="J1715" s="455">
        <f t="array" ref="J1715">IFERROR(INDEX('Retirement Calculator'!J:J,MATCH('Isaac 401k'!N1715,'Retirement Calculator'!A:A,0),0),0)</f>
        <v>0</v>
      </c>
      <c r="K1715" s="455">
        <f t="shared" ca="1" si="131"/>
        <v>-869656.3182468086</v>
      </c>
      <c r="L1715" s="455">
        <f t="shared" ca="1" si="132"/>
        <v>-209587172.69748089</v>
      </c>
      <c r="M1715" s="471">
        <f t="shared" si="134"/>
        <v>0.05</v>
      </c>
      <c r="N1715" s="475">
        <f t="shared" si="135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33"/>
        <v>-209587172.69748089</v>
      </c>
      <c r="J1716" s="455">
        <f t="array" ref="J1716">IFERROR(INDEX('Retirement Calculator'!J:J,MATCH('Isaac 401k'!N1716,'Retirement Calculator'!A:A,0),0),0)</f>
        <v>0</v>
      </c>
      <c r="K1716" s="455">
        <f t="shared" ca="1" si="131"/>
        <v>-873279.88623950363</v>
      </c>
      <c r="L1716" s="455">
        <f t="shared" ca="1" si="132"/>
        <v>-210460452.58372039</v>
      </c>
      <c r="M1716" s="471">
        <f t="shared" si="134"/>
        <v>0.05</v>
      </c>
      <c r="N1716" s="475">
        <f t="shared" si="135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33"/>
        <v>-210460452.58372039</v>
      </c>
      <c r="J1717" s="455">
        <f t="array" ref="J1717">IFERROR(INDEX('Retirement Calculator'!J:J,MATCH('Isaac 401k'!N1717,'Retirement Calculator'!A:A,0),0),0)</f>
        <v>0</v>
      </c>
      <c r="K1717" s="455">
        <f t="shared" ca="1" si="131"/>
        <v>-876918.55243216828</v>
      </c>
      <c r="L1717" s="455">
        <f t="shared" ca="1" si="132"/>
        <v>-211337371.13615257</v>
      </c>
      <c r="M1717" s="471">
        <f t="shared" si="134"/>
        <v>0.05</v>
      </c>
      <c r="N1717" s="475">
        <f t="shared" si="135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33"/>
        <v>-211337371.13615257</v>
      </c>
      <c r="J1718" s="455">
        <f t="array" ref="J1718">IFERROR(INDEX('Retirement Calculator'!J:J,MATCH('Isaac 401k'!N1718,'Retirement Calculator'!A:A,0),0),0)</f>
        <v>0</v>
      </c>
      <c r="K1718" s="455">
        <f t="shared" ca="1" si="131"/>
        <v>-880572.37973396899</v>
      </c>
      <c r="L1718" s="455">
        <f t="shared" ca="1" si="132"/>
        <v>-212217943.51588655</v>
      </c>
      <c r="M1718" s="471">
        <f t="shared" si="134"/>
        <v>0.05</v>
      </c>
      <c r="N1718" s="475">
        <f t="shared" si="135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33"/>
        <v>-212217943.51588655</v>
      </c>
      <c r="J1719" s="455">
        <f t="array" ref="J1719">IFERROR(INDEX('Retirement Calculator'!J:J,MATCH('Isaac 401k'!N1719,'Retirement Calculator'!A:A,0),0),0)</f>
        <v>0</v>
      </c>
      <c r="K1719" s="455">
        <f t="shared" ca="1" si="131"/>
        <v>-884241.43131619401</v>
      </c>
      <c r="L1719" s="455">
        <f t="shared" ca="1" si="132"/>
        <v>-213102184.94720274</v>
      </c>
      <c r="M1719" s="471">
        <f t="shared" si="134"/>
        <v>0.05</v>
      </c>
      <c r="N1719" s="475">
        <f t="shared" si="135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33"/>
        <v>-213102184.94720274</v>
      </c>
      <c r="J1720" s="455">
        <f t="array" ref="J1720">IFERROR(INDEX('Retirement Calculator'!J:J,MATCH('Isaac 401k'!N1720,'Retirement Calculator'!A:A,0),0),0)</f>
        <v>0</v>
      </c>
      <c r="K1720" s="455">
        <f t="shared" ca="1" si="131"/>
        <v>-887925.77061334474</v>
      </c>
      <c r="L1720" s="455">
        <f t="shared" ca="1" si="132"/>
        <v>-213990110.71781608</v>
      </c>
      <c r="M1720" s="471">
        <f t="shared" si="134"/>
        <v>0.05</v>
      </c>
      <c r="N1720" s="475">
        <f t="shared" si="135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33"/>
        <v>-213990110.71781608</v>
      </c>
      <c r="J1721" s="455">
        <f t="array" ref="J1721">IFERROR(INDEX('Retirement Calculator'!J:J,MATCH('Isaac 401k'!N1721,'Retirement Calculator'!A:A,0),0),0)</f>
        <v>0</v>
      </c>
      <c r="K1721" s="455">
        <f t="shared" ca="1" si="131"/>
        <v>-891625.46132423379</v>
      </c>
      <c r="L1721" s="455">
        <f t="shared" ca="1" si="132"/>
        <v>-214881736.17914033</v>
      </c>
      <c r="M1721" s="471">
        <f t="shared" si="134"/>
        <v>0.05</v>
      </c>
      <c r="N1721" s="475">
        <f t="shared" si="135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33"/>
        <v>-214881736.17914033</v>
      </c>
      <c r="J1722" s="455">
        <f t="array" ref="J1722">IFERROR(INDEX('Retirement Calculator'!J:J,MATCH('Isaac 401k'!N1722,'Retirement Calculator'!A:A,0),0),0)</f>
        <v>0</v>
      </c>
      <c r="K1722" s="455">
        <f t="shared" ca="1" si="131"/>
        <v>-895340.56741308467</v>
      </c>
      <c r="L1722" s="455">
        <f t="shared" ca="1" si="132"/>
        <v>-215777076.74655342</v>
      </c>
      <c r="M1722" s="471">
        <f t="shared" si="134"/>
        <v>0.05</v>
      </c>
      <c r="N1722" s="475">
        <f t="shared" si="135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33"/>
        <v>-215777076.74655342</v>
      </c>
      <c r="J1723" s="455">
        <f t="array" ref="J1723">IFERROR(INDEX('Retirement Calculator'!J:J,MATCH('Isaac 401k'!N1723,'Retirement Calculator'!A:A,0),0),0)</f>
        <v>0</v>
      </c>
      <c r="K1723" s="455">
        <f t="shared" ca="1" si="131"/>
        <v>-899071.15311063919</v>
      </c>
      <c r="L1723" s="455">
        <f t="shared" ca="1" si="132"/>
        <v>-216676147.89966407</v>
      </c>
      <c r="M1723" s="471">
        <f t="shared" si="134"/>
        <v>0.05</v>
      </c>
      <c r="N1723" s="475">
        <f t="shared" si="135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33"/>
        <v>-216676147.89966407</v>
      </c>
      <c r="J1724" s="455">
        <f t="array" ref="J1724">IFERROR(INDEX('Retirement Calculator'!J:J,MATCH('Isaac 401k'!N1724,'Retirement Calculator'!A:A,0),0),0)</f>
        <v>0</v>
      </c>
      <c r="K1724" s="455">
        <f t="shared" ca="1" si="131"/>
        <v>-902817.28291526705</v>
      </c>
      <c r="L1724" s="455">
        <f t="shared" ca="1" si="132"/>
        <v>-217578965.18257934</v>
      </c>
      <c r="M1724" s="471">
        <f t="shared" si="134"/>
        <v>0.05</v>
      </c>
      <c r="N1724" s="475">
        <f t="shared" si="135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33"/>
        <v>-217578965.18257934</v>
      </c>
      <c r="J1725" s="455">
        <f t="array" ref="J1725">IFERROR(INDEX('Retirement Calculator'!J:J,MATCH('Isaac 401k'!N1725,'Retirement Calculator'!A:A,0),0),0)</f>
        <v>0</v>
      </c>
      <c r="K1725" s="455">
        <f t="shared" ca="1" si="131"/>
        <v>-906579.02159408061</v>
      </c>
      <c r="L1725" s="455">
        <f t="shared" ca="1" si="132"/>
        <v>-218485544.20417342</v>
      </c>
      <c r="M1725" s="471">
        <f t="shared" si="134"/>
        <v>0.05</v>
      </c>
      <c r="N1725" s="475">
        <f t="shared" si="135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33"/>
        <v>-218485544.20417342</v>
      </c>
      <c r="J1726" s="455">
        <f t="array" ref="J1726">IFERROR(INDEX('Retirement Calculator'!J:J,MATCH('Isaac 401k'!N1726,'Retirement Calculator'!A:A,0),0),0)</f>
        <v>0</v>
      </c>
      <c r="K1726" s="455">
        <f t="shared" ca="1" si="131"/>
        <v>-910356.43418405589</v>
      </c>
      <c r="L1726" s="455">
        <f t="shared" ca="1" si="132"/>
        <v>-219395900.63835746</v>
      </c>
      <c r="M1726" s="471">
        <f t="shared" si="134"/>
        <v>0.05</v>
      </c>
      <c r="N1726" s="475">
        <f t="shared" si="135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33"/>
        <v>-219395900.63835746</v>
      </c>
      <c r="J1727" s="455">
        <f t="array" ref="J1727">IFERROR(INDEX('Retirement Calculator'!J:J,MATCH('Isaac 401k'!N1727,'Retirement Calculator'!A:A,0),0),0)</f>
        <v>0</v>
      </c>
      <c r="K1727" s="455">
        <f t="shared" ca="1" si="131"/>
        <v>-914149.58599315607</v>
      </c>
      <c r="L1727" s="455">
        <f t="shared" ca="1" si="132"/>
        <v>-220310050.22435063</v>
      </c>
      <c r="M1727" s="471">
        <f t="shared" si="134"/>
        <v>0.05</v>
      </c>
      <c r="N1727" s="475">
        <f t="shared" si="135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33"/>
        <v>-220310050.22435063</v>
      </c>
      <c r="J1728" s="455">
        <f t="array" ref="J1728">IFERROR(INDEX('Retirement Calculator'!J:J,MATCH('Isaac 401k'!N1728,'Retirement Calculator'!A:A,0),0),0)</f>
        <v>0</v>
      </c>
      <c r="K1728" s="455">
        <f t="shared" ca="1" si="131"/>
        <v>-917958.54260146106</v>
      </c>
      <c r="L1728" s="455">
        <f t="shared" ca="1" si="132"/>
        <v>-221228008.7669521</v>
      </c>
      <c r="M1728" s="471">
        <f t="shared" si="134"/>
        <v>0.05</v>
      </c>
      <c r="N1728" s="475">
        <f t="shared" si="135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33"/>
        <v>-221228008.7669521</v>
      </c>
      <c r="J1729" s="455">
        <f t="array" ref="J1729">IFERROR(INDEX('Retirement Calculator'!J:J,MATCH('Isaac 401k'!N1729,'Retirement Calculator'!A:A,0),0),0)</f>
        <v>0</v>
      </c>
      <c r="K1729" s="455">
        <f t="shared" ca="1" si="131"/>
        <v>-921783.36986230034</v>
      </c>
      <c r="L1729" s="455">
        <f t="shared" ca="1" si="132"/>
        <v>-222149792.13681439</v>
      </c>
      <c r="M1729" s="471">
        <f t="shared" si="134"/>
        <v>0.05</v>
      </c>
      <c r="N1729" s="475">
        <f t="shared" si="135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33"/>
        <v>-222149792.13681439</v>
      </c>
      <c r="J1730" s="455">
        <f t="array" ref="J1730">IFERROR(INDEX('Retirement Calculator'!J:J,MATCH('Isaac 401k'!N1730,'Retirement Calculator'!A:A,0),0),0)</f>
        <v>0</v>
      </c>
      <c r="K1730" s="455">
        <f t="shared" ca="1" si="131"/>
        <v>-925624.13390339317</v>
      </c>
      <c r="L1730" s="455">
        <f t="shared" ca="1" si="132"/>
        <v>-223075416.27071777</v>
      </c>
      <c r="M1730" s="471">
        <f t="shared" si="134"/>
        <v>0.05</v>
      </c>
      <c r="N1730" s="475">
        <f t="shared" si="135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33"/>
        <v>-223075416.27071777</v>
      </c>
      <c r="J1731" s="455">
        <f t="array" ref="J1731">IFERROR(INDEX('Retirement Calculator'!J:J,MATCH('Isaac 401k'!N1731,'Retirement Calculator'!A:A,0),0),0)</f>
        <v>0</v>
      </c>
      <c r="K1731" s="455">
        <f t="shared" ca="1" si="131"/>
        <v>-929480.90112799068</v>
      </c>
      <c r="L1731" s="455">
        <f t="shared" ca="1" si="132"/>
        <v>-224004897.17184576</v>
      </c>
      <c r="M1731" s="471">
        <f t="shared" si="134"/>
        <v>0.05</v>
      </c>
      <c r="N1731" s="475">
        <f t="shared" si="135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33"/>
        <v>-224004897.17184576</v>
      </c>
      <c r="J1732" s="455">
        <f t="array" ref="J1732">IFERROR(INDEX('Retirement Calculator'!J:J,MATCH('Isaac 401k'!N1732,'Retirement Calculator'!A:A,0),0),0)</f>
        <v>0</v>
      </c>
      <c r="K1732" s="455">
        <f t="shared" ca="1" si="131"/>
        <v>-933353.73821602389</v>
      </c>
      <c r="L1732" s="455">
        <f t="shared" ca="1" si="132"/>
        <v>-224938250.91006178</v>
      </c>
      <c r="M1732" s="471">
        <f t="shared" si="134"/>
        <v>0.05</v>
      </c>
      <c r="N1732" s="475">
        <f t="shared" si="135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33"/>
        <v>-224938250.91006178</v>
      </c>
      <c r="J1733" s="455">
        <f t="array" ref="J1733">IFERROR(INDEX('Retirement Calculator'!J:J,MATCH('Isaac 401k'!N1733,'Retirement Calculator'!A:A,0),0),0)</f>
        <v>0</v>
      </c>
      <c r="K1733" s="455">
        <f t="shared" ca="1" si="131"/>
        <v>-937242.71212525736</v>
      </c>
      <c r="L1733" s="455">
        <f t="shared" ca="1" si="132"/>
        <v>-225875493.62218705</v>
      </c>
      <c r="M1733" s="471">
        <f t="shared" si="134"/>
        <v>0.05</v>
      </c>
      <c r="N1733" s="475">
        <f t="shared" si="135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33"/>
        <v>-225875493.62218705</v>
      </c>
      <c r="J1734" s="455">
        <f t="array" ref="J1734">IFERROR(INDEX('Retirement Calculator'!J:J,MATCH('Isaac 401k'!N1734,'Retirement Calculator'!A:A,0),0),0)</f>
        <v>0</v>
      </c>
      <c r="K1734" s="455">
        <f t="shared" ca="1" si="131"/>
        <v>-941147.89009244612</v>
      </c>
      <c r="L1734" s="455">
        <f t="shared" ca="1" si="132"/>
        <v>-226816641.51227948</v>
      </c>
      <c r="M1734" s="471">
        <f t="shared" si="134"/>
        <v>0.05</v>
      </c>
      <c r="N1734" s="475">
        <f t="shared" si="135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33"/>
        <v>-226816641.51227948</v>
      </c>
      <c r="J1735" s="455">
        <f t="array" ref="J1735">IFERROR(INDEX('Retirement Calculator'!J:J,MATCH('Isaac 401k'!N1735,'Retirement Calculator'!A:A,0),0),0)</f>
        <v>0</v>
      </c>
      <c r="K1735" s="455">
        <f t="shared" ca="1" si="131"/>
        <v>-945069.33963449765</v>
      </c>
      <c r="L1735" s="455">
        <f t="shared" ca="1" si="132"/>
        <v>-227761710.85191399</v>
      </c>
      <c r="M1735" s="471">
        <f t="shared" si="134"/>
        <v>0.05</v>
      </c>
      <c r="N1735" s="475">
        <f t="shared" si="135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33"/>
        <v>-227761710.85191399</v>
      </c>
      <c r="J1736" s="455">
        <f t="array" ref="J1736">IFERROR(INDEX('Retirement Calculator'!J:J,MATCH('Isaac 401k'!N1736,'Retirement Calculator'!A:A,0),0),0)</f>
        <v>0</v>
      </c>
      <c r="K1736" s="455">
        <f t="shared" ca="1" si="131"/>
        <v>-949007.12854964158</v>
      </c>
      <c r="L1736" s="455">
        <f t="shared" ca="1" si="132"/>
        <v>-228710717.98046362</v>
      </c>
      <c r="M1736" s="471">
        <f t="shared" si="134"/>
        <v>0.05</v>
      </c>
      <c r="N1736" s="475">
        <f t="shared" si="135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33"/>
        <v>-228710717.98046362</v>
      </c>
      <c r="J1737" s="455">
        <f t="array" ref="J1737">IFERROR(INDEX('Retirement Calculator'!J:J,MATCH('Isaac 401k'!N1737,'Retirement Calculator'!A:A,0),0),0)</f>
        <v>0</v>
      </c>
      <c r="K1737" s="455">
        <f t="shared" ca="1" si="131"/>
        <v>-952961.32491859852</v>
      </c>
      <c r="L1737" s="455">
        <f t="shared" ca="1" si="132"/>
        <v>-229663679.30538222</v>
      </c>
      <c r="M1737" s="471">
        <f t="shared" si="134"/>
        <v>0.05</v>
      </c>
      <c r="N1737" s="475">
        <f t="shared" si="135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33"/>
        <v>-229663679.30538222</v>
      </c>
      <c r="J1738" s="455">
        <f t="array" ref="J1738">IFERROR(INDEX('Retirement Calculator'!J:J,MATCH('Isaac 401k'!N1738,'Retirement Calculator'!A:A,0),0),0)</f>
        <v>0</v>
      </c>
      <c r="K1738" s="455">
        <f t="shared" ca="1" si="131"/>
        <v>-956931.99710575922</v>
      </c>
      <c r="L1738" s="455">
        <f t="shared" ca="1" si="132"/>
        <v>-230620611.30248797</v>
      </c>
      <c r="M1738" s="471">
        <f t="shared" si="134"/>
        <v>0.05</v>
      </c>
      <c r="N1738" s="475">
        <f t="shared" si="135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33"/>
        <v>-230620611.30248797</v>
      </c>
      <c r="J1739" s="455">
        <f t="array" ref="J1739">IFERROR(INDEX('Retirement Calculator'!J:J,MATCH('Isaac 401k'!N1739,'Retirement Calculator'!A:A,0),0),0)</f>
        <v>0</v>
      </c>
      <c r="K1739" s="455">
        <f t="shared" ca="1" si="131"/>
        <v>-960919.21376036643</v>
      </c>
      <c r="L1739" s="455">
        <f t="shared" ca="1" si="132"/>
        <v>-231581530.51624835</v>
      </c>
      <c r="M1739" s="471">
        <f t="shared" si="134"/>
        <v>0.05</v>
      </c>
      <c r="N1739" s="475">
        <f t="shared" si="135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33"/>
        <v>-231581530.51624835</v>
      </c>
      <c r="J1740" s="455">
        <f t="array" ref="J1740">IFERROR(INDEX('Retirement Calculator'!J:J,MATCH('Isaac 401k'!N1740,'Retirement Calculator'!A:A,0),0),0)</f>
        <v>0</v>
      </c>
      <c r="K1740" s="455">
        <f t="shared" ca="1" si="131"/>
        <v>-964923.0438177014</v>
      </c>
      <c r="L1740" s="455">
        <f t="shared" ca="1" si="132"/>
        <v>-232546453.56006604</v>
      </c>
      <c r="M1740" s="471">
        <f t="shared" si="134"/>
        <v>0.05</v>
      </c>
      <c r="N1740" s="475">
        <f t="shared" si="135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33"/>
        <v>-232546453.56006604</v>
      </c>
      <c r="J1741" s="455">
        <f t="array" ref="J1741">IFERROR(INDEX('Retirement Calculator'!J:J,MATCH('Isaac 401k'!N1741,'Retirement Calculator'!A:A,0),0),0)</f>
        <v>0</v>
      </c>
      <c r="K1741" s="455">
        <f t="shared" ca="1" si="131"/>
        <v>-968943.55650027515</v>
      </c>
      <c r="L1741" s="455">
        <f t="shared" ca="1" si="132"/>
        <v>-233515397.11656633</v>
      </c>
      <c r="M1741" s="471">
        <f t="shared" si="134"/>
        <v>0.05</v>
      </c>
      <c r="N1741" s="475">
        <f t="shared" si="135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33"/>
        <v>-233515397.11656633</v>
      </c>
      <c r="J1742" s="455">
        <f t="array" ref="J1742">IFERROR(INDEX('Retirement Calculator'!J:J,MATCH('Isaac 401k'!N1742,'Retirement Calculator'!A:A,0),0),0)</f>
        <v>0</v>
      </c>
      <c r="K1742" s="455">
        <f t="shared" ca="1" si="131"/>
        <v>-972980.82131902641</v>
      </c>
      <c r="L1742" s="455">
        <f t="shared" ca="1" si="132"/>
        <v>-234488377.93788534</v>
      </c>
      <c r="M1742" s="471">
        <f t="shared" si="134"/>
        <v>0.05</v>
      </c>
      <c r="N1742" s="475">
        <f t="shared" si="135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33"/>
        <v>-234488377.93788534</v>
      </c>
      <c r="J1743" s="455">
        <f t="array" ref="J1743">IFERROR(INDEX('Retirement Calculator'!J:J,MATCH('Isaac 401k'!N1743,'Retirement Calculator'!A:A,0),0),0)</f>
        <v>0</v>
      </c>
      <c r="K1743" s="455">
        <f t="shared" ca="1" si="131"/>
        <v>-977034.90807452227</v>
      </c>
      <c r="L1743" s="455">
        <f t="shared" ca="1" si="132"/>
        <v>-235465412.84595987</v>
      </c>
      <c r="M1743" s="471">
        <f t="shared" si="134"/>
        <v>0.05</v>
      </c>
      <c r="N1743" s="475">
        <f t="shared" si="135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33"/>
        <v>-235465412.84595987</v>
      </c>
      <c r="J1744" s="455">
        <f t="array" ref="J1744">IFERROR(INDEX('Retirement Calculator'!J:J,MATCH('Isaac 401k'!N1744,'Retirement Calculator'!A:A,0),0),0)</f>
        <v>0</v>
      </c>
      <c r="K1744" s="455">
        <f t="shared" ca="1" si="131"/>
        <v>-981105.8868581662</v>
      </c>
      <c r="L1744" s="455">
        <f t="shared" ca="1" si="132"/>
        <v>-236446518.73281804</v>
      </c>
      <c r="M1744" s="471">
        <f t="shared" si="134"/>
        <v>0.05</v>
      </c>
      <c r="N1744" s="475">
        <f t="shared" si="135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33"/>
        <v>-236446518.73281804</v>
      </c>
      <c r="J1745" s="455">
        <f t="array" ref="J1745">IFERROR(INDEX('Retirement Calculator'!J:J,MATCH('Isaac 401k'!N1745,'Retirement Calculator'!A:A,0),0),0)</f>
        <v>0</v>
      </c>
      <c r="K1745" s="455">
        <f t="shared" ca="1" si="131"/>
        <v>-985193.82805340842</v>
      </c>
      <c r="L1745" s="455">
        <f t="shared" ca="1" si="132"/>
        <v>-237431712.56087145</v>
      </c>
      <c r="M1745" s="471">
        <f t="shared" si="134"/>
        <v>0.05</v>
      </c>
      <c r="N1745" s="475">
        <f t="shared" si="135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33"/>
        <v>-237431712.56087145</v>
      </c>
      <c r="J1746" s="455">
        <f t="array" ref="J1746">IFERROR(INDEX('Retirement Calculator'!J:J,MATCH('Isaac 401k'!N1746,'Retirement Calculator'!A:A,0),0),0)</f>
        <v>0</v>
      </c>
      <c r="K1746" s="455">
        <f t="shared" ca="1" si="131"/>
        <v>-989298.80233696441</v>
      </c>
      <c r="L1746" s="455">
        <f t="shared" ca="1" si="132"/>
        <v>-238421011.36320841</v>
      </c>
      <c r="M1746" s="471">
        <f t="shared" si="134"/>
        <v>0.05</v>
      </c>
      <c r="N1746" s="475">
        <f t="shared" si="135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33"/>
        <v>-238421011.36320841</v>
      </c>
      <c r="J1747" s="455">
        <f t="array" ref="J1747">IFERROR(INDEX('Retirement Calculator'!J:J,MATCH('Isaac 401k'!N1747,'Retirement Calculator'!A:A,0),0),0)</f>
        <v>0</v>
      </c>
      <c r="K1747" s="455">
        <f t="shared" ca="1" si="131"/>
        <v>-993420.88068003498</v>
      </c>
      <c r="L1747" s="455">
        <f t="shared" ca="1" si="132"/>
        <v>-239414432.24388844</v>
      </c>
      <c r="M1747" s="471">
        <f t="shared" si="134"/>
        <v>0.05</v>
      </c>
      <c r="N1747" s="475">
        <f t="shared" si="135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33"/>
        <v>-239414432.24388844</v>
      </c>
      <c r="J1748" s="455">
        <f t="array" ref="J1748">IFERROR(INDEX('Retirement Calculator'!J:J,MATCH('Isaac 401k'!N1748,'Retirement Calculator'!A:A,0),0),0)</f>
        <v>0</v>
      </c>
      <c r="K1748" s="455">
        <f t="shared" ca="1" si="131"/>
        <v>-997560.1343495351</v>
      </c>
      <c r="L1748" s="455">
        <f t="shared" ca="1" si="132"/>
        <v>-240411992.37823796</v>
      </c>
      <c r="M1748" s="471">
        <f t="shared" si="134"/>
        <v>0.05</v>
      </c>
      <c r="N1748" s="475">
        <f t="shared" si="135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33"/>
        <v>-240411992.37823796</v>
      </c>
      <c r="J1749" s="455">
        <f t="array" ref="J1749">IFERROR(INDEX('Retirement Calculator'!J:J,MATCH('Isaac 401k'!N1749,'Retirement Calculator'!A:A,0),0),0)</f>
        <v>0</v>
      </c>
      <c r="K1749" s="455">
        <f t="shared" ca="1" si="131"/>
        <v>-1001716.6349093247</v>
      </c>
      <c r="L1749" s="455">
        <f t="shared" ca="1" si="132"/>
        <v>-241413709.01314729</v>
      </c>
      <c r="M1749" s="471">
        <f t="shared" si="134"/>
        <v>0.05</v>
      </c>
      <c r="N1749" s="475">
        <f t="shared" si="135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33"/>
        <v>-241413709.01314729</v>
      </c>
      <c r="J1750" s="455">
        <f t="array" ref="J1750">IFERROR(INDEX('Retirement Calculator'!J:J,MATCH('Isaac 401k'!N1750,'Retirement Calculator'!A:A,0),0),0)</f>
        <v>0</v>
      </c>
      <c r="K1750" s="455">
        <f t="shared" ca="1" si="131"/>
        <v>-1005890.454221447</v>
      </c>
      <c r="L1750" s="455">
        <f t="shared" ca="1" si="132"/>
        <v>-242419599.46736875</v>
      </c>
      <c r="M1750" s="471">
        <f t="shared" si="134"/>
        <v>0.05</v>
      </c>
      <c r="N1750" s="475">
        <f t="shared" si="135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33"/>
        <v>-242419599.46736875</v>
      </c>
      <c r="J1751" s="455">
        <f t="array" ref="J1751">IFERROR(INDEX('Retirement Calculator'!J:J,MATCH('Isaac 401k'!N1751,'Retirement Calculator'!A:A,0),0),0)</f>
        <v>0</v>
      </c>
      <c r="K1751" s="455">
        <f t="shared" ca="1" si="131"/>
        <v>-1010081.6644473698</v>
      </c>
      <c r="L1751" s="455">
        <f t="shared" ca="1" si="132"/>
        <v>-243429681.13181612</v>
      </c>
      <c r="M1751" s="471">
        <f t="shared" si="134"/>
        <v>0.05</v>
      </c>
      <c r="N1751" s="475">
        <f t="shared" si="135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33"/>
        <v>-243429681.13181612</v>
      </c>
      <c r="J1752" s="455">
        <f t="array" ref="J1752">IFERROR(INDEX('Retirement Calculator'!J:J,MATCH('Isaac 401k'!N1752,'Retirement Calculator'!A:A,0),0),0)</f>
        <v>0</v>
      </c>
      <c r="K1752" s="455">
        <f t="shared" ca="1" si="131"/>
        <v>-1014290.3380492338</v>
      </c>
      <c r="L1752" s="455">
        <f t="shared" ca="1" si="132"/>
        <v>-244443971.46986535</v>
      </c>
      <c r="M1752" s="471">
        <f t="shared" si="134"/>
        <v>0.05</v>
      </c>
      <c r="N1752" s="475">
        <f t="shared" si="135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33"/>
        <v>-244443971.46986535</v>
      </c>
      <c r="J1753" s="455">
        <f t="array" ref="J1753">IFERROR(INDEX('Retirement Calculator'!J:J,MATCH('Isaac 401k'!N1753,'Retirement Calculator'!A:A,0),0),0)</f>
        <v>0</v>
      </c>
      <c r="K1753" s="455">
        <f t="shared" ca="1" si="131"/>
        <v>-1018516.5477911056</v>
      </c>
      <c r="L1753" s="455">
        <f t="shared" ca="1" si="132"/>
        <v>-245462488.01765645</v>
      </c>
      <c r="M1753" s="471">
        <f t="shared" si="134"/>
        <v>0.05</v>
      </c>
      <c r="N1753" s="475">
        <f t="shared" si="135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33"/>
        <v>-245462488.01765645</v>
      </c>
      <c r="J1754" s="455">
        <f t="array" ref="J1754">IFERROR(INDEX('Retirement Calculator'!J:J,MATCH('Isaac 401k'!N1754,'Retirement Calculator'!A:A,0),0),0)</f>
        <v>0</v>
      </c>
      <c r="K1754" s="455">
        <f t="shared" ca="1" si="131"/>
        <v>-1022760.3667402352</v>
      </c>
      <c r="L1754" s="455">
        <f t="shared" ca="1" si="132"/>
        <v>-246485248.38439667</v>
      </c>
      <c r="M1754" s="471">
        <f t="shared" si="134"/>
        <v>0.05</v>
      </c>
      <c r="N1754" s="475">
        <f t="shared" si="135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33"/>
        <v>-246485248.38439667</v>
      </c>
      <c r="J1755" s="455">
        <f t="array" ref="J1755">IFERROR(INDEX('Retirement Calculator'!J:J,MATCH('Isaac 401k'!N1755,'Retirement Calculator'!A:A,0),0),0)</f>
        <v>0</v>
      </c>
      <c r="K1755" s="455">
        <f t="shared" ca="1" si="131"/>
        <v>-1027021.8682683194</v>
      </c>
      <c r="L1755" s="455">
        <f t="shared" ca="1" si="132"/>
        <v>-247512270.25266498</v>
      </c>
      <c r="M1755" s="471">
        <f t="shared" si="134"/>
        <v>0.05</v>
      </c>
      <c r="N1755" s="475">
        <f t="shared" si="135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33"/>
        <v>-247512270.25266498</v>
      </c>
      <c r="J1756" s="455">
        <f t="array" ref="J1756">IFERROR(INDEX('Retirement Calculator'!J:J,MATCH('Isaac 401k'!N1756,'Retirement Calculator'!A:A,0),0),0)</f>
        <v>0</v>
      </c>
      <c r="K1756" s="455">
        <f t="shared" ca="1" si="131"/>
        <v>-1031301.1260527708</v>
      </c>
      <c r="L1756" s="455">
        <f t="shared" ca="1" si="132"/>
        <v>-248543571.37871775</v>
      </c>
      <c r="M1756" s="471">
        <f t="shared" si="134"/>
        <v>0.05</v>
      </c>
      <c r="N1756" s="475">
        <f t="shared" si="135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33"/>
        <v>-248543571.37871775</v>
      </c>
      <c r="J1757" s="455">
        <f t="array" ref="J1757">IFERROR(INDEX('Retirement Calculator'!J:J,MATCH('Isaac 401k'!N1757,'Retirement Calculator'!A:A,0),0),0)</f>
        <v>0</v>
      </c>
      <c r="K1757" s="455">
        <f t="shared" ca="1" si="131"/>
        <v>-1035598.2140779906</v>
      </c>
      <c r="L1757" s="455">
        <f t="shared" ca="1" si="132"/>
        <v>-249579169.59279573</v>
      </c>
      <c r="M1757" s="471">
        <f t="shared" si="134"/>
        <v>0.05</v>
      </c>
      <c r="N1757" s="475">
        <f t="shared" si="135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33"/>
        <v>-249579169.59279573</v>
      </c>
      <c r="J1758" s="455">
        <f t="array" ref="J1758">IFERROR(INDEX('Retirement Calculator'!J:J,MATCH('Isaac 401k'!N1758,'Retirement Calculator'!A:A,0),0),0)</f>
        <v>0</v>
      </c>
      <c r="K1758" s="455">
        <f t="shared" ca="1" si="131"/>
        <v>-1039913.2066366489</v>
      </c>
      <c r="L1758" s="455">
        <f t="shared" ca="1" si="132"/>
        <v>-250619082.79943237</v>
      </c>
      <c r="M1758" s="471">
        <f t="shared" si="134"/>
        <v>0.05</v>
      </c>
      <c r="N1758" s="475">
        <f t="shared" si="135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33"/>
        <v>-250619082.79943237</v>
      </c>
      <c r="J1759" s="455">
        <f t="array" ref="J1759">IFERROR(INDEX('Retirement Calculator'!J:J,MATCH('Isaac 401k'!N1759,'Retirement Calculator'!A:A,0),0),0)</f>
        <v>0</v>
      </c>
      <c r="K1759" s="455">
        <f t="shared" ca="1" si="131"/>
        <v>-1044246.1783309683</v>
      </c>
      <c r="L1759" s="455">
        <f t="shared" ca="1" si="132"/>
        <v>-251663328.97776332</v>
      </c>
      <c r="M1759" s="471">
        <f t="shared" si="134"/>
        <v>0.05</v>
      </c>
      <c r="N1759" s="475">
        <f t="shared" si="135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33"/>
        <v>-251663328.97776332</v>
      </c>
      <c r="J1760" s="455">
        <f t="array" ref="J1760">IFERROR(INDEX('Retirement Calculator'!J:J,MATCH('Isaac 401k'!N1760,'Retirement Calculator'!A:A,0),0),0)</f>
        <v>0</v>
      </c>
      <c r="K1760" s="455">
        <f t="shared" ca="1" si="131"/>
        <v>-1048597.2040740137</v>
      </c>
      <c r="L1760" s="455">
        <f t="shared" ca="1" si="132"/>
        <v>-252711926.18183735</v>
      </c>
      <c r="M1760" s="471">
        <f t="shared" si="134"/>
        <v>0.05</v>
      </c>
      <c r="N1760" s="475">
        <f t="shared" si="135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33"/>
        <v>-252711926.18183735</v>
      </c>
      <c r="J1761" s="455">
        <f t="array" ref="J1761">IFERROR(INDEX('Retirement Calculator'!J:J,MATCH('Isaac 401k'!N1761,'Retirement Calculator'!A:A,0),0),0)</f>
        <v>0</v>
      </c>
      <c r="K1761" s="455">
        <f t="shared" ca="1" si="131"/>
        <v>-1052966.359090989</v>
      </c>
      <c r="L1761" s="455">
        <f t="shared" ca="1" si="132"/>
        <v>-253764892.54092833</v>
      </c>
      <c r="M1761" s="471">
        <f t="shared" si="134"/>
        <v>0.05</v>
      </c>
      <c r="N1761" s="475">
        <f t="shared" si="135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33"/>
        <v>-253764892.54092833</v>
      </c>
      <c r="J1762" s="455">
        <f t="array" ref="J1762">IFERROR(INDEX('Retirement Calculator'!J:J,MATCH('Isaac 401k'!N1762,'Retirement Calculator'!A:A,0),0),0)</f>
        <v>0</v>
      </c>
      <c r="K1762" s="455">
        <f t="shared" ca="1" si="131"/>
        <v>-1057353.7189205345</v>
      </c>
      <c r="L1762" s="455">
        <f t="shared" ca="1" si="132"/>
        <v>-254822246.25984886</v>
      </c>
      <c r="M1762" s="471">
        <f t="shared" si="134"/>
        <v>0.05</v>
      </c>
      <c r="N1762" s="475">
        <f t="shared" si="135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33"/>
        <v>-254822246.25984886</v>
      </c>
      <c r="J1763" s="455">
        <f t="array" ref="J1763">IFERROR(INDEX('Retirement Calculator'!J:J,MATCH('Isaac 401k'!N1763,'Retirement Calculator'!A:A,0),0),0)</f>
        <v>0</v>
      </c>
      <c r="K1763" s="455">
        <f t="shared" ca="1" si="131"/>
        <v>-1061759.3594160369</v>
      </c>
      <c r="L1763" s="455">
        <f t="shared" ca="1" si="132"/>
        <v>-255884005.6192649</v>
      </c>
      <c r="M1763" s="471">
        <f t="shared" si="134"/>
        <v>0.05</v>
      </c>
      <c r="N1763" s="475">
        <f t="shared" si="135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33"/>
        <v>-255884005.6192649</v>
      </c>
      <c r="J1764" s="455">
        <f t="array" ref="J1764">IFERROR(INDEX('Retirement Calculator'!J:J,MATCH('Isaac 401k'!N1764,'Retirement Calculator'!A:A,0),0),0)</f>
        <v>0</v>
      </c>
      <c r="K1764" s="455">
        <f t="shared" ca="1" si="131"/>
        <v>-1066183.3567469371</v>
      </c>
      <c r="L1764" s="455">
        <f t="shared" ca="1" si="132"/>
        <v>-256950188.97601184</v>
      </c>
      <c r="M1764" s="471">
        <f t="shared" si="134"/>
        <v>0.05</v>
      </c>
      <c r="N1764" s="475">
        <f t="shared" si="135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33"/>
        <v>-256950188.97601184</v>
      </c>
      <c r="J1765" s="455">
        <f t="array" ref="J1765">IFERROR(INDEX('Retirement Calculator'!J:J,MATCH('Isaac 401k'!N1765,'Retirement Calculator'!A:A,0),0),0)</f>
        <v>0</v>
      </c>
      <c r="K1765" s="455">
        <f t="shared" ca="1" si="131"/>
        <v>-1070625.7874000494</v>
      </c>
      <c r="L1765" s="455">
        <f t="shared" ca="1" si="132"/>
        <v>-258020814.76341188</v>
      </c>
      <c r="M1765" s="471">
        <f t="shared" si="134"/>
        <v>0.05</v>
      </c>
      <c r="N1765" s="475">
        <f t="shared" si="135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33"/>
        <v>-258020814.76341188</v>
      </c>
      <c r="J1766" s="455">
        <f t="array" ref="J1766">IFERROR(INDEX('Retirement Calculator'!J:J,MATCH('Isaac 401k'!N1766,'Retirement Calculator'!A:A,0),0),0)</f>
        <v>0</v>
      </c>
      <c r="K1766" s="455">
        <f t="shared" ca="1" si="131"/>
        <v>-1075086.7281808828</v>
      </c>
      <c r="L1766" s="455">
        <f t="shared" ca="1" si="132"/>
        <v>-259095901.49159276</v>
      </c>
      <c r="M1766" s="471">
        <f t="shared" si="134"/>
        <v>0.05</v>
      </c>
      <c r="N1766" s="475">
        <f t="shared" si="135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33"/>
        <v>-259095901.49159276</v>
      </c>
      <c r="J1767" s="455">
        <f t="array" ref="J1767">IFERROR(INDEX('Retirement Calculator'!J:J,MATCH('Isaac 401k'!N1767,'Retirement Calculator'!A:A,0),0),0)</f>
        <v>0</v>
      </c>
      <c r="K1767" s="455">
        <f t="shared" ca="1" si="131"/>
        <v>-1079566.2562149698</v>
      </c>
      <c r="L1767" s="455">
        <f t="shared" ca="1" si="132"/>
        <v>-260175467.74780774</v>
      </c>
      <c r="M1767" s="471">
        <f t="shared" si="134"/>
        <v>0.05</v>
      </c>
      <c r="N1767" s="475">
        <f t="shared" si="135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33"/>
        <v>-260175467.74780774</v>
      </c>
      <c r="J1768" s="455">
        <f t="array" ref="J1768">IFERROR(INDEX('Retirement Calculator'!J:J,MATCH('Isaac 401k'!N1768,'Retirement Calculator'!A:A,0),0),0)</f>
        <v>0</v>
      </c>
      <c r="K1768" s="455">
        <f t="shared" ca="1" si="131"/>
        <v>-1084064.4489491989</v>
      </c>
      <c r="L1768" s="455">
        <f t="shared" ca="1" si="132"/>
        <v>-261259532.19675693</v>
      </c>
      <c r="M1768" s="471">
        <f t="shared" si="134"/>
        <v>0.05</v>
      </c>
      <c r="N1768" s="475">
        <f t="shared" si="135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33"/>
        <v>-261259532.19675693</v>
      </c>
      <c r="J1769" s="455">
        <f t="array" ref="J1769">IFERROR(INDEX('Retirement Calculator'!J:J,MATCH('Isaac 401k'!N1769,'Retirement Calculator'!A:A,0),0),0)</f>
        <v>0</v>
      </c>
      <c r="K1769" s="455">
        <f t="shared" ca="1" si="131"/>
        <v>-1088581.384153154</v>
      </c>
      <c r="L1769" s="455">
        <f t="shared" ca="1" si="132"/>
        <v>-262348113.58091009</v>
      </c>
      <c r="M1769" s="471">
        <f t="shared" si="134"/>
        <v>0.05</v>
      </c>
      <c r="N1769" s="475">
        <f t="shared" si="135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33"/>
        <v>-262348113.58091009</v>
      </c>
      <c r="J1770" s="455">
        <f t="array" ref="J1770">IFERROR(INDEX('Retirement Calculator'!J:J,MATCH('Isaac 401k'!N1770,'Retirement Calculator'!A:A,0),0),0)</f>
        <v>0</v>
      </c>
      <c r="K1770" s="455">
        <f t="shared" ca="1" si="131"/>
        <v>-1093117.1399204587</v>
      </c>
      <c r="L1770" s="455">
        <f t="shared" ca="1" si="132"/>
        <v>-263441230.72083056</v>
      </c>
      <c r="M1770" s="471">
        <f t="shared" si="134"/>
        <v>0.05</v>
      </c>
      <c r="N1770" s="475">
        <f t="shared" si="135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33"/>
        <v>-263441230.72083056</v>
      </c>
      <c r="J1771" s="455">
        <f t="array" ref="J1771">IFERROR(INDEX('Retirement Calculator'!J:J,MATCH('Isaac 401k'!N1771,'Retirement Calculator'!A:A,0),0),0)</f>
        <v>0</v>
      </c>
      <c r="K1771" s="455">
        <f t="shared" ca="1" si="131"/>
        <v>-1097671.7946701273</v>
      </c>
      <c r="L1771" s="455">
        <f t="shared" ca="1" si="132"/>
        <v>-264538902.51550069</v>
      </c>
      <c r="M1771" s="471">
        <f t="shared" si="134"/>
        <v>0.05</v>
      </c>
      <c r="N1771" s="475">
        <f t="shared" si="135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33"/>
        <v>-264538902.51550069</v>
      </c>
      <c r="J1772" s="455">
        <f t="array" ref="J1772">IFERROR(INDEX('Retirement Calculator'!J:J,MATCH('Isaac 401k'!N1772,'Retirement Calculator'!A:A,0),0),0)</f>
        <v>0</v>
      </c>
      <c r="K1772" s="455">
        <f t="shared" ca="1" si="131"/>
        <v>-1102245.4271479195</v>
      </c>
      <c r="L1772" s="455">
        <f t="shared" ca="1" si="132"/>
        <v>-265641147.94264862</v>
      </c>
      <c r="M1772" s="471">
        <f t="shared" si="134"/>
        <v>0.05</v>
      </c>
      <c r="N1772" s="475">
        <f t="shared" si="135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33"/>
        <v>-265641147.94264862</v>
      </c>
      <c r="J1773" s="455">
        <f t="array" ref="J1773">IFERROR(INDEX('Retirement Calculator'!J:J,MATCH('Isaac 401k'!N1773,'Retirement Calculator'!A:A,0),0),0)</f>
        <v>0</v>
      </c>
      <c r="K1773" s="455">
        <f t="shared" ca="1" si="131"/>
        <v>-1106838.1164277026</v>
      </c>
      <c r="L1773" s="455">
        <f t="shared" ca="1" si="132"/>
        <v>-266747986.05907631</v>
      </c>
      <c r="M1773" s="471">
        <f t="shared" si="134"/>
        <v>0.05</v>
      </c>
      <c r="N1773" s="475">
        <f t="shared" si="135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33"/>
        <v>-266747986.05907631</v>
      </c>
      <c r="J1774" s="455">
        <f t="array" ref="J1774">IFERROR(INDEX('Retirement Calculator'!J:J,MATCH('Isaac 401k'!N1774,'Retirement Calculator'!A:A,0),0),0)</f>
        <v>0</v>
      </c>
      <c r="K1774" s="455">
        <f t="shared" ca="1" si="131"/>
        <v>-1111449.9419128178</v>
      </c>
      <c r="L1774" s="455">
        <f t="shared" ca="1" si="132"/>
        <v>-267859436.00098914</v>
      </c>
      <c r="M1774" s="471">
        <f t="shared" si="134"/>
        <v>0.05</v>
      </c>
      <c r="N1774" s="475">
        <f t="shared" si="135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33"/>
        <v>-267859436.00098914</v>
      </c>
      <c r="J1775" s="455">
        <f t="array" ref="J1775">IFERROR(INDEX('Retirement Calculator'!J:J,MATCH('Isaac 401k'!N1775,'Retirement Calculator'!A:A,0),0),0)</f>
        <v>0</v>
      </c>
      <c r="K1775" s="455">
        <f t="shared" ca="1" si="131"/>
        <v>-1116080.9833374547</v>
      </c>
      <c r="L1775" s="455">
        <f t="shared" ca="1" si="132"/>
        <v>-268975516.9843266</v>
      </c>
      <c r="M1775" s="471">
        <f t="shared" si="134"/>
        <v>0.05</v>
      </c>
      <c r="N1775" s="475">
        <f t="shared" si="135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33"/>
        <v>-268975516.9843266</v>
      </c>
      <c r="J1776" s="455">
        <f t="array" ref="J1776">IFERROR(INDEX('Retirement Calculator'!J:J,MATCH('Isaac 401k'!N1776,'Retirement Calculator'!A:A,0),0),0)</f>
        <v>0</v>
      </c>
      <c r="K1776" s="455">
        <f t="shared" ca="1" si="131"/>
        <v>-1120731.3207680276</v>
      </c>
      <c r="L1776" s="455">
        <f t="shared" ca="1" si="132"/>
        <v>-270096248.3050946</v>
      </c>
      <c r="M1776" s="471">
        <f t="shared" si="134"/>
        <v>0.05</v>
      </c>
      <c r="N1776" s="475">
        <f t="shared" si="135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33"/>
        <v>-270096248.3050946</v>
      </c>
      <c r="J1777" s="455">
        <f t="array" ref="J1777">IFERROR(INDEX('Retirement Calculator'!J:J,MATCH('Isaac 401k'!N1777,'Retirement Calculator'!A:A,0),0),0)</f>
        <v>0</v>
      </c>
      <c r="K1777" s="455">
        <f t="shared" ca="1" si="131"/>
        <v>-1125401.0346045608</v>
      </c>
      <c r="L1777" s="455">
        <f t="shared" ca="1" si="132"/>
        <v>-271221649.33969915</v>
      </c>
      <c r="M1777" s="471">
        <f t="shared" si="134"/>
        <v>0.05</v>
      </c>
      <c r="N1777" s="475">
        <f t="shared" si="135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33"/>
        <v>-271221649.33969915</v>
      </c>
      <c r="J1778" s="455">
        <f t="array" ref="J1778">IFERROR(INDEX('Retirement Calculator'!J:J,MATCH('Isaac 401k'!N1778,'Retirement Calculator'!A:A,0),0),0)</f>
        <v>0</v>
      </c>
      <c r="K1778" s="455">
        <f t="shared" ca="1" si="131"/>
        <v>-1130090.2055820797</v>
      </c>
      <c r="L1778" s="455">
        <f t="shared" ca="1" si="132"/>
        <v>-272351739.54528123</v>
      </c>
      <c r="M1778" s="471">
        <f t="shared" si="134"/>
        <v>0.05</v>
      </c>
      <c r="N1778" s="475">
        <f t="shared" si="135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33"/>
        <v>-272351739.54528123</v>
      </c>
      <c r="J1779" s="455">
        <f t="array" ref="J1779">IFERROR(INDEX('Retirement Calculator'!J:J,MATCH('Isaac 401k'!N1779,'Retirement Calculator'!A:A,0),0),0)</f>
        <v>0</v>
      </c>
      <c r="K1779" s="455">
        <f t="shared" ca="1" si="131"/>
        <v>-1134798.9147720051</v>
      </c>
      <c r="L1779" s="455">
        <f t="shared" ca="1" si="132"/>
        <v>-273486538.46005327</v>
      </c>
      <c r="M1779" s="471">
        <f t="shared" si="134"/>
        <v>0.05</v>
      </c>
      <c r="N1779" s="475">
        <f t="shared" si="135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33"/>
        <v>-273486538.46005327</v>
      </c>
      <c r="J1780" s="455">
        <f t="array" ref="J1780">IFERROR(INDEX('Retirement Calculator'!J:J,MATCH('Isaac 401k'!N1780,'Retirement Calculator'!A:A,0),0),0)</f>
        <v>0</v>
      </c>
      <c r="K1780" s="455">
        <f t="shared" ca="1" si="131"/>
        <v>-1139527.2435835553</v>
      </c>
      <c r="L1780" s="455">
        <f t="shared" ca="1" si="132"/>
        <v>-274626065.70363683</v>
      </c>
      <c r="M1780" s="471">
        <f t="shared" si="134"/>
        <v>0.05</v>
      </c>
      <c r="N1780" s="475">
        <f t="shared" si="135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33"/>
        <v>-274626065.70363683</v>
      </c>
      <c r="J1781" s="455">
        <f t="array" ref="J1781">IFERROR(INDEX('Retirement Calculator'!J:J,MATCH('Isaac 401k'!N1781,'Retirement Calculator'!A:A,0),0),0)</f>
        <v>0</v>
      </c>
      <c r="K1781" s="455">
        <f t="shared" ca="1" si="131"/>
        <v>-1144275.2737651535</v>
      </c>
      <c r="L1781" s="455">
        <f t="shared" ca="1" si="132"/>
        <v>-275770340.97740197</v>
      </c>
      <c r="M1781" s="471">
        <f t="shared" si="134"/>
        <v>0.05</v>
      </c>
      <c r="N1781" s="475">
        <f t="shared" si="135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33"/>
        <v>-275770340.97740197</v>
      </c>
      <c r="J1782" s="455">
        <f t="array" ref="J1782">IFERROR(INDEX('Retirement Calculator'!J:J,MATCH('Isaac 401k'!N1782,'Retirement Calculator'!A:A,0),0),0)</f>
        <v>0</v>
      </c>
      <c r="K1782" s="455">
        <f t="shared" ca="1" si="131"/>
        <v>-1149043.0874058416</v>
      </c>
      <c r="L1782" s="455">
        <f t="shared" ca="1" si="132"/>
        <v>-276919384.06480783</v>
      </c>
      <c r="M1782" s="471">
        <f t="shared" si="134"/>
        <v>0.05</v>
      </c>
      <c r="N1782" s="475">
        <f t="shared" si="135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33"/>
        <v>-276919384.06480783</v>
      </c>
      <c r="J1783" s="455">
        <f t="array" ref="J1783">IFERROR(INDEX('Retirement Calculator'!J:J,MATCH('Isaac 401k'!N1783,'Retirement Calculator'!A:A,0),0),0)</f>
        <v>0</v>
      </c>
      <c r="K1783" s="455">
        <f t="shared" ca="1" si="131"/>
        <v>-1153830.7669366994</v>
      </c>
      <c r="L1783" s="455">
        <f t="shared" ca="1" si="132"/>
        <v>-278073214.83174455</v>
      </c>
      <c r="M1783" s="471">
        <f t="shared" si="134"/>
        <v>0.05</v>
      </c>
      <c r="N1783" s="475">
        <f t="shared" si="135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33"/>
        <v>-278073214.83174455</v>
      </c>
      <c r="J1784" s="455">
        <f t="array" ref="J1784">IFERROR(INDEX('Retirement Calculator'!J:J,MATCH('Isaac 401k'!N1784,'Retirement Calculator'!A:A,0),0),0)</f>
        <v>0</v>
      </c>
      <c r="K1784" s="455">
        <f t="shared" ca="1" si="131"/>
        <v>-1158638.395132269</v>
      </c>
      <c r="L1784" s="455">
        <f t="shared" ca="1" si="132"/>
        <v>-279231853.2268768</v>
      </c>
      <c r="M1784" s="471">
        <f t="shared" si="134"/>
        <v>0.05</v>
      </c>
      <c r="N1784" s="475">
        <f t="shared" si="135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33"/>
        <v>-279231853.2268768</v>
      </c>
      <c r="J1785" s="455">
        <f t="array" ref="J1785">IFERROR(INDEX('Retirement Calculator'!J:J,MATCH('Isaac 401k'!N1785,'Retirement Calculator'!A:A,0),0),0)</f>
        <v>0</v>
      </c>
      <c r="K1785" s="455">
        <f t="shared" ca="1" si="131"/>
        <v>-1163466.0551119866</v>
      </c>
      <c r="L1785" s="455">
        <f t="shared" ca="1" si="132"/>
        <v>-280395319.2819888</v>
      </c>
      <c r="M1785" s="471">
        <f t="shared" si="134"/>
        <v>0.05</v>
      </c>
      <c r="N1785" s="475">
        <f t="shared" si="135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33"/>
        <v>-280395319.2819888</v>
      </c>
      <c r="J1786" s="455">
        <f t="array" ref="J1786">IFERROR(INDEX('Retirement Calculator'!J:J,MATCH('Isaac 401k'!N1786,'Retirement Calculator'!A:A,0),0),0)</f>
        <v>0</v>
      </c>
      <c r="K1786" s="455">
        <f t="shared" ca="1" si="131"/>
        <v>-1168313.8303416199</v>
      </c>
      <c r="L1786" s="455">
        <f t="shared" ca="1" si="132"/>
        <v>-281563633.11233044</v>
      </c>
      <c r="M1786" s="471">
        <f t="shared" si="134"/>
        <v>0.05</v>
      </c>
      <c r="N1786" s="475">
        <f t="shared" si="135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33"/>
        <v>-281563633.11233044</v>
      </c>
      <c r="J1787" s="455">
        <f t="array" ref="J1787">IFERROR(INDEX('Retirement Calculator'!J:J,MATCH('Isaac 401k'!N1787,'Retirement Calculator'!A:A,0),0),0)</f>
        <v>0</v>
      </c>
      <c r="K1787" s="455">
        <f t="shared" ca="1" si="131"/>
        <v>-1173181.8046347101</v>
      </c>
      <c r="L1787" s="455">
        <f t="shared" ca="1" si="132"/>
        <v>-282736814.91696513</v>
      </c>
      <c r="M1787" s="471">
        <f t="shared" si="134"/>
        <v>0.05</v>
      </c>
      <c r="N1787" s="475">
        <f t="shared" si="135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33"/>
        <v>-282736814.91696513</v>
      </c>
      <c r="J1788" s="455">
        <f t="array" ref="J1788">IFERROR(INDEX('Retirement Calculator'!J:J,MATCH('Isaac 401k'!N1788,'Retirement Calculator'!A:A,0),0),0)</f>
        <v>0</v>
      </c>
      <c r="K1788" s="455">
        <f t="shared" ca="1" si="131"/>
        <v>-1178070.0621540213</v>
      </c>
      <c r="L1788" s="455">
        <f t="shared" ca="1" si="132"/>
        <v>-283914884.97911912</v>
      </c>
      <c r="M1788" s="471">
        <f t="shared" si="134"/>
        <v>0.05</v>
      </c>
      <c r="N1788" s="475">
        <f t="shared" si="135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33"/>
        <v>-283914884.97911912</v>
      </c>
      <c r="J1789" s="455">
        <f t="array" ref="J1789">IFERROR(INDEX('Retirement Calculator'!J:J,MATCH('Isaac 401k'!N1789,'Retirement Calculator'!A:A,0),0),0)</f>
        <v>0</v>
      </c>
      <c r="K1789" s="455">
        <f t="shared" ca="1" si="131"/>
        <v>-1182978.6874129963</v>
      </c>
      <c r="L1789" s="455">
        <f t="shared" ca="1" si="132"/>
        <v>-285097863.6665321</v>
      </c>
      <c r="M1789" s="471">
        <f t="shared" si="134"/>
        <v>0.05</v>
      </c>
      <c r="N1789" s="475">
        <f t="shared" si="135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33"/>
        <v>-285097863.6665321</v>
      </c>
      <c r="J1790" s="455">
        <f t="array" ref="J1790">IFERROR(INDEX('Retirement Calculator'!J:J,MATCH('Isaac 401k'!N1790,'Retirement Calculator'!A:A,0),0),0)</f>
        <v>0</v>
      </c>
      <c r="K1790" s="455">
        <f t="shared" ca="1" si="131"/>
        <v>-1187907.7652772171</v>
      </c>
      <c r="L1790" s="455">
        <f t="shared" ca="1" si="132"/>
        <v>-286285771.43180931</v>
      </c>
      <c r="M1790" s="471">
        <f t="shared" si="134"/>
        <v>0.05</v>
      </c>
      <c r="N1790" s="475">
        <f t="shared" si="135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33"/>
        <v>-286285771.43180931</v>
      </c>
      <c r="J1791" s="455">
        <f t="array" ref="J1791">IFERROR(INDEX('Retirement Calculator'!J:J,MATCH('Isaac 401k'!N1791,'Retirement Calculator'!A:A,0),0),0)</f>
        <v>0</v>
      </c>
      <c r="K1791" s="455">
        <f t="shared" ca="1" si="131"/>
        <v>-1192857.3809658722</v>
      </c>
      <c r="L1791" s="455">
        <f t="shared" ca="1" si="132"/>
        <v>-287478628.81277519</v>
      </c>
      <c r="M1791" s="471">
        <f t="shared" si="134"/>
        <v>0.05</v>
      </c>
      <c r="N1791" s="475">
        <f t="shared" si="135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33"/>
        <v>-287478628.81277519</v>
      </c>
      <c r="J1792" s="455">
        <f t="array" ref="J1792">IFERROR(INDEX('Retirement Calculator'!J:J,MATCH('Isaac 401k'!N1792,'Retirement Calculator'!A:A,0),0),0)</f>
        <v>0</v>
      </c>
      <c r="K1792" s="455">
        <f t="shared" ca="1" si="131"/>
        <v>-1197827.6200532299</v>
      </c>
      <c r="L1792" s="455">
        <f t="shared" ca="1" si="132"/>
        <v>-288676456.43282843</v>
      </c>
      <c r="M1792" s="471">
        <f t="shared" si="134"/>
        <v>0.05</v>
      </c>
      <c r="N1792" s="475">
        <f t="shared" si="135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33"/>
        <v>-288676456.43282843</v>
      </c>
      <c r="J1793" s="455">
        <f t="array" ref="J1793">IFERROR(INDEX('Retirement Calculator'!J:J,MATCH('Isaac 401k'!N1793,'Retirement Calculator'!A:A,0),0),0)</f>
        <v>0</v>
      </c>
      <c r="K1793" s="455">
        <f t="shared" ref="K1793:K2047" ca="1" si="136">IPMT(M1793/12,1,12,-I1793+J1793,,0)</f>
        <v>-1202818.5684701183</v>
      </c>
      <c r="L1793" s="455">
        <f t="shared" ref="L1793:L2047" ca="1" si="137">I1793-J1793+K1793</f>
        <v>-289879275.00129855</v>
      </c>
      <c r="M1793" s="471">
        <f t="shared" si="134"/>
        <v>0.05</v>
      </c>
      <c r="N1793" s="475">
        <f t="shared" si="135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38">L1793</f>
        <v>-289879275.00129855</v>
      </c>
      <c r="J1794" s="455">
        <f t="array" ref="J1794">IFERROR(INDEX('Retirement Calculator'!J:J,MATCH('Isaac 401k'!N1794,'Retirement Calculator'!A:A,0),0),0)</f>
        <v>0</v>
      </c>
      <c r="K1794" s="455">
        <f t="shared" ca="1" si="136"/>
        <v>-1207830.3125054105</v>
      </c>
      <c r="L1794" s="455">
        <f t="shared" ca="1" si="137"/>
        <v>-291087105.31380397</v>
      </c>
      <c r="M1794" s="471">
        <f t="shared" ref="M1794:M2048" si="139">M1793</f>
        <v>0.05</v>
      </c>
      <c r="N1794" s="475">
        <f t="shared" ref="N1794:N2048" si="140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38"/>
        <v>-291087105.31380397</v>
      </c>
      <c r="J1795" s="455">
        <f t="array" ref="J1795">IFERROR(INDEX('Retirement Calculator'!J:J,MATCH('Isaac 401k'!N1795,'Retirement Calculator'!A:A,0),0),0)</f>
        <v>0</v>
      </c>
      <c r="K1795" s="455">
        <f t="shared" ca="1" si="136"/>
        <v>-1212862.9388075166</v>
      </c>
      <c r="L1795" s="455">
        <f t="shared" ca="1" si="137"/>
        <v>-292299968.25261146</v>
      </c>
      <c r="M1795" s="471">
        <f t="shared" si="139"/>
        <v>0.05</v>
      </c>
      <c r="N1795" s="475">
        <f t="shared" si="140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38"/>
        <v>-292299968.25261146</v>
      </c>
      <c r="J1796" s="455">
        <f t="array" ref="J1796">IFERROR(INDEX('Retirement Calculator'!J:J,MATCH('Isaac 401k'!N1796,'Retirement Calculator'!A:A,0),0),0)</f>
        <v>0</v>
      </c>
      <c r="K1796" s="455">
        <f t="shared" ca="1" si="136"/>
        <v>-1217916.5343858812</v>
      </c>
      <c r="L1796" s="455">
        <f t="shared" ca="1" si="137"/>
        <v>-293517884.78699732</v>
      </c>
      <c r="M1796" s="471">
        <f t="shared" si="139"/>
        <v>0.05</v>
      </c>
      <c r="N1796" s="475">
        <f t="shared" si="140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38"/>
        <v>-293517884.78699732</v>
      </c>
      <c r="J1797" s="455">
        <f t="array" ref="J1797">IFERROR(INDEX('Retirement Calculator'!J:J,MATCH('Isaac 401k'!N1797,'Retirement Calculator'!A:A,0),0),0)</f>
        <v>0</v>
      </c>
      <c r="K1797" s="455">
        <f t="shared" ca="1" si="136"/>
        <v>-1222991.1866124887</v>
      </c>
      <c r="L1797" s="455">
        <f t="shared" ca="1" si="137"/>
        <v>-294740875.97360981</v>
      </c>
      <c r="M1797" s="471">
        <f t="shared" si="139"/>
        <v>0.05</v>
      </c>
      <c r="N1797" s="475">
        <f t="shared" si="140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38"/>
        <v>-294740875.97360981</v>
      </c>
      <c r="J1798" s="455">
        <f t="array" ref="J1798">IFERROR(INDEX('Retirement Calculator'!J:J,MATCH('Isaac 401k'!N1798,'Retirement Calculator'!A:A,0),0),0)</f>
        <v>0</v>
      </c>
      <c r="K1798" s="455">
        <f t="shared" ca="1" si="136"/>
        <v>-1228086.9832233742</v>
      </c>
      <c r="L1798" s="455">
        <f t="shared" ca="1" si="137"/>
        <v>-295968962.95683318</v>
      </c>
      <c r="M1798" s="471">
        <f t="shared" si="139"/>
        <v>0.05</v>
      </c>
      <c r="N1798" s="475">
        <f t="shared" si="140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38"/>
        <v>-295968962.95683318</v>
      </c>
      <c r="J1799" s="455">
        <f t="array" ref="J1799">IFERROR(INDEX('Retirement Calculator'!J:J,MATCH('Isaac 401k'!N1799,'Retirement Calculator'!A:A,0),0),0)</f>
        <v>0</v>
      </c>
      <c r="K1799" s="455">
        <f t="shared" ca="1" si="136"/>
        <v>-1233204.0123201383</v>
      </c>
      <c r="L1799" s="455">
        <f t="shared" ca="1" si="137"/>
        <v>-297202166.96915334</v>
      </c>
      <c r="M1799" s="471">
        <f t="shared" si="139"/>
        <v>0.05</v>
      </c>
      <c r="N1799" s="475">
        <f t="shared" si="140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38"/>
        <v>-297202166.96915334</v>
      </c>
      <c r="J1800" s="455">
        <f t="array" ref="J1800">IFERROR(INDEX('Retirement Calculator'!J:J,MATCH('Isaac 401k'!N1800,'Retirement Calculator'!A:A,0),0),0)</f>
        <v>0</v>
      </c>
      <c r="K1800" s="455">
        <f t="shared" ca="1" si="136"/>
        <v>-1238342.3623714722</v>
      </c>
      <c r="L1800" s="455">
        <f t="shared" ca="1" si="137"/>
        <v>-298440509.33152479</v>
      </c>
      <c r="M1800" s="471">
        <f t="shared" si="139"/>
        <v>0.05</v>
      </c>
      <c r="N1800" s="475">
        <f t="shared" si="140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38"/>
        <v>-298440509.33152479</v>
      </c>
      <c r="J1801" s="455">
        <f t="array" ref="J1801">IFERROR(INDEX('Retirement Calculator'!J:J,MATCH('Isaac 401k'!N1801,'Retirement Calculator'!A:A,0),0),0)</f>
        <v>0</v>
      </c>
      <c r="K1801" s="455">
        <f t="shared" ca="1" si="136"/>
        <v>-1243502.1222146866</v>
      </c>
      <c r="L1801" s="455">
        <f t="shared" ca="1" si="137"/>
        <v>-299684011.45373946</v>
      </c>
      <c r="M1801" s="471">
        <f t="shared" si="139"/>
        <v>0.05</v>
      </c>
      <c r="N1801" s="475">
        <f t="shared" si="140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38"/>
        <v>-299684011.45373946</v>
      </c>
      <c r="J1802" s="455">
        <f t="array" ref="J1802">IFERROR(INDEX('Retirement Calculator'!J:J,MATCH('Isaac 401k'!N1802,'Retirement Calculator'!A:A,0),0),0)</f>
        <v>0</v>
      </c>
      <c r="K1802" s="455">
        <f t="shared" ca="1" si="136"/>
        <v>-1248683.3810572478</v>
      </c>
      <c r="L1802" s="455">
        <f t="shared" ca="1" si="137"/>
        <v>-300932694.83479673</v>
      </c>
      <c r="M1802" s="471">
        <f t="shared" si="139"/>
        <v>0.05</v>
      </c>
      <c r="N1802" s="475">
        <f t="shared" si="140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38"/>
        <v>-300932694.83479673</v>
      </c>
      <c r="J1803" s="455">
        <f t="array" ref="J1803">IFERROR(INDEX('Retirement Calculator'!J:J,MATCH('Isaac 401k'!N1803,'Retirement Calculator'!A:A,0),0),0)</f>
        <v>0</v>
      </c>
      <c r="K1803" s="455">
        <f t="shared" ca="1" si="136"/>
        <v>-1253886.2284783197</v>
      </c>
      <c r="L1803" s="455">
        <f t="shared" ca="1" si="137"/>
        <v>-302186581.06327504</v>
      </c>
      <c r="M1803" s="471">
        <f t="shared" si="139"/>
        <v>0.05</v>
      </c>
      <c r="N1803" s="475">
        <f t="shared" si="140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38"/>
        <v>-302186581.06327504</v>
      </c>
      <c r="J1804" s="455">
        <f t="array" ref="J1804">IFERROR(INDEX('Retirement Calculator'!J:J,MATCH('Isaac 401k'!N1804,'Retirement Calculator'!A:A,0),0),0)</f>
        <v>0</v>
      </c>
      <c r="K1804" s="455">
        <f t="shared" ca="1" si="136"/>
        <v>-1259110.7544303127</v>
      </c>
      <c r="L1804" s="455">
        <f t="shared" ca="1" si="137"/>
        <v>-303445691.81770533</v>
      </c>
      <c r="M1804" s="471">
        <f t="shared" si="139"/>
        <v>0.05</v>
      </c>
      <c r="N1804" s="475">
        <f t="shared" si="140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38"/>
        <v>-303445691.81770533</v>
      </c>
      <c r="J1805" s="455">
        <f t="array" ref="J1805">IFERROR(INDEX('Retirement Calculator'!J:J,MATCH('Isaac 401k'!N1805,'Retirement Calculator'!A:A,0),0),0)</f>
        <v>0</v>
      </c>
      <c r="K1805" s="455">
        <f t="shared" ca="1" si="136"/>
        <v>-1264357.049240439</v>
      </c>
      <c r="L1805" s="455">
        <f t="shared" ca="1" si="137"/>
        <v>-304710048.86694574</v>
      </c>
      <c r="M1805" s="471">
        <f t="shared" si="139"/>
        <v>0.05</v>
      </c>
      <c r="N1805" s="475">
        <f t="shared" si="140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38"/>
        <v>-304710048.86694574</v>
      </c>
      <c r="J1806" s="455">
        <f t="array" ref="J1806">IFERROR(INDEX('Retirement Calculator'!J:J,MATCH('Isaac 401k'!N1806,'Retirement Calculator'!A:A,0),0),0)</f>
        <v>0</v>
      </c>
      <c r="K1806" s="455">
        <f t="shared" ca="1" si="136"/>
        <v>-1269625.203612274</v>
      </c>
      <c r="L1806" s="455">
        <f t="shared" ca="1" si="137"/>
        <v>-305979674.07055801</v>
      </c>
      <c r="M1806" s="471">
        <f t="shared" si="139"/>
        <v>0.05</v>
      </c>
      <c r="N1806" s="475">
        <f t="shared" si="140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38"/>
        <v>-305979674.07055801</v>
      </c>
      <c r="J1807" s="455">
        <f t="array" ref="J1807">IFERROR(INDEX('Retirement Calculator'!J:J,MATCH('Isaac 401k'!N1807,'Retirement Calculator'!A:A,0),0),0)</f>
        <v>0</v>
      </c>
      <c r="K1807" s="455">
        <f t="shared" ca="1" si="136"/>
        <v>-1274915.3086273251</v>
      </c>
      <c r="L1807" s="455">
        <f t="shared" ca="1" si="137"/>
        <v>-307254589.37918532</v>
      </c>
      <c r="M1807" s="471">
        <f t="shared" si="139"/>
        <v>0.05</v>
      </c>
      <c r="N1807" s="475">
        <f t="shared" si="140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38"/>
        <v>-307254589.37918532</v>
      </c>
      <c r="J1808" s="455">
        <f t="array" ref="J1808">IFERROR(INDEX('Retirement Calculator'!J:J,MATCH('Isaac 401k'!N1808,'Retirement Calculator'!A:A,0),0),0)</f>
        <v>0</v>
      </c>
      <c r="K1808" s="455">
        <f t="shared" ca="1" si="136"/>
        <v>-1280227.4557466055</v>
      </c>
      <c r="L1808" s="455">
        <f t="shared" ca="1" si="137"/>
        <v>-308534816.83493191</v>
      </c>
      <c r="M1808" s="471">
        <f t="shared" si="139"/>
        <v>0.05</v>
      </c>
      <c r="N1808" s="475">
        <f t="shared" si="140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38"/>
        <v>-308534816.83493191</v>
      </c>
      <c r="J1809" s="455">
        <f t="array" ref="J1809">IFERROR(INDEX('Retirement Calculator'!J:J,MATCH('Isaac 401k'!N1809,'Retirement Calculator'!A:A,0),0),0)</f>
        <v>0</v>
      </c>
      <c r="K1809" s="455">
        <f t="shared" ca="1" si="136"/>
        <v>-1285561.7368122162</v>
      </c>
      <c r="L1809" s="455">
        <f t="shared" ca="1" si="137"/>
        <v>-309820378.57174414</v>
      </c>
      <c r="M1809" s="471">
        <f t="shared" si="139"/>
        <v>0.05</v>
      </c>
      <c r="N1809" s="475">
        <f t="shared" si="140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38"/>
        <v>-309820378.57174414</v>
      </c>
      <c r="J1810" s="455">
        <f t="array" ref="J1810">IFERROR(INDEX('Retirement Calculator'!J:J,MATCH('Isaac 401k'!N1810,'Retirement Calculator'!A:A,0),0),0)</f>
        <v>0</v>
      </c>
      <c r="K1810" s="455">
        <f t="shared" ca="1" si="136"/>
        <v>-1290918.244048934</v>
      </c>
      <c r="L1810" s="455">
        <f t="shared" ca="1" si="137"/>
        <v>-311111296.8157931</v>
      </c>
      <c r="M1810" s="471">
        <f t="shared" si="139"/>
        <v>0.05</v>
      </c>
      <c r="N1810" s="475">
        <f t="shared" si="140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38"/>
        <v>-311111296.8157931</v>
      </c>
      <c r="J1811" s="455">
        <f t="array" ref="J1811">IFERROR(INDEX('Retirement Calculator'!J:J,MATCH('Isaac 401k'!N1811,'Retirement Calculator'!A:A,0),0),0)</f>
        <v>0</v>
      </c>
      <c r="K1811" s="455">
        <f t="shared" ca="1" si="136"/>
        <v>-1296297.0700658045</v>
      </c>
      <c r="L1811" s="455">
        <f t="shared" ca="1" si="137"/>
        <v>-312407593.88585889</v>
      </c>
      <c r="M1811" s="471">
        <f t="shared" si="139"/>
        <v>0.05</v>
      </c>
      <c r="N1811" s="475">
        <f t="shared" si="140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38"/>
        <v>-312407593.88585889</v>
      </c>
      <c r="J1812" s="455">
        <f t="array" ref="J1812">IFERROR(INDEX('Retirement Calculator'!J:J,MATCH('Isaac 401k'!N1812,'Retirement Calculator'!A:A,0),0),0)</f>
        <v>0</v>
      </c>
      <c r="K1812" s="455">
        <f t="shared" ca="1" si="136"/>
        <v>-1301698.3078577453</v>
      </c>
      <c r="L1812" s="455">
        <f t="shared" ca="1" si="137"/>
        <v>-313709292.19371665</v>
      </c>
      <c r="M1812" s="471">
        <f t="shared" si="139"/>
        <v>0.05</v>
      </c>
      <c r="N1812" s="475">
        <f t="shared" si="140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38"/>
        <v>-313709292.19371665</v>
      </c>
      <c r="J1813" s="455">
        <f t="array" ref="J1813">IFERROR(INDEX('Retirement Calculator'!J:J,MATCH('Isaac 401k'!N1813,'Retirement Calculator'!A:A,0),0),0)</f>
        <v>0</v>
      </c>
      <c r="K1813" s="455">
        <f t="shared" ca="1" si="136"/>
        <v>-1307122.0508071526</v>
      </c>
      <c r="L1813" s="455">
        <f t="shared" ca="1" si="137"/>
        <v>-315016414.24452382</v>
      </c>
      <c r="M1813" s="471">
        <f t="shared" si="139"/>
        <v>0.05</v>
      </c>
      <c r="N1813" s="475">
        <f t="shared" si="140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38"/>
        <v>-315016414.24452382</v>
      </c>
      <c r="J1814" s="455">
        <f t="array" ref="J1814">IFERROR(INDEX('Retirement Calculator'!J:J,MATCH('Isaac 401k'!N1814,'Retirement Calculator'!A:A,0),0),0)</f>
        <v>0</v>
      </c>
      <c r="K1814" s="455">
        <f t="shared" ca="1" si="136"/>
        <v>-1312568.3926855158</v>
      </c>
      <c r="L1814" s="455">
        <f t="shared" ca="1" si="137"/>
        <v>-316328982.63720936</v>
      </c>
      <c r="M1814" s="471">
        <f t="shared" si="139"/>
        <v>0.05</v>
      </c>
      <c r="N1814" s="475">
        <f t="shared" si="140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38"/>
        <v>-316328982.63720936</v>
      </c>
      <c r="J1815" s="455">
        <f t="array" ref="J1815">IFERROR(INDEX('Retirement Calculator'!J:J,MATCH('Isaac 401k'!N1815,'Retirement Calculator'!A:A,0),0),0)</f>
        <v>0</v>
      </c>
      <c r="K1815" s="455">
        <f t="shared" ca="1" si="136"/>
        <v>-1318037.4276550389</v>
      </c>
      <c r="L1815" s="455">
        <f t="shared" ca="1" si="137"/>
        <v>-317647020.0648644</v>
      </c>
      <c r="M1815" s="471">
        <f t="shared" si="139"/>
        <v>0.05</v>
      </c>
      <c r="N1815" s="475">
        <f t="shared" si="140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38"/>
        <v>-317647020.0648644</v>
      </c>
      <c r="J1816" s="455">
        <f t="array" ref="J1816">IFERROR(INDEX('Retirement Calculator'!J:J,MATCH('Isaac 401k'!N1816,'Retirement Calculator'!A:A,0),0),0)</f>
        <v>0</v>
      </c>
      <c r="K1816" s="455">
        <f t="shared" ca="1" si="136"/>
        <v>-1323529.2502702684</v>
      </c>
      <c r="L1816" s="455">
        <f t="shared" ca="1" si="137"/>
        <v>-318970549.31513464</v>
      </c>
      <c r="M1816" s="471">
        <f t="shared" si="139"/>
        <v>0.05</v>
      </c>
      <c r="N1816" s="475">
        <f t="shared" si="140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38"/>
        <v>-318970549.31513464</v>
      </c>
      <c r="J1817" s="455">
        <f t="array" ref="J1817">IFERROR(INDEX('Retirement Calculator'!J:J,MATCH('Isaac 401k'!N1817,'Retirement Calculator'!A:A,0),0),0)</f>
        <v>0</v>
      </c>
      <c r="K1817" s="455">
        <f t="shared" ca="1" si="136"/>
        <v>-1329043.9554797276</v>
      </c>
      <c r="L1817" s="455">
        <f t="shared" ca="1" si="137"/>
        <v>-320299593.27061439</v>
      </c>
      <c r="M1817" s="471">
        <f t="shared" si="139"/>
        <v>0.05</v>
      </c>
      <c r="N1817" s="475">
        <f t="shared" si="140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38"/>
        <v>-320299593.27061439</v>
      </c>
      <c r="J1818" s="455">
        <f t="array" ref="J1818">IFERROR(INDEX('Retirement Calculator'!J:J,MATCH('Isaac 401k'!N1818,'Retirement Calculator'!A:A,0),0),0)</f>
        <v>0</v>
      </c>
      <c r="K1818" s="455">
        <f t="shared" ca="1" si="136"/>
        <v>-1334581.6386275599</v>
      </c>
      <c r="L1818" s="455">
        <f t="shared" ca="1" si="137"/>
        <v>-321634174.90924197</v>
      </c>
      <c r="M1818" s="471">
        <f t="shared" si="139"/>
        <v>0.05</v>
      </c>
      <c r="N1818" s="475">
        <f t="shared" si="140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38"/>
        <v>-321634174.90924197</v>
      </c>
      <c r="J1819" s="455">
        <f t="array" ref="J1819">IFERROR(INDEX('Retirement Calculator'!J:J,MATCH('Isaac 401k'!N1819,'Retirement Calculator'!A:A,0),0),0)</f>
        <v>0</v>
      </c>
      <c r="K1819" s="455">
        <f t="shared" ca="1" si="136"/>
        <v>-1340142.3954551748</v>
      </c>
      <c r="L1819" s="455">
        <f t="shared" ca="1" si="137"/>
        <v>-322974317.30469716</v>
      </c>
      <c r="M1819" s="471">
        <f t="shared" si="139"/>
        <v>0.05</v>
      </c>
      <c r="N1819" s="475">
        <f t="shared" si="140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38"/>
        <v>-322974317.30469716</v>
      </c>
      <c r="J1820" s="455">
        <f t="array" ref="J1820">IFERROR(INDEX('Retirement Calculator'!J:J,MATCH('Isaac 401k'!N1820,'Retirement Calculator'!A:A,0),0),0)</f>
        <v>0</v>
      </c>
      <c r="K1820" s="455">
        <f t="shared" ca="1" si="136"/>
        <v>-1345726.3221029048</v>
      </c>
      <c r="L1820" s="455">
        <f t="shared" ca="1" si="137"/>
        <v>-324320043.62680006</v>
      </c>
      <c r="M1820" s="471">
        <f t="shared" si="139"/>
        <v>0.05</v>
      </c>
      <c r="N1820" s="475">
        <f t="shared" si="140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38"/>
        <v>-324320043.62680006</v>
      </c>
      <c r="J1821" s="455">
        <f t="array" ref="J1821">IFERROR(INDEX('Retirement Calculator'!J:J,MATCH('Isaac 401k'!N1821,'Retirement Calculator'!A:A,0),0),0)</f>
        <v>0</v>
      </c>
      <c r="K1821" s="455">
        <f t="shared" ca="1" si="136"/>
        <v>-1351333.5151116669</v>
      </c>
      <c r="L1821" s="455">
        <f t="shared" ca="1" si="137"/>
        <v>-325671377.14191175</v>
      </c>
      <c r="M1821" s="471">
        <f t="shared" si="139"/>
        <v>0.05</v>
      </c>
      <c r="N1821" s="475">
        <f t="shared" si="140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38"/>
        <v>-325671377.14191175</v>
      </c>
      <c r="J1822" s="455">
        <f t="array" ref="J1822">IFERROR(INDEX('Retirement Calculator'!J:J,MATCH('Isaac 401k'!N1822,'Retirement Calculator'!A:A,0),0),0)</f>
        <v>0</v>
      </c>
      <c r="K1822" s="455">
        <f t="shared" ca="1" si="136"/>
        <v>-1356964.0714246323</v>
      </c>
      <c r="L1822" s="455">
        <f t="shared" ca="1" si="137"/>
        <v>-327028341.21333635</v>
      </c>
      <c r="M1822" s="471">
        <f t="shared" si="139"/>
        <v>0.05</v>
      </c>
      <c r="N1822" s="475">
        <f t="shared" si="140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38"/>
        <v>-327028341.21333635</v>
      </c>
      <c r="J1823" s="455">
        <f t="array" ref="J1823">IFERROR(INDEX('Retirement Calculator'!J:J,MATCH('Isaac 401k'!N1823,'Retirement Calculator'!A:A,0),0),0)</f>
        <v>0</v>
      </c>
      <c r="K1823" s="455">
        <f t="shared" ca="1" si="136"/>
        <v>-1362618.0883889014</v>
      </c>
      <c r="L1823" s="455">
        <f t="shared" ca="1" si="137"/>
        <v>-328390959.30172527</v>
      </c>
      <c r="M1823" s="471">
        <f t="shared" si="139"/>
        <v>0.05</v>
      </c>
      <c r="N1823" s="475">
        <f t="shared" si="140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38"/>
        <v>-328390959.30172527</v>
      </c>
      <c r="J1824" s="455">
        <f t="array" ref="J1824">IFERROR(INDEX('Retirement Calculator'!J:J,MATCH('Isaac 401k'!N1824,'Retirement Calculator'!A:A,0),0),0)</f>
        <v>0</v>
      </c>
      <c r="K1824" s="455">
        <f t="shared" ca="1" si="136"/>
        <v>-1368295.6637571887</v>
      </c>
      <c r="L1824" s="455">
        <f t="shared" ca="1" si="137"/>
        <v>-329759254.96548247</v>
      </c>
      <c r="M1824" s="471">
        <f t="shared" si="139"/>
        <v>0.05</v>
      </c>
      <c r="N1824" s="475">
        <f t="shared" si="140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38"/>
        <v>-329759254.96548247</v>
      </c>
      <c r="J1825" s="455">
        <f t="array" ref="J1825">IFERROR(INDEX('Retirement Calculator'!J:J,MATCH('Isaac 401k'!N1825,'Retirement Calculator'!A:A,0),0),0)</f>
        <v>0</v>
      </c>
      <c r="K1825" s="455">
        <f t="shared" ca="1" si="136"/>
        <v>-1373996.8956895103</v>
      </c>
      <c r="L1825" s="455">
        <f t="shared" ca="1" si="137"/>
        <v>-331133251.86117196</v>
      </c>
      <c r="M1825" s="471">
        <f t="shared" si="139"/>
        <v>0.05</v>
      </c>
      <c r="N1825" s="475">
        <f t="shared" si="140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38"/>
        <v>-331133251.86117196</v>
      </c>
      <c r="J1826" s="455">
        <f t="array" ref="J1826">IFERROR(INDEX('Retirement Calculator'!J:J,MATCH('Isaac 401k'!N1826,'Retirement Calculator'!A:A,0),0),0)</f>
        <v>0</v>
      </c>
      <c r="K1826" s="455">
        <f t="shared" ca="1" si="136"/>
        <v>-1379721.8827548833</v>
      </c>
      <c r="L1826" s="455">
        <f t="shared" ca="1" si="137"/>
        <v>-332512973.74392682</v>
      </c>
      <c r="M1826" s="471">
        <f t="shared" si="139"/>
        <v>0.05</v>
      </c>
      <c r="N1826" s="475">
        <f t="shared" si="140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38"/>
        <v>-332512973.74392682</v>
      </c>
      <c r="J1827" s="455">
        <f t="array" ref="J1827">IFERROR(INDEX('Retirement Calculator'!J:J,MATCH('Isaac 401k'!N1827,'Retirement Calculator'!A:A,0),0),0)</f>
        <v>0</v>
      </c>
      <c r="K1827" s="455">
        <f t="shared" ca="1" si="136"/>
        <v>-1385470.7239330285</v>
      </c>
      <c r="L1827" s="455">
        <f t="shared" ca="1" si="137"/>
        <v>-333898444.46785986</v>
      </c>
      <c r="M1827" s="471">
        <f t="shared" si="139"/>
        <v>0.05</v>
      </c>
      <c r="N1827" s="475">
        <f t="shared" si="140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38"/>
        <v>-333898444.46785986</v>
      </c>
      <c r="J1828" s="455">
        <f t="array" ref="J1828">IFERROR(INDEX('Retirement Calculator'!J:J,MATCH('Isaac 401k'!N1828,'Retirement Calculator'!A:A,0),0),0)</f>
        <v>0</v>
      </c>
      <c r="K1828" s="455">
        <f t="shared" ca="1" si="136"/>
        <v>-1391243.5186160828</v>
      </c>
      <c r="L1828" s="455">
        <f t="shared" ca="1" si="137"/>
        <v>-335289687.98647594</v>
      </c>
      <c r="M1828" s="471">
        <f t="shared" si="139"/>
        <v>0.05</v>
      </c>
      <c r="N1828" s="475">
        <f t="shared" si="140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38"/>
        <v>-335289687.98647594</v>
      </c>
      <c r="J1829" s="455">
        <f t="array" ref="J1829">IFERROR(INDEX('Retirement Calculator'!J:J,MATCH('Isaac 401k'!N1829,'Retirement Calculator'!A:A,0),0),0)</f>
        <v>0</v>
      </c>
      <c r="K1829" s="455">
        <f t="shared" ca="1" si="136"/>
        <v>-1397040.3666103163</v>
      </c>
      <c r="L1829" s="455">
        <f t="shared" ca="1" si="137"/>
        <v>-336686728.35308623</v>
      </c>
      <c r="M1829" s="471">
        <f t="shared" si="139"/>
        <v>0.05</v>
      </c>
      <c r="N1829" s="475">
        <f t="shared" si="140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38"/>
        <v>-336686728.35308623</v>
      </c>
      <c r="J1830" s="455">
        <f t="array" ref="J1830">IFERROR(INDEX('Retirement Calculator'!J:J,MATCH('Isaac 401k'!N1830,'Retirement Calculator'!A:A,0),0),0)</f>
        <v>0</v>
      </c>
      <c r="K1830" s="455">
        <f t="shared" ca="1" si="136"/>
        <v>-1402861.3681378593</v>
      </c>
      <c r="L1830" s="455">
        <f t="shared" ca="1" si="137"/>
        <v>-338089589.72122407</v>
      </c>
      <c r="M1830" s="471">
        <f t="shared" si="139"/>
        <v>0.05</v>
      </c>
      <c r="N1830" s="475">
        <f t="shared" si="140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38"/>
        <v>-338089589.72122407</v>
      </c>
      <c r="J1831" s="455">
        <f t="array" ref="J1831">IFERROR(INDEX('Retirement Calculator'!J:J,MATCH('Isaac 401k'!N1831,'Retirement Calculator'!A:A,0),0),0)</f>
        <v>0</v>
      </c>
      <c r="K1831" s="455">
        <f t="shared" ca="1" si="136"/>
        <v>-1408706.6238384335</v>
      </c>
      <c r="L1831" s="455">
        <f t="shared" ca="1" si="137"/>
        <v>-339498296.34506249</v>
      </c>
      <c r="M1831" s="471">
        <f t="shared" si="139"/>
        <v>0.05</v>
      </c>
      <c r="N1831" s="475">
        <f t="shared" si="140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38"/>
        <v>-339498296.34506249</v>
      </c>
      <c r="J1832" s="455">
        <f t="array" ref="J1832">IFERROR(INDEX('Retirement Calculator'!J:J,MATCH('Isaac 401k'!N1832,'Retirement Calculator'!A:A,0),0),0)</f>
        <v>0</v>
      </c>
      <c r="K1832" s="455">
        <f t="shared" ca="1" si="136"/>
        <v>-1414576.2347710938</v>
      </c>
      <c r="L1832" s="455">
        <f t="shared" ca="1" si="137"/>
        <v>-340912872.57983357</v>
      </c>
      <c r="M1832" s="471">
        <f t="shared" si="139"/>
        <v>0.05</v>
      </c>
      <c r="N1832" s="475">
        <f t="shared" si="140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38"/>
        <v>-340912872.57983357</v>
      </c>
      <c r="J1833" s="455">
        <f t="array" ref="J1833">IFERROR(INDEX('Retirement Calculator'!J:J,MATCH('Isaac 401k'!N1833,'Retirement Calculator'!A:A,0),0),0)</f>
        <v>0</v>
      </c>
      <c r="K1833" s="455">
        <f t="shared" ca="1" si="136"/>
        <v>-1420470.3024159733</v>
      </c>
      <c r="L1833" s="455">
        <f t="shared" ca="1" si="137"/>
        <v>-342333342.88224953</v>
      </c>
      <c r="M1833" s="471">
        <f t="shared" si="139"/>
        <v>0.05</v>
      </c>
      <c r="N1833" s="475">
        <f t="shared" si="140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38"/>
        <v>-342333342.88224953</v>
      </c>
      <c r="J1834" s="455">
        <f t="array" ref="J1834">IFERROR(INDEX('Retirement Calculator'!J:J,MATCH('Isaac 401k'!N1834,'Retirement Calculator'!A:A,0),0),0)</f>
        <v>0</v>
      </c>
      <c r="K1834" s="455">
        <f t="shared" ca="1" si="136"/>
        <v>-1426388.9286760397</v>
      </c>
      <c r="L1834" s="455">
        <f t="shared" ca="1" si="137"/>
        <v>-343759731.8109256</v>
      </c>
      <c r="M1834" s="471">
        <f t="shared" si="139"/>
        <v>0.05</v>
      </c>
      <c r="N1834" s="475">
        <f t="shared" si="140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38"/>
        <v>-343759731.8109256</v>
      </c>
      <c r="J1835" s="455">
        <f t="array" ref="J1835">IFERROR(INDEX('Retirement Calculator'!J:J,MATCH('Isaac 401k'!N1835,'Retirement Calculator'!A:A,0),0),0)</f>
        <v>0</v>
      </c>
      <c r="K1835" s="455">
        <f t="shared" ca="1" si="136"/>
        <v>-1432332.2158788566</v>
      </c>
      <c r="L1835" s="455">
        <f t="shared" ca="1" si="137"/>
        <v>-345192064.02680445</v>
      </c>
      <c r="M1835" s="471">
        <f t="shared" si="139"/>
        <v>0.05</v>
      </c>
      <c r="N1835" s="475">
        <f t="shared" si="140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38"/>
        <v>-345192064.02680445</v>
      </c>
      <c r="J1836" s="455">
        <f t="array" ref="J1836">IFERROR(INDEX('Retirement Calculator'!J:J,MATCH('Isaac 401k'!N1836,'Retirement Calculator'!A:A,0),0),0)</f>
        <v>0</v>
      </c>
      <c r="K1836" s="455">
        <f t="shared" ca="1" si="136"/>
        <v>-1438300.2667783517</v>
      </c>
      <c r="L1836" s="455">
        <f t="shared" ca="1" si="137"/>
        <v>-346630364.2935828</v>
      </c>
      <c r="M1836" s="471">
        <f t="shared" si="139"/>
        <v>0.05</v>
      </c>
      <c r="N1836" s="475">
        <f t="shared" si="140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38"/>
        <v>-346630364.2935828</v>
      </c>
      <c r="J1837" s="455">
        <f t="array" ref="J1837">IFERROR(INDEX('Retirement Calculator'!J:J,MATCH('Isaac 401k'!N1837,'Retirement Calculator'!A:A,0),0),0)</f>
        <v>0</v>
      </c>
      <c r="K1837" s="455">
        <f t="shared" ca="1" si="136"/>
        <v>-1444293.184556595</v>
      </c>
      <c r="L1837" s="455">
        <f t="shared" ca="1" si="137"/>
        <v>-348074657.4781394</v>
      </c>
      <c r="M1837" s="471">
        <f t="shared" si="139"/>
        <v>0.05</v>
      </c>
      <c r="N1837" s="475">
        <f t="shared" si="140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38"/>
        <v>-348074657.4781394</v>
      </c>
      <c r="J1838" s="455">
        <f t="array" ref="J1838">IFERROR(INDEX('Retirement Calculator'!J:J,MATCH('Isaac 401k'!N1838,'Retirement Calculator'!A:A,0),0),0)</f>
        <v>0</v>
      </c>
      <c r="K1838" s="455">
        <f t="shared" ca="1" si="136"/>
        <v>-1450311.0728255808</v>
      </c>
      <c r="L1838" s="455">
        <f t="shared" ca="1" si="137"/>
        <v>-349524968.55096495</v>
      </c>
      <c r="M1838" s="471">
        <f t="shared" si="139"/>
        <v>0.05</v>
      </c>
      <c r="N1838" s="475">
        <f t="shared" si="140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38"/>
        <v>-349524968.55096495</v>
      </c>
      <c r="J1839" s="455">
        <f t="array" ref="J1839">IFERROR(INDEX('Retirement Calculator'!J:J,MATCH('Isaac 401k'!N1839,'Retirement Calculator'!A:A,0),0),0)</f>
        <v>0</v>
      </c>
      <c r="K1839" s="455">
        <f t="shared" ca="1" si="136"/>
        <v>-1456354.0356290205</v>
      </c>
      <c r="L1839" s="455">
        <f t="shared" ca="1" si="137"/>
        <v>-350981322.58659399</v>
      </c>
      <c r="M1839" s="471">
        <f t="shared" si="139"/>
        <v>0.05</v>
      </c>
      <c r="N1839" s="475">
        <f t="shared" si="140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38"/>
        <v>-350981322.58659399</v>
      </c>
      <c r="J1840" s="455">
        <f t="array" ref="J1840">IFERROR(INDEX('Retirement Calculator'!J:J,MATCH('Isaac 401k'!N1840,'Retirement Calculator'!A:A,0),0),0)</f>
        <v>0</v>
      </c>
      <c r="K1840" s="455">
        <f t="shared" ca="1" si="136"/>
        <v>-1462422.1774441416</v>
      </c>
      <c r="L1840" s="455">
        <f t="shared" ca="1" si="137"/>
        <v>-352443744.76403815</v>
      </c>
      <c r="M1840" s="471">
        <f t="shared" si="139"/>
        <v>0.05</v>
      </c>
      <c r="N1840" s="475">
        <f t="shared" si="140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38"/>
        <v>-352443744.76403815</v>
      </c>
      <c r="J1841" s="455">
        <f t="array" ref="J1841">IFERROR(INDEX('Retirement Calculator'!J:J,MATCH('Isaac 401k'!N1841,'Retirement Calculator'!A:A,0),0),0)</f>
        <v>0</v>
      </c>
      <c r="K1841" s="455">
        <f t="shared" ca="1" si="136"/>
        <v>-1468515.6031834923</v>
      </c>
      <c r="L1841" s="455">
        <f t="shared" ca="1" si="137"/>
        <v>-353912260.36722165</v>
      </c>
      <c r="M1841" s="471">
        <f t="shared" si="139"/>
        <v>0.05</v>
      </c>
      <c r="N1841" s="475">
        <f t="shared" si="140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38"/>
        <v>-353912260.36722165</v>
      </c>
      <c r="J1842" s="455">
        <f t="array" ref="J1842">IFERROR(INDEX('Retirement Calculator'!J:J,MATCH('Isaac 401k'!N1842,'Retirement Calculator'!A:A,0),0),0)</f>
        <v>0</v>
      </c>
      <c r="K1842" s="455">
        <f t="shared" ca="1" si="136"/>
        <v>-1474634.4181967569</v>
      </c>
      <c r="L1842" s="455">
        <f t="shared" ca="1" si="137"/>
        <v>-355386894.78541839</v>
      </c>
      <c r="M1842" s="471">
        <f t="shared" si="139"/>
        <v>0.05</v>
      </c>
      <c r="N1842" s="475">
        <f t="shared" si="140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38"/>
        <v>-355386894.78541839</v>
      </c>
      <c r="J1843" s="455">
        <f t="array" ref="J1843">IFERROR(INDEX('Retirement Calculator'!J:J,MATCH('Isaac 401k'!N1843,'Retirement Calculator'!A:A,0),0),0)</f>
        <v>0</v>
      </c>
      <c r="K1843" s="455">
        <f t="shared" ca="1" si="136"/>
        <v>-1480778.7282725766</v>
      </c>
      <c r="L1843" s="455">
        <f t="shared" ca="1" si="137"/>
        <v>-356867673.51369095</v>
      </c>
      <c r="M1843" s="471">
        <f t="shared" si="139"/>
        <v>0.05</v>
      </c>
      <c r="N1843" s="475">
        <f t="shared" si="140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38"/>
        <v>-356867673.51369095</v>
      </c>
      <c r="J1844" s="455">
        <f t="array" ref="J1844">IFERROR(INDEX('Retirement Calculator'!J:J,MATCH('Isaac 401k'!N1844,'Retirement Calculator'!A:A,0),0),0)</f>
        <v>0</v>
      </c>
      <c r="K1844" s="455">
        <f t="shared" ca="1" si="136"/>
        <v>-1486948.639640379</v>
      </c>
      <c r="L1844" s="455">
        <f t="shared" ca="1" si="137"/>
        <v>-358354622.15333134</v>
      </c>
      <c r="M1844" s="471">
        <f t="shared" si="139"/>
        <v>0.05</v>
      </c>
      <c r="N1844" s="475">
        <f t="shared" si="140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38"/>
        <v>-358354622.15333134</v>
      </c>
      <c r="J1845" s="455">
        <f t="array" ref="J1845">IFERROR(INDEX('Retirement Calculator'!J:J,MATCH('Isaac 401k'!N1845,'Retirement Calculator'!A:A,0),0),0)</f>
        <v>0</v>
      </c>
      <c r="K1845" s="455">
        <f t="shared" ca="1" si="136"/>
        <v>-1493144.2589722138</v>
      </c>
      <c r="L1845" s="455">
        <f t="shared" ca="1" si="137"/>
        <v>-359847766.41230357</v>
      </c>
      <c r="M1845" s="471">
        <f t="shared" si="139"/>
        <v>0.05</v>
      </c>
      <c r="N1845" s="475">
        <f t="shared" si="140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38"/>
        <v>-359847766.41230357</v>
      </c>
      <c r="J1846" s="455">
        <f t="array" ref="J1846">IFERROR(INDEX('Retirement Calculator'!J:J,MATCH('Isaac 401k'!N1846,'Retirement Calculator'!A:A,0),0),0)</f>
        <v>0</v>
      </c>
      <c r="K1846" s="455">
        <f t="shared" ca="1" si="136"/>
        <v>-1499365.6933845982</v>
      </c>
      <c r="L1846" s="455">
        <f t="shared" ca="1" si="137"/>
        <v>-361347132.10568815</v>
      </c>
      <c r="M1846" s="471">
        <f t="shared" si="139"/>
        <v>0.05</v>
      </c>
      <c r="N1846" s="475">
        <f t="shared" si="140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38"/>
        <v>-361347132.10568815</v>
      </c>
      <c r="J1847" s="455">
        <f t="array" ref="J1847">IFERROR(INDEX('Retirement Calculator'!J:J,MATCH('Isaac 401k'!N1847,'Retirement Calculator'!A:A,0),0),0)</f>
        <v>0</v>
      </c>
      <c r="K1847" s="455">
        <f t="shared" ca="1" si="136"/>
        <v>-1505613.0504403673</v>
      </c>
      <c r="L1847" s="455">
        <f t="shared" ca="1" si="137"/>
        <v>-362852745.15612853</v>
      </c>
      <c r="M1847" s="471">
        <f t="shared" si="139"/>
        <v>0.05</v>
      </c>
      <c r="N1847" s="475">
        <f t="shared" si="140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38"/>
        <v>-362852745.15612853</v>
      </c>
      <c r="J1848" s="455">
        <f t="array" ref="J1848">IFERROR(INDEX('Retirement Calculator'!J:J,MATCH('Isaac 401k'!N1848,'Retirement Calculator'!A:A,0),0),0)</f>
        <v>0</v>
      </c>
      <c r="K1848" s="455">
        <f t="shared" ca="1" si="136"/>
        <v>-1511886.4381505356</v>
      </c>
      <c r="L1848" s="455">
        <f t="shared" ca="1" si="137"/>
        <v>-364364631.59427905</v>
      </c>
      <c r="M1848" s="471">
        <f t="shared" si="139"/>
        <v>0.05</v>
      </c>
      <c r="N1848" s="475">
        <f t="shared" si="140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38"/>
        <v>-364364631.59427905</v>
      </c>
      <c r="J1849" s="455">
        <f t="array" ref="J1849">IFERROR(INDEX('Retirement Calculator'!J:J,MATCH('Isaac 401k'!N1849,'Retirement Calculator'!A:A,0),0),0)</f>
        <v>0</v>
      </c>
      <c r="K1849" s="455">
        <f t="shared" ca="1" si="136"/>
        <v>-1518185.9649761626</v>
      </c>
      <c r="L1849" s="455">
        <f t="shared" ca="1" si="137"/>
        <v>-365882817.55925524</v>
      </c>
      <c r="M1849" s="471">
        <f t="shared" si="139"/>
        <v>0.05</v>
      </c>
      <c r="N1849" s="475">
        <f t="shared" si="140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38"/>
        <v>-365882817.55925524</v>
      </c>
      <c r="J1850" s="455">
        <f t="array" ref="J1850">IFERROR(INDEX('Retirement Calculator'!J:J,MATCH('Isaac 401k'!N1850,'Retirement Calculator'!A:A,0),0),0)</f>
        <v>0</v>
      </c>
      <c r="K1850" s="455">
        <f t="shared" ca="1" si="136"/>
        <v>-1524511.7398302301</v>
      </c>
      <c r="L1850" s="455">
        <f t="shared" ca="1" si="137"/>
        <v>-367407329.2990855</v>
      </c>
      <c r="M1850" s="471">
        <f t="shared" si="139"/>
        <v>0.05</v>
      </c>
      <c r="N1850" s="475">
        <f t="shared" si="140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38"/>
        <v>-367407329.2990855</v>
      </c>
      <c r="J1851" s="455">
        <f t="array" ref="J1851">IFERROR(INDEX('Retirement Calculator'!J:J,MATCH('Isaac 401k'!N1851,'Retirement Calculator'!A:A,0),0),0)</f>
        <v>0</v>
      </c>
      <c r="K1851" s="455">
        <f t="shared" ca="1" si="136"/>
        <v>-1530863.8720795228</v>
      </c>
      <c r="L1851" s="455">
        <f t="shared" ca="1" si="137"/>
        <v>-368938193.17116505</v>
      </c>
      <c r="M1851" s="471">
        <f t="shared" si="139"/>
        <v>0.05</v>
      </c>
      <c r="N1851" s="475">
        <f t="shared" si="140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38"/>
        <v>-368938193.17116505</v>
      </c>
      <c r="J1852" s="455">
        <f t="array" ref="J1852">IFERROR(INDEX('Retirement Calculator'!J:J,MATCH('Isaac 401k'!N1852,'Retirement Calculator'!A:A,0),0),0)</f>
        <v>0</v>
      </c>
      <c r="K1852" s="455">
        <f t="shared" ca="1" si="136"/>
        <v>-1537242.4715465209</v>
      </c>
      <c r="L1852" s="455">
        <f t="shared" ca="1" si="137"/>
        <v>-370475435.64271158</v>
      </c>
      <c r="M1852" s="471">
        <f t="shared" si="139"/>
        <v>0.05</v>
      </c>
      <c r="N1852" s="475">
        <f t="shared" si="140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38"/>
        <v>-370475435.64271158</v>
      </c>
      <c r="J1853" s="455">
        <f t="array" ref="J1853">IFERROR(INDEX('Retirement Calculator'!J:J,MATCH('Isaac 401k'!N1853,'Retirement Calculator'!A:A,0),0),0)</f>
        <v>0</v>
      </c>
      <c r="K1853" s="455">
        <f t="shared" ca="1" si="136"/>
        <v>-1543647.6485112982</v>
      </c>
      <c r="L1853" s="455">
        <f t="shared" ca="1" si="137"/>
        <v>-372019083.29122287</v>
      </c>
      <c r="M1853" s="471">
        <f t="shared" si="139"/>
        <v>0.05</v>
      </c>
      <c r="N1853" s="475">
        <f t="shared" si="140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38"/>
        <v>-372019083.29122287</v>
      </c>
      <c r="J1854" s="455">
        <f t="array" ref="J1854">IFERROR(INDEX('Retirement Calculator'!J:J,MATCH('Isaac 401k'!N1854,'Retirement Calculator'!A:A,0),0),0)</f>
        <v>0</v>
      </c>
      <c r="K1854" s="455">
        <f t="shared" ca="1" si="136"/>
        <v>-1550079.5137134285</v>
      </c>
      <c r="L1854" s="455">
        <f t="shared" ca="1" si="137"/>
        <v>-373569162.80493629</v>
      </c>
      <c r="M1854" s="471">
        <f t="shared" si="139"/>
        <v>0.05</v>
      </c>
      <c r="N1854" s="475">
        <f t="shared" si="140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38"/>
        <v>-373569162.80493629</v>
      </c>
      <c r="J1855" s="455">
        <f t="array" ref="J1855">IFERROR(INDEX('Retirement Calculator'!J:J,MATCH('Isaac 401k'!N1855,'Retirement Calculator'!A:A,0),0),0)</f>
        <v>0</v>
      </c>
      <c r="K1855" s="455">
        <f t="shared" ca="1" si="136"/>
        <v>-1556538.1783539013</v>
      </c>
      <c r="L1855" s="455">
        <f t="shared" ca="1" si="137"/>
        <v>-375125700.9832902</v>
      </c>
      <c r="M1855" s="471">
        <f t="shared" si="139"/>
        <v>0.05</v>
      </c>
      <c r="N1855" s="475">
        <f t="shared" si="140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38"/>
        <v>-375125700.9832902</v>
      </c>
      <c r="J1856" s="455">
        <f t="array" ref="J1856">IFERROR(INDEX('Retirement Calculator'!J:J,MATCH('Isaac 401k'!N1856,'Retirement Calculator'!A:A,0),0),0)</f>
        <v>0</v>
      </c>
      <c r="K1856" s="455">
        <f t="shared" ca="1" si="136"/>
        <v>-1563023.7540970424</v>
      </c>
      <c r="L1856" s="455">
        <f t="shared" ca="1" si="137"/>
        <v>-376688724.73738724</v>
      </c>
      <c r="M1856" s="471">
        <f t="shared" si="139"/>
        <v>0.05</v>
      </c>
      <c r="N1856" s="475">
        <f t="shared" si="140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38"/>
        <v>-376688724.73738724</v>
      </c>
      <c r="J1857" s="455">
        <f t="array" ref="J1857">IFERROR(INDEX('Retirement Calculator'!J:J,MATCH('Isaac 401k'!N1857,'Retirement Calculator'!A:A,0),0),0)</f>
        <v>0</v>
      </c>
      <c r="K1857" s="455">
        <f t="shared" ca="1" si="136"/>
        <v>-1569536.3530724468</v>
      </c>
      <c r="L1857" s="455">
        <f t="shared" ca="1" si="137"/>
        <v>-378258261.0904597</v>
      </c>
      <c r="M1857" s="471">
        <f t="shared" si="139"/>
        <v>0.05</v>
      </c>
      <c r="N1857" s="475">
        <f t="shared" si="140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38"/>
        <v>-378258261.0904597</v>
      </c>
      <c r="J1858" s="455">
        <f t="array" ref="J1858">IFERROR(INDEX('Retirement Calculator'!J:J,MATCH('Isaac 401k'!N1858,'Retirement Calculator'!A:A,0),0),0)</f>
        <v>0</v>
      </c>
      <c r="K1858" s="455">
        <f t="shared" ca="1" si="136"/>
        <v>-1576076.0878769155</v>
      </c>
      <c r="L1858" s="455">
        <f t="shared" ca="1" si="137"/>
        <v>-379834337.17833662</v>
      </c>
      <c r="M1858" s="471">
        <f t="shared" si="139"/>
        <v>0.05</v>
      </c>
      <c r="N1858" s="475">
        <f t="shared" si="140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38"/>
        <v>-379834337.17833662</v>
      </c>
      <c r="J1859" s="455">
        <f t="array" ref="J1859">IFERROR(INDEX('Retirement Calculator'!J:J,MATCH('Isaac 401k'!N1859,'Retirement Calculator'!A:A,0),0),0)</f>
        <v>0</v>
      </c>
      <c r="K1859" s="455">
        <f t="shared" ca="1" si="136"/>
        <v>-1582643.0715764025</v>
      </c>
      <c r="L1859" s="455">
        <f t="shared" ca="1" si="137"/>
        <v>-381416980.24991304</v>
      </c>
      <c r="M1859" s="471">
        <f t="shared" si="139"/>
        <v>0.05</v>
      </c>
      <c r="N1859" s="475">
        <f t="shared" si="140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38"/>
        <v>-381416980.24991304</v>
      </c>
      <c r="J1860" s="455">
        <f t="array" ref="J1860">IFERROR(INDEX('Retirement Calculator'!J:J,MATCH('Isaac 401k'!N1860,'Retirement Calculator'!A:A,0),0),0)</f>
        <v>0</v>
      </c>
      <c r="K1860" s="455">
        <f t="shared" ca="1" si="136"/>
        <v>-1589237.4177079711</v>
      </c>
      <c r="L1860" s="455">
        <f t="shared" ca="1" si="137"/>
        <v>-383006217.66762102</v>
      </c>
      <c r="M1860" s="471">
        <f t="shared" si="139"/>
        <v>0.05</v>
      </c>
      <c r="N1860" s="475">
        <f t="shared" si="140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38"/>
        <v>-383006217.66762102</v>
      </c>
      <c r="J1861" s="455">
        <f t="array" ref="J1861">IFERROR(INDEX('Retirement Calculator'!J:J,MATCH('Isaac 401k'!N1861,'Retirement Calculator'!A:A,0),0),0)</f>
        <v>0</v>
      </c>
      <c r="K1861" s="455">
        <f t="shared" ca="1" si="136"/>
        <v>-1595859.2402817542</v>
      </c>
      <c r="L1861" s="455">
        <f t="shared" ca="1" si="137"/>
        <v>-384602076.90790278</v>
      </c>
      <c r="M1861" s="471">
        <f t="shared" si="139"/>
        <v>0.05</v>
      </c>
      <c r="N1861" s="475">
        <f t="shared" si="140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38"/>
        <v>-384602076.90790278</v>
      </c>
      <c r="J1862" s="455">
        <f t="array" ref="J1862">IFERROR(INDEX('Retirement Calculator'!J:J,MATCH('Isaac 401k'!N1862,'Retirement Calculator'!A:A,0),0),0)</f>
        <v>0</v>
      </c>
      <c r="K1862" s="455">
        <f t="shared" ca="1" si="136"/>
        <v>-1602508.6537829281</v>
      </c>
      <c r="L1862" s="455">
        <f t="shared" ca="1" si="137"/>
        <v>-386204585.56168568</v>
      </c>
      <c r="M1862" s="471">
        <f t="shared" si="139"/>
        <v>0.05</v>
      </c>
      <c r="N1862" s="475">
        <f t="shared" si="140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38"/>
        <v>-386204585.56168568</v>
      </c>
      <c r="J1863" s="455">
        <f t="array" ref="J1863">IFERROR(INDEX('Retirement Calculator'!J:J,MATCH('Isaac 401k'!N1863,'Retirement Calculator'!A:A,0),0),0)</f>
        <v>0</v>
      </c>
      <c r="K1863" s="455">
        <f t="shared" ca="1" si="136"/>
        <v>-1609185.7731736903</v>
      </c>
      <c r="L1863" s="455">
        <f t="shared" ca="1" si="137"/>
        <v>-387813771.33485937</v>
      </c>
      <c r="M1863" s="471">
        <f t="shared" si="139"/>
        <v>0.05</v>
      </c>
      <c r="N1863" s="475">
        <f t="shared" si="140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38"/>
        <v>-387813771.33485937</v>
      </c>
      <c r="J1864" s="455">
        <f t="array" ref="J1864">IFERROR(INDEX('Retirement Calculator'!J:J,MATCH('Isaac 401k'!N1864,'Retirement Calculator'!A:A,0),0),0)</f>
        <v>0</v>
      </c>
      <c r="K1864" s="455">
        <f t="shared" ca="1" si="136"/>
        <v>-1615890.7138952473</v>
      </c>
      <c r="L1864" s="455">
        <f t="shared" ca="1" si="137"/>
        <v>-389429662.04875463</v>
      </c>
      <c r="M1864" s="471">
        <f t="shared" si="139"/>
        <v>0.05</v>
      </c>
      <c r="N1864" s="475">
        <f t="shared" si="140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38"/>
        <v>-389429662.04875463</v>
      </c>
      <c r="J1865" s="455">
        <f t="array" ref="J1865">IFERROR(INDEX('Retirement Calculator'!J:J,MATCH('Isaac 401k'!N1865,'Retirement Calculator'!A:A,0),0),0)</f>
        <v>0</v>
      </c>
      <c r="K1865" s="455">
        <f t="shared" ca="1" si="136"/>
        <v>-1622623.5918698111</v>
      </c>
      <c r="L1865" s="455">
        <f t="shared" ca="1" si="137"/>
        <v>-391052285.64062446</v>
      </c>
      <c r="M1865" s="471">
        <f t="shared" si="139"/>
        <v>0.05</v>
      </c>
      <c r="N1865" s="475">
        <f t="shared" si="140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38"/>
        <v>-391052285.64062446</v>
      </c>
      <c r="J1866" s="455">
        <f t="array" ref="J1866">IFERROR(INDEX('Retirement Calculator'!J:J,MATCH('Isaac 401k'!N1866,'Retirement Calculator'!A:A,0),0),0)</f>
        <v>0</v>
      </c>
      <c r="K1866" s="455">
        <f t="shared" ca="1" si="136"/>
        <v>-1629384.523502602</v>
      </c>
      <c r="L1866" s="455">
        <f t="shared" ca="1" si="137"/>
        <v>-392681670.16412705</v>
      </c>
      <c r="M1866" s="471">
        <f t="shared" si="139"/>
        <v>0.05</v>
      </c>
      <c r="N1866" s="475">
        <f t="shared" si="140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38"/>
        <v>-392681670.16412705</v>
      </c>
      <c r="J1867" s="455">
        <f t="array" ref="J1867">IFERROR(INDEX('Retirement Calculator'!J:J,MATCH('Isaac 401k'!N1867,'Retirement Calculator'!A:A,0),0),0)</f>
        <v>0</v>
      </c>
      <c r="K1867" s="455">
        <f t="shared" ca="1" si="136"/>
        <v>-1636173.6256838627</v>
      </c>
      <c r="L1867" s="455">
        <f t="shared" ca="1" si="137"/>
        <v>-394317843.7898109</v>
      </c>
      <c r="M1867" s="471">
        <f t="shared" si="139"/>
        <v>0.05</v>
      </c>
      <c r="N1867" s="475">
        <f t="shared" si="140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38"/>
        <v>-394317843.7898109</v>
      </c>
      <c r="J1868" s="455">
        <f t="array" ref="J1868">IFERROR(INDEX('Retirement Calculator'!J:J,MATCH('Isaac 401k'!N1868,'Retirement Calculator'!A:A,0),0),0)</f>
        <v>0</v>
      </c>
      <c r="K1868" s="455">
        <f t="shared" ca="1" si="136"/>
        <v>-1642991.0157908788</v>
      </c>
      <c r="L1868" s="455">
        <f t="shared" ca="1" si="137"/>
        <v>-395960834.80560178</v>
      </c>
      <c r="M1868" s="471">
        <f t="shared" si="139"/>
        <v>0.05</v>
      </c>
      <c r="N1868" s="475">
        <f t="shared" si="140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38"/>
        <v>-395960834.80560178</v>
      </c>
      <c r="J1869" s="455">
        <f t="array" ref="J1869">IFERROR(INDEX('Retirement Calculator'!J:J,MATCH('Isaac 401k'!N1869,'Retirement Calculator'!A:A,0),0),0)</f>
        <v>0</v>
      </c>
      <c r="K1869" s="455">
        <f t="shared" ca="1" si="136"/>
        <v>-1649836.8116900073</v>
      </c>
      <c r="L1869" s="455">
        <f t="shared" ca="1" si="137"/>
        <v>-397610671.61729181</v>
      </c>
      <c r="M1869" s="471">
        <f t="shared" si="139"/>
        <v>0.05</v>
      </c>
      <c r="N1869" s="475">
        <f t="shared" si="140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38"/>
        <v>-397610671.61729181</v>
      </c>
      <c r="J1870" s="455">
        <f t="array" ref="J1870">IFERROR(INDEX('Retirement Calculator'!J:J,MATCH('Isaac 401k'!N1870,'Retirement Calculator'!A:A,0),0),0)</f>
        <v>0</v>
      </c>
      <c r="K1870" s="455">
        <f t="shared" ca="1" si="136"/>
        <v>-1656711.1317387158</v>
      </c>
      <c r="L1870" s="455">
        <f t="shared" ca="1" si="137"/>
        <v>-399267382.74903053</v>
      </c>
      <c r="M1870" s="471">
        <f t="shared" si="139"/>
        <v>0.05</v>
      </c>
      <c r="N1870" s="475">
        <f t="shared" si="140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38"/>
        <v>-399267382.74903053</v>
      </c>
      <c r="J1871" s="455">
        <f t="array" ref="J1871">IFERROR(INDEX('Retirement Calculator'!J:J,MATCH('Isaac 401k'!N1871,'Retirement Calculator'!A:A,0),0),0)</f>
        <v>0</v>
      </c>
      <c r="K1871" s="455">
        <f t="shared" ca="1" si="136"/>
        <v>-1663614.0947876272</v>
      </c>
      <c r="L1871" s="455">
        <f t="shared" ca="1" si="137"/>
        <v>-400930996.84381813</v>
      </c>
      <c r="M1871" s="471">
        <f t="shared" si="139"/>
        <v>0.05</v>
      </c>
      <c r="N1871" s="475">
        <f t="shared" si="140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38"/>
        <v>-400930996.84381813</v>
      </c>
      <c r="J1872" s="455">
        <f t="array" ref="J1872">IFERROR(INDEX('Retirement Calculator'!J:J,MATCH('Isaac 401k'!N1872,'Retirement Calculator'!A:A,0),0),0)</f>
        <v>0</v>
      </c>
      <c r="K1872" s="455">
        <f t="shared" ca="1" si="136"/>
        <v>-1670545.8201825756</v>
      </c>
      <c r="L1872" s="455">
        <f t="shared" ca="1" si="137"/>
        <v>-402601542.66400069</v>
      </c>
      <c r="M1872" s="471">
        <f t="shared" si="139"/>
        <v>0.05</v>
      </c>
      <c r="N1872" s="475">
        <f t="shared" si="140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38"/>
        <v>-402601542.66400069</v>
      </c>
      <c r="J1873" s="455">
        <f t="array" ref="J1873">IFERROR(INDEX('Retirement Calculator'!J:J,MATCH('Isaac 401k'!N1873,'Retirement Calculator'!A:A,0),0),0)</f>
        <v>0</v>
      </c>
      <c r="K1873" s="455">
        <f t="shared" ca="1" si="136"/>
        <v>-1677506.4277666695</v>
      </c>
      <c r="L1873" s="455">
        <f t="shared" ca="1" si="137"/>
        <v>-404279049.09176737</v>
      </c>
      <c r="M1873" s="471">
        <f t="shared" si="139"/>
        <v>0.05</v>
      </c>
      <c r="N1873" s="475">
        <f t="shared" si="140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38"/>
        <v>-404279049.09176737</v>
      </c>
      <c r="J1874" s="455">
        <f t="array" ref="J1874">IFERROR(INDEX('Retirement Calculator'!J:J,MATCH('Isaac 401k'!N1874,'Retirement Calculator'!A:A,0),0),0)</f>
        <v>0</v>
      </c>
      <c r="K1874" s="455">
        <f t="shared" ca="1" si="136"/>
        <v>-1684496.0378823641</v>
      </c>
      <c r="L1874" s="455">
        <f t="shared" ca="1" si="137"/>
        <v>-405963545.12964976</v>
      </c>
      <c r="M1874" s="471">
        <f t="shared" si="139"/>
        <v>0.05</v>
      </c>
      <c r="N1874" s="475">
        <f t="shared" si="140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38"/>
        <v>-405963545.12964976</v>
      </c>
      <c r="J1875" s="455">
        <f t="array" ref="J1875">IFERROR(INDEX('Retirement Calculator'!J:J,MATCH('Isaac 401k'!N1875,'Retirement Calculator'!A:A,0),0),0)</f>
        <v>0</v>
      </c>
      <c r="K1875" s="455">
        <f t="shared" ca="1" si="136"/>
        <v>-1691514.7713735406</v>
      </c>
      <c r="L1875" s="455">
        <f t="shared" ca="1" si="137"/>
        <v>-407655059.90102333</v>
      </c>
      <c r="M1875" s="471">
        <f t="shared" si="139"/>
        <v>0.05</v>
      </c>
      <c r="N1875" s="475">
        <f t="shared" si="140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38"/>
        <v>-407655059.90102333</v>
      </c>
      <c r="J1876" s="455">
        <f t="array" ref="J1876">IFERROR(INDEX('Retirement Calculator'!J:J,MATCH('Isaac 401k'!N1876,'Retirement Calculator'!A:A,0),0),0)</f>
        <v>0</v>
      </c>
      <c r="K1876" s="455">
        <f t="shared" ca="1" si="136"/>
        <v>-1698562.7495875971</v>
      </c>
      <c r="L1876" s="455">
        <f t="shared" ca="1" si="137"/>
        <v>-409353622.65061092</v>
      </c>
      <c r="M1876" s="471">
        <f t="shared" si="139"/>
        <v>0.05</v>
      </c>
      <c r="N1876" s="475">
        <f t="shared" si="140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38"/>
        <v>-409353622.65061092</v>
      </c>
      <c r="J1877" s="455">
        <f t="array" ref="J1877">IFERROR(INDEX('Retirement Calculator'!J:J,MATCH('Isaac 401k'!N1877,'Retirement Calculator'!A:A,0),0),0)</f>
        <v>0</v>
      </c>
      <c r="K1877" s="455">
        <f t="shared" ca="1" si="136"/>
        <v>-1705640.0943775454</v>
      </c>
      <c r="L1877" s="455">
        <f t="shared" ca="1" si="137"/>
        <v>-411059262.74498844</v>
      </c>
      <c r="M1877" s="471">
        <f t="shared" si="139"/>
        <v>0.05</v>
      </c>
      <c r="N1877" s="475">
        <f t="shared" si="140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38"/>
        <v>-411059262.74498844</v>
      </c>
      <c r="J1878" s="455">
        <f t="array" ref="J1878">IFERROR(INDEX('Retirement Calculator'!J:J,MATCH('Isaac 401k'!N1878,'Retirement Calculator'!A:A,0),0),0)</f>
        <v>0</v>
      </c>
      <c r="K1878" s="455">
        <f t="shared" ca="1" si="136"/>
        <v>-1712746.9281041184</v>
      </c>
      <c r="L1878" s="455">
        <f t="shared" ca="1" si="137"/>
        <v>-412772009.67309254</v>
      </c>
      <c r="M1878" s="471">
        <f t="shared" si="139"/>
        <v>0.05</v>
      </c>
      <c r="N1878" s="475">
        <f t="shared" si="140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38"/>
        <v>-412772009.67309254</v>
      </c>
      <c r="J1879" s="455">
        <f t="array" ref="J1879">IFERROR(INDEX('Retirement Calculator'!J:J,MATCH('Isaac 401k'!N1879,'Retirement Calculator'!A:A,0),0),0)</f>
        <v>0</v>
      </c>
      <c r="K1879" s="455">
        <f t="shared" ca="1" si="136"/>
        <v>-1719883.3736378856</v>
      </c>
      <c r="L1879" s="455">
        <f t="shared" ca="1" si="137"/>
        <v>-414491893.04673046</v>
      </c>
      <c r="M1879" s="471">
        <f t="shared" si="139"/>
        <v>0.05</v>
      </c>
      <c r="N1879" s="475">
        <f t="shared" si="140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38"/>
        <v>-414491893.04673046</v>
      </c>
      <c r="J1880" s="455">
        <f t="array" ref="J1880">IFERROR(INDEX('Retirement Calculator'!J:J,MATCH('Isaac 401k'!N1880,'Retirement Calculator'!A:A,0),0),0)</f>
        <v>0</v>
      </c>
      <c r="K1880" s="455">
        <f t="shared" ca="1" si="136"/>
        <v>-1727049.5543613769</v>
      </c>
      <c r="L1880" s="455">
        <f t="shared" ca="1" si="137"/>
        <v>-416218942.60109186</v>
      </c>
      <c r="M1880" s="471">
        <f t="shared" si="139"/>
        <v>0.05</v>
      </c>
      <c r="N1880" s="475">
        <f t="shared" si="140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38"/>
        <v>-416218942.60109186</v>
      </c>
      <c r="J1881" s="455">
        <f t="array" ref="J1881">IFERROR(INDEX('Retirement Calculator'!J:J,MATCH('Isaac 401k'!N1881,'Retirement Calculator'!A:A,0),0),0)</f>
        <v>0</v>
      </c>
      <c r="K1881" s="455">
        <f t="shared" ca="1" si="136"/>
        <v>-1734245.594171216</v>
      </c>
      <c r="L1881" s="455">
        <f t="shared" ca="1" si="137"/>
        <v>-417953188.19526309</v>
      </c>
      <c r="M1881" s="471">
        <f t="shared" si="139"/>
        <v>0.05</v>
      </c>
      <c r="N1881" s="475">
        <f t="shared" si="140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38"/>
        <v>-417953188.19526309</v>
      </c>
      <c r="J1882" s="455">
        <f t="array" ref="J1882">IFERROR(INDEX('Retirement Calculator'!J:J,MATCH('Isaac 401k'!N1882,'Retirement Calculator'!A:A,0),0),0)</f>
        <v>0</v>
      </c>
      <c r="K1882" s="455">
        <f t="shared" ca="1" si="136"/>
        <v>-1741471.6174802629</v>
      </c>
      <c r="L1882" s="455">
        <f t="shared" ca="1" si="137"/>
        <v>-419694659.81274337</v>
      </c>
      <c r="M1882" s="471">
        <f t="shared" si="139"/>
        <v>0.05</v>
      </c>
      <c r="N1882" s="475">
        <f t="shared" si="140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38"/>
        <v>-419694659.81274337</v>
      </c>
      <c r="J1883" s="455">
        <f t="array" ref="J1883">IFERROR(INDEX('Retirement Calculator'!J:J,MATCH('Isaac 401k'!N1883,'Retirement Calculator'!A:A,0),0),0)</f>
        <v>0</v>
      </c>
      <c r="K1883" s="455">
        <f t="shared" ca="1" si="136"/>
        <v>-1748727.749219764</v>
      </c>
      <c r="L1883" s="455">
        <f t="shared" ca="1" si="137"/>
        <v>-421443387.56196314</v>
      </c>
      <c r="M1883" s="471">
        <f t="shared" si="139"/>
        <v>0.05</v>
      </c>
      <c r="N1883" s="475">
        <f t="shared" si="140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38"/>
        <v>-421443387.56196314</v>
      </c>
      <c r="J1884" s="455">
        <f t="array" ref="J1884">IFERROR(INDEX('Retirement Calculator'!J:J,MATCH('Isaac 401k'!N1884,'Retirement Calculator'!A:A,0),0),0)</f>
        <v>0</v>
      </c>
      <c r="K1884" s="455">
        <f t="shared" ca="1" si="136"/>
        <v>-1756014.1148415131</v>
      </c>
      <c r="L1884" s="455">
        <f t="shared" ca="1" si="137"/>
        <v>-423199401.67680466</v>
      </c>
      <c r="M1884" s="471">
        <f t="shared" si="139"/>
        <v>0.05</v>
      </c>
      <c r="N1884" s="475">
        <f t="shared" si="140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38"/>
        <v>-423199401.67680466</v>
      </c>
      <c r="J1885" s="455">
        <f t="array" ref="J1885">IFERROR(INDEX('Retirement Calculator'!J:J,MATCH('Isaac 401k'!N1885,'Retirement Calculator'!A:A,0),0),0)</f>
        <v>0</v>
      </c>
      <c r="K1885" s="455">
        <f t="shared" ca="1" si="136"/>
        <v>-1763330.8403200193</v>
      </c>
      <c r="L1885" s="455">
        <f t="shared" ca="1" si="137"/>
        <v>-424962732.51712465</v>
      </c>
      <c r="M1885" s="471">
        <f t="shared" si="139"/>
        <v>0.05</v>
      </c>
      <c r="N1885" s="475">
        <f t="shared" si="140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38"/>
        <v>-424962732.51712465</v>
      </c>
      <c r="J1886" s="455">
        <f t="array" ref="J1886">IFERROR(INDEX('Retirement Calculator'!J:J,MATCH('Isaac 401k'!N1886,'Retirement Calculator'!A:A,0),0),0)</f>
        <v>0</v>
      </c>
      <c r="K1886" s="455">
        <f t="shared" ca="1" si="136"/>
        <v>-1770678.0521546861</v>
      </c>
      <c r="L1886" s="455">
        <f t="shared" ca="1" si="137"/>
        <v>-426733410.56927931</v>
      </c>
      <c r="M1886" s="471">
        <f t="shared" si="139"/>
        <v>0.05</v>
      </c>
      <c r="N1886" s="475">
        <f t="shared" si="140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38"/>
        <v>-426733410.56927931</v>
      </c>
      <c r="J1887" s="455">
        <f t="array" ref="J1887">IFERROR(INDEX('Retirement Calculator'!J:J,MATCH('Isaac 401k'!N1887,'Retirement Calculator'!A:A,0),0),0)</f>
        <v>0</v>
      </c>
      <c r="K1887" s="455">
        <f t="shared" ca="1" si="136"/>
        <v>-1778055.8773719971</v>
      </c>
      <c r="L1887" s="455">
        <f t="shared" ca="1" si="137"/>
        <v>-428511466.44665134</v>
      </c>
      <c r="M1887" s="471">
        <f t="shared" si="139"/>
        <v>0.05</v>
      </c>
      <c r="N1887" s="475">
        <f t="shared" si="140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38"/>
        <v>-428511466.44665134</v>
      </c>
      <c r="J1888" s="455">
        <f t="array" ref="J1888">IFERROR(INDEX('Retirement Calculator'!J:J,MATCH('Isaac 401k'!N1888,'Retirement Calculator'!A:A,0),0),0)</f>
        <v>0</v>
      </c>
      <c r="K1888" s="455">
        <f t="shared" ca="1" si="136"/>
        <v>-1785464.4435277137</v>
      </c>
      <c r="L1888" s="455">
        <f t="shared" ca="1" si="137"/>
        <v>-430296930.89017904</v>
      </c>
      <c r="M1888" s="471">
        <f t="shared" si="139"/>
        <v>0.05</v>
      </c>
      <c r="N1888" s="475">
        <f t="shared" si="140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38"/>
        <v>-430296930.89017904</v>
      </c>
      <c r="J1889" s="455">
        <f t="array" ref="J1889">IFERROR(INDEX('Retirement Calculator'!J:J,MATCH('Isaac 401k'!N1889,'Retirement Calculator'!A:A,0),0),0)</f>
        <v>0</v>
      </c>
      <c r="K1889" s="455">
        <f t="shared" ca="1" si="136"/>
        <v>-1792903.8787090795</v>
      </c>
      <c r="L1889" s="455">
        <f t="shared" ca="1" si="137"/>
        <v>-432089834.76888812</v>
      </c>
      <c r="M1889" s="471">
        <f t="shared" si="139"/>
        <v>0.05</v>
      </c>
      <c r="N1889" s="475">
        <f t="shared" si="140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38"/>
        <v>-432089834.76888812</v>
      </c>
      <c r="J1890" s="455">
        <f t="array" ref="J1890">IFERROR(INDEX('Retirement Calculator'!J:J,MATCH('Isaac 401k'!N1890,'Retirement Calculator'!A:A,0),0),0)</f>
        <v>0</v>
      </c>
      <c r="K1890" s="455">
        <f t="shared" ca="1" si="136"/>
        <v>-1800374.3115370339</v>
      </c>
      <c r="L1890" s="455">
        <f t="shared" ca="1" si="137"/>
        <v>-433890209.08042514</v>
      </c>
      <c r="M1890" s="471">
        <f t="shared" si="139"/>
        <v>0.05</v>
      </c>
      <c r="N1890" s="475">
        <f t="shared" si="140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38"/>
        <v>-433890209.08042514</v>
      </c>
      <c r="J1891" s="455">
        <f t="array" ref="J1891">IFERROR(INDEX('Retirement Calculator'!J:J,MATCH('Isaac 401k'!N1891,'Retirement Calculator'!A:A,0),0),0)</f>
        <v>0</v>
      </c>
      <c r="K1891" s="455">
        <f t="shared" ca="1" si="136"/>
        <v>-1807875.8711684383</v>
      </c>
      <c r="L1891" s="455">
        <f t="shared" ca="1" si="137"/>
        <v>-435698084.95159358</v>
      </c>
      <c r="M1891" s="471">
        <f t="shared" si="139"/>
        <v>0.05</v>
      </c>
      <c r="N1891" s="475">
        <f t="shared" si="140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38"/>
        <v>-435698084.95159358</v>
      </c>
      <c r="J1892" s="455">
        <f t="array" ref="J1892">IFERROR(INDEX('Retirement Calculator'!J:J,MATCH('Isaac 401k'!N1892,'Retirement Calculator'!A:A,0),0),0)</f>
        <v>0</v>
      </c>
      <c r="K1892" s="455">
        <f t="shared" ca="1" si="136"/>
        <v>-1815408.6872983067</v>
      </c>
      <c r="L1892" s="455">
        <f t="shared" ca="1" si="137"/>
        <v>-437513493.63889188</v>
      </c>
      <c r="M1892" s="471">
        <f t="shared" si="139"/>
        <v>0.05</v>
      </c>
      <c r="N1892" s="475">
        <f t="shared" si="140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38"/>
        <v>-437513493.63889188</v>
      </c>
      <c r="J1893" s="455">
        <f t="array" ref="J1893">IFERROR(INDEX('Retirement Calculator'!J:J,MATCH('Isaac 401k'!N1893,'Retirement Calculator'!A:A,0),0),0)</f>
        <v>0</v>
      </c>
      <c r="K1893" s="455">
        <f t="shared" ca="1" si="136"/>
        <v>-1822972.8901620496</v>
      </c>
      <c r="L1893" s="455">
        <f t="shared" ca="1" si="137"/>
        <v>-439336466.52905393</v>
      </c>
      <c r="M1893" s="471">
        <f t="shared" si="139"/>
        <v>0.05</v>
      </c>
      <c r="N1893" s="475">
        <f t="shared" si="140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38"/>
        <v>-439336466.52905393</v>
      </c>
      <c r="J1894" s="455">
        <f t="array" ref="J1894">IFERROR(INDEX('Retirement Calculator'!J:J,MATCH('Isaac 401k'!N1894,'Retirement Calculator'!A:A,0),0),0)</f>
        <v>0</v>
      </c>
      <c r="K1894" s="455">
        <f t="shared" ca="1" si="136"/>
        <v>-1830568.6105377246</v>
      </c>
      <c r="L1894" s="455">
        <f t="shared" ca="1" si="137"/>
        <v>-441167035.13959163</v>
      </c>
      <c r="M1894" s="471">
        <f t="shared" si="139"/>
        <v>0.05</v>
      </c>
      <c r="N1894" s="475">
        <f t="shared" si="140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38"/>
        <v>-441167035.13959163</v>
      </c>
      <c r="J1895" s="455">
        <f t="array" ref="J1895">IFERROR(INDEX('Retirement Calculator'!J:J,MATCH('Isaac 401k'!N1895,'Retirement Calculator'!A:A,0),0),0)</f>
        <v>0</v>
      </c>
      <c r="K1895" s="455">
        <f t="shared" ca="1" si="136"/>
        <v>-1838195.9797482986</v>
      </c>
      <c r="L1895" s="455">
        <f t="shared" ca="1" si="137"/>
        <v>-443005231.11933994</v>
      </c>
      <c r="M1895" s="471">
        <f t="shared" si="139"/>
        <v>0.05</v>
      </c>
      <c r="N1895" s="475">
        <f t="shared" si="140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38"/>
        <v>-443005231.11933994</v>
      </c>
      <c r="J1896" s="455">
        <f t="array" ref="J1896">IFERROR(INDEX('Retirement Calculator'!J:J,MATCH('Isaac 401k'!N1896,'Retirement Calculator'!A:A,0),0),0)</f>
        <v>0</v>
      </c>
      <c r="K1896" s="455">
        <f t="shared" ca="1" si="136"/>
        <v>-1845855.1296639163</v>
      </c>
      <c r="L1896" s="455">
        <f t="shared" ca="1" si="137"/>
        <v>-444851086.24900389</v>
      </c>
      <c r="M1896" s="471">
        <f t="shared" si="139"/>
        <v>0.05</v>
      </c>
      <c r="N1896" s="475">
        <f t="shared" si="140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38"/>
        <v>-444851086.24900389</v>
      </c>
      <c r="J1897" s="455">
        <f t="array" ref="J1897">IFERROR(INDEX('Retirement Calculator'!J:J,MATCH('Isaac 401k'!N1897,'Retirement Calculator'!A:A,0),0),0)</f>
        <v>0</v>
      </c>
      <c r="K1897" s="455">
        <f t="shared" ca="1" si="136"/>
        <v>-1853546.1927041828</v>
      </c>
      <c r="L1897" s="455">
        <f t="shared" ca="1" si="137"/>
        <v>-446704632.44170809</v>
      </c>
      <c r="M1897" s="471">
        <f t="shared" si="139"/>
        <v>0.05</v>
      </c>
      <c r="N1897" s="475">
        <f t="shared" si="140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38"/>
        <v>-446704632.44170809</v>
      </c>
      <c r="J1898" s="455">
        <f t="array" ref="J1898">IFERROR(INDEX('Retirement Calculator'!J:J,MATCH('Isaac 401k'!N1898,'Retirement Calculator'!A:A,0),0),0)</f>
        <v>0</v>
      </c>
      <c r="K1898" s="455">
        <f t="shared" ca="1" si="136"/>
        <v>-1861269.3018404506</v>
      </c>
      <c r="L1898" s="455">
        <f t="shared" ca="1" si="137"/>
        <v>-448565901.74354851</v>
      </c>
      <c r="M1898" s="471">
        <f t="shared" si="139"/>
        <v>0.05</v>
      </c>
      <c r="N1898" s="475">
        <f t="shared" si="140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38"/>
        <v>-448565901.74354851</v>
      </c>
      <c r="J1899" s="455">
        <f t="array" ref="J1899">IFERROR(INDEX('Retirement Calculator'!J:J,MATCH('Isaac 401k'!N1899,'Retirement Calculator'!A:A,0),0),0)</f>
        <v>0</v>
      </c>
      <c r="K1899" s="455">
        <f t="shared" ca="1" si="136"/>
        <v>-1869024.590598119</v>
      </c>
      <c r="L1899" s="455">
        <f t="shared" ca="1" si="137"/>
        <v>-450434926.33414662</v>
      </c>
      <c r="M1899" s="471">
        <f t="shared" si="139"/>
        <v>0.05</v>
      </c>
      <c r="N1899" s="475">
        <f t="shared" si="140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38"/>
        <v>-450434926.33414662</v>
      </c>
      <c r="J1900" s="455">
        <f t="array" ref="J1900">IFERROR(INDEX('Retirement Calculator'!J:J,MATCH('Isaac 401k'!N1900,'Retirement Calculator'!A:A,0),0),0)</f>
        <v>0</v>
      </c>
      <c r="K1900" s="455">
        <f t="shared" ca="1" si="136"/>
        <v>-1876812.1930589443</v>
      </c>
      <c r="L1900" s="455">
        <f t="shared" ca="1" si="137"/>
        <v>-452311738.52720559</v>
      </c>
      <c r="M1900" s="471">
        <f t="shared" si="139"/>
        <v>0.05</v>
      </c>
      <c r="N1900" s="475">
        <f t="shared" si="140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38"/>
        <v>-452311738.52720559</v>
      </c>
      <c r="J1901" s="455">
        <f t="array" ref="J1901">IFERROR(INDEX('Retirement Calculator'!J:J,MATCH('Isaac 401k'!N1901,'Retirement Calculator'!A:A,0),0),0)</f>
        <v>0</v>
      </c>
      <c r="K1901" s="455">
        <f t="shared" ca="1" si="136"/>
        <v>-1884632.2438633565</v>
      </c>
      <c r="L1901" s="455">
        <f t="shared" ca="1" si="137"/>
        <v>-454196370.77106893</v>
      </c>
      <c r="M1901" s="471">
        <f t="shared" si="139"/>
        <v>0.05</v>
      </c>
      <c r="N1901" s="475">
        <f t="shared" si="140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38"/>
        <v>-454196370.77106893</v>
      </c>
      <c r="J1902" s="455">
        <f t="array" ref="J1902">IFERROR(INDEX('Retirement Calculator'!J:J,MATCH('Isaac 401k'!N1902,'Retirement Calculator'!A:A,0),0),0)</f>
        <v>0</v>
      </c>
      <c r="K1902" s="455">
        <f t="shared" ca="1" si="136"/>
        <v>-1892484.8782127872</v>
      </c>
      <c r="L1902" s="455">
        <f t="shared" ca="1" si="137"/>
        <v>-456088855.64928174</v>
      </c>
      <c r="M1902" s="471">
        <f t="shared" si="139"/>
        <v>0.05</v>
      </c>
      <c r="N1902" s="475">
        <f t="shared" si="140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38"/>
        <v>-456088855.64928174</v>
      </c>
      <c r="J1903" s="455">
        <f t="array" ref="J1903">IFERROR(INDEX('Retirement Calculator'!J:J,MATCH('Isaac 401k'!N1903,'Retirement Calculator'!A:A,0),0),0)</f>
        <v>0</v>
      </c>
      <c r="K1903" s="455">
        <f t="shared" ca="1" si="136"/>
        <v>-1900370.2318720075</v>
      </c>
      <c r="L1903" s="455">
        <f t="shared" ca="1" si="137"/>
        <v>-457989225.88115376</v>
      </c>
      <c r="M1903" s="471">
        <f t="shared" si="139"/>
        <v>0.05</v>
      </c>
      <c r="N1903" s="475">
        <f t="shared" si="140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38"/>
        <v>-457989225.88115376</v>
      </c>
      <c r="J1904" s="455">
        <f t="array" ref="J1904">IFERROR(INDEX('Retirement Calculator'!J:J,MATCH('Isaac 401k'!N1904,'Retirement Calculator'!A:A,0),0),0)</f>
        <v>0</v>
      </c>
      <c r="K1904" s="455">
        <f t="shared" ca="1" si="136"/>
        <v>-1908288.4411714738</v>
      </c>
      <c r="L1904" s="455">
        <f t="shared" ca="1" si="137"/>
        <v>-459897514.32232523</v>
      </c>
      <c r="M1904" s="471">
        <f t="shared" si="139"/>
        <v>0.05</v>
      </c>
      <c r="N1904" s="475">
        <f t="shared" si="140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38"/>
        <v>-459897514.32232523</v>
      </c>
      <c r="J1905" s="455">
        <f t="array" ref="J1905">IFERROR(INDEX('Retirement Calculator'!J:J,MATCH('Isaac 401k'!N1905,'Retirement Calculator'!A:A,0),0),0)</f>
        <v>0</v>
      </c>
      <c r="K1905" s="455">
        <f t="shared" ca="1" si="136"/>
        <v>-1916239.6430096885</v>
      </c>
      <c r="L1905" s="455">
        <f t="shared" ca="1" si="137"/>
        <v>-461813753.96533489</v>
      </c>
      <c r="M1905" s="471">
        <f t="shared" si="139"/>
        <v>0.05</v>
      </c>
      <c r="N1905" s="475">
        <f t="shared" si="140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38"/>
        <v>-461813753.96533489</v>
      </c>
      <c r="J1906" s="455">
        <f t="array" ref="J1906">IFERROR(INDEX('Retirement Calculator'!J:J,MATCH('Isaac 401k'!N1906,'Retirement Calculator'!A:A,0),0),0)</f>
        <v>0</v>
      </c>
      <c r="K1906" s="455">
        <f t="shared" ca="1" si="136"/>
        <v>-1924223.974855562</v>
      </c>
      <c r="L1906" s="455">
        <f t="shared" ca="1" si="137"/>
        <v>-463737977.94019043</v>
      </c>
      <c r="M1906" s="471">
        <f t="shared" si="139"/>
        <v>0.05</v>
      </c>
      <c r="N1906" s="475">
        <f t="shared" si="140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38"/>
        <v>-463737977.94019043</v>
      </c>
      <c r="J1907" s="455">
        <f t="array" ref="J1907">IFERROR(INDEX('Retirement Calculator'!J:J,MATCH('Isaac 401k'!N1907,'Retirement Calculator'!A:A,0),0),0)</f>
        <v>0</v>
      </c>
      <c r="K1907" s="455">
        <f t="shared" ca="1" si="136"/>
        <v>-1932241.5747507932</v>
      </c>
      <c r="L1907" s="455">
        <f t="shared" ca="1" si="137"/>
        <v>-465670219.51494122</v>
      </c>
      <c r="M1907" s="471">
        <f t="shared" si="139"/>
        <v>0.05</v>
      </c>
      <c r="N1907" s="475">
        <f t="shared" si="140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38"/>
        <v>-465670219.51494122</v>
      </c>
      <c r="J1908" s="455">
        <f t="array" ref="J1908">IFERROR(INDEX('Retirement Calculator'!J:J,MATCH('Isaac 401k'!N1908,'Retirement Calculator'!A:A,0),0),0)</f>
        <v>0</v>
      </c>
      <c r="K1908" s="455">
        <f t="shared" ca="1" si="136"/>
        <v>-1940292.5813122552</v>
      </c>
      <c r="L1908" s="455">
        <f t="shared" ca="1" si="137"/>
        <v>-467610512.09625345</v>
      </c>
      <c r="M1908" s="471">
        <f t="shared" si="139"/>
        <v>0.05</v>
      </c>
      <c r="N1908" s="475">
        <f t="shared" si="140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38"/>
        <v>-467610512.09625345</v>
      </c>
      <c r="J1909" s="455">
        <f t="array" ref="J1909">IFERROR(INDEX('Retirement Calculator'!J:J,MATCH('Isaac 401k'!N1909,'Retirement Calculator'!A:A,0),0),0)</f>
        <v>0</v>
      </c>
      <c r="K1909" s="455">
        <f t="shared" ca="1" si="136"/>
        <v>-1948377.1337343894</v>
      </c>
      <c r="L1909" s="455">
        <f t="shared" ca="1" si="137"/>
        <v>-469558889.22998786</v>
      </c>
      <c r="M1909" s="471">
        <f t="shared" si="139"/>
        <v>0.05</v>
      </c>
      <c r="N1909" s="475">
        <f t="shared" si="140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38"/>
        <v>-469558889.22998786</v>
      </c>
      <c r="J1910" s="455">
        <f t="array" ref="J1910">IFERROR(INDEX('Retirement Calculator'!J:J,MATCH('Isaac 401k'!N1910,'Retirement Calculator'!A:A,0),0),0)</f>
        <v>0</v>
      </c>
      <c r="K1910" s="455">
        <f t="shared" ca="1" si="136"/>
        <v>-1956495.3717916161</v>
      </c>
      <c r="L1910" s="455">
        <f t="shared" ca="1" si="137"/>
        <v>-471515384.60177946</v>
      </c>
      <c r="M1910" s="471">
        <f t="shared" si="139"/>
        <v>0.05</v>
      </c>
      <c r="N1910" s="475">
        <f t="shared" si="140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38"/>
        <v>-471515384.60177946</v>
      </c>
      <c r="J1911" s="455">
        <f t="array" ref="J1911">IFERROR(INDEX('Retirement Calculator'!J:J,MATCH('Isaac 401k'!N1911,'Retirement Calculator'!A:A,0),0),0)</f>
        <v>0</v>
      </c>
      <c r="K1911" s="455">
        <f t="shared" ca="1" si="136"/>
        <v>-1964647.4358407478</v>
      </c>
      <c r="L1911" s="455">
        <f t="shared" ca="1" si="137"/>
        <v>-473480032.03762019</v>
      </c>
      <c r="M1911" s="471">
        <f t="shared" si="139"/>
        <v>0.05</v>
      </c>
      <c r="N1911" s="475">
        <f t="shared" si="140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38"/>
        <v>-473480032.03762019</v>
      </c>
      <c r="J1912" s="455">
        <f t="array" ref="J1912">IFERROR(INDEX('Retirement Calculator'!J:J,MATCH('Isaac 401k'!N1912,'Retirement Calculator'!A:A,0),0),0)</f>
        <v>0</v>
      </c>
      <c r="K1912" s="455">
        <f t="shared" ca="1" si="136"/>
        <v>-1972833.4668234177</v>
      </c>
      <c r="L1912" s="455">
        <f t="shared" ca="1" si="137"/>
        <v>-475452865.50444359</v>
      </c>
      <c r="M1912" s="471">
        <f t="shared" si="139"/>
        <v>0.05</v>
      </c>
      <c r="N1912" s="475">
        <f t="shared" si="140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38"/>
        <v>-475452865.50444359</v>
      </c>
      <c r="J1913" s="455">
        <f t="array" ref="J1913">IFERROR(INDEX('Retirement Calculator'!J:J,MATCH('Isaac 401k'!N1913,'Retirement Calculator'!A:A,0),0),0)</f>
        <v>0</v>
      </c>
      <c r="K1913" s="455">
        <f t="shared" ca="1" si="136"/>
        <v>-1981053.6062685149</v>
      </c>
      <c r="L1913" s="455">
        <f t="shared" ca="1" si="137"/>
        <v>-477433919.11071211</v>
      </c>
      <c r="M1913" s="471">
        <f t="shared" si="139"/>
        <v>0.05</v>
      </c>
      <c r="N1913" s="475">
        <f t="shared" si="140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38"/>
        <v>-477433919.11071211</v>
      </c>
      <c r="J1914" s="455">
        <f t="array" ref="J1914">IFERROR(INDEX('Retirement Calculator'!J:J,MATCH('Isaac 401k'!N1914,'Retirement Calculator'!A:A,0),0),0)</f>
        <v>0</v>
      </c>
      <c r="K1914" s="455">
        <f t="shared" ca="1" si="136"/>
        <v>-1989307.9962946337</v>
      </c>
      <c r="L1914" s="455">
        <f t="shared" ca="1" si="137"/>
        <v>-479423227.10700673</v>
      </c>
      <c r="M1914" s="471">
        <f t="shared" si="139"/>
        <v>0.05</v>
      </c>
      <c r="N1914" s="475">
        <f t="shared" si="140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38"/>
        <v>-479423227.10700673</v>
      </c>
      <c r="J1915" s="455">
        <f t="array" ref="J1915">IFERROR(INDEX('Retirement Calculator'!J:J,MATCH('Isaac 401k'!N1915,'Retirement Calculator'!A:A,0),0),0)</f>
        <v>0</v>
      </c>
      <c r="K1915" s="455">
        <f t="shared" ca="1" si="136"/>
        <v>-1997596.7796125279</v>
      </c>
      <c r="L1915" s="455">
        <f t="shared" ca="1" si="137"/>
        <v>-481420823.88661927</v>
      </c>
      <c r="M1915" s="471">
        <f t="shared" si="139"/>
        <v>0.05</v>
      </c>
      <c r="N1915" s="475">
        <f t="shared" si="140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38"/>
        <v>-481420823.88661927</v>
      </c>
      <c r="J1916" s="455">
        <f t="array" ref="J1916">IFERROR(INDEX('Retirement Calculator'!J:J,MATCH('Isaac 401k'!N1916,'Retirement Calculator'!A:A,0),0),0)</f>
        <v>0</v>
      </c>
      <c r="K1916" s="455">
        <f t="shared" ca="1" si="136"/>
        <v>-2005920.0995275802</v>
      </c>
      <c r="L1916" s="455">
        <f t="shared" ca="1" si="137"/>
        <v>-483426743.98614687</v>
      </c>
      <c r="M1916" s="471">
        <f t="shared" si="139"/>
        <v>0.05</v>
      </c>
      <c r="N1916" s="475">
        <f t="shared" si="140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38"/>
        <v>-483426743.98614687</v>
      </c>
      <c r="J1917" s="455">
        <f t="array" ref="J1917">IFERROR(INDEX('Retirement Calculator'!J:J,MATCH('Isaac 401k'!N1917,'Retirement Calculator'!A:A,0),0),0)</f>
        <v>0</v>
      </c>
      <c r="K1917" s="455">
        <f t="shared" ca="1" si="136"/>
        <v>-2014278.0999422786</v>
      </c>
      <c r="L1917" s="455">
        <f t="shared" ca="1" si="137"/>
        <v>-485441022.08608913</v>
      </c>
      <c r="M1917" s="471">
        <f t="shared" si="139"/>
        <v>0.05</v>
      </c>
      <c r="N1917" s="475">
        <f t="shared" si="140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38"/>
        <v>-485441022.08608913</v>
      </c>
      <c r="J1918" s="455">
        <f t="array" ref="J1918">IFERROR(INDEX('Retirement Calculator'!J:J,MATCH('Isaac 401k'!N1918,'Retirement Calculator'!A:A,0),0),0)</f>
        <v>0</v>
      </c>
      <c r="K1918" s="455">
        <f t="shared" ca="1" si="136"/>
        <v>-2022670.925358705</v>
      </c>
      <c r="L1918" s="455">
        <f t="shared" ca="1" si="137"/>
        <v>-487463693.01144785</v>
      </c>
      <c r="M1918" s="471">
        <f t="shared" si="139"/>
        <v>0.05</v>
      </c>
      <c r="N1918" s="475">
        <f t="shared" si="140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38"/>
        <v>-487463693.01144785</v>
      </c>
      <c r="J1919" s="455">
        <f t="array" ref="J1919">IFERROR(INDEX('Retirement Calculator'!J:J,MATCH('Isaac 401k'!N1919,'Retirement Calculator'!A:A,0),0),0)</f>
        <v>0</v>
      </c>
      <c r="K1919" s="455">
        <f t="shared" ca="1" si="136"/>
        <v>-2031098.7208810328</v>
      </c>
      <c r="L1919" s="455">
        <f t="shared" ca="1" si="137"/>
        <v>-489494791.73232889</v>
      </c>
      <c r="M1919" s="471">
        <f t="shared" si="139"/>
        <v>0.05</v>
      </c>
      <c r="N1919" s="475">
        <f t="shared" si="140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38"/>
        <v>-489494791.73232889</v>
      </c>
      <c r="J1920" s="455">
        <f t="array" ref="J1920">IFERROR(INDEX('Retirement Calculator'!J:J,MATCH('Isaac 401k'!N1920,'Retirement Calculator'!A:A,0),0),0)</f>
        <v>0</v>
      </c>
      <c r="K1920" s="455">
        <f t="shared" ca="1" si="136"/>
        <v>-2039561.6322180373</v>
      </c>
      <c r="L1920" s="455">
        <f t="shared" ca="1" si="137"/>
        <v>-491534353.36454695</v>
      </c>
      <c r="M1920" s="471">
        <f t="shared" si="139"/>
        <v>0.05</v>
      </c>
      <c r="N1920" s="475">
        <f t="shared" si="140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38"/>
        <v>-491534353.36454695</v>
      </c>
      <c r="J1921" s="455">
        <f t="array" ref="J1921">IFERROR(INDEX('Retirement Calculator'!J:J,MATCH('Isaac 401k'!N1921,'Retirement Calculator'!A:A,0),0),0)</f>
        <v>0</v>
      </c>
      <c r="K1921" s="455">
        <f t="shared" ca="1" si="136"/>
        <v>-2048059.8056856124</v>
      </c>
      <c r="L1921" s="455">
        <f t="shared" ca="1" si="137"/>
        <v>-493582413.17023259</v>
      </c>
      <c r="M1921" s="471">
        <f t="shared" si="139"/>
        <v>0.05</v>
      </c>
      <c r="N1921" s="475">
        <f t="shared" si="140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38"/>
        <v>-493582413.17023259</v>
      </c>
      <c r="J1922" s="455">
        <f t="array" ref="J1922">IFERROR(INDEX('Retirement Calculator'!J:J,MATCH('Isaac 401k'!N1922,'Retirement Calculator'!A:A,0),0),0)</f>
        <v>0</v>
      </c>
      <c r="K1922" s="455">
        <f t="shared" ca="1" si="136"/>
        <v>-2056593.3882093024</v>
      </c>
      <c r="L1922" s="455">
        <f t="shared" ca="1" si="137"/>
        <v>-495639006.55844188</v>
      </c>
      <c r="M1922" s="471">
        <f t="shared" si="139"/>
        <v>0.05</v>
      </c>
      <c r="N1922" s="475">
        <f t="shared" si="140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38"/>
        <v>-495639006.55844188</v>
      </c>
      <c r="J1923" s="455">
        <f t="array" ref="J1923">IFERROR(INDEX('Retirement Calculator'!J:J,MATCH('Isaac 401k'!N1923,'Retirement Calculator'!A:A,0),0),0)</f>
        <v>0</v>
      </c>
      <c r="K1923" s="455">
        <f t="shared" ca="1" si="136"/>
        <v>-2065162.5273268414</v>
      </c>
      <c r="L1923" s="455">
        <f t="shared" ca="1" si="137"/>
        <v>-497704169.0857687</v>
      </c>
      <c r="M1923" s="471">
        <f t="shared" si="139"/>
        <v>0.05</v>
      </c>
      <c r="N1923" s="475">
        <f t="shared" si="140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38"/>
        <v>-497704169.0857687</v>
      </c>
      <c r="J1924" s="455">
        <f t="array" ref="J1924">IFERROR(INDEX('Retirement Calculator'!J:J,MATCH('Isaac 401k'!N1924,'Retirement Calculator'!A:A,0),0),0)</f>
        <v>0</v>
      </c>
      <c r="K1924" s="455">
        <f t="shared" ca="1" si="136"/>
        <v>-2073767.3711907025</v>
      </c>
      <c r="L1924" s="455">
        <f t="shared" ca="1" si="137"/>
        <v>-499777936.45695943</v>
      </c>
      <c r="M1924" s="471">
        <f t="shared" si="139"/>
        <v>0.05</v>
      </c>
      <c r="N1924" s="475">
        <f t="shared" si="140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38"/>
        <v>-499777936.45695943</v>
      </c>
      <c r="J1925" s="455">
        <f t="array" ref="J1925">IFERROR(INDEX('Retirement Calculator'!J:J,MATCH('Isaac 401k'!N1925,'Retirement Calculator'!A:A,0),0),0)</f>
        <v>0</v>
      </c>
      <c r="K1925" s="455">
        <f t="shared" ca="1" si="136"/>
        <v>-2082408.0685706642</v>
      </c>
      <c r="L1925" s="455">
        <f t="shared" ca="1" si="137"/>
        <v>-501860344.5255301</v>
      </c>
      <c r="M1925" s="471">
        <f t="shared" si="139"/>
        <v>0.05</v>
      </c>
      <c r="N1925" s="475">
        <f t="shared" si="140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38"/>
        <v>-501860344.5255301</v>
      </c>
      <c r="J1926" s="455">
        <f t="array" ref="J1926">IFERROR(INDEX('Retirement Calculator'!J:J,MATCH('Isaac 401k'!N1926,'Retirement Calculator'!A:A,0),0),0)</f>
        <v>0</v>
      </c>
      <c r="K1926" s="455">
        <f t="shared" ca="1" si="136"/>
        <v>-2091084.7688563755</v>
      </c>
      <c r="L1926" s="455">
        <f t="shared" ca="1" si="137"/>
        <v>-503951429.29438645</v>
      </c>
      <c r="M1926" s="471">
        <f t="shared" si="139"/>
        <v>0.05</v>
      </c>
      <c r="N1926" s="475">
        <f t="shared" si="140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38"/>
        <v>-503951429.29438645</v>
      </c>
      <c r="J1927" s="455">
        <f t="array" ref="J1927">IFERROR(INDEX('Retirement Calculator'!J:J,MATCH('Isaac 401k'!N1927,'Retirement Calculator'!A:A,0),0),0)</f>
        <v>0</v>
      </c>
      <c r="K1927" s="455">
        <f t="shared" ca="1" si="136"/>
        <v>-2099797.6220599436</v>
      </c>
      <c r="L1927" s="455">
        <f t="shared" ca="1" si="137"/>
        <v>-506051226.91644639</v>
      </c>
      <c r="M1927" s="471">
        <f t="shared" si="139"/>
        <v>0.05</v>
      </c>
      <c r="N1927" s="475">
        <f t="shared" si="140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38"/>
        <v>-506051226.91644639</v>
      </c>
      <c r="J1928" s="455">
        <f t="array" ref="J1928">IFERROR(INDEX('Retirement Calculator'!J:J,MATCH('Isaac 401k'!N1928,'Retirement Calculator'!A:A,0),0),0)</f>
        <v>0</v>
      </c>
      <c r="K1928" s="455">
        <f t="shared" ca="1" si="136"/>
        <v>-2108546.7788185268</v>
      </c>
      <c r="L1928" s="455">
        <f t="shared" ca="1" si="137"/>
        <v>-508159773.69526494</v>
      </c>
      <c r="M1928" s="471">
        <f t="shared" si="139"/>
        <v>0.05</v>
      </c>
      <c r="N1928" s="475">
        <f t="shared" si="140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38"/>
        <v>-508159773.69526494</v>
      </c>
      <c r="J1929" s="455">
        <f t="array" ref="J1929">IFERROR(INDEX('Retirement Calculator'!J:J,MATCH('Isaac 401k'!N1929,'Retirement Calculator'!A:A,0),0),0)</f>
        <v>0</v>
      </c>
      <c r="K1929" s="455">
        <f t="shared" ca="1" si="136"/>
        <v>-2117332.3903969368</v>
      </c>
      <c r="L1929" s="455">
        <f t="shared" ca="1" si="137"/>
        <v>-510277106.08566189</v>
      </c>
      <c r="M1929" s="471">
        <f t="shared" si="139"/>
        <v>0.05</v>
      </c>
      <c r="N1929" s="475">
        <f t="shared" si="140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38"/>
        <v>-510277106.08566189</v>
      </c>
      <c r="J1930" s="455">
        <f t="array" ref="J1930">IFERROR(INDEX('Retirement Calculator'!J:J,MATCH('Isaac 401k'!N1930,'Retirement Calculator'!A:A,0),0),0)</f>
        <v>0</v>
      </c>
      <c r="K1930" s="455">
        <f t="shared" ca="1" si="136"/>
        <v>-2126154.6086902576</v>
      </c>
      <c r="L1930" s="455">
        <f t="shared" ca="1" si="137"/>
        <v>-512403260.69435215</v>
      </c>
      <c r="M1930" s="471">
        <f t="shared" si="139"/>
        <v>0.05</v>
      </c>
      <c r="N1930" s="475">
        <f t="shared" si="140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38"/>
        <v>-512403260.69435215</v>
      </c>
      <c r="J1931" s="455">
        <f t="array" ref="J1931">IFERROR(INDEX('Retirement Calculator'!J:J,MATCH('Isaac 401k'!N1931,'Retirement Calculator'!A:A,0),0),0)</f>
        <v>0</v>
      </c>
      <c r="K1931" s="455">
        <f t="shared" ca="1" si="136"/>
        <v>-2135013.586226467</v>
      </c>
      <c r="L1931" s="455">
        <f t="shared" ca="1" si="137"/>
        <v>-514538274.28057861</v>
      </c>
      <c r="M1931" s="471">
        <f t="shared" si="139"/>
        <v>0.05</v>
      </c>
      <c r="N1931" s="475">
        <f t="shared" si="140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38"/>
        <v>-514538274.28057861</v>
      </c>
      <c r="J1932" s="455">
        <f t="array" ref="J1932">IFERROR(INDEX('Retirement Calculator'!J:J,MATCH('Isaac 401k'!N1932,'Retirement Calculator'!A:A,0),0),0)</f>
        <v>0</v>
      </c>
      <c r="K1932" s="455">
        <f t="shared" ca="1" si="136"/>
        <v>-2143909.4761690777</v>
      </c>
      <c r="L1932" s="455">
        <f t="shared" ca="1" si="137"/>
        <v>-516682183.75674766</v>
      </c>
      <c r="M1932" s="471">
        <f t="shared" si="139"/>
        <v>0.05</v>
      </c>
      <c r="N1932" s="475">
        <f t="shared" si="140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38"/>
        <v>-516682183.75674766</v>
      </c>
      <c r="J1933" s="455">
        <f t="array" ref="J1933">IFERROR(INDEX('Retirement Calculator'!J:J,MATCH('Isaac 401k'!N1933,'Retirement Calculator'!A:A,0),0),0)</f>
        <v>0</v>
      </c>
      <c r="K1933" s="455">
        <f t="shared" ca="1" si="136"/>
        <v>-2152842.4323197817</v>
      </c>
      <c r="L1933" s="455">
        <f t="shared" ca="1" si="137"/>
        <v>-518835026.18906742</v>
      </c>
      <c r="M1933" s="471">
        <f t="shared" si="139"/>
        <v>0.05</v>
      </c>
      <c r="N1933" s="475">
        <f t="shared" si="140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38"/>
        <v>-518835026.18906742</v>
      </c>
      <c r="J1934" s="455">
        <f t="array" ref="J1934">IFERROR(INDEX('Retirement Calculator'!J:J,MATCH('Isaac 401k'!N1934,'Retirement Calculator'!A:A,0),0),0)</f>
        <v>0</v>
      </c>
      <c r="K1934" s="455">
        <f t="shared" ca="1" si="136"/>
        <v>-2161812.609121114</v>
      </c>
      <c r="L1934" s="455">
        <f t="shared" ca="1" si="137"/>
        <v>-520996838.79818857</v>
      </c>
      <c r="M1934" s="471">
        <f t="shared" si="139"/>
        <v>0.05</v>
      </c>
      <c r="N1934" s="475">
        <f t="shared" si="140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38"/>
        <v>-520996838.79818857</v>
      </c>
      <c r="J1935" s="455">
        <f t="array" ref="J1935">IFERROR(INDEX('Retirement Calculator'!J:J,MATCH('Isaac 401k'!N1935,'Retirement Calculator'!A:A,0),0),0)</f>
        <v>0</v>
      </c>
      <c r="K1935" s="455">
        <f t="shared" ca="1" si="136"/>
        <v>-2170820.1616591187</v>
      </c>
      <c r="L1935" s="455">
        <f t="shared" ca="1" si="137"/>
        <v>-523167658.95984769</v>
      </c>
      <c r="M1935" s="471">
        <f t="shared" si="139"/>
        <v>0.05</v>
      </c>
      <c r="N1935" s="475">
        <f t="shared" si="140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38"/>
        <v>-523167658.95984769</v>
      </c>
      <c r="J1936" s="455">
        <f t="array" ref="J1936">IFERROR(INDEX('Retirement Calculator'!J:J,MATCH('Isaac 401k'!N1936,'Retirement Calculator'!A:A,0),0),0)</f>
        <v>0</v>
      </c>
      <c r="K1936" s="455">
        <f t="shared" ca="1" si="136"/>
        <v>-2179865.2456660322</v>
      </c>
      <c r="L1936" s="455">
        <f t="shared" ca="1" si="137"/>
        <v>-525347524.20551372</v>
      </c>
      <c r="M1936" s="471">
        <f t="shared" si="139"/>
        <v>0.05</v>
      </c>
      <c r="N1936" s="475">
        <f t="shared" si="140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38"/>
        <v>-525347524.20551372</v>
      </c>
      <c r="J1937" s="455">
        <f t="array" ref="J1937">IFERROR(INDEX('Retirement Calculator'!J:J,MATCH('Isaac 401k'!N1937,'Retirement Calculator'!A:A,0),0),0)</f>
        <v>0</v>
      </c>
      <c r="K1937" s="455">
        <f t="shared" ca="1" si="136"/>
        <v>-2188948.0175229739</v>
      </c>
      <c r="L1937" s="455">
        <f t="shared" ca="1" si="137"/>
        <v>-527536472.22303671</v>
      </c>
      <c r="M1937" s="471">
        <f t="shared" si="139"/>
        <v>0.05</v>
      </c>
      <c r="N1937" s="475">
        <f t="shared" si="140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38"/>
        <v>-527536472.22303671</v>
      </c>
      <c r="J1938" s="455">
        <f t="array" ref="J1938">IFERROR(INDEX('Retirement Calculator'!J:J,MATCH('Isaac 401k'!N1938,'Retirement Calculator'!A:A,0),0),0)</f>
        <v>0</v>
      </c>
      <c r="K1938" s="455">
        <f t="shared" ca="1" si="136"/>
        <v>-2198068.6342626531</v>
      </c>
      <c r="L1938" s="455">
        <f t="shared" ca="1" si="137"/>
        <v>-529734540.85729939</v>
      </c>
      <c r="M1938" s="471">
        <f t="shared" si="139"/>
        <v>0.05</v>
      </c>
      <c r="N1938" s="475">
        <f t="shared" si="140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38"/>
        <v>-529734540.85729939</v>
      </c>
      <c r="J1939" s="455">
        <f t="array" ref="J1939">IFERROR(INDEX('Retirement Calculator'!J:J,MATCH('Isaac 401k'!N1939,'Retirement Calculator'!A:A,0),0),0)</f>
        <v>0</v>
      </c>
      <c r="K1939" s="455">
        <f t="shared" ca="1" si="136"/>
        <v>-2207227.2535720808</v>
      </c>
      <c r="L1939" s="455">
        <f t="shared" ca="1" si="137"/>
        <v>-531941768.11087149</v>
      </c>
      <c r="M1939" s="471">
        <f t="shared" si="139"/>
        <v>0.05</v>
      </c>
      <c r="N1939" s="475">
        <f t="shared" si="140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38"/>
        <v>-531941768.11087149</v>
      </c>
      <c r="J1940" s="455">
        <f t="array" ref="J1940">IFERROR(INDEX('Retirement Calculator'!J:J,MATCH('Isaac 401k'!N1940,'Retirement Calculator'!A:A,0),0),0)</f>
        <v>0</v>
      </c>
      <c r="K1940" s="455">
        <f t="shared" ca="1" si="136"/>
        <v>-2216424.0337952981</v>
      </c>
      <c r="L1940" s="455">
        <f t="shared" ca="1" si="137"/>
        <v>-534158192.14466679</v>
      </c>
      <c r="M1940" s="471">
        <f t="shared" si="139"/>
        <v>0.05</v>
      </c>
      <c r="N1940" s="475">
        <f t="shared" si="140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38"/>
        <v>-534158192.14466679</v>
      </c>
      <c r="J1941" s="455">
        <f t="array" ref="J1941">IFERROR(INDEX('Retirement Calculator'!J:J,MATCH('Isaac 401k'!N1941,'Retirement Calculator'!A:A,0),0),0)</f>
        <v>0</v>
      </c>
      <c r="K1941" s="455">
        <f t="shared" ca="1" si="136"/>
        <v>-2225659.1339361118</v>
      </c>
      <c r="L1941" s="455">
        <f t="shared" ca="1" si="137"/>
        <v>-536383851.2786029</v>
      </c>
      <c r="M1941" s="471">
        <f t="shared" si="139"/>
        <v>0.05</v>
      </c>
      <c r="N1941" s="475">
        <f t="shared" si="140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38"/>
        <v>-536383851.2786029</v>
      </c>
      <c r="J1942" s="455">
        <f t="array" ref="J1942">IFERROR(INDEX('Retirement Calculator'!J:J,MATCH('Isaac 401k'!N1942,'Retirement Calculator'!A:A,0),0),0)</f>
        <v>0</v>
      </c>
      <c r="K1942" s="455">
        <f t="shared" ca="1" si="136"/>
        <v>-2234932.7136608451</v>
      </c>
      <c r="L1942" s="455">
        <f t="shared" ca="1" si="137"/>
        <v>-538618783.99226379</v>
      </c>
      <c r="M1942" s="471">
        <f t="shared" si="139"/>
        <v>0.05</v>
      </c>
      <c r="N1942" s="475">
        <f t="shared" si="140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38"/>
        <v>-538618783.99226379</v>
      </c>
      <c r="J1943" s="455">
        <f t="array" ref="J1943">IFERROR(INDEX('Retirement Calculator'!J:J,MATCH('Isaac 401k'!N1943,'Retirement Calculator'!A:A,0),0),0)</f>
        <v>0</v>
      </c>
      <c r="K1943" s="455">
        <f t="shared" ca="1" si="136"/>
        <v>-2244244.9333010991</v>
      </c>
      <c r="L1943" s="455">
        <f t="shared" ca="1" si="137"/>
        <v>-540863028.92556489</v>
      </c>
      <c r="M1943" s="471">
        <f t="shared" si="139"/>
        <v>0.05</v>
      </c>
      <c r="N1943" s="475">
        <f t="shared" si="140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38"/>
        <v>-540863028.92556489</v>
      </c>
      <c r="J1944" s="455">
        <f t="array" ref="J1944">IFERROR(INDEX('Retirement Calculator'!J:J,MATCH('Isaac 401k'!N1944,'Retirement Calculator'!A:A,0),0),0)</f>
        <v>0</v>
      </c>
      <c r="K1944" s="455">
        <f t="shared" ca="1" si="136"/>
        <v>-2253595.9538565204</v>
      </c>
      <c r="L1944" s="455">
        <f t="shared" ca="1" si="137"/>
        <v>-543116624.87942135</v>
      </c>
      <c r="M1944" s="471">
        <f t="shared" si="139"/>
        <v>0.05</v>
      </c>
      <c r="N1944" s="475">
        <f t="shared" si="140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38"/>
        <v>-543116624.87942135</v>
      </c>
      <c r="J1945" s="455">
        <f t="array" ref="J1945">IFERROR(INDEX('Retirement Calculator'!J:J,MATCH('Isaac 401k'!N1945,'Retirement Calculator'!A:A,0),0),0)</f>
        <v>0</v>
      </c>
      <c r="K1945" s="455">
        <f t="shared" ca="1" si="136"/>
        <v>-2262985.9369975887</v>
      </c>
      <c r="L1945" s="455">
        <f t="shared" ca="1" si="137"/>
        <v>-545379610.81641889</v>
      </c>
      <c r="M1945" s="471">
        <f t="shared" si="139"/>
        <v>0.05</v>
      </c>
      <c r="N1945" s="475">
        <f t="shared" si="140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38"/>
        <v>-545379610.81641889</v>
      </c>
      <c r="J1946" s="455">
        <f t="array" ref="J1946">IFERROR(INDEX('Retirement Calculator'!J:J,MATCH('Isaac 401k'!N1946,'Retirement Calculator'!A:A,0),0),0)</f>
        <v>0</v>
      </c>
      <c r="K1946" s="455">
        <f t="shared" ca="1" si="136"/>
        <v>-2272415.0450684121</v>
      </c>
      <c r="L1946" s="455">
        <f t="shared" ca="1" si="137"/>
        <v>-547652025.86148727</v>
      </c>
      <c r="M1946" s="471">
        <f t="shared" si="139"/>
        <v>0.05</v>
      </c>
      <c r="N1946" s="475">
        <f t="shared" si="140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38"/>
        <v>-547652025.86148727</v>
      </c>
      <c r="J1947" s="455">
        <f t="array" ref="J1947">IFERROR(INDEX('Retirement Calculator'!J:J,MATCH('Isaac 401k'!N1947,'Retirement Calculator'!A:A,0),0),0)</f>
        <v>0</v>
      </c>
      <c r="K1947" s="455">
        <f t="shared" ca="1" si="136"/>
        <v>-2281883.4410895305</v>
      </c>
      <c r="L1947" s="455">
        <f t="shared" ca="1" si="137"/>
        <v>-549933909.30257678</v>
      </c>
      <c r="M1947" s="471">
        <f t="shared" si="139"/>
        <v>0.05</v>
      </c>
      <c r="N1947" s="475">
        <f t="shared" si="140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38"/>
        <v>-549933909.30257678</v>
      </c>
      <c r="J1948" s="455">
        <f t="array" ref="J1948">IFERROR(INDEX('Retirement Calculator'!J:J,MATCH('Isaac 401k'!N1948,'Retirement Calculator'!A:A,0),0),0)</f>
        <v>0</v>
      </c>
      <c r="K1948" s="455">
        <f t="shared" ca="1" si="136"/>
        <v>-2291391.2887607366</v>
      </c>
      <c r="L1948" s="455">
        <f t="shared" ca="1" si="137"/>
        <v>-552225300.59133756</v>
      </c>
      <c r="M1948" s="471">
        <f t="shared" si="139"/>
        <v>0.05</v>
      </c>
      <c r="N1948" s="475">
        <f t="shared" si="140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38"/>
        <v>-552225300.59133756</v>
      </c>
      <c r="J1949" s="455">
        <f t="array" ref="J1949">IFERROR(INDEX('Retirement Calculator'!J:J,MATCH('Isaac 401k'!N1949,'Retirement Calculator'!A:A,0),0),0)</f>
        <v>0</v>
      </c>
      <c r="K1949" s="455">
        <f t="shared" ca="1" si="136"/>
        <v>-2300938.7524639065</v>
      </c>
      <c r="L1949" s="455">
        <f t="shared" ca="1" si="137"/>
        <v>-554526239.3438015</v>
      </c>
      <c r="M1949" s="471">
        <f t="shared" si="139"/>
        <v>0.05</v>
      </c>
      <c r="N1949" s="475">
        <f t="shared" si="140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38"/>
        <v>-554526239.3438015</v>
      </c>
      <c r="J1950" s="455">
        <f t="array" ref="J1950">IFERROR(INDEX('Retirement Calculator'!J:J,MATCH('Isaac 401k'!N1950,'Retirement Calculator'!A:A,0),0),0)</f>
        <v>0</v>
      </c>
      <c r="K1950" s="455">
        <f t="shared" ca="1" si="136"/>
        <v>-2310525.9972658395</v>
      </c>
      <c r="L1950" s="455">
        <f t="shared" ca="1" si="137"/>
        <v>-556836765.34106731</v>
      </c>
      <c r="M1950" s="471">
        <f t="shared" si="139"/>
        <v>0.05</v>
      </c>
      <c r="N1950" s="475">
        <f t="shared" si="140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38"/>
        <v>-556836765.34106731</v>
      </c>
      <c r="J1951" s="455">
        <f t="array" ref="J1951">IFERROR(INDEX('Retirement Calculator'!J:J,MATCH('Isaac 401k'!N1951,'Retirement Calculator'!A:A,0),0),0)</f>
        <v>0</v>
      </c>
      <c r="K1951" s="455">
        <f t="shared" ca="1" si="136"/>
        <v>-2320153.188921114</v>
      </c>
      <c r="L1951" s="455">
        <f t="shared" ca="1" si="137"/>
        <v>-559156918.52998841</v>
      </c>
      <c r="M1951" s="471">
        <f t="shared" si="139"/>
        <v>0.05</v>
      </c>
      <c r="N1951" s="475">
        <f t="shared" si="140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38"/>
        <v>-559156918.52998841</v>
      </c>
      <c r="J1952" s="455">
        <f t="array" ref="J1952">IFERROR(INDEX('Retirement Calculator'!J:J,MATCH('Isaac 401k'!N1952,'Retirement Calculator'!A:A,0),0),0)</f>
        <v>0</v>
      </c>
      <c r="K1952" s="455">
        <f t="shared" ca="1" si="136"/>
        <v>-2329820.4938749517</v>
      </c>
      <c r="L1952" s="455">
        <f t="shared" ca="1" si="137"/>
        <v>-561486739.02386332</v>
      </c>
      <c r="M1952" s="471">
        <f t="shared" si="139"/>
        <v>0.05</v>
      </c>
      <c r="N1952" s="475">
        <f t="shared" si="140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38"/>
        <v>-561486739.02386332</v>
      </c>
      <c r="J1953" s="455">
        <f t="array" ref="J1953">IFERROR(INDEX('Retirement Calculator'!J:J,MATCH('Isaac 401k'!N1953,'Retirement Calculator'!A:A,0),0),0)</f>
        <v>0</v>
      </c>
      <c r="K1953" s="455">
        <f t="shared" ca="1" si="136"/>
        <v>-2339528.0792660969</v>
      </c>
      <c r="L1953" s="455">
        <f t="shared" ca="1" si="137"/>
        <v>-563826267.10312939</v>
      </c>
      <c r="M1953" s="471">
        <f t="shared" si="139"/>
        <v>0.05</v>
      </c>
      <c r="N1953" s="475">
        <f t="shared" si="140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38"/>
        <v>-563826267.10312939</v>
      </c>
      <c r="J1954" s="455">
        <f t="array" ref="J1954">IFERROR(INDEX('Retirement Calculator'!J:J,MATCH('Isaac 401k'!N1954,'Retirement Calculator'!A:A,0),0),0)</f>
        <v>0</v>
      </c>
      <c r="K1954" s="455">
        <f t="shared" ca="1" si="136"/>
        <v>-2349276.1129297055</v>
      </c>
      <c r="L1954" s="455">
        <f t="shared" ca="1" si="137"/>
        <v>-566175543.21605909</v>
      </c>
      <c r="M1954" s="471">
        <f t="shared" si="139"/>
        <v>0.05</v>
      </c>
      <c r="N1954" s="475">
        <f t="shared" si="140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38"/>
        <v>-566175543.21605909</v>
      </c>
      <c r="J1955" s="455">
        <f t="array" ref="J1955">IFERROR(INDEX('Retirement Calculator'!J:J,MATCH('Isaac 401k'!N1955,'Retirement Calculator'!A:A,0),0),0)</f>
        <v>0</v>
      </c>
      <c r="K1955" s="455">
        <f t="shared" ca="1" si="136"/>
        <v>-2359064.7634002464</v>
      </c>
      <c r="L1955" s="455">
        <f t="shared" ca="1" si="137"/>
        <v>-568534607.97945929</v>
      </c>
      <c r="M1955" s="471">
        <f t="shared" si="139"/>
        <v>0.05</v>
      </c>
      <c r="N1955" s="475">
        <f t="shared" si="140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38"/>
        <v>-568534607.97945929</v>
      </c>
      <c r="J1956" s="455">
        <f t="array" ref="J1956">IFERROR(INDEX('Retirement Calculator'!J:J,MATCH('Isaac 401k'!N1956,'Retirement Calculator'!A:A,0),0),0)</f>
        <v>0</v>
      </c>
      <c r="K1956" s="455">
        <f t="shared" ca="1" si="136"/>
        <v>-2368894.1999144135</v>
      </c>
      <c r="L1956" s="455">
        <f t="shared" ca="1" si="137"/>
        <v>-570903502.17937374</v>
      </c>
      <c r="M1956" s="471">
        <f t="shared" si="139"/>
        <v>0.05</v>
      </c>
      <c r="N1956" s="475">
        <f t="shared" si="140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38"/>
        <v>-570903502.17937374</v>
      </c>
      <c r="J1957" s="455">
        <f t="array" ref="J1957">IFERROR(INDEX('Retirement Calculator'!J:J,MATCH('Isaac 401k'!N1957,'Retirement Calculator'!A:A,0),0),0)</f>
        <v>0</v>
      </c>
      <c r="K1957" s="455">
        <f t="shared" ca="1" si="136"/>
        <v>-2378764.5924140573</v>
      </c>
      <c r="L1957" s="455">
        <f t="shared" ca="1" si="137"/>
        <v>-573282266.77178776</v>
      </c>
      <c r="M1957" s="471">
        <f t="shared" si="139"/>
        <v>0.05</v>
      </c>
      <c r="N1957" s="475">
        <f t="shared" si="140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38"/>
        <v>-573282266.77178776</v>
      </c>
      <c r="J1958" s="455">
        <f t="array" ref="J1958">IFERROR(INDEX('Retirement Calculator'!J:J,MATCH('Isaac 401k'!N1958,'Retirement Calculator'!A:A,0),0),0)</f>
        <v>0</v>
      </c>
      <c r="K1958" s="455">
        <f t="shared" ca="1" si="136"/>
        <v>-2388676.1115491157</v>
      </c>
      <c r="L1958" s="455">
        <f t="shared" ca="1" si="137"/>
        <v>-575670942.8833369</v>
      </c>
      <c r="M1958" s="471">
        <f t="shared" si="139"/>
        <v>0.05</v>
      </c>
      <c r="N1958" s="475">
        <f t="shared" si="140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38"/>
        <v>-575670942.8833369</v>
      </c>
      <c r="J1959" s="455">
        <f t="array" ref="J1959">IFERROR(INDEX('Retirement Calculator'!J:J,MATCH('Isaac 401k'!N1959,'Retirement Calculator'!A:A,0),0),0)</f>
        <v>0</v>
      </c>
      <c r="K1959" s="455">
        <f t="shared" ca="1" si="136"/>
        <v>-2398628.9286805703</v>
      </c>
      <c r="L1959" s="455">
        <f t="shared" ca="1" si="137"/>
        <v>-578069571.81201744</v>
      </c>
      <c r="M1959" s="471">
        <f t="shared" si="139"/>
        <v>0.05</v>
      </c>
      <c r="N1959" s="475">
        <f t="shared" si="140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38"/>
        <v>-578069571.81201744</v>
      </c>
      <c r="J1960" s="455">
        <f t="array" ref="J1960">IFERROR(INDEX('Retirement Calculator'!J:J,MATCH('Isaac 401k'!N1960,'Retirement Calculator'!A:A,0),0),0)</f>
        <v>0</v>
      </c>
      <c r="K1960" s="455">
        <f t="shared" ca="1" si="136"/>
        <v>-2408623.2158834059</v>
      </c>
      <c r="L1960" s="455">
        <f t="shared" ca="1" si="137"/>
        <v>-580478195.02790082</v>
      </c>
      <c r="M1960" s="471">
        <f t="shared" si="139"/>
        <v>0.05</v>
      </c>
      <c r="N1960" s="475">
        <f t="shared" si="140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38"/>
        <v>-580478195.02790082</v>
      </c>
      <c r="J1961" s="455">
        <f t="array" ref="J1961">IFERROR(INDEX('Retirement Calculator'!J:J,MATCH('Isaac 401k'!N1961,'Retirement Calculator'!A:A,0),0),0)</f>
        <v>0</v>
      </c>
      <c r="K1961" s="455">
        <f t="shared" ca="1" si="136"/>
        <v>-2418659.1459495868</v>
      </c>
      <c r="L1961" s="455">
        <f t="shared" ca="1" si="137"/>
        <v>-582896854.17385042</v>
      </c>
      <c r="M1961" s="471">
        <f t="shared" si="139"/>
        <v>0.05</v>
      </c>
      <c r="N1961" s="475">
        <f t="shared" si="140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38"/>
        <v>-582896854.17385042</v>
      </c>
      <c r="J1962" s="455">
        <f t="array" ref="J1962">IFERROR(INDEX('Retirement Calculator'!J:J,MATCH('Isaac 401k'!N1962,'Retirement Calculator'!A:A,0),0),0)</f>
        <v>0</v>
      </c>
      <c r="K1962" s="455">
        <f t="shared" ca="1" si="136"/>
        <v>-2428736.8923910432</v>
      </c>
      <c r="L1962" s="455">
        <f t="shared" ca="1" si="137"/>
        <v>-585325591.0662415</v>
      </c>
      <c r="M1962" s="471">
        <f t="shared" si="139"/>
        <v>0.05</v>
      </c>
      <c r="N1962" s="475">
        <f t="shared" si="140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38"/>
        <v>-585325591.0662415</v>
      </c>
      <c r="J1963" s="455">
        <f t="array" ref="J1963">IFERROR(INDEX('Retirement Calculator'!J:J,MATCH('Isaac 401k'!N1963,'Retirement Calculator'!A:A,0),0),0)</f>
        <v>0</v>
      </c>
      <c r="K1963" s="455">
        <f t="shared" ca="1" si="136"/>
        <v>-2438856.6294426727</v>
      </c>
      <c r="L1963" s="455">
        <f t="shared" ca="1" si="137"/>
        <v>-587764447.69568419</v>
      </c>
      <c r="M1963" s="471">
        <f t="shared" si="139"/>
        <v>0.05</v>
      </c>
      <c r="N1963" s="475">
        <f t="shared" si="140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38"/>
        <v>-587764447.69568419</v>
      </c>
      <c r="J1964" s="455">
        <f t="array" ref="J1964">IFERROR(INDEX('Retirement Calculator'!J:J,MATCH('Isaac 401k'!N1964,'Retirement Calculator'!A:A,0),0),0)</f>
        <v>0</v>
      </c>
      <c r="K1964" s="455">
        <f t="shared" ca="1" si="136"/>
        <v>-2449018.5320653506</v>
      </c>
      <c r="L1964" s="455">
        <f t="shared" ca="1" si="137"/>
        <v>-590213466.22774959</v>
      </c>
      <c r="M1964" s="471">
        <f t="shared" si="139"/>
        <v>0.05</v>
      </c>
      <c r="N1964" s="475">
        <f t="shared" si="140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38"/>
        <v>-590213466.22774959</v>
      </c>
      <c r="J1965" s="455">
        <f t="array" ref="J1965">IFERROR(INDEX('Retirement Calculator'!J:J,MATCH('Isaac 401k'!N1965,'Retirement Calculator'!A:A,0),0),0)</f>
        <v>0</v>
      </c>
      <c r="K1965" s="455">
        <f t="shared" ca="1" si="136"/>
        <v>-2459222.7759489566</v>
      </c>
      <c r="L1965" s="455">
        <f t="shared" ca="1" si="137"/>
        <v>-592672689.00369859</v>
      </c>
      <c r="M1965" s="471">
        <f t="shared" si="139"/>
        <v>0.05</v>
      </c>
      <c r="N1965" s="475">
        <f t="shared" si="140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38"/>
        <v>-592672689.00369859</v>
      </c>
      <c r="J1966" s="455">
        <f t="array" ref="J1966">IFERROR(INDEX('Retirement Calculator'!J:J,MATCH('Isaac 401k'!N1966,'Retirement Calculator'!A:A,0),0),0)</f>
        <v>0</v>
      </c>
      <c r="K1966" s="455">
        <f t="shared" ca="1" si="136"/>
        <v>-2469469.5375154107</v>
      </c>
      <c r="L1966" s="455">
        <f t="shared" ca="1" si="137"/>
        <v>-595142158.54121399</v>
      </c>
      <c r="M1966" s="471">
        <f t="shared" si="139"/>
        <v>0.05</v>
      </c>
      <c r="N1966" s="475">
        <f t="shared" si="140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38"/>
        <v>-595142158.54121399</v>
      </c>
      <c r="J1967" s="455">
        <f t="array" ref="J1967">IFERROR(INDEX('Retirement Calculator'!J:J,MATCH('Isaac 401k'!N1967,'Retirement Calculator'!A:A,0),0),0)</f>
        <v>0</v>
      </c>
      <c r="K1967" s="455">
        <f t="shared" ca="1" si="136"/>
        <v>-2479758.9939217251</v>
      </c>
      <c r="L1967" s="455">
        <f t="shared" ca="1" si="137"/>
        <v>-597621917.53513575</v>
      </c>
      <c r="M1967" s="471">
        <f t="shared" si="139"/>
        <v>0.05</v>
      </c>
      <c r="N1967" s="475">
        <f t="shared" si="140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38"/>
        <v>-597621917.53513575</v>
      </c>
      <c r="J1968" s="455">
        <f t="array" ref="J1968">IFERROR(INDEX('Retirement Calculator'!J:J,MATCH('Isaac 401k'!N1968,'Retirement Calculator'!A:A,0),0),0)</f>
        <v>0</v>
      </c>
      <c r="K1968" s="455">
        <f t="shared" ca="1" si="136"/>
        <v>-2490091.3230630658</v>
      </c>
      <c r="L1968" s="455">
        <f t="shared" ca="1" si="137"/>
        <v>-600112008.85819876</v>
      </c>
      <c r="M1968" s="471">
        <f t="shared" si="139"/>
        <v>0.05</v>
      </c>
      <c r="N1968" s="475">
        <f t="shared" si="140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38"/>
        <v>-600112008.85819876</v>
      </c>
      <c r="J1969" s="455">
        <f t="array" ref="J1969">IFERROR(INDEX('Retirement Calculator'!J:J,MATCH('Isaac 401k'!N1969,'Retirement Calculator'!A:A,0),0),0)</f>
        <v>0</v>
      </c>
      <c r="K1969" s="455">
        <f t="shared" ca="1" si="136"/>
        <v>-2500466.7035758281</v>
      </c>
      <c r="L1969" s="455">
        <f t="shared" ca="1" si="137"/>
        <v>-602612475.56177461</v>
      </c>
      <c r="M1969" s="471">
        <f t="shared" si="139"/>
        <v>0.05</v>
      </c>
      <c r="N1969" s="475">
        <f t="shared" si="140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38"/>
        <v>-602612475.56177461</v>
      </c>
      <c r="J1970" s="455">
        <f t="array" ref="J1970">IFERROR(INDEX('Retirement Calculator'!J:J,MATCH('Isaac 401k'!N1970,'Retirement Calculator'!A:A,0),0),0)</f>
        <v>0</v>
      </c>
      <c r="K1970" s="455">
        <f t="shared" ca="1" si="136"/>
        <v>-2510885.3148407275</v>
      </c>
      <c r="L1970" s="455">
        <f t="shared" ca="1" si="137"/>
        <v>-605123360.87661529</v>
      </c>
      <c r="M1970" s="471">
        <f t="shared" si="139"/>
        <v>0.05</v>
      </c>
      <c r="N1970" s="475">
        <f t="shared" si="140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38"/>
        <v>-605123360.87661529</v>
      </c>
      <c r="J1971" s="455">
        <f t="array" ref="J1971">IFERROR(INDEX('Retirement Calculator'!J:J,MATCH('Isaac 401k'!N1971,'Retirement Calculator'!A:A,0),0),0)</f>
        <v>0</v>
      </c>
      <c r="K1971" s="455">
        <f t="shared" ca="1" si="136"/>
        <v>-2521347.3369858968</v>
      </c>
      <c r="L1971" s="455">
        <f t="shared" ca="1" si="137"/>
        <v>-607644708.21360123</v>
      </c>
      <c r="M1971" s="471">
        <f t="shared" si="139"/>
        <v>0.05</v>
      </c>
      <c r="N1971" s="475">
        <f t="shared" si="140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38"/>
        <v>-607644708.21360123</v>
      </c>
      <c r="J1972" s="455">
        <f t="array" ref="J1972">IFERROR(INDEX('Retirement Calculator'!J:J,MATCH('Isaac 401k'!N1972,'Retirement Calculator'!A:A,0),0),0)</f>
        <v>0</v>
      </c>
      <c r="K1972" s="455">
        <f t="shared" ca="1" si="136"/>
        <v>-2531852.9508900051</v>
      </c>
      <c r="L1972" s="455">
        <f t="shared" ca="1" si="137"/>
        <v>-610176561.1644913</v>
      </c>
      <c r="M1972" s="471">
        <f t="shared" si="139"/>
        <v>0.05</v>
      </c>
      <c r="N1972" s="475">
        <f t="shared" si="140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38"/>
        <v>-610176561.1644913</v>
      </c>
      <c r="J1973" s="455">
        <f t="array" ref="J1973">IFERROR(INDEX('Retirement Calculator'!J:J,MATCH('Isaac 401k'!N1973,'Retirement Calculator'!A:A,0),0),0)</f>
        <v>0</v>
      </c>
      <c r="K1973" s="455">
        <f t="shared" ca="1" si="136"/>
        <v>-2542402.3381853802</v>
      </c>
      <c r="L1973" s="455">
        <f t="shared" ca="1" si="137"/>
        <v>-612718963.50267673</v>
      </c>
      <c r="M1973" s="471">
        <f t="shared" si="139"/>
        <v>0.05</v>
      </c>
      <c r="N1973" s="475">
        <f t="shared" si="140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38"/>
        <v>-612718963.50267673</v>
      </c>
      <c r="J1974" s="455">
        <f t="array" ref="J1974">IFERROR(INDEX('Retirement Calculator'!J:J,MATCH('Isaac 401k'!N1974,'Retirement Calculator'!A:A,0),0),0)</f>
        <v>0</v>
      </c>
      <c r="K1974" s="455">
        <f t="shared" ca="1" si="136"/>
        <v>-2552995.681261153</v>
      </c>
      <c r="L1974" s="455">
        <f t="shared" ca="1" si="137"/>
        <v>-615271959.18393791</v>
      </c>
      <c r="M1974" s="471">
        <f t="shared" si="139"/>
        <v>0.05</v>
      </c>
      <c r="N1974" s="475">
        <f t="shared" si="140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38"/>
        <v>-615271959.18393791</v>
      </c>
      <c r="J1975" s="455">
        <f t="array" ref="J1975">IFERROR(INDEX('Retirement Calculator'!J:J,MATCH('Isaac 401k'!N1975,'Retirement Calculator'!A:A,0),0),0)</f>
        <v>0</v>
      </c>
      <c r="K1975" s="455">
        <f t="shared" ca="1" si="136"/>
        <v>-2563633.1632664078</v>
      </c>
      <c r="L1975" s="455">
        <f t="shared" ca="1" si="137"/>
        <v>-617835592.34720433</v>
      </c>
      <c r="M1975" s="471">
        <f t="shared" si="139"/>
        <v>0.05</v>
      </c>
      <c r="N1975" s="475">
        <f t="shared" si="140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38"/>
        <v>-617835592.34720433</v>
      </c>
      <c r="J1976" s="455">
        <f t="array" ref="J1976">IFERROR(INDEX('Retirement Calculator'!J:J,MATCH('Isaac 401k'!N1976,'Retirement Calculator'!A:A,0),0),0)</f>
        <v>0</v>
      </c>
      <c r="K1976" s="455">
        <f t="shared" ca="1" si="136"/>
        <v>-2574314.9681133511</v>
      </c>
      <c r="L1976" s="455">
        <f t="shared" ca="1" si="137"/>
        <v>-620409907.31531763</v>
      </c>
      <c r="M1976" s="471">
        <f t="shared" si="139"/>
        <v>0.05</v>
      </c>
      <c r="N1976" s="475">
        <f t="shared" si="140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38"/>
        <v>-620409907.31531763</v>
      </c>
      <c r="J1977" s="455">
        <f t="array" ref="J1977">IFERROR(INDEX('Retirement Calculator'!J:J,MATCH('Isaac 401k'!N1977,'Retirement Calculator'!A:A,0),0),0)</f>
        <v>0</v>
      </c>
      <c r="K1977" s="455">
        <f t="shared" ca="1" si="136"/>
        <v>-2585041.2804804901</v>
      </c>
      <c r="L1977" s="455">
        <f t="shared" ca="1" si="137"/>
        <v>-622994948.59579813</v>
      </c>
      <c r="M1977" s="471">
        <f t="shared" si="139"/>
        <v>0.05</v>
      </c>
      <c r="N1977" s="475">
        <f t="shared" si="140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38"/>
        <v>-622994948.59579813</v>
      </c>
      <c r="J1978" s="455">
        <f t="array" ref="J1978">IFERROR(INDEX('Retirement Calculator'!J:J,MATCH('Isaac 401k'!N1978,'Retirement Calculator'!A:A,0),0),0)</f>
        <v>0</v>
      </c>
      <c r="K1978" s="455">
        <f t="shared" ca="1" si="136"/>
        <v>-2595812.2858158257</v>
      </c>
      <c r="L1978" s="455">
        <f t="shared" ca="1" si="137"/>
        <v>-625590760.88161397</v>
      </c>
      <c r="M1978" s="471">
        <f t="shared" si="139"/>
        <v>0.05</v>
      </c>
      <c r="N1978" s="475">
        <f t="shared" si="140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38"/>
        <v>-625590760.88161397</v>
      </c>
      <c r="J1979" s="455">
        <f t="array" ref="J1979">IFERROR(INDEX('Retirement Calculator'!J:J,MATCH('Isaac 401k'!N1979,'Retirement Calculator'!A:A,0),0),0)</f>
        <v>0</v>
      </c>
      <c r="K1979" s="455">
        <f t="shared" ca="1" si="136"/>
        <v>-2606628.1703400584</v>
      </c>
      <c r="L1979" s="455">
        <f t="shared" ca="1" si="137"/>
        <v>-628197389.05195403</v>
      </c>
      <c r="M1979" s="471">
        <f t="shared" si="139"/>
        <v>0.05</v>
      </c>
      <c r="N1979" s="475">
        <f t="shared" si="140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38"/>
        <v>-628197389.05195403</v>
      </c>
      <c r="J1980" s="455">
        <f t="array" ref="J1980">IFERROR(INDEX('Retirement Calculator'!J:J,MATCH('Isaac 401k'!N1980,'Retirement Calculator'!A:A,0),0),0)</f>
        <v>0</v>
      </c>
      <c r="K1980" s="455">
        <f t="shared" ca="1" si="136"/>
        <v>-2617489.1210498083</v>
      </c>
      <c r="L1980" s="455">
        <f t="shared" ca="1" si="137"/>
        <v>-630814878.17300379</v>
      </c>
      <c r="M1980" s="471">
        <f t="shared" si="139"/>
        <v>0.05</v>
      </c>
      <c r="N1980" s="475">
        <f t="shared" si="140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38"/>
        <v>-630814878.17300379</v>
      </c>
      <c r="J1981" s="455">
        <f t="array" ref="J1981">IFERROR(INDEX('Retirement Calculator'!J:J,MATCH('Isaac 401k'!N1981,'Retirement Calculator'!A:A,0),0),0)</f>
        <v>0</v>
      </c>
      <c r="K1981" s="455">
        <f t="shared" ca="1" si="136"/>
        <v>-2628395.325720849</v>
      </c>
      <c r="L1981" s="455">
        <f t="shared" ca="1" si="137"/>
        <v>-633443273.4987247</v>
      </c>
      <c r="M1981" s="471">
        <f t="shared" si="139"/>
        <v>0.05</v>
      </c>
      <c r="N1981" s="475">
        <f t="shared" si="140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38"/>
        <v>-633443273.4987247</v>
      </c>
      <c r="J1982" s="455">
        <f t="array" ref="J1982">IFERROR(INDEX('Retirement Calculator'!J:J,MATCH('Isaac 401k'!N1982,'Retirement Calculator'!A:A,0),0),0)</f>
        <v>0</v>
      </c>
      <c r="K1982" s="455">
        <f t="shared" ca="1" si="136"/>
        <v>-2639346.9729113528</v>
      </c>
      <c r="L1982" s="455">
        <f t="shared" ca="1" si="137"/>
        <v>-636082620.47163606</v>
      </c>
      <c r="M1982" s="471">
        <f t="shared" si="139"/>
        <v>0.05</v>
      </c>
      <c r="N1982" s="475">
        <f t="shared" si="140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38"/>
        <v>-636082620.47163606</v>
      </c>
      <c r="J1983" s="455">
        <f t="array" ref="J1983">IFERROR(INDEX('Retirement Calculator'!J:J,MATCH('Isaac 401k'!N1983,'Retirement Calculator'!A:A,0),0),0)</f>
        <v>0</v>
      </c>
      <c r="K1983" s="455">
        <f t="shared" ca="1" si="136"/>
        <v>-2650344.2519651502</v>
      </c>
      <c r="L1983" s="455">
        <f t="shared" ca="1" si="137"/>
        <v>-638732964.72360122</v>
      </c>
      <c r="M1983" s="471">
        <f t="shared" si="139"/>
        <v>0.05</v>
      </c>
      <c r="N1983" s="475">
        <f t="shared" si="140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38"/>
        <v>-638732964.72360122</v>
      </c>
      <c r="J1984" s="455">
        <f t="array" ref="J1984">IFERROR(INDEX('Retirement Calculator'!J:J,MATCH('Isaac 401k'!N1984,'Retirement Calculator'!A:A,0),0),0)</f>
        <v>0</v>
      </c>
      <c r="K1984" s="455">
        <f t="shared" ca="1" si="136"/>
        <v>-2661387.3530150051</v>
      </c>
      <c r="L1984" s="455">
        <f t="shared" ca="1" si="137"/>
        <v>-641394352.07661617</v>
      </c>
      <c r="M1984" s="471">
        <f t="shared" si="139"/>
        <v>0.05</v>
      </c>
      <c r="N1984" s="475">
        <f t="shared" si="140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38"/>
        <v>-641394352.07661617</v>
      </c>
      <c r="J1985" s="455">
        <f t="array" ref="J1985">IFERROR(INDEX('Retirement Calculator'!J:J,MATCH('Isaac 401k'!N1985,'Retirement Calculator'!A:A,0),0),0)</f>
        <v>0</v>
      </c>
      <c r="K1985" s="455">
        <f t="shared" ca="1" si="136"/>
        <v>-2672476.4669859009</v>
      </c>
      <c r="L1985" s="455">
        <f t="shared" ca="1" si="137"/>
        <v>-644066828.54360211</v>
      </c>
      <c r="M1985" s="471">
        <f t="shared" si="139"/>
        <v>0.05</v>
      </c>
      <c r="N1985" s="475">
        <f t="shared" si="140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38"/>
        <v>-644066828.54360211</v>
      </c>
      <c r="J1986" s="455">
        <f t="array" ref="J1986">IFERROR(INDEX('Retirement Calculator'!J:J,MATCH('Isaac 401k'!N1986,'Retirement Calculator'!A:A,0),0),0)</f>
        <v>0</v>
      </c>
      <c r="K1986" s="455">
        <f t="shared" ca="1" si="136"/>
        <v>-2683611.7855983423</v>
      </c>
      <c r="L1986" s="455">
        <f t="shared" ca="1" si="137"/>
        <v>-646750440.32920051</v>
      </c>
      <c r="M1986" s="471">
        <f t="shared" si="139"/>
        <v>0.05</v>
      </c>
      <c r="N1986" s="475">
        <f t="shared" si="140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38"/>
        <v>-646750440.32920051</v>
      </c>
      <c r="J1987" s="455">
        <f t="array" ref="J1987">IFERROR(INDEX('Retirement Calculator'!J:J,MATCH('Isaac 401k'!N1987,'Retirement Calculator'!A:A,0),0),0)</f>
        <v>0</v>
      </c>
      <c r="K1987" s="455">
        <f t="shared" ca="1" si="136"/>
        <v>-2694793.5013716687</v>
      </c>
      <c r="L1987" s="455">
        <f t="shared" ca="1" si="137"/>
        <v>-649445233.83057213</v>
      </c>
      <c r="M1987" s="471">
        <f t="shared" si="139"/>
        <v>0.05</v>
      </c>
      <c r="N1987" s="475">
        <f t="shared" si="140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38"/>
        <v>-649445233.83057213</v>
      </c>
      <c r="J1988" s="455">
        <f t="array" ref="J1988">IFERROR(INDEX('Retirement Calculator'!J:J,MATCH('Isaac 401k'!N1988,'Retirement Calculator'!A:A,0),0),0)</f>
        <v>0</v>
      </c>
      <c r="K1988" s="455">
        <f t="shared" ca="1" si="136"/>
        <v>-2706021.8076273836</v>
      </c>
      <c r="L1988" s="455">
        <f t="shared" ca="1" si="137"/>
        <v>-652151255.63819957</v>
      </c>
      <c r="M1988" s="471">
        <f t="shared" si="139"/>
        <v>0.05</v>
      </c>
      <c r="N1988" s="475">
        <f t="shared" si="140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38"/>
        <v>-652151255.63819957</v>
      </c>
      <c r="J1989" s="455">
        <f t="array" ref="J1989">IFERROR(INDEX('Retirement Calculator'!J:J,MATCH('Isaac 401k'!N1989,'Retirement Calculator'!A:A,0),0),0)</f>
        <v>0</v>
      </c>
      <c r="K1989" s="455">
        <f t="shared" ca="1" si="136"/>
        <v>-2717296.8984924983</v>
      </c>
      <c r="L1989" s="455">
        <f t="shared" ca="1" si="137"/>
        <v>-654868552.53669202</v>
      </c>
      <c r="M1989" s="471">
        <f t="shared" si="139"/>
        <v>0.05</v>
      </c>
      <c r="N1989" s="475">
        <f t="shared" si="140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38"/>
        <v>-654868552.53669202</v>
      </c>
      <c r="J1990" s="455">
        <f t="array" ref="J1990">IFERROR(INDEX('Retirement Calculator'!J:J,MATCH('Isaac 401k'!N1990,'Retirement Calculator'!A:A,0),0),0)</f>
        <v>0</v>
      </c>
      <c r="K1990" s="455">
        <f t="shared" ca="1" si="136"/>
        <v>-2728618.9689028836</v>
      </c>
      <c r="L1990" s="455">
        <f t="shared" ca="1" si="137"/>
        <v>-657597171.50559485</v>
      </c>
      <c r="M1990" s="471">
        <f t="shared" si="139"/>
        <v>0.05</v>
      </c>
      <c r="N1990" s="475">
        <f t="shared" si="140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38"/>
        <v>-657597171.50559485</v>
      </c>
      <c r="J1991" s="455">
        <f t="array" ref="J1991">IFERROR(INDEX('Retirement Calculator'!J:J,MATCH('Isaac 401k'!N1991,'Retirement Calculator'!A:A,0),0),0)</f>
        <v>0</v>
      </c>
      <c r="K1991" s="455">
        <f t="shared" ca="1" si="136"/>
        <v>-2739988.2146066451</v>
      </c>
      <c r="L1991" s="455">
        <f t="shared" ca="1" si="137"/>
        <v>-660337159.72020149</v>
      </c>
      <c r="M1991" s="471">
        <f t="shared" si="139"/>
        <v>0.05</v>
      </c>
      <c r="N1991" s="475">
        <f t="shared" si="140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38"/>
        <v>-660337159.72020149</v>
      </c>
      <c r="J1992" s="455">
        <f t="array" ref="J1992">IFERROR(INDEX('Retirement Calculator'!J:J,MATCH('Isaac 401k'!N1992,'Retirement Calculator'!A:A,0),0),0)</f>
        <v>0</v>
      </c>
      <c r="K1992" s="455">
        <f t="shared" ca="1" si="136"/>
        <v>-2751404.8321675062</v>
      </c>
      <c r="L1992" s="455">
        <f t="shared" ca="1" si="137"/>
        <v>-663088564.552369</v>
      </c>
      <c r="M1992" s="471">
        <f t="shared" si="139"/>
        <v>0.05</v>
      </c>
      <c r="N1992" s="475">
        <f t="shared" si="140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38"/>
        <v>-663088564.552369</v>
      </c>
      <c r="J1993" s="455">
        <f t="array" ref="J1993">IFERROR(INDEX('Retirement Calculator'!J:J,MATCH('Isaac 401k'!N1993,'Retirement Calculator'!A:A,0),0),0)</f>
        <v>0</v>
      </c>
      <c r="K1993" s="455">
        <f t="shared" ca="1" si="136"/>
        <v>-2762869.018968204</v>
      </c>
      <c r="L1993" s="455">
        <f t="shared" ca="1" si="137"/>
        <v>-665851433.57133722</v>
      </c>
      <c r="M1993" s="471">
        <f t="shared" si="139"/>
        <v>0.05</v>
      </c>
      <c r="N1993" s="475">
        <f t="shared" si="140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38"/>
        <v>-665851433.57133722</v>
      </c>
      <c r="J1994" s="455">
        <f t="array" ref="J1994">IFERROR(INDEX('Retirement Calculator'!J:J,MATCH('Isaac 401k'!N1994,'Retirement Calculator'!A:A,0),0),0)</f>
        <v>0</v>
      </c>
      <c r="K1994" s="455">
        <f t="shared" ca="1" si="136"/>
        <v>-2774380.973213905</v>
      </c>
      <c r="L1994" s="455">
        <f t="shared" ca="1" si="137"/>
        <v>-668625814.54455113</v>
      </c>
      <c r="M1994" s="471">
        <f t="shared" si="139"/>
        <v>0.05</v>
      </c>
      <c r="N1994" s="475">
        <f t="shared" si="140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38"/>
        <v>-668625814.54455113</v>
      </c>
      <c r="J1995" s="455">
        <f t="array" ref="J1995">IFERROR(INDEX('Retirement Calculator'!J:J,MATCH('Isaac 401k'!N1995,'Retirement Calculator'!A:A,0),0),0)</f>
        <v>0</v>
      </c>
      <c r="K1995" s="455">
        <f t="shared" ca="1" si="136"/>
        <v>-2785940.8939356296</v>
      </c>
      <c r="L1995" s="455">
        <f t="shared" ca="1" si="137"/>
        <v>-671411755.43848681</v>
      </c>
      <c r="M1995" s="471">
        <f t="shared" si="139"/>
        <v>0.05</v>
      </c>
      <c r="N1995" s="475">
        <f t="shared" si="140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38"/>
        <v>-671411755.43848681</v>
      </c>
      <c r="J1996" s="455">
        <f t="array" ref="J1996">IFERROR(INDEX('Retirement Calculator'!J:J,MATCH('Isaac 401k'!N1996,'Retirement Calculator'!A:A,0),0),0)</f>
        <v>0</v>
      </c>
      <c r="K1996" s="455">
        <f t="shared" ca="1" si="136"/>
        <v>-2797548.9809936951</v>
      </c>
      <c r="L1996" s="455">
        <f t="shared" ca="1" si="137"/>
        <v>-674209304.41948056</v>
      </c>
      <c r="M1996" s="471">
        <f t="shared" si="139"/>
        <v>0.05</v>
      </c>
      <c r="N1996" s="475">
        <f t="shared" si="140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38"/>
        <v>-674209304.41948056</v>
      </c>
      <c r="J1997" s="455">
        <f t="array" ref="J1997">IFERROR(INDEX('Retirement Calculator'!J:J,MATCH('Isaac 401k'!N1997,'Retirement Calculator'!A:A,0),0),0)</f>
        <v>0</v>
      </c>
      <c r="K1997" s="455">
        <f t="shared" ca="1" si="136"/>
        <v>-2809205.435081169</v>
      </c>
      <c r="L1997" s="455">
        <f t="shared" ca="1" si="137"/>
        <v>-677018509.85456169</v>
      </c>
      <c r="M1997" s="471">
        <f t="shared" si="139"/>
        <v>0.05</v>
      </c>
      <c r="N1997" s="475">
        <f t="shared" si="140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38"/>
        <v>-677018509.85456169</v>
      </c>
      <c r="J1998" s="455">
        <f t="array" ref="J1998">IFERROR(INDEX('Retirement Calculator'!J:J,MATCH('Isaac 401k'!N1998,'Retirement Calculator'!A:A,0),0),0)</f>
        <v>0</v>
      </c>
      <c r="K1998" s="455">
        <f t="shared" ca="1" si="136"/>
        <v>-2820910.4577273405</v>
      </c>
      <c r="L1998" s="455">
        <f t="shared" ca="1" si="137"/>
        <v>-679839420.312289</v>
      </c>
      <c r="M1998" s="471">
        <f t="shared" si="139"/>
        <v>0.05</v>
      </c>
      <c r="N1998" s="475">
        <f t="shared" si="140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38"/>
        <v>-679839420.312289</v>
      </c>
      <c r="J1999" s="455">
        <f t="array" ref="J1999">IFERROR(INDEX('Retirement Calculator'!J:J,MATCH('Isaac 401k'!N1999,'Retirement Calculator'!A:A,0),0),0)</f>
        <v>0</v>
      </c>
      <c r="K1999" s="455">
        <f t="shared" ca="1" si="136"/>
        <v>-2832664.2513012043</v>
      </c>
      <c r="L1999" s="455">
        <f t="shared" ca="1" si="137"/>
        <v>-682672084.56359017</v>
      </c>
      <c r="M1999" s="471">
        <f t="shared" si="139"/>
        <v>0.05</v>
      </c>
      <c r="N1999" s="475">
        <f t="shared" si="140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38"/>
        <v>-682672084.56359017</v>
      </c>
      <c r="J2000" s="455">
        <f t="array" ref="J2000">IFERROR(INDEX('Retirement Calculator'!J:J,MATCH('Isaac 401k'!N2000,'Retirement Calculator'!A:A,0),0),0)</f>
        <v>0</v>
      </c>
      <c r="K2000" s="455">
        <f t="shared" ca="1" si="136"/>
        <v>-2844467.0190149592</v>
      </c>
      <c r="L2000" s="455">
        <f t="shared" ca="1" si="137"/>
        <v>-685516551.58260512</v>
      </c>
      <c r="M2000" s="471">
        <f t="shared" si="139"/>
        <v>0.05</v>
      </c>
      <c r="N2000" s="475">
        <f t="shared" si="140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38"/>
        <v>-685516551.58260512</v>
      </c>
      <c r="J2001" s="455">
        <f t="array" ref="J2001">IFERROR(INDEX('Retirement Calculator'!J:J,MATCH('Isaac 401k'!N2001,'Retirement Calculator'!A:A,0),0),0)</f>
        <v>0</v>
      </c>
      <c r="K2001" s="455">
        <f t="shared" ca="1" si="136"/>
        <v>-2856318.9649275215</v>
      </c>
      <c r="L2001" s="455">
        <f t="shared" ca="1" si="137"/>
        <v>-688372870.54753268</v>
      </c>
      <c r="M2001" s="471">
        <f t="shared" si="139"/>
        <v>0.05</v>
      </c>
      <c r="N2001" s="475">
        <f t="shared" si="140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38"/>
        <v>-688372870.54753268</v>
      </c>
      <c r="J2002" s="455">
        <f t="array" ref="J2002">IFERROR(INDEX('Retirement Calculator'!J:J,MATCH('Isaac 401k'!N2002,'Retirement Calculator'!A:A,0),0),0)</f>
        <v>0</v>
      </c>
      <c r="K2002" s="455">
        <f t="shared" ca="1" si="136"/>
        <v>-2868220.2939480529</v>
      </c>
      <c r="L2002" s="455">
        <f t="shared" ca="1" si="137"/>
        <v>-691241090.84148073</v>
      </c>
      <c r="M2002" s="471">
        <f t="shared" si="139"/>
        <v>0.05</v>
      </c>
      <c r="N2002" s="475">
        <f t="shared" si="140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38"/>
        <v>-691241090.84148073</v>
      </c>
      <c r="J2003" s="455">
        <f t="array" ref="J2003">IFERROR(INDEX('Retirement Calculator'!J:J,MATCH('Isaac 401k'!N2003,'Retirement Calculator'!A:A,0),0),0)</f>
        <v>0</v>
      </c>
      <c r="K2003" s="455">
        <f t="shared" ca="1" si="136"/>
        <v>-2880171.2118395031</v>
      </c>
      <c r="L2003" s="455">
        <f t="shared" ca="1" si="137"/>
        <v>-694121262.05332029</v>
      </c>
      <c r="M2003" s="471">
        <f t="shared" si="139"/>
        <v>0.05</v>
      </c>
      <c r="N2003" s="475">
        <f t="shared" si="140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38"/>
        <v>-694121262.05332029</v>
      </c>
      <c r="J2004" s="455">
        <f t="array" ref="J2004">IFERROR(INDEX('Retirement Calculator'!J:J,MATCH('Isaac 401k'!N2004,'Retirement Calculator'!A:A,0),0),0)</f>
        <v>0</v>
      </c>
      <c r="K2004" s="455">
        <f t="shared" ca="1" si="136"/>
        <v>-2892171.9252221677</v>
      </c>
      <c r="L2004" s="455">
        <f t="shared" ca="1" si="137"/>
        <v>-697013433.97854245</v>
      </c>
      <c r="M2004" s="471">
        <f t="shared" si="139"/>
        <v>0.05</v>
      </c>
      <c r="N2004" s="475">
        <f t="shared" si="140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38"/>
        <v>-697013433.97854245</v>
      </c>
      <c r="J2005" s="455">
        <f t="array" ref="J2005">IFERROR(INDEX('Retirement Calculator'!J:J,MATCH('Isaac 401k'!N2005,'Retirement Calculator'!A:A,0),0),0)</f>
        <v>0</v>
      </c>
      <c r="K2005" s="455">
        <f t="shared" ca="1" si="136"/>
        <v>-2904222.6415772601</v>
      </c>
      <c r="L2005" s="455">
        <f t="shared" ca="1" si="137"/>
        <v>-699917656.62011969</v>
      </c>
      <c r="M2005" s="471">
        <f t="shared" si="139"/>
        <v>0.05</v>
      </c>
      <c r="N2005" s="475">
        <f t="shared" si="140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38"/>
        <v>-699917656.62011969</v>
      </c>
      <c r="J2006" s="455">
        <f t="array" ref="J2006">IFERROR(INDEX('Retirement Calculator'!J:J,MATCH('Isaac 401k'!N2006,'Retirement Calculator'!A:A,0),0),0)</f>
        <v>0</v>
      </c>
      <c r="K2006" s="455">
        <f t="shared" ca="1" si="136"/>
        <v>-2916323.5692504989</v>
      </c>
      <c r="L2006" s="455">
        <f t="shared" ca="1" si="137"/>
        <v>-702833980.18937016</v>
      </c>
      <c r="M2006" s="471">
        <f t="shared" si="139"/>
        <v>0.05</v>
      </c>
      <c r="N2006" s="475">
        <f t="shared" si="140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38"/>
        <v>-702833980.18937016</v>
      </c>
      <c r="J2007" s="455">
        <f t="array" ref="J2007">IFERROR(INDEX('Retirement Calculator'!J:J,MATCH('Isaac 401k'!N2007,'Retirement Calculator'!A:A,0),0),0)</f>
        <v>0</v>
      </c>
      <c r="K2007" s="455">
        <f t="shared" ca="1" si="136"/>
        <v>-2928474.9174557091</v>
      </c>
      <c r="L2007" s="455">
        <f t="shared" ca="1" si="137"/>
        <v>-705762455.10682583</v>
      </c>
      <c r="M2007" s="471">
        <f t="shared" si="139"/>
        <v>0.05</v>
      </c>
      <c r="N2007" s="475">
        <f t="shared" si="140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38"/>
        <v>-705762455.10682583</v>
      </c>
      <c r="J2008" s="455">
        <f t="array" ref="J2008">IFERROR(INDEX('Retirement Calculator'!J:J,MATCH('Isaac 401k'!N2008,'Retirement Calculator'!A:A,0),0),0)</f>
        <v>0</v>
      </c>
      <c r="K2008" s="455">
        <f t="shared" ca="1" si="136"/>
        <v>-2940676.896278441</v>
      </c>
      <c r="L2008" s="455">
        <f t="shared" ca="1" si="137"/>
        <v>-708703132.00310421</v>
      </c>
      <c r="M2008" s="471">
        <f t="shared" si="139"/>
        <v>0.05</v>
      </c>
      <c r="N2008" s="475">
        <f t="shared" si="140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38"/>
        <v>-708703132.00310421</v>
      </c>
      <c r="J2009" s="455">
        <f t="array" ref="J2009">IFERROR(INDEX('Retirement Calculator'!J:J,MATCH('Isaac 401k'!N2009,'Retirement Calculator'!A:A,0),0),0)</f>
        <v>0</v>
      </c>
      <c r="K2009" s="455">
        <f t="shared" ca="1" si="136"/>
        <v>-2952929.716679601</v>
      </c>
      <c r="L2009" s="455">
        <f t="shared" ca="1" si="137"/>
        <v>-711656061.71978378</v>
      </c>
      <c r="M2009" s="471">
        <f t="shared" si="139"/>
        <v>0.05</v>
      </c>
      <c r="N2009" s="475">
        <f t="shared" si="140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38"/>
        <v>-711656061.71978378</v>
      </c>
      <c r="J2010" s="455">
        <f t="array" ref="J2010">IFERROR(INDEX('Retirement Calculator'!J:J,MATCH('Isaac 401k'!N2010,'Retirement Calculator'!A:A,0),0),0)</f>
        <v>0</v>
      </c>
      <c r="K2010" s="455">
        <f t="shared" ca="1" si="136"/>
        <v>-2965233.5904990989</v>
      </c>
      <c r="L2010" s="455">
        <f t="shared" ca="1" si="137"/>
        <v>-714621295.31028283</v>
      </c>
      <c r="M2010" s="471">
        <f t="shared" si="139"/>
        <v>0.05</v>
      </c>
      <c r="N2010" s="475">
        <f t="shared" si="140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38"/>
        <v>-714621295.31028283</v>
      </c>
      <c r="J2011" s="455">
        <f t="array" ref="J2011">IFERROR(INDEX('Retirement Calculator'!J:J,MATCH('Isaac 401k'!N2011,'Retirement Calculator'!A:A,0),0),0)</f>
        <v>0</v>
      </c>
      <c r="K2011" s="455">
        <f t="shared" ca="1" si="136"/>
        <v>-2977588.7304595117</v>
      </c>
      <c r="L2011" s="455">
        <f t="shared" ca="1" si="137"/>
        <v>-717598884.0407424</v>
      </c>
      <c r="M2011" s="471">
        <f t="shared" si="139"/>
        <v>0.05</v>
      </c>
      <c r="N2011" s="475">
        <f t="shared" si="140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38"/>
        <v>-717598884.0407424</v>
      </c>
      <c r="J2012" s="455">
        <f t="array" ref="J2012">IFERROR(INDEX('Retirement Calculator'!J:J,MATCH('Isaac 401k'!N2012,'Retirement Calculator'!A:A,0),0),0)</f>
        <v>0</v>
      </c>
      <c r="K2012" s="455">
        <f t="shared" ca="1" si="136"/>
        <v>-2989995.3501697602</v>
      </c>
      <c r="L2012" s="455">
        <f t="shared" ca="1" si="137"/>
        <v>-720588879.39091218</v>
      </c>
      <c r="M2012" s="471">
        <f t="shared" si="139"/>
        <v>0.05</v>
      </c>
      <c r="N2012" s="475">
        <f t="shared" si="140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38"/>
        <v>-720588879.39091218</v>
      </c>
      <c r="J2013" s="455">
        <f t="array" ref="J2013">IFERROR(INDEX('Retirement Calculator'!J:J,MATCH('Isaac 401k'!N2013,'Retirement Calculator'!A:A,0),0),0)</f>
        <v>0</v>
      </c>
      <c r="K2013" s="455">
        <f t="shared" ca="1" si="136"/>
        <v>-3002453.6641288009</v>
      </c>
      <c r="L2013" s="455">
        <f t="shared" ca="1" si="137"/>
        <v>-723591333.05504096</v>
      </c>
      <c r="M2013" s="471">
        <f t="shared" si="139"/>
        <v>0.05</v>
      </c>
      <c r="N2013" s="475">
        <f t="shared" si="140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38"/>
        <v>-723591333.05504096</v>
      </c>
      <c r="J2014" s="455">
        <f t="array" ref="J2014">IFERROR(INDEX('Retirement Calculator'!J:J,MATCH('Isaac 401k'!N2014,'Retirement Calculator'!A:A,0),0),0)</f>
        <v>0</v>
      </c>
      <c r="K2014" s="455">
        <f t="shared" ca="1" si="136"/>
        <v>-3014963.8877293374</v>
      </c>
      <c r="L2014" s="455">
        <f t="shared" ca="1" si="137"/>
        <v>-726606296.94277024</v>
      </c>
      <c r="M2014" s="471">
        <f t="shared" si="139"/>
        <v>0.05</v>
      </c>
      <c r="N2014" s="475">
        <f t="shared" si="140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38"/>
        <v>-726606296.94277024</v>
      </c>
      <c r="J2015" s="455">
        <f t="array" ref="J2015">IFERROR(INDEX('Retirement Calculator'!J:J,MATCH('Isaac 401k'!N2015,'Retirement Calculator'!A:A,0),0),0)</f>
        <v>0</v>
      </c>
      <c r="K2015" s="455">
        <f t="shared" ca="1" si="136"/>
        <v>-3027526.2372615426</v>
      </c>
      <c r="L2015" s="455">
        <f t="shared" ca="1" si="137"/>
        <v>-729633823.18003178</v>
      </c>
      <c r="M2015" s="471">
        <f t="shared" si="139"/>
        <v>0.05</v>
      </c>
      <c r="N2015" s="475">
        <f t="shared" si="140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38"/>
        <v>-729633823.18003178</v>
      </c>
      <c r="J2016" s="455">
        <f t="array" ref="J2016">IFERROR(INDEX('Retirement Calculator'!J:J,MATCH('Isaac 401k'!N2016,'Retirement Calculator'!A:A,0),0),0)</f>
        <v>0</v>
      </c>
      <c r="K2016" s="455">
        <f t="shared" ca="1" si="136"/>
        <v>-3040140.9299167991</v>
      </c>
      <c r="L2016" s="455">
        <f t="shared" ca="1" si="137"/>
        <v>-732673964.10994864</v>
      </c>
      <c r="M2016" s="471">
        <f t="shared" si="139"/>
        <v>0.05</v>
      </c>
      <c r="N2016" s="475">
        <f t="shared" si="140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38"/>
        <v>-732673964.10994864</v>
      </c>
      <c r="J2017" s="455">
        <f t="array" ref="J2017">IFERROR(INDEX('Retirement Calculator'!J:J,MATCH('Isaac 401k'!N2017,'Retirement Calculator'!A:A,0),0),0)</f>
        <v>0</v>
      </c>
      <c r="K2017" s="455">
        <f t="shared" ca="1" si="136"/>
        <v>-3052808.1837914526</v>
      </c>
      <c r="L2017" s="455">
        <f t="shared" ca="1" si="137"/>
        <v>-735726772.29374003</v>
      </c>
      <c r="M2017" s="471">
        <f t="shared" si="139"/>
        <v>0.05</v>
      </c>
      <c r="N2017" s="475">
        <f t="shared" si="140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38"/>
        <v>-735726772.29374003</v>
      </c>
      <c r="J2018" s="455">
        <f t="array" ref="J2018">IFERROR(INDEX('Retirement Calculator'!J:J,MATCH('Isaac 401k'!N2018,'Retirement Calculator'!A:A,0),0),0)</f>
        <v>0</v>
      </c>
      <c r="K2018" s="455">
        <f t="shared" ca="1" si="136"/>
        <v>-3065528.2178905834</v>
      </c>
      <c r="L2018" s="455">
        <f t="shared" ca="1" si="137"/>
        <v>-738792300.51163065</v>
      </c>
      <c r="M2018" s="471">
        <f t="shared" si="139"/>
        <v>0.05</v>
      </c>
      <c r="N2018" s="475">
        <f t="shared" si="140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38"/>
        <v>-738792300.51163065</v>
      </c>
      <c r="J2019" s="455">
        <f t="array" ref="J2019">IFERROR(INDEX('Retirement Calculator'!J:J,MATCH('Isaac 401k'!N2019,'Retirement Calculator'!A:A,0),0),0)</f>
        <v>0</v>
      </c>
      <c r="K2019" s="455">
        <f t="shared" ca="1" si="136"/>
        <v>-3078301.2521317946</v>
      </c>
      <c r="L2019" s="455">
        <f t="shared" ca="1" si="137"/>
        <v>-741870601.76376247</v>
      </c>
      <c r="M2019" s="471">
        <f t="shared" si="139"/>
        <v>0.05</v>
      </c>
      <c r="N2019" s="475">
        <f t="shared" si="140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38"/>
        <v>-741870601.76376247</v>
      </c>
      <c r="J2020" s="455">
        <f t="array" ref="J2020">IFERROR(INDEX('Retirement Calculator'!J:J,MATCH('Isaac 401k'!N2020,'Retirement Calculator'!A:A,0),0),0)</f>
        <v>0</v>
      </c>
      <c r="K2020" s="455">
        <f t="shared" ca="1" si="136"/>
        <v>-3091127.5073490101</v>
      </c>
      <c r="L2020" s="455">
        <f t="shared" ca="1" si="137"/>
        <v>-744961729.27111149</v>
      </c>
      <c r="M2020" s="471">
        <f t="shared" si="139"/>
        <v>0.05</v>
      </c>
      <c r="N2020" s="475">
        <f t="shared" si="140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38"/>
        <v>-744961729.27111149</v>
      </c>
      <c r="J2021" s="455">
        <f t="array" ref="J2021">IFERROR(INDEX('Retirement Calculator'!J:J,MATCH('Isaac 401k'!N2021,'Retirement Calculator'!A:A,0),0),0)</f>
        <v>0</v>
      </c>
      <c r="K2021" s="455">
        <f t="shared" ca="1" si="136"/>
        <v>-3104007.205296298</v>
      </c>
      <c r="L2021" s="455">
        <f t="shared" ca="1" si="137"/>
        <v>-748065736.47640777</v>
      </c>
      <c r="M2021" s="471">
        <f t="shared" si="139"/>
        <v>0.05</v>
      </c>
      <c r="N2021" s="475">
        <f t="shared" si="140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38"/>
        <v>-748065736.47640777</v>
      </c>
      <c r="J2022" s="455">
        <f t="array" ref="J2022">IFERROR(INDEX('Retirement Calculator'!J:J,MATCH('Isaac 401k'!N2022,'Retirement Calculator'!A:A,0),0),0)</f>
        <v>0</v>
      </c>
      <c r="K2022" s="455">
        <f t="shared" ca="1" si="136"/>
        <v>-3116940.568651699</v>
      </c>
      <c r="L2022" s="455">
        <f t="shared" ca="1" si="137"/>
        <v>-751182677.04505944</v>
      </c>
      <c r="M2022" s="471">
        <f t="shared" si="139"/>
        <v>0.05</v>
      </c>
      <c r="N2022" s="475">
        <f t="shared" si="140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38"/>
        <v>-751182677.04505944</v>
      </c>
      <c r="J2023" s="455">
        <f t="array" ref="J2023">IFERROR(INDEX('Retirement Calculator'!J:J,MATCH('Isaac 401k'!N2023,'Retirement Calculator'!A:A,0),0),0)</f>
        <v>0</v>
      </c>
      <c r="K2023" s="455">
        <f t="shared" ca="1" si="136"/>
        <v>-3129927.8210210809</v>
      </c>
      <c r="L2023" s="455">
        <f t="shared" ca="1" si="137"/>
        <v>-754312604.86608052</v>
      </c>
      <c r="M2023" s="471">
        <f t="shared" si="139"/>
        <v>0.05</v>
      </c>
      <c r="N2023" s="475">
        <f t="shared" si="140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38"/>
        <v>-754312604.86608052</v>
      </c>
      <c r="J2024" s="455">
        <f t="array" ref="J2024">IFERROR(INDEX('Retirement Calculator'!J:J,MATCH('Isaac 401k'!N2024,'Retirement Calculator'!A:A,0),0),0)</f>
        <v>0</v>
      </c>
      <c r="K2024" s="455">
        <f t="shared" ca="1" si="136"/>
        <v>-3142969.1869420023</v>
      </c>
      <c r="L2024" s="455">
        <f t="shared" ca="1" si="137"/>
        <v>-757455574.0530225</v>
      </c>
      <c r="M2024" s="471">
        <f t="shared" si="139"/>
        <v>0.05</v>
      </c>
      <c r="N2024" s="475">
        <f t="shared" si="140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38"/>
        <v>-757455574.0530225</v>
      </c>
      <c r="J2025" s="455">
        <f t="array" ref="J2025">IFERROR(INDEX('Retirement Calculator'!J:J,MATCH('Isaac 401k'!N2025,'Retirement Calculator'!A:A,0),0),0)</f>
        <v>0</v>
      </c>
      <c r="K2025" s="455">
        <f t="shared" ca="1" si="136"/>
        <v>-3156064.8918875935</v>
      </c>
      <c r="L2025" s="455">
        <f t="shared" ca="1" si="137"/>
        <v>-760611638.94491005</v>
      </c>
      <c r="M2025" s="471">
        <f t="shared" si="139"/>
        <v>0.05</v>
      </c>
      <c r="N2025" s="475">
        <f t="shared" si="140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38"/>
        <v>-760611638.94491005</v>
      </c>
      <c r="J2026" s="455">
        <f t="array" ref="J2026">IFERROR(INDEX('Retirement Calculator'!J:J,MATCH('Isaac 401k'!N2026,'Retirement Calculator'!A:A,0),0),0)</f>
        <v>0</v>
      </c>
      <c r="K2026" s="455">
        <f t="shared" ca="1" si="136"/>
        <v>-3169215.1622704584</v>
      </c>
      <c r="L2026" s="455">
        <f t="shared" ca="1" si="137"/>
        <v>-763780854.10718048</v>
      </c>
      <c r="M2026" s="471">
        <f t="shared" si="139"/>
        <v>0.05</v>
      </c>
      <c r="N2026" s="475">
        <f t="shared" si="140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38"/>
        <v>-763780854.10718048</v>
      </c>
      <c r="J2027" s="455">
        <f t="array" ref="J2027">IFERROR(INDEX('Retirement Calculator'!J:J,MATCH('Isaac 401k'!N2027,'Retirement Calculator'!A:A,0),0),0)</f>
        <v>0</v>
      </c>
      <c r="K2027" s="455">
        <f t="shared" ca="1" si="136"/>
        <v>-3182420.2254465851</v>
      </c>
      <c r="L2027" s="455">
        <f t="shared" ca="1" si="137"/>
        <v>-766963274.33262706</v>
      </c>
      <c r="M2027" s="471">
        <f t="shared" si="139"/>
        <v>0.05</v>
      </c>
      <c r="N2027" s="475">
        <f t="shared" si="140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38"/>
        <v>-766963274.33262706</v>
      </c>
      <c r="J2028" s="455">
        <f t="array" ref="J2028">IFERROR(INDEX('Retirement Calculator'!J:J,MATCH('Isaac 401k'!N2028,'Retirement Calculator'!A:A,0),0),0)</f>
        <v>0</v>
      </c>
      <c r="K2028" s="455">
        <f t="shared" ca="1" si="136"/>
        <v>-3195680.3097192794</v>
      </c>
      <c r="L2028" s="455">
        <f t="shared" ca="1" si="137"/>
        <v>-770158954.64234638</v>
      </c>
      <c r="M2028" s="471">
        <f t="shared" si="139"/>
        <v>0.05</v>
      </c>
      <c r="N2028" s="475">
        <f t="shared" si="140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38"/>
        <v>-770158954.64234638</v>
      </c>
      <c r="J2029" s="455">
        <f t="array" ref="J2029">IFERROR(INDEX('Retirement Calculator'!J:J,MATCH('Isaac 401k'!N2029,'Retirement Calculator'!A:A,0),0),0)</f>
        <v>0</v>
      </c>
      <c r="K2029" s="455">
        <f t="shared" ca="1" si="136"/>
        <v>-3208995.6443431098</v>
      </c>
      <c r="L2029" s="455">
        <f t="shared" ca="1" si="137"/>
        <v>-773367950.28668952</v>
      </c>
      <c r="M2029" s="471">
        <f t="shared" si="139"/>
        <v>0.05</v>
      </c>
      <c r="N2029" s="475">
        <f t="shared" si="140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38"/>
        <v>-773367950.28668952</v>
      </c>
      <c r="J2030" s="455">
        <f t="array" ref="J2030">IFERROR(INDEX('Retirement Calculator'!J:J,MATCH('Isaac 401k'!N2030,'Retirement Calculator'!A:A,0),0),0)</f>
        <v>0</v>
      </c>
      <c r="K2030" s="455">
        <f t="shared" ca="1" si="136"/>
        <v>-3222366.459527873</v>
      </c>
      <c r="L2030" s="455">
        <f t="shared" ca="1" si="137"/>
        <v>-776590316.74621737</v>
      </c>
      <c r="M2030" s="471">
        <f t="shared" si="139"/>
        <v>0.05</v>
      </c>
      <c r="N2030" s="475">
        <f t="shared" si="140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38"/>
        <v>-776590316.74621737</v>
      </c>
      <c r="J2031" s="455">
        <f t="array" ref="J2031">IFERROR(INDEX('Retirement Calculator'!J:J,MATCH('Isaac 401k'!N2031,'Retirement Calculator'!A:A,0),0),0)</f>
        <v>0</v>
      </c>
      <c r="K2031" s="455">
        <f t="shared" ca="1" si="136"/>
        <v>-3235792.9864425724</v>
      </c>
      <c r="L2031" s="455">
        <f t="shared" ca="1" si="137"/>
        <v>-779826109.73265994</v>
      </c>
      <c r="M2031" s="471">
        <f t="shared" si="139"/>
        <v>0.05</v>
      </c>
      <c r="N2031" s="475">
        <f t="shared" si="140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38"/>
        <v>-779826109.73265994</v>
      </c>
      <c r="J2032" s="455">
        <f t="array" ref="J2032">IFERROR(INDEX('Retirement Calculator'!J:J,MATCH('Isaac 401k'!N2032,'Retirement Calculator'!A:A,0),0),0)</f>
        <v>0</v>
      </c>
      <c r="K2032" s="455">
        <f t="shared" ca="1" si="136"/>
        <v>-3249275.4572194163</v>
      </c>
      <c r="L2032" s="455">
        <f t="shared" ca="1" si="137"/>
        <v>-783075385.1898793</v>
      </c>
      <c r="M2032" s="471">
        <f t="shared" si="139"/>
        <v>0.05</v>
      </c>
      <c r="N2032" s="475">
        <f t="shared" si="140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38"/>
        <v>-783075385.1898793</v>
      </c>
      <c r="J2033" s="455">
        <f t="array" ref="J2033">IFERROR(INDEX('Retirement Calculator'!J:J,MATCH('Isaac 401k'!N2033,'Retirement Calculator'!A:A,0),0),0)</f>
        <v>0</v>
      </c>
      <c r="K2033" s="455">
        <f t="shared" ca="1" si="136"/>
        <v>-3262814.1049578302</v>
      </c>
      <c r="L2033" s="455">
        <f t="shared" ca="1" si="137"/>
        <v>-786338199.29483712</v>
      </c>
      <c r="M2033" s="471">
        <f t="shared" si="139"/>
        <v>0.05</v>
      </c>
      <c r="N2033" s="475">
        <f t="shared" si="140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38"/>
        <v>-786338199.29483712</v>
      </c>
      <c r="J2034" s="455">
        <f t="array" ref="J2034">IFERROR(INDEX('Retirement Calculator'!J:J,MATCH('Isaac 401k'!N2034,'Retirement Calculator'!A:A,0),0),0)</f>
        <v>0</v>
      </c>
      <c r="K2034" s="455">
        <f t="shared" ca="1" si="136"/>
        <v>-3276409.1637284881</v>
      </c>
      <c r="L2034" s="455">
        <f t="shared" ca="1" si="137"/>
        <v>-789614608.45856559</v>
      </c>
      <c r="M2034" s="471">
        <f t="shared" si="139"/>
        <v>0.05</v>
      </c>
      <c r="N2034" s="475">
        <f t="shared" si="140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38"/>
        <v>-789614608.45856559</v>
      </c>
      <c r="J2035" s="455">
        <f t="array" ref="J2035">IFERROR(INDEX('Retirement Calculator'!J:J,MATCH('Isaac 401k'!N2035,'Retirement Calculator'!A:A,0),0),0)</f>
        <v>0</v>
      </c>
      <c r="K2035" s="455">
        <f t="shared" ca="1" si="136"/>
        <v>-3290060.8685773565</v>
      </c>
      <c r="L2035" s="455">
        <f t="shared" ca="1" si="137"/>
        <v>-792904669.32714295</v>
      </c>
      <c r="M2035" s="471">
        <f t="shared" si="139"/>
        <v>0.05</v>
      </c>
      <c r="N2035" s="475">
        <f t="shared" si="140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38"/>
        <v>-792904669.32714295</v>
      </c>
      <c r="J2036" s="455">
        <f t="array" ref="J2036">IFERROR(INDEX('Retirement Calculator'!J:J,MATCH('Isaac 401k'!N2036,'Retirement Calculator'!A:A,0),0),0)</f>
        <v>0</v>
      </c>
      <c r="K2036" s="455">
        <f t="shared" ca="1" si="136"/>
        <v>-3303769.4555297624</v>
      </c>
      <c r="L2036" s="455">
        <f t="shared" ca="1" si="137"/>
        <v>-796208438.78267276</v>
      </c>
      <c r="M2036" s="471">
        <f t="shared" si="139"/>
        <v>0.05</v>
      </c>
      <c r="N2036" s="475">
        <f t="shared" si="140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38"/>
        <v>-796208438.78267276</v>
      </c>
      <c r="J2037" s="455">
        <f t="array" ref="J2037">IFERROR(INDEX('Retirement Calculator'!J:J,MATCH('Isaac 401k'!N2037,'Retirement Calculator'!A:A,0),0),0)</f>
        <v>0</v>
      </c>
      <c r="K2037" s="455">
        <f t="shared" ca="1" si="136"/>
        <v>-3317535.16159447</v>
      </c>
      <c r="L2037" s="455">
        <f t="shared" ca="1" si="137"/>
        <v>-799525973.94426727</v>
      </c>
      <c r="M2037" s="471">
        <f t="shared" si="139"/>
        <v>0.05</v>
      </c>
      <c r="N2037" s="475">
        <f t="shared" si="140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38"/>
        <v>-799525973.94426727</v>
      </c>
      <c r="J2038" s="455">
        <f t="array" ref="J2038">IFERROR(INDEX('Retirement Calculator'!J:J,MATCH('Isaac 401k'!N2038,'Retirement Calculator'!A:A,0),0),0)</f>
        <v>0</v>
      </c>
      <c r="K2038" s="455">
        <f t="shared" ca="1" si="136"/>
        <v>-3331358.2247677804</v>
      </c>
      <c r="L2038" s="455">
        <f t="shared" ca="1" si="137"/>
        <v>-802857332.16903508</v>
      </c>
      <c r="M2038" s="471">
        <f t="shared" si="139"/>
        <v>0.05</v>
      </c>
      <c r="N2038" s="475">
        <f t="shared" si="140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38"/>
        <v>-802857332.16903508</v>
      </c>
      <c r="J2039" s="455">
        <f t="array" ref="J2039">IFERROR(INDEX('Retirement Calculator'!J:J,MATCH('Isaac 401k'!N2039,'Retirement Calculator'!A:A,0),0),0)</f>
        <v>0</v>
      </c>
      <c r="K2039" s="455">
        <f t="shared" ca="1" si="136"/>
        <v>-3345238.884037646</v>
      </c>
      <c r="L2039" s="455">
        <f t="shared" ca="1" si="137"/>
        <v>-806202571.05307269</v>
      </c>
      <c r="M2039" s="471">
        <f t="shared" si="139"/>
        <v>0.05</v>
      </c>
      <c r="N2039" s="475">
        <f t="shared" si="140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38"/>
        <v>-806202571.05307269</v>
      </c>
      <c r="J2040" s="455">
        <f t="array" ref="J2040">IFERROR(INDEX('Retirement Calculator'!J:J,MATCH('Isaac 401k'!N2040,'Retirement Calculator'!A:A,0),0),0)</f>
        <v>0</v>
      </c>
      <c r="K2040" s="455">
        <f t="shared" ca="1" si="136"/>
        <v>-3359177.3793878029</v>
      </c>
      <c r="L2040" s="455">
        <f t="shared" ca="1" si="137"/>
        <v>-809561748.43246055</v>
      </c>
      <c r="M2040" s="471">
        <f t="shared" si="139"/>
        <v>0.05</v>
      </c>
      <c r="N2040" s="475">
        <f t="shared" si="140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38"/>
        <v>-809561748.43246055</v>
      </c>
      <c r="J2041" s="455">
        <f t="array" ref="J2041">IFERROR(INDEX('Retirement Calculator'!J:J,MATCH('Isaac 401k'!N2041,'Retirement Calculator'!A:A,0),0),0)</f>
        <v>0</v>
      </c>
      <c r="K2041" s="455">
        <f t="shared" ca="1" si="136"/>
        <v>-3373173.9518019189</v>
      </c>
      <c r="L2041" s="455">
        <f t="shared" ca="1" si="137"/>
        <v>-812934922.38426244</v>
      </c>
      <c r="M2041" s="471">
        <f t="shared" si="139"/>
        <v>0.05</v>
      </c>
      <c r="N2041" s="475">
        <f t="shared" si="140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38"/>
        <v>-812934922.38426244</v>
      </c>
      <c r="J2042" s="455">
        <f t="array" ref="J2042">IFERROR(INDEX('Retirement Calculator'!J:J,MATCH('Isaac 401k'!N2042,'Retirement Calculator'!A:A,0),0),0)</f>
        <v>0</v>
      </c>
      <c r="K2042" s="455">
        <f t="shared" ca="1" si="136"/>
        <v>-3387228.8432677602</v>
      </c>
      <c r="L2042" s="455">
        <f t="shared" ca="1" si="137"/>
        <v>-816322151.22753024</v>
      </c>
      <c r="M2042" s="471">
        <f t="shared" si="139"/>
        <v>0.05</v>
      </c>
      <c r="N2042" s="475">
        <f t="shared" si="140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38"/>
        <v>-816322151.22753024</v>
      </c>
      <c r="J2043" s="455">
        <f t="array" ref="J2043">IFERROR(INDEX('Retirement Calculator'!J:J,MATCH('Isaac 401k'!N2043,'Retirement Calculator'!A:A,0),0),0)</f>
        <v>0</v>
      </c>
      <c r="K2043" s="455">
        <f t="shared" ca="1" si="136"/>
        <v>-3401342.296781376</v>
      </c>
      <c r="L2043" s="455">
        <f t="shared" ca="1" si="137"/>
        <v>-819723493.52431166</v>
      </c>
      <c r="M2043" s="471">
        <f t="shared" si="139"/>
        <v>0.05</v>
      </c>
      <c r="N2043" s="475">
        <f t="shared" si="140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38"/>
        <v>-819723493.52431166</v>
      </c>
      <c r="J2044" s="455">
        <f t="array" ref="J2044">IFERROR(INDEX('Retirement Calculator'!J:J,MATCH('Isaac 401k'!N2044,'Retirement Calculator'!A:A,0),0),0)</f>
        <v>0</v>
      </c>
      <c r="K2044" s="455">
        <f t="shared" ca="1" si="136"/>
        <v>-3415514.5563512985</v>
      </c>
      <c r="L2044" s="455">
        <f t="shared" ca="1" si="137"/>
        <v>-823139008.08066297</v>
      </c>
      <c r="M2044" s="471">
        <f t="shared" si="139"/>
        <v>0.05</v>
      </c>
      <c r="N2044" s="475">
        <f t="shared" si="140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38"/>
        <v>-823139008.08066297</v>
      </c>
      <c r="J2045" s="455">
        <f t="array" ref="J2045">IFERROR(INDEX('Retirement Calculator'!J:J,MATCH('Isaac 401k'!N2045,'Retirement Calculator'!A:A,0),0),0)</f>
        <v>0</v>
      </c>
      <c r="K2045" s="455">
        <f t="shared" ca="1" si="136"/>
        <v>-3429745.8670027624</v>
      </c>
      <c r="L2045" s="455">
        <f t="shared" ca="1" si="137"/>
        <v>-826568753.94766569</v>
      </c>
      <c r="M2045" s="471">
        <f t="shared" si="139"/>
        <v>0.05</v>
      </c>
      <c r="N2045" s="475">
        <f t="shared" si="140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38"/>
        <v>-826568753.94766569</v>
      </c>
      <c r="J2046" s="455">
        <f t="array" ref="J2046">IFERROR(INDEX('Retirement Calculator'!J:J,MATCH('Isaac 401k'!N2046,'Retirement Calculator'!A:A,0),0),0)</f>
        <v>0</v>
      </c>
      <c r="K2046" s="455">
        <f t="shared" ca="1" si="136"/>
        <v>-3444036.4747819402</v>
      </c>
      <c r="L2046" s="455">
        <f t="shared" ca="1" si="137"/>
        <v>-830012790.42244768</v>
      </c>
      <c r="M2046" s="471">
        <f t="shared" si="139"/>
        <v>0.05</v>
      </c>
      <c r="N2046" s="475">
        <f t="shared" si="140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38"/>
        <v>-830012790.42244768</v>
      </c>
      <c r="J2047" s="455">
        <f t="array" ref="J2047">IFERROR(INDEX('Retirement Calculator'!J:J,MATCH('Isaac 401k'!N2047,'Retirement Calculator'!A:A,0),0),0)</f>
        <v>0</v>
      </c>
      <c r="K2047" s="455">
        <f t="shared" ca="1" si="136"/>
        <v>-3458386.6267601987</v>
      </c>
      <c r="L2047" s="455">
        <f t="shared" ca="1" si="137"/>
        <v>-833471177.04920793</v>
      </c>
      <c r="M2047" s="471">
        <f t="shared" si="139"/>
        <v>0.05</v>
      </c>
      <c r="N2047" s="475">
        <f t="shared" si="140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38"/>
        <v>-833471177.04920793</v>
      </c>
      <c r="J2048" s="455">
        <f t="array" ref="J2048">IFERROR(INDEX('Retirement Calculator'!J:J,MATCH('Isaac 401k'!N2048,'Retirement Calculator'!A:A,0),0),0)</f>
        <v>0</v>
      </c>
      <c r="K2048" s="455">
        <f t="shared" ref="K2048:K2302" ca="1" si="141">IPMT(M2048/12,1,12,-I2048+J2048,,0)</f>
        <v>-3472796.5710383663</v>
      </c>
      <c r="L2048" s="455">
        <f t="shared" ref="L2048:L2302" ca="1" si="142">I2048-J2048+K2048</f>
        <v>-836943973.62024629</v>
      </c>
      <c r="M2048" s="471">
        <f t="shared" si="139"/>
        <v>0.05</v>
      </c>
      <c r="N2048" s="475">
        <f t="shared" si="140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43">L2048</f>
        <v>-836943973.62024629</v>
      </c>
      <c r="J2049" s="455">
        <f t="array" ref="J2049">IFERROR(INDEX('Retirement Calculator'!J:J,MATCH('Isaac 401k'!N2049,'Retirement Calculator'!A:A,0),0),0)</f>
        <v>0</v>
      </c>
      <c r="K2049" s="455">
        <f t="shared" ca="1" si="141"/>
        <v>-3487266.5567510263</v>
      </c>
      <c r="L2049" s="455">
        <f t="shared" ca="1" si="142"/>
        <v>-840431240.1769973</v>
      </c>
      <c r="M2049" s="471">
        <f t="shared" ref="M2049:M2303" si="144">M2048</f>
        <v>0.05</v>
      </c>
      <c r="N2049" s="475">
        <f t="shared" ref="N2049:N2303" si="145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43"/>
        <v>-840431240.1769973</v>
      </c>
      <c r="J2050" s="455">
        <f t="array" ref="J2050">IFERROR(INDEX('Retirement Calculator'!J:J,MATCH('Isaac 401k'!N2050,'Retirement Calculator'!A:A,0),0),0)</f>
        <v>0</v>
      </c>
      <c r="K2050" s="455">
        <f t="shared" ca="1" si="141"/>
        <v>-3501796.8340708222</v>
      </c>
      <c r="L2050" s="455">
        <f t="shared" ca="1" si="142"/>
        <v>-843933037.01106811</v>
      </c>
      <c r="M2050" s="471">
        <f t="shared" si="144"/>
        <v>0.05</v>
      </c>
      <c r="N2050" s="475">
        <f t="shared" si="145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43"/>
        <v>-843933037.01106811</v>
      </c>
      <c r="J2051" s="455">
        <f t="array" ref="J2051">IFERROR(INDEX('Retirement Calculator'!J:J,MATCH('Isaac 401k'!N2051,'Retirement Calculator'!A:A,0),0),0)</f>
        <v>0</v>
      </c>
      <c r="K2051" s="455">
        <f t="shared" ca="1" si="141"/>
        <v>-3516387.6542127836</v>
      </c>
      <c r="L2051" s="455">
        <f t="shared" ca="1" si="142"/>
        <v>-847449424.66528094</v>
      </c>
      <c r="M2051" s="471">
        <f t="shared" si="144"/>
        <v>0.05</v>
      </c>
      <c r="N2051" s="475">
        <f t="shared" si="145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43"/>
        <v>-847449424.66528094</v>
      </c>
      <c r="J2052" s="455">
        <f t="array" ref="J2052">IFERROR(INDEX('Retirement Calculator'!J:J,MATCH('Isaac 401k'!N2052,'Retirement Calculator'!A:A,0),0),0)</f>
        <v>0</v>
      </c>
      <c r="K2052" s="455">
        <f t="shared" ca="1" si="141"/>
        <v>-3531039.2694386705</v>
      </c>
      <c r="L2052" s="455">
        <f t="shared" ca="1" si="142"/>
        <v>-850980463.93471956</v>
      </c>
      <c r="M2052" s="471">
        <f t="shared" si="144"/>
        <v>0.05</v>
      </c>
      <c r="N2052" s="475">
        <f t="shared" si="145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43"/>
        <v>-850980463.93471956</v>
      </c>
      <c r="J2053" s="455">
        <f t="array" ref="J2053">IFERROR(INDEX('Retirement Calculator'!J:J,MATCH('Isaac 401k'!N2053,'Retirement Calculator'!A:A,0),0),0)</f>
        <v>0</v>
      </c>
      <c r="K2053" s="455">
        <f t="shared" ca="1" si="141"/>
        <v>-3545751.9330613315</v>
      </c>
      <c r="L2053" s="455">
        <f t="shared" ca="1" si="142"/>
        <v>-854526215.86778092</v>
      </c>
      <c r="M2053" s="471">
        <f t="shared" si="144"/>
        <v>0.05</v>
      </c>
      <c r="N2053" s="475">
        <f t="shared" si="145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43"/>
        <v>-854526215.86778092</v>
      </c>
      <c r="J2054" s="455">
        <f t="array" ref="J2054">IFERROR(INDEX('Retirement Calculator'!J:J,MATCH('Isaac 401k'!N2054,'Retirement Calculator'!A:A,0),0),0)</f>
        <v>0</v>
      </c>
      <c r="K2054" s="455">
        <f t="shared" ca="1" si="141"/>
        <v>-3560525.8994490872</v>
      </c>
      <c r="L2054" s="455">
        <f t="shared" ca="1" si="142"/>
        <v>-858086741.76723003</v>
      </c>
      <c r="M2054" s="471">
        <f t="shared" si="144"/>
        <v>0.05</v>
      </c>
      <c r="N2054" s="475">
        <f t="shared" si="145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43"/>
        <v>-858086741.76723003</v>
      </c>
      <c r="J2055" s="455">
        <f t="array" ref="J2055">IFERROR(INDEX('Retirement Calculator'!J:J,MATCH('Isaac 401k'!N2055,'Retirement Calculator'!A:A,0),0),0)</f>
        <v>0</v>
      </c>
      <c r="K2055" s="455">
        <f t="shared" ca="1" si="141"/>
        <v>-3575361.4240301251</v>
      </c>
      <c r="L2055" s="455">
        <f t="shared" ca="1" si="142"/>
        <v>-861662103.1912601</v>
      </c>
      <c r="M2055" s="471">
        <f t="shared" si="144"/>
        <v>0.05</v>
      </c>
      <c r="N2055" s="475">
        <f t="shared" si="145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43"/>
        <v>-861662103.1912601</v>
      </c>
      <c r="J2056" s="455">
        <f t="array" ref="J2056">IFERROR(INDEX('Retirement Calculator'!J:J,MATCH('Isaac 401k'!N2056,'Retirement Calculator'!A:A,0),0),0)</f>
        <v>0</v>
      </c>
      <c r="K2056" s="455">
        <f t="shared" ca="1" si="141"/>
        <v>-3590258.7632969171</v>
      </c>
      <c r="L2056" s="455">
        <f t="shared" ca="1" si="142"/>
        <v>-865252361.95455706</v>
      </c>
      <c r="M2056" s="471">
        <f t="shared" si="144"/>
        <v>0.05</v>
      </c>
      <c r="N2056" s="475">
        <f t="shared" si="145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43"/>
        <v>-865252361.95455706</v>
      </c>
      <c r="J2057" s="455">
        <f t="array" ref="J2057">IFERROR(INDEX('Retirement Calculator'!J:J,MATCH('Isaac 401k'!N2057,'Retirement Calculator'!A:A,0),0),0)</f>
        <v>0</v>
      </c>
      <c r="K2057" s="455">
        <f t="shared" ca="1" si="141"/>
        <v>-3605218.1748106545</v>
      </c>
      <c r="L2057" s="455">
        <f t="shared" ca="1" si="142"/>
        <v>-868857580.12936771</v>
      </c>
      <c r="M2057" s="471">
        <f t="shared" si="144"/>
        <v>0.05</v>
      </c>
      <c r="N2057" s="475">
        <f t="shared" si="145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43"/>
        <v>-868857580.12936771</v>
      </c>
      <c r="J2058" s="455">
        <f t="array" ref="J2058">IFERROR(INDEX('Retirement Calculator'!J:J,MATCH('Isaac 401k'!N2058,'Retirement Calculator'!A:A,0),0),0)</f>
        <v>0</v>
      </c>
      <c r="K2058" s="455">
        <f t="shared" ca="1" si="141"/>
        <v>-3620239.9172056983</v>
      </c>
      <c r="L2058" s="455">
        <f t="shared" ca="1" si="142"/>
        <v>-872477820.0465734</v>
      </c>
      <c r="M2058" s="471">
        <f t="shared" si="144"/>
        <v>0.05</v>
      </c>
      <c r="N2058" s="475">
        <f t="shared" si="145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43"/>
        <v>-872477820.0465734</v>
      </c>
      <c r="J2059" s="455">
        <f t="array" ref="J2059">IFERROR(INDEX('Retirement Calculator'!J:J,MATCH('Isaac 401k'!N2059,'Retirement Calculator'!A:A,0),0),0)</f>
        <v>0</v>
      </c>
      <c r="K2059" s="455">
        <f t="shared" ca="1" si="141"/>
        <v>-3635324.250194056</v>
      </c>
      <c r="L2059" s="455">
        <f t="shared" ca="1" si="142"/>
        <v>-876113144.29676747</v>
      </c>
      <c r="M2059" s="471">
        <f t="shared" si="144"/>
        <v>0.05</v>
      </c>
      <c r="N2059" s="475">
        <f t="shared" si="145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43"/>
        <v>-876113144.29676747</v>
      </c>
      <c r="J2060" s="455">
        <f t="array" ref="J2060">IFERROR(INDEX('Retirement Calculator'!J:J,MATCH('Isaac 401k'!N2060,'Retirement Calculator'!A:A,0),0),0)</f>
        <v>0</v>
      </c>
      <c r="K2060" s="455">
        <f t="shared" ca="1" si="141"/>
        <v>-3650471.434569865</v>
      </c>
      <c r="L2060" s="455">
        <f t="shared" ca="1" si="142"/>
        <v>-879763615.73133731</v>
      </c>
      <c r="M2060" s="471">
        <f t="shared" si="144"/>
        <v>0.05</v>
      </c>
      <c r="N2060" s="475">
        <f t="shared" si="145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43"/>
        <v>-879763615.73133731</v>
      </c>
      <c r="J2061" s="455">
        <f t="array" ref="J2061">IFERROR(INDEX('Retirement Calculator'!J:J,MATCH('Isaac 401k'!N2061,'Retirement Calculator'!A:A,0),0),0)</f>
        <v>0</v>
      </c>
      <c r="K2061" s="455">
        <f t="shared" ca="1" si="141"/>
        <v>-3665681.7322139055</v>
      </c>
      <c r="L2061" s="455">
        <f t="shared" ca="1" si="142"/>
        <v>-883429297.46355116</v>
      </c>
      <c r="M2061" s="471">
        <f t="shared" si="144"/>
        <v>0.05</v>
      </c>
      <c r="N2061" s="475">
        <f t="shared" si="145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43"/>
        <v>-883429297.46355116</v>
      </c>
      <c r="J2062" s="455">
        <f t="array" ref="J2062">IFERROR(INDEX('Retirement Calculator'!J:J,MATCH('Isaac 401k'!N2062,'Retirement Calculator'!A:A,0),0),0)</f>
        <v>0</v>
      </c>
      <c r="K2062" s="455">
        <f t="shared" ca="1" si="141"/>
        <v>-3680955.4060981302</v>
      </c>
      <c r="L2062" s="455">
        <f t="shared" ca="1" si="142"/>
        <v>-887110252.86964929</v>
      </c>
      <c r="M2062" s="471">
        <f t="shared" si="144"/>
        <v>0.05</v>
      </c>
      <c r="N2062" s="475">
        <f t="shared" si="145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43"/>
        <v>-887110252.86964929</v>
      </c>
      <c r="J2063" s="455">
        <f t="array" ref="J2063">IFERROR(INDEX('Retirement Calculator'!J:J,MATCH('Isaac 401k'!N2063,'Retirement Calculator'!A:A,0),0),0)</f>
        <v>0</v>
      </c>
      <c r="K2063" s="455">
        <f t="shared" ca="1" si="141"/>
        <v>-3696292.7202902054</v>
      </c>
      <c r="L2063" s="455">
        <f t="shared" ca="1" si="142"/>
        <v>-890806545.58993948</v>
      </c>
      <c r="M2063" s="471">
        <f t="shared" si="144"/>
        <v>0.05</v>
      </c>
      <c r="N2063" s="475">
        <f t="shared" si="145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43"/>
        <v>-890806545.58993948</v>
      </c>
      <c r="J2064" s="455">
        <f t="array" ref="J2064">IFERROR(INDEX('Retirement Calculator'!J:J,MATCH('Isaac 401k'!N2064,'Retirement Calculator'!A:A,0),0),0)</f>
        <v>0</v>
      </c>
      <c r="K2064" s="455">
        <f t="shared" ca="1" si="141"/>
        <v>-3711693.9399580811</v>
      </c>
      <c r="L2064" s="455">
        <f t="shared" ca="1" si="142"/>
        <v>-894518239.52989757</v>
      </c>
      <c r="M2064" s="471">
        <f t="shared" si="144"/>
        <v>0.05</v>
      </c>
      <c r="N2064" s="475">
        <f t="shared" si="145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43"/>
        <v>-894518239.52989757</v>
      </c>
      <c r="J2065" s="455">
        <f t="array" ref="J2065">IFERROR(INDEX('Retirement Calculator'!J:J,MATCH('Isaac 401k'!N2065,'Retirement Calculator'!A:A,0),0),0)</f>
        <v>0</v>
      </c>
      <c r="K2065" s="455">
        <f t="shared" ca="1" si="141"/>
        <v>-3727159.3313745735</v>
      </c>
      <c r="L2065" s="455">
        <f t="shared" ca="1" si="142"/>
        <v>-898245398.8612721</v>
      </c>
      <c r="M2065" s="471">
        <f t="shared" si="144"/>
        <v>0.05</v>
      </c>
      <c r="N2065" s="475">
        <f t="shared" si="145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43"/>
        <v>-898245398.8612721</v>
      </c>
      <c r="J2066" s="455">
        <f t="array" ref="J2066">IFERROR(INDEX('Retirement Calculator'!J:J,MATCH('Isaac 401k'!N2066,'Retirement Calculator'!A:A,0),0),0)</f>
        <v>0</v>
      </c>
      <c r="K2066" s="455">
        <f t="shared" ca="1" si="141"/>
        <v>-3742689.1619219668</v>
      </c>
      <c r="L2066" s="455">
        <f t="shared" ca="1" si="142"/>
        <v>-901988088.02319407</v>
      </c>
      <c r="M2066" s="471">
        <f t="shared" si="144"/>
        <v>0.05</v>
      </c>
      <c r="N2066" s="475">
        <f t="shared" si="145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43"/>
        <v>-901988088.02319407</v>
      </c>
      <c r="J2067" s="455">
        <f t="array" ref="J2067">IFERROR(INDEX('Retirement Calculator'!J:J,MATCH('Isaac 401k'!N2067,'Retirement Calculator'!A:A,0),0),0)</f>
        <v>0</v>
      </c>
      <c r="K2067" s="455">
        <f t="shared" ca="1" si="141"/>
        <v>-3758283.7000966426</v>
      </c>
      <c r="L2067" s="455">
        <f t="shared" ca="1" si="142"/>
        <v>-905746371.72329068</v>
      </c>
      <c r="M2067" s="471">
        <f t="shared" si="144"/>
        <v>0.05</v>
      </c>
      <c r="N2067" s="475">
        <f t="shared" si="145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43"/>
        <v>-905746371.72329068</v>
      </c>
      <c r="J2068" s="455">
        <f t="array" ref="J2068">IFERROR(INDEX('Retirement Calculator'!J:J,MATCH('Isaac 401k'!N2068,'Retirement Calculator'!A:A,0),0),0)</f>
        <v>0</v>
      </c>
      <c r="K2068" s="455">
        <f t="shared" ca="1" si="141"/>
        <v>-3773943.2155137118</v>
      </c>
      <c r="L2068" s="455">
        <f t="shared" ca="1" si="142"/>
        <v>-909520314.93880439</v>
      </c>
      <c r="M2068" s="471">
        <f t="shared" si="144"/>
        <v>0.05</v>
      </c>
      <c r="N2068" s="475">
        <f t="shared" si="145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43"/>
        <v>-909520314.93880439</v>
      </c>
      <c r="J2069" s="455">
        <f t="array" ref="J2069">IFERROR(INDEX('Retirement Calculator'!J:J,MATCH('Isaac 401k'!N2069,'Retirement Calculator'!A:A,0),0),0)</f>
        <v>0</v>
      </c>
      <c r="K2069" s="455">
        <f t="shared" ca="1" si="141"/>
        <v>-3789667.9789116848</v>
      </c>
      <c r="L2069" s="455">
        <f t="shared" ca="1" si="142"/>
        <v>-913309982.91771603</v>
      </c>
      <c r="M2069" s="471">
        <f t="shared" si="144"/>
        <v>0.05</v>
      </c>
      <c r="N2069" s="475">
        <f t="shared" si="145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43"/>
        <v>-913309982.91771603</v>
      </c>
      <c r="J2070" s="455">
        <f t="array" ref="J2070">IFERROR(INDEX('Retirement Calculator'!J:J,MATCH('Isaac 401k'!N2070,'Retirement Calculator'!A:A,0),0),0)</f>
        <v>0</v>
      </c>
      <c r="K2070" s="455">
        <f t="shared" ca="1" si="141"/>
        <v>-3805458.2621571501</v>
      </c>
      <c r="L2070" s="455">
        <f t="shared" ca="1" si="142"/>
        <v>-917115441.17987323</v>
      </c>
      <c r="M2070" s="471">
        <f t="shared" si="144"/>
        <v>0.05</v>
      </c>
      <c r="N2070" s="475">
        <f t="shared" si="145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43"/>
        <v>-917115441.17987323</v>
      </c>
      <c r="J2071" s="455">
        <f t="array" ref="J2071">IFERROR(INDEX('Retirement Calculator'!J:J,MATCH('Isaac 401k'!N2071,'Retirement Calculator'!A:A,0),0),0)</f>
        <v>0</v>
      </c>
      <c r="K2071" s="455">
        <f t="shared" ca="1" si="141"/>
        <v>-3821314.3382494715</v>
      </c>
      <c r="L2071" s="455">
        <f t="shared" ca="1" si="142"/>
        <v>-920936755.51812267</v>
      </c>
      <c r="M2071" s="471">
        <f t="shared" si="144"/>
        <v>0.05</v>
      </c>
      <c r="N2071" s="475">
        <f t="shared" si="145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43"/>
        <v>-920936755.51812267</v>
      </c>
      <c r="J2072" s="455">
        <f t="array" ref="J2072">IFERROR(INDEX('Retirement Calculator'!J:J,MATCH('Isaac 401k'!N2072,'Retirement Calculator'!A:A,0),0),0)</f>
        <v>0</v>
      </c>
      <c r="K2072" s="455">
        <f t="shared" ca="1" si="141"/>
        <v>-3837236.4813255104</v>
      </c>
      <c r="L2072" s="455">
        <f t="shared" ca="1" si="142"/>
        <v>-924773991.99944818</v>
      </c>
      <c r="M2072" s="471">
        <f t="shared" si="144"/>
        <v>0.05</v>
      </c>
      <c r="N2072" s="475">
        <f t="shared" si="145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43"/>
        <v>-924773991.99944818</v>
      </c>
      <c r="J2073" s="455">
        <f t="array" ref="J2073">IFERROR(INDEX('Retirement Calculator'!J:J,MATCH('Isaac 401k'!N2073,'Retirement Calculator'!A:A,0),0),0)</f>
        <v>0</v>
      </c>
      <c r="K2073" s="455">
        <f t="shared" ca="1" si="141"/>
        <v>-3853224.9666643674</v>
      </c>
      <c r="L2073" s="455">
        <f t="shared" ca="1" si="142"/>
        <v>-928627216.96611249</v>
      </c>
      <c r="M2073" s="471">
        <f t="shared" si="144"/>
        <v>0.05</v>
      </c>
      <c r="N2073" s="475">
        <f t="shared" si="145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43"/>
        <v>-928627216.96611249</v>
      </c>
      <c r="J2074" s="455">
        <f t="array" ref="J2074">IFERROR(INDEX('Retirement Calculator'!J:J,MATCH('Isaac 401k'!N2074,'Retirement Calculator'!A:A,0),0),0)</f>
        <v>0</v>
      </c>
      <c r="K2074" s="455">
        <f t="shared" ca="1" si="141"/>
        <v>-3869280.070692135</v>
      </c>
      <c r="L2074" s="455">
        <f t="shared" ca="1" si="142"/>
        <v>-932496497.03680468</v>
      </c>
      <c r="M2074" s="471">
        <f t="shared" si="144"/>
        <v>0.05</v>
      </c>
      <c r="N2074" s="475">
        <f t="shared" si="145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43"/>
        <v>-932496497.03680468</v>
      </c>
      <c r="J2075" s="455">
        <f t="array" ref="J2075">IFERROR(INDEX('Retirement Calculator'!J:J,MATCH('Isaac 401k'!N2075,'Retirement Calculator'!A:A,0),0),0)</f>
        <v>0</v>
      </c>
      <c r="K2075" s="455">
        <f t="shared" ca="1" si="141"/>
        <v>-3885402.0709866863</v>
      </c>
      <c r="L2075" s="455">
        <f t="shared" ca="1" si="142"/>
        <v>-936381899.1077913</v>
      </c>
      <c r="M2075" s="471">
        <f t="shared" si="144"/>
        <v>0.05</v>
      </c>
      <c r="N2075" s="475">
        <f t="shared" si="145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43"/>
        <v>-936381899.1077913</v>
      </c>
      <c r="J2076" s="455">
        <f t="array" ref="J2076">IFERROR(INDEX('Retirement Calculator'!J:J,MATCH('Isaac 401k'!N2076,'Retirement Calculator'!A:A,0),0),0)</f>
        <v>0</v>
      </c>
      <c r="K2076" s="455">
        <f t="shared" ca="1" si="141"/>
        <v>-3901591.2462824639</v>
      </c>
      <c r="L2076" s="455">
        <f t="shared" ca="1" si="142"/>
        <v>-940283490.35407376</v>
      </c>
      <c r="M2076" s="471">
        <f t="shared" si="144"/>
        <v>0.05</v>
      </c>
      <c r="N2076" s="475">
        <f t="shared" si="145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43"/>
        <v>-940283490.35407376</v>
      </c>
      <c r="J2077" s="455">
        <f t="array" ref="J2077">IFERROR(INDEX('Retirement Calculator'!J:J,MATCH('Isaac 401k'!N2077,'Retirement Calculator'!A:A,0),0),0)</f>
        <v>0</v>
      </c>
      <c r="K2077" s="455">
        <f t="shared" ca="1" si="141"/>
        <v>-3917847.8764753072</v>
      </c>
      <c r="L2077" s="455">
        <f t="shared" ca="1" si="142"/>
        <v>-944201338.2305491</v>
      </c>
      <c r="M2077" s="471">
        <f t="shared" si="144"/>
        <v>0.05</v>
      </c>
      <c r="N2077" s="475">
        <f t="shared" si="145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43"/>
        <v>-944201338.2305491</v>
      </c>
      <c r="J2078" s="455">
        <f t="array" ref="J2078">IFERROR(INDEX('Retirement Calculator'!J:J,MATCH('Isaac 401k'!N2078,'Retirement Calculator'!A:A,0),0),0)</f>
        <v>0</v>
      </c>
      <c r="K2078" s="455">
        <f t="shared" ca="1" si="141"/>
        <v>-3934172.2426272873</v>
      </c>
      <c r="L2078" s="455">
        <f t="shared" ca="1" si="142"/>
        <v>-948135510.47317636</v>
      </c>
      <c r="M2078" s="471">
        <f t="shared" si="144"/>
        <v>0.05</v>
      </c>
      <c r="N2078" s="475">
        <f t="shared" si="145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43"/>
        <v>-948135510.47317636</v>
      </c>
      <c r="J2079" s="455">
        <f t="array" ref="J2079">IFERROR(INDEX('Retirement Calculator'!J:J,MATCH('Isaac 401k'!N2079,'Retirement Calculator'!A:A,0),0),0)</f>
        <v>0</v>
      </c>
      <c r="K2079" s="455">
        <f t="shared" ca="1" si="141"/>
        <v>-3950564.626971568</v>
      </c>
      <c r="L2079" s="455">
        <f t="shared" ca="1" si="142"/>
        <v>-952086075.10014796</v>
      </c>
      <c r="M2079" s="471">
        <f t="shared" si="144"/>
        <v>0.05</v>
      </c>
      <c r="N2079" s="475">
        <f t="shared" si="145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43"/>
        <v>-952086075.10014796</v>
      </c>
      <c r="J2080" s="455">
        <f t="array" ref="J2080">IFERROR(INDEX('Retirement Calculator'!J:J,MATCH('Isaac 401k'!N2080,'Retirement Calculator'!A:A,0),0),0)</f>
        <v>0</v>
      </c>
      <c r="K2080" s="455">
        <f t="shared" ca="1" si="141"/>
        <v>-3967025.3129172837</v>
      </c>
      <c r="L2080" s="455">
        <f t="shared" ca="1" si="142"/>
        <v>-956053100.4130652</v>
      </c>
      <c r="M2080" s="471">
        <f t="shared" si="144"/>
        <v>0.05</v>
      </c>
      <c r="N2080" s="475">
        <f t="shared" si="145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43"/>
        <v>-956053100.4130652</v>
      </c>
      <c r="J2081" s="455">
        <f t="array" ref="J2081">IFERROR(INDEX('Retirement Calculator'!J:J,MATCH('Isaac 401k'!N2081,'Retirement Calculator'!A:A,0),0),0)</f>
        <v>0</v>
      </c>
      <c r="K2081" s="455">
        <f t="shared" ca="1" si="141"/>
        <v>-3983554.5850544381</v>
      </c>
      <c r="L2081" s="455">
        <f t="shared" ca="1" si="142"/>
        <v>-960036654.99811959</v>
      </c>
      <c r="M2081" s="471">
        <f t="shared" si="144"/>
        <v>0.05</v>
      </c>
      <c r="N2081" s="475">
        <f t="shared" si="145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43"/>
        <v>-960036654.99811959</v>
      </c>
      <c r="J2082" s="455">
        <f t="array" ref="J2082">IFERROR(INDEX('Retirement Calculator'!J:J,MATCH('Isaac 401k'!N2082,'Retirement Calculator'!A:A,0),0),0)</f>
        <v>0</v>
      </c>
      <c r="K2082" s="455">
        <f t="shared" ca="1" si="141"/>
        <v>-4000152.7291588322</v>
      </c>
      <c r="L2082" s="455">
        <f t="shared" ca="1" si="142"/>
        <v>-964036807.72727847</v>
      </c>
      <c r="M2082" s="471">
        <f t="shared" si="144"/>
        <v>0.05</v>
      </c>
      <c r="N2082" s="475">
        <f t="shared" si="145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43"/>
        <v>-964036807.72727847</v>
      </c>
      <c r="J2083" s="455">
        <f t="array" ref="J2083">IFERROR(INDEX('Retirement Calculator'!J:J,MATCH('Isaac 401k'!N2083,'Retirement Calculator'!A:A,0),0),0)</f>
        <v>0</v>
      </c>
      <c r="K2083" s="455">
        <f t="shared" ca="1" si="141"/>
        <v>-4016820.0321969935</v>
      </c>
      <c r="L2083" s="455">
        <f t="shared" ca="1" si="142"/>
        <v>-968053627.75947547</v>
      </c>
      <c r="M2083" s="471">
        <f t="shared" si="144"/>
        <v>0.05</v>
      </c>
      <c r="N2083" s="475">
        <f t="shared" si="145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43"/>
        <v>-968053627.75947547</v>
      </c>
      <c r="J2084" s="455">
        <f t="array" ref="J2084">IFERROR(INDEX('Retirement Calculator'!J:J,MATCH('Isaac 401k'!N2084,'Retirement Calculator'!A:A,0),0),0)</f>
        <v>0</v>
      </c>
      <c r="K2084" s="455">
        <f t="shared" ca="1" si="141"/>
        <v>-4033556.7823311477</v>
      </c>
      <c r="L2084" s="455">
        <f t="shared" ca="1" si="142"/>
        <v>-972087184.54180658</v>
      </c>
      <c r="M2084" s="471">
        <f t="shared" si="144"/>
        <v>0.05</v>
      </c>
      <c r="N2084" s="475">
        <f t="shared" si="145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43"/>
        <v>-972087184.54180658</v>
      </c>
      <c r="J2085" s="455">
        <f t="array" ref="J2085">IFERROR(INDEX('Retirement Calculator'!J:J,MATCH('Isaac 401k'!N2085,'Retirement Calculator'!A:A,0),0),0)</f>
        <v>0</v>
      </c>
      <c r="K2085" s="455">
        <f t="shared" ca="1" si="141"/>
        <v>-4050363.2689241939</v>
      </c>
      <c r="L2085" s="455">
        <f t="shared" ca="1" si="142"/>
        <v>-976137547.81073081</v>
      </c>
      <c r="M2085" s="471">
        <f t="shared" si="144"/>
        <v>0.05</v>
      </c>
      <c r="N2085" s="475">
        <f t="shared" si="145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43"/>
        <v>-976137547.81073081</v>
      </c>
      <c r="J2086" s="455">
        <f t="array" ref="J2086">IFERROR(INDEX('Retirement Calculator'!J:J,MATCH('Isaac 401k'!N2086,'Retirement Calculator'!A:A,0),0),0)</f>
        <v>0</v>
      </c>
      <c r="K2086" s="455">
        <f t="shared" ca="1" si="141"/>
        <v>-4067239.7825447121</v>
      </c>
      <c r="L2086" s="455">
        <f t="shared" ca="1" si="142"/>
        <v>-980204787.59327555</v>
      </c>
      <c r="M2086" s="471">
        <f t="shared" si="144"/>
        <v>0.05</v>
      </c>
      <c r="N2086" s="475">
        <f t="shared" si="145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43"/>
        <v>-980204787.59327555</v>
      </c>
      <c r="J2087" s="455">
        <f t="array" ref="J2087">IFERROR(INDEX('Retirement Calculator'!J:J,MATCH('Isaac 401k'!N2087,'Retirement Calculator'!A:A,0),0),0)</f>
        <v>0</v>
      </c>
      <c r="K2087" s="455">
        <f t="shared" ca="1" si="141"/>
        <v>-4084186.6149719814</v>
      </c>
      <c r="L2087" s="455">
        <f t="shared" ca="1" si="142"/>
        <v>-984288974.20824754</v>
      </c>
      <c r="M2087" s="471">
        <f t="shared" si="144"/>
        <v>0.05</v>
      </c>
      <c r="N2087" s="475">
        <f t="shared" si="145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43"/>
        <v>-984288974.20824754</v>
      </c>
      <c r="J2088" s="455">
        <f t="array" ref="J2088">IFERROR(INDEX('Retirement Calculator'!J:J,MATCH('Isaac 401k'!N2088,'Retirement Calculator'!A:A,0),0),0)</f>
        <v>0</v>
      </c>
      <c r="K2088" s="455">
        <f t="shared" ca="1" si="141"/>
        <v>-4101204.0592010315</v>
      </c>
      <c r="L2088" s="455">
        <f t="shared" ca="1" si="142"/>
        <v>-988390178.26744854</v>
      </c>
      <c r="M2088" s="471">
        <f t="shared" si="144"/>
        <v>0.05</v>
      </c>
      <c r="N2088" s="475">
        <f t="shared" si="145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43"/>
        <v>-988390178.26744854</v>
      </c>
      <c r="J2089" s="455">
        <f t="array" ref="J2089">IFERROR(INDEX('Retirement Calculator'!J:J,MATCH('Isaac 401k'!N2089,'Retirement Calculator'!A:A,0),0),0)</f>
        <v>0</v>
      </c>
      <c r="K2089" s="455">
        <f t="shared" ca="1" si="141"/>
        <v>-4118292.4094477021</v>
      </c>
      <c r="L2089" s="455">
        <f t="shared" ca="1" si="142"/>
        <v>-992508470.67689621</v>
      </c>
      <c r="M2089" s="471">
        <f t="shared" si="144"/>
        <v>0.05</v>
      </c>
      <c r="N2089" s="475">
        <f t="shared" si="145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43"/>
        <v>-992508470.67689621</v>
      </c>
      <c r="J2090" s="455">
        <f t="array" ref="J2090">IFERROR(INDEX('Retirement Calculator'!J:J,MATCH('Isaac 401k'!N2090,'Retirement Calculator'!A:A,0),0),0)</f>
        <v>0</v>
      </c>
      <c r="K2090" s="455">
        <f t="shared" ca="1" si="141"/>
        <v>-4135451.9611537335</v>
      </c>
      <c r="L2090" s="455">
        <f t="shared" ca="1" si="142"/>
        <v>-996643922.63804996</v>
      </c>
      <c r="M2090" s="471">
        <f t="shared" si="144"/>
        <v>0.05</v>
      </c>
      <c r="N2090" s="475">
        <f t="shared" si="145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43"/>
        <v>-996643922.63804996</v>
      </c>
      <c r="J2091" s="455">
        <f t="array" ref="J2091">IFERROR(INDEX('Retirement Calculator'!J:J,MATCH('Isaac 401k'!N2091,'Retirement Calculator'!A:A,0),0),0)</f>
        <v>0</v>
      </c>
      <c r="K2091" s="455">
        <f t="shared" ca="1" si="141"/>
        <v>-4152683.0109918746</v>
      </c>
      <c r="L2091" s="455">
        <f t="shared" ca="1" si="142"/>
        <v>-1000796605.6490419</v>
      </c>
      <c r="M2091" s="471">
        <f t="shared" si="144"/>
        <v>0.05</v>
      </c>
      <c r="N2091" s="475">
        <f t="shared" si="145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43"/>
        <v>-1000796605.6490419</v>
      </c>
      <c r="J2092" s="455">
        <f t="array" ref="J2092">IFERROR(INDEX('Retirement Calculator'!J:J,MATCH('Isaac 401k'!N2092,'Retirement Calculator'!A:A,0),0),0)</f>
        <v>0</v>
      </c>
      <c r="K2092" s="455">
        <f t="shared" ca="1" si="141"/>
        <v>-4169985.8568710079</v>
      </c>
      <c r="L2092" s="455">
        <f t="shared" ca="1" si="142"/>
        <v>-1004966591.5059129</v>
      </c>
      <c r="M2092" s="471">
        <f t="shared" si="144"/>
        <v>0.05</v>
      </c>
      <c r="N2092" s="475">
        <f t="shared" si="145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43"/>
        <v>-1004966591.5059129</v>
      </c>
      <c r="J2093" s="455">
        <f t="array" ref="J2093">IFERROR(INDEX('Retirement Calculator'!J:J,MATCH('Isaac 401k'!N2093,'Retirement Calculator'!A:A,0),0),0)</f>
        <v>0</v>
      </c>
      <c r="K2093" s="455">
        <f t="shared" ca="1" si="141"/>
        <v>-4187360.7979413033</v>
      </c>
      <c r="L2093" s="455">
        <f t="shared" ca="1" si="142"/>
        <v>-1009153952.3038542</v>
      </c>
      <c r="M2093" s="471">
        <f t="shared" si="144"/>
        <v>0.05</v>
      </c>
      <c r="N2093" s="475">
        <f t="shared" si="145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43"/>
        <v>-1009153952.3038542</v>
      </c>
      <c r="J2094" s="455">
        <f t="array" ref="J2094">IFERROR(INDEX('Retirement Calculator'!J:J,MATCH('Isaac 401k'!N2094,'Retirement Calculator'!A:A,0),0),0)</f>
        <v>0</v>
      </c>
      <c r="K2094" s="455">
        <f t="shared" ca="1" si="141"/>
        <v>-4204808.1345993923</v>
      </c>
      <c r="L2094" s="455">
        <f t="shared" ca="1" si="142"/>
        <v>-1013358760.4384537</v>
      </c>
      <c r="M2094" s="471">
        <f t="shared" si="144"/>
        <v>0.05</v>
      </c>
      <c r="N2094" s="475">
        <f t="shared" si="145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43"/>
        <v>-1013358760.4384537</v>
      </c>
      <c r="J2095" s="455">
        <f t="array" ref="J2095">IFERROR(INDEX('Retirement Calculator'!J:J,MATCH('Isaac 401k'!N2095,'Retirement Calculator'!A:A,0),0),0)</f>
        <v>0</v>
      </c>
      <c r="K2095" s="455">
        <f t="shared" ca="1" si="141"/>
        <v>-4222328.1684935568</v>
      </c>
      <c r="L2095" s="455">
        <f t="shared" ca="1" si="142"/>
        <v>-1017581088.6069472</v>
      </c>
      <c r="M2095" s="471">
        <f t="shared" si="144"/>
        <v>0.05</v>
      </c>
      <c r="N2095" s="475">
        <f t="shared" si="145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43"/>
        <v>-1017581088.6069472</v>
      </c>
      <c r="J2096" s="455">
        <f t="array" ref="J2096">IFERROR(INDEX('Retirement Calculator'!J:J,MATCH('Isaac 401k'!N2096,'Retirement Calculator'!A:A,0),0),0)</f>
        <v>0</v>
      </c>
      <c r="K2096" s="455">
        <f t="shared" ca="1" si="141"/>
        <v>-4239921.2025289461</v>
      </c>
      <c r="L2096" s="455">
        <f t="shared" ca="1" si="142"/>
        <v>-1021821009.8094761</v>
      </c>
      <c r="M2096" s="471">
        <f t="shared" si="144"/>
        <v>0.05</v>
      </c>
      <c r="N2096" s="475">
        <f t="shared" si="145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43"/>
        <v>-1021821009.8094761</v>
      </c>
      <c r="J2097" s="455">
        <f t="array" ref="J2097">IFERROR(INDEX('Retirement Calculator'!J:J,MATCH('Isaac 401k'!N2097,'Retirement Calculator'!A:A,0),0),0)</f>
        <v>0</v>
      </c>
      <c r="K2097" s="455">
        <f t="shared" ca="1" si="141"/>
        <v>-4257587.5408728169</v>
      </c>
      <c r="L2097" s="455">
        <f t="shared" ca="1" si="142"/>
        <v>-1026078597.3503489</v>
      </c>
      <c r="M2097" s="471">
        <f t="shared" si="144"/>
        <v>0.05</v>
      </c>
      <c r="N2097" s="475">
        <f t="shared" si="145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43"/>
        <v>-1026078597.3503489</v>
      </c>
      <c r="J2098" s="455">
        <f t="array" ref="J2098">IFERROR(INDEX('Retirement Calculator'!J:J,MATCH('Isaac 401k'!N2098,'Retirement Calculator'!A:A,0),0),0)</f>
        <v>0</v>
      </c>
      <c r="K2098" s="455">
        <f t="shared" ca="1" si="141"/>
        <v>-4275327.4889597874</v>
      </c>
      <c r="L2098" s="455">
        <f t="shared" ca="1" si="142"/>
        <v>-1030353924.8393087</v>
      </c>
      <c r="M2098" s="471">
        <f t="shared" si="144"/>
        <v>0.05</v>
      </c>
      <c r="N2098" s="475">
        <f t="shared" si="145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43"/>
        <v>-1030353924.8393087</v>
      </c>
      <c r="J2099" s="455">
        <f t="array" ref="J2099">IFERROR(INDEX('Retirement Calculator'!J:J,MATCH('Isaac 401k'!N2099,'Retirement Calculator'!A:A,0),0),0)</f>
        <v>0</v>
      </c>
      <c r="K2099" s="455">
        <f t="shared" ca="1" si="141"/>
        <v>-4293141.3534971196</v>
      </c>
      <c r="L2099" s="455">
        <f t="shared" ca="1" si="142"/>
        <v>-1034647066.1928059</v>
      </c>
      <c r="M2099" s="471">
        <f t="shared" si="144"/>
        <v>0.05</v>
      </c>
      <c r="N2099" s="475">
        <f t="shared" si="145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43"/>
        <v>-1034647066.1928059</v>
      </c>
      <c r="J2100" s="455">
        <f t="array" ref="J2100">IFERROR(INDEX('Retirement Calculator'!J:J,MATCH('Isaac 401k'!N2100,'Retirement Calculator'!A:A,0),0),0)</f>
        <v>0</v>
      </c>
      <c r="K2100" s="455">
        <f t="shared" ca="1" si="141"/>
        <v>-4311029.4424700243</v>
      </c>
      <c r="L2100" s="455">
        <f t="shared" ca="1" si="142"/>
        <v>-1038958095.635276</v>
      </c>
      <c r="M2100" s="471">
        <f t="shared" si="144"/>
        <v>0.05</v>
      </c>
      <c r="N2100" s="475">
        <f t="shared" si="145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43"/>
        <v>-1038958095.635276</v>
      </c>
      <c r="J2101" s="455">
        <f t="array" ref="J2101">IFERROR(INDEX('Retirement Calculator'!J:J,MATCH('Isaac 401k'!N2101,'Retirement Calculator'!A:A,0),0),0)</f>
        <v>0</v>
      </c>
      <c r="K2101" s="455">
        <f t="shared" ca="1" si="141"/>
        <v>-4328992.0651469827</v>
      </c>
      <c r="L2101" s="455">
        <f t="shared" ca="1" si="142"/>
        <v>-1043287087.700423</v>
      </c>
      <c r="M2101" s="471">
        <f t="shared" si="144"/>
        <v>0.05</v>
      </c>
      <c r="N2101" s="475">
        <f t="shared" si="145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43"/>
        <v>-1043287087.700423</v>
      </c>
      <c r="J2102" s="455">
        <f t="array" ref="J2102">IFERROR(INDEX('Retirement Calculator'!J:J,MATCH('Isaac 401k'!N2102,'Retirement Calculator'!A:A,0),0),0)</f>
        <v>0</v>
      </c>
      <c r="K2102" s="455">
        <f t="shared" ca="1" si="141"/>
        <v>-4347029.5320850955</v>
      </c>
      <c r="L2102" s="455">
        <f t="shared" ca="1" si="142"/>
        <v>-1047634117.2325081</v>
      </c>
      <c r="M2102" s="471">
        <f t="shared" si="144"/>
        <v>0.05</v>
      </c>
      <c r="N2102" s="475">
        <f t="shared" si="145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43"/>
        <v>-1047634117.2325081</v>
      </c>
      <c r="J2103" s="455">
        <f t="array" ref="J2103">IFERROR(INDEX('Retirement Calculator'!J:J,MATCH('Isaac 401k'!N2103,'Retirement Calculator'!A:A,0),0),0)</f>
        <v>0</v>
      </c>
      <c r="K2103" s="455">
        <f t="shared" ca="1" si="141"/>
        <v>-4365142.15513545</v>
      </c>
      <c r="L2103" s="455">
        <f t="shared" ca="1" si="142"/>
        <v>-1051999259.3876435</v>
      </c>
      <c r="M2103" s="471">
        <f t="shared" si="144"/>
        <v>0.05</v>
      </c>
      <c r="N2103" s="475">
        <f t="shared" si="145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43"/>
        <v>-1051999259.3876435</v>
      </c>
      <c r="J2104" s="455">
        <f t="array" ref="J2104">IFERROR(INDEX('Retirement Calculator'!J:J,MATCH('Isaac 401k'!N2104,'Retirement Calculator'!A:A,0),0),0)</f>
        <v>0</v>
      </c>
      <c r="K2104" s="455">
        <f t="shared" ca="1" si="141"/>
        <v>-4383330.2474485142</v>
      </c>
      <c r="L2104" s="455">
        <f t="shared" ca="1" si="142"/>
        <v>-1056382589.635092</v>
      </c>
      <c r="M2104" s="471">
        <f t="shared" si="144"/>
        <v>0.05</v>
      </c>
      <c r="N2104" s="475">
        <f t="shared" si="145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43"/>
        <v>-1056382589.635092</v>
      </c>
      <c r="J2105" s="455">
        <f t="array" ref="J2105">IFERROR(INDEX('Retirement Calculator'!J:J,MATCH('Isaac 401k'!N2105,'Retirement Calculator'!A:A,0),0),0)</f>
        <v>0</v>
      </c>
      <c r="K2105" s="455">
        <f t="shared" ca="1" si="141"/>
        <v>-4401594.1234795498</v>
      </c>
      <c r="L2105" s="455">
        <f t="shared" ca="1" si="142"/>
        <v>-1060784183.7585716</v>
      </c>
      <c r="M2105" s="471">
        <f t="shared" si="144"/>
        <v>0.05</v>
      </c>
      <c r="N2105" s="475">
        <f t="shared" si="145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43"/>
        <v>-1060784183.7585716</v>
      </c>
      <c r="J2106" s="455">
        <f t="array" ref="J2106">IFERROR(INDEX('Retirement Calculator'!J:J,MATCH('Isaac 401k'!N2106,'Retirement Calculator'!A:A,0),0),0)</f>
        <v>0</v>
      </c>
      <c r="K2106" s="455">
        <f t="shared" ca="1" si="141"/>
        <v>-4419934.0989940483</v>
      </c>
      <c r="L2106" s="455">
        <f t="shared" ca="1" si="142"/>
        <v>-1065204117.8575656</v>
      </c>
      <c r="M2106" s="471">
        <f t="shared" si="144"/>
        <v>0.05</v>
      </c>
      <c r="N2106" s="475">
        <f t="shared" si="145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43"/>
        <v>-1065204117.8575656</v>
      </c>
      <c r="J2107" s="455">
        <f t="array" ref="J2107">IFERROR(INDEX('Retirement Calculator'!J:J,MATCH('Isaac 401k'!N2107,'Retirement Calculator'!A:A,0),0),0)</f>
        <v>0</v>
      </c>
      <c r="K2107" s="455">
        <f t="shared" ca="1" si="141"/>
        <v>-4438350.4910731902</v>
      </c>
      <c r="L2107" s="455">
        <f t="shared" ca="1" si="142"/>
        <v>-1069642468.3486388</v>
      </c>
      <c r="M2107" s="471">
        <f t="shared" si="144"/>
        <v>0.05</v>
      </c>
      <c r="N2107" s="475">
        <f t="shared" si="145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43"/>
        <v>-1069642468.3486388</v>
      </c>
      <c r="J2108" s="455">
        <f t="array" ref="J2108">IFERROR(INDEX('Retirement Calculator'!J:J,MATCH('Isaac 401k'!N2108,'Retirement Calculator'!A:A,0),0),0)</f>
        <v>0</v>
      </c>
      <c r="K2108" s="455">
        <f t="shared" ca="1" si="141"/>
        <v>-4456843.6181193283</v>
      </c>
      <c r="L2108" s="455">
        <f t="shared" ca="1" si="142"/>
        <v>-1074099311.966758</v>
      </c>
      <c r="M2108" s="471">
        <f t="shared" si="144"/>
        <v>0.05</v>
      </c>
      <c r="N2108" s="475">
        <f t="shared" si="145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43"/>
        <v>-1074099311.966758</v>
      </c>
      <c r="J2109" s="455">
        <f t="array" ref="J2109">IFERROR(INDEX('Retirement Calculator'!J:J,MATCH('Isaac 401k'!N2109,'Retirement Calculator'!A:A,0),0),0)</f>
        <v>0</v>
      </c>
      <c r="K2109" s="455">
        <f t="shared" ca="1" si="141"/>
        <v>-4475413.7998614917</v>
      </c>
      <c r="L2109" s="455">
        <f t="shared" ca="1" si="142"/>
        <v>-1078574725.7666194</v>
      </c>
      <c r="M2109" s="471">
        <f t="shared" si="144"/>
        <v>0.05</v>
      </c>
      <c r="N2109" s="475">
        <f t="shared" si="145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43"/>
        <v>-1078574725.7666194</v>
      </c>
      <c r="J2110" s="455">
        <f t="array" ref="J2110">IFERROR(INDEX('Retirement Calculator'!J:J,MATCH('Isaac 401k'!N2110,'Retirement Calculator'!A:A,0),0),0)</f>
        <v>0</v>
      </c>
      <c r="K2110" s="455">
        <f t="shared" ca="1" si="141"/>
        <v>-4494061.3573609143</v>
      </c>
      <c r="L2110" s="455">
        <f t="shared" ca="1" si="142"/>
        <v>-1083068787.1239803</v>
      </c>
      <c r="M2110" s="471">
        <f t="shared" si="144"/>
        <v>0.05</v>
      </c>
      <c r="N2110" s="475">
        <f t="shared" si="145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43"/>
        <v>-1083068787.1239803</v>
      </c>
      <c r="J2111" s="455">
        <f t="array" ref="J2111">IFERROR(INDEX('Retirement Calculator'!J:J,MATCH('Isaac 401k'!N2111,'Retirement Calculator'!A:A,0),0),0)</f>
        <v>0</v>
      </c>
      <c r="K2111" s="455">
        <f t="shared" ca="1" si="141"/>
        <v>-4512786.6130165849</v>
      </c>
      <c r="L2111" s="455">
        <f t="shared" ca="1" si="142"/>
        <v>-1087581573.7369969</v>
      </c>
      <c r="M2111" s="471">
        <f t="shared" si="144"/>
        <v>0.05</v>
      </c>
      <c r="N2111" s="475">
        <f t="shared" si="145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43"/>
        <v>-1087581573.7369969</v>
      </c>
      <c r="J2112" s="455">
        <f t="array" ref="J2112">IFERROR(INDEX('Retirement Calculator'!J:J,MATCH('Isaac 401k'!N2112,'Retirement Calculator'!A:A,0),0),0)</f>
        <v>0</v>
      </c>
      <c r="K2112" s="455">
        <f t="shared" ca="1" si="141"/>
        <v>-4531589.8905708203</v>
      </c>
      <c r="L2112" s="455">
        <f t="shared" ca="1" si="142"/>
        <v>-1092113163.6275678</v>
      </c>
      <c r="M2112" s="471">
        <f t="shared" si="144"/>
        <v>0.05</v>
      </c>
      <c r="N2112" s="475">
        <f t="shared" si="145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43"/>
        <v>-1092113163.6275678</v>
      </c>
      <c r="J2113" s="455">
        <f t="array" ref="J2113">IFERROR(INDEX('Retirement Calculator'!J:J,MATCH('Isaac 401k'!N2113,'Retirement Calculator'!A:A,0),0),0)</f>
        <v>0</v>
      </c>
      <c r="K2113" s="455">
        <f t="shared" ca="1" si="141"/>
        <v>-4550471.5151148653</v>
      </c>
      <c r="L2113" s="455">
        <f t="shared" ca="1" si="142"/>
        <v>-1096663635.1426826</v>
      </c>
      <c r="M2113" s="471">
        <f t="shared" si="144"/>
        <v>0.05</v>
      </c>
      <c r="N2113" s="475">
        <f t="shared" si="145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43"/>
        <v>-1096663635.1426826</v>
      </c>
      <c r="J2114" s="455">
        <f t="array" ref="J2114">IFERROR(INDEX('Retirement Calculator'!J:J,MATCH('Isaac 401k'!N2114,'Retirement Calculator'!A:A,0),0),0)</f>
        <v>0</v>
      </c>
      <c r="K2114" s="455">
        <f t="shared" ca="1" si="141"/>
        <v>-4569431.8130945107</v>
      </c>
      <c r="L2114" s="455">
        <f t="shared" ca="1" si="142"/>
        <v>-1101233066.9557772</v>
      </c>
      <c r="M2114" s="471">
        <f t="shared" si="144"/>
        <v>0.05</v>
      </c>
      <c r="N2114" s="475">
        <f t="shared" si="145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43"/>
        <v>-1101233066.9557772</v>
      </c>
      <c r="J2115" s="455">
        <f t="array" ref="J2115">IFERROR(INDEX('Retirement Calculator'!J:J,MATCH('Isaac 401k'!N2115,'Retirement Calculator'!A:A,0),0),0)</f>
        <v>0</v>
      </c>
      <c r="K2115" s="455">
        <f t="shared" ca="1" si="141"/>
        <v>-4588471.1123157386</v>
      </c>
      <c r="L2115" s="455">
        <f t="shared" ca="1" si="142"/>
        <v>-1105821538.0680928</v>
      </c>
      <c r="M2115" s="471">
        <f t="shared" si="144"/>
        <v>0.05</v>
      </c>
      <c r="N2115" s="475">
        <f t="shared" si="145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43"/>
        <v>-1105821538.0680928</v>
      </c>
      <c r="J2116" s="455">
        <f t="array" ref="J2116">IFERROR(INDEX('Retirement Calculator'!J:J,MATCH('Isaac 401k'!N2116,'Retirement Calculator'!A:A,0),0),0)</f>
        <v>0</v>
      </c>
      <c r="K2116" s="455">
        <f t="shared" ca="1" si="141"/>
        <v>-4607589.7419503871</v>
      </c>
      <c r="L2116" s="455">
        <f t="shared" ca="1" si="142"/>
        <v>-1110429127.8100431</v>
      </c>
      <c r="M2116" s="471">
        <f t="shared" si="144"/>
        <v>0.05</v>
      </c>
      <c r="N2116" s="475">
        <f t="shared" si="145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43"/>
        <v>-1110429127.8100431</v>
      </c>
      <c r="J2117" s="455">
        <f t="array" ref="J2117">IFERROR(INDEX('Retirement Calculator'!J:J,MATCH('Isaac 401k'!N2117,'Retirement Calculator'!A:A,0),0),0)</f>
        <v>0</v>
      </c>
      <c r="K2117" s="455">
        <f t="shared" ca="1" si="141"/>
        <v>-4626788.0325418459</v>
      </c>
      <c r="L2117" s="455">
        <f t="shared" ca="1" si="142"/>
        <v>-1115055915.8425848</v>
      </c>
      <c r="M2117" s="471">
        <f t="shared" si="144"/>
        <v>0.05</v>
      </c>
      <c r="N2117" s="475">
        <f t="shared" si="145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43"/>
        <v>-1115055915.8425848</v>
      </c>
      <c r="J2118" s="455">
        <f t="array" ref="J2118">IFERROR(INDEX('Retirement Calculator'!J:J,MATCH('Isaac 401k'!N2118,'Retirement Calculator'!A:A,0),0),0)</f>
        <v>0</v>
      </c>
      <c r="K2118" s="455">
        <f t="shared" ca="1" si="141"/>
        <v>-4646066.3160107704</v>
      </c>
      <c r="L2118" s="455">
        <f t="shared" ca="1" si="142"/>
        <v>-1119701982.1585956</v>
      </c>
      <c r="M2118" s="471">
        <f t="shared" si="144"/>
        <v>0.05</v>
      </c>
      <c r="N2118" s="475">
        <f t="shared" si="145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43"/>
        <v>-1119701982.1585956</v>
      </c>
      <c r="J2119" s="455">
        <f t="array" ref="J2119">IFERROR(INDEX('Retirement Calculator'!J:J,MATCH('Isaac 401k'!N2119,'Retirement Calculator'!A:A,0),0),0)</f>
        <v>0</v>
      </c>
      <c r="K2119" s="455">
        <f t="shared" ca="1" si="141"/>
        <v>-4665424.9256608151</v>
      </c>
      <c r="L2119" s="455">
        <f t="shared" ca="1" si="142"/>
        <v>-1124367407.0842564</v>
      </c>
      <c r="M2119" s="471">
        <f t="shared" si="144"/>
        <v>0.05</v>
      </c>
      <c r="N2119" s="475">
        <f t="shared" si="145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43"/>
        <v>-1124367407.0842564</v>
      </c>
      <c r="J2120" s="455">
        <f t="array" ref="J2120">IFERROR(INDEX('Retirement Calculator'!J:J,MATCH('Isaac 401k'!N2120,'Retirement Calculator'!A:A,0),0),0)</f>
        <v>0</v>
      </c>
      <c r="K2120" s="455">
        <f t="shared" ca="1" si="141"/>
        <v>-4684864.1961844014</v>
      </c>
      <c r="L2120" s="455">
        <f t="shared" ca="1" si="142"/>
        <v>-1129052271.2804408</v>
      </c>
      <c r="M2120" s="471">
        <f t="shared" si="144"/>
        <v>0.05</v>
      </c>
      <c r="N2120" s="475">
        <f t="shared" si="145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43"/>
        <v>-1129052271.2804408</v>
      </c>
      <c r="J2121" s="455">
        <f t="array" ref="J2121">IFERROR(INDEX('Retirement Calculator'!J:J,MATCH('Isaac 401k'!N2121,'Retirement Calculator'!A:A,0),0),0)</f>
        <v>0</v>
      </c>
      <c r="K2121" s="455">
        <f t="shared" ca="1" si="141"/>
        <v>-4704384.4636685029</v>
      </c>
      <c r="L2121" s="455">
        <f t="shared" ca="1" si="142"/>
        <v>-1133756655.7441094</v>
      </c>
      <c r="M2121" s="471">
        <f t="shared" si="144"/>
        <v>0.05</v>
      </c>
      <c r="N2121" s="475">
        <f t="shared" si="145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43"/>
        <v>-1133756655.7441094</v>
      </c>
      <c r="J2122" s="455">
        <f t="array" ref="J2122">IFERROR(INDEX('Retirement Calculator'!J:J,MATCH('Isaac 401k'!N2122,'Retirement Calculator'!A:A,0),0),0)</f>
        <v>0</v>
      </c>
      <c r="K2122" s="455">
        <f t="shared" ca="1" si="141"/>
        <v>-4723986.0656004557</v>
      </c>
      <c r="L2122" s="455">
        <f t="shared" ca="1" si="142"/>
        <v>-1138480641.8097098</v>
      </c>
      <c r="M2122" s="471">
        <f t="shared" si="144"/>
        <v>0.05</v>
      </c>
      <c r="N2122" s="475">
        <f t="shared" si="145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43"/>
        <v>-1138480641.8097098</v>
      </c>
      <c r="J2123" s="455">
        <f t="array" ref="J2123">IFERROR(INDEX('Retirement Calculator'!J:J,MATCH('Isaac 401k'!N2123,'Retirement Calculator'!A:A,0),0),0)</f>
        <v>0</v>
      </c>
      <c r="K2123" s="455">
        <f t="shared" ca="1" si="141"/>
        <v>-4743669.3408737909</v>
      </c>
      <c r="L2123" s="455">
        <f t="shared" ca="1" si="142"/>
        <v>-1143224311.1505835</v>
      </c>
      <c r="M2123" s="471">
        <f t="shared" si="144"/>
        <v>0.05</v>
      </c>
      <c r="N2123" s="475">
        <f t="shared" si="145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43"/>
        <v>-1143224311.1505835</v>
      </c>
      <c r="J2124" s="455">
        <f t="array" ref="J2124">IFERROR(INDEX('Retirement Calculator'!J:J,MATCH('Isaac 401k'!N2124,'Retirement Calculator'!A:A,0),0),0)</f>
        <v>0</v>
      </c>
      <c r="K2124" s="455">
        <f t="shared" ca="1" si="141"/>
        <v>-4763434.6297940975</v>
      </c>
      <c r="L2124" s="455">
        <f t="shared" ca="1" si="142"/>
        <v>-1147987745.7803776</v>
      </c>
      <c r="M2124" s="471">
        <f t="shared" si="144"/>
        <v>0.05</v>
      </c>
      <c r="N2124" s="475">
        <f t="shared" si="145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43"/>
        <v>-1147987745.7803776</v>
      </c>
      <c r="J2125" s="455">
        <f t="array" ref="J2125">IFERROR(INDEX('Retirement Calculator'!J:J,MATCH('Isaac 401k'!N2125,'Retirement Calculator'!A:A,0),0),0)</f>
        <v>0</v>
      </c>
      <c r="K2125" s="455">
        <f t="shared" ca="1" si="141"/>
        <v>-4783282.274084907</v>
      </c>
      <c r="L2125" s="455">
        <f t="shared" ca="1" si="142"/>
        <v>-1152771028.0544624</v>
      </c>
      <c r="M2125" s="471">
        <f t="shared" si="144"/>
        <v>0.05</v>
      </c>
      <c r="N2125" s="475">
        <f t="shared" si="145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43"/>
        <v>-1152771028.0544624</v>
      </c>
      <c r="J2126" s="455">
        <f t="array" ref="J2126">IFERROR(INDEX('Retirement Calculator'!J:J,MATCH('Isaac 401k'!N2126,'Retirement Calculator'!A:A,0),0),0)</f>
        <v>0</v>
      </c>
      <c r="K2126" s="455">
        <f t="shared" ca="1" si="141"/>
        <v>-4803212.6168935932</v>
      </c>
      <c r="L2126" s="455">
        <f t="shared" ca="1" si="142"/>
        <v>-1157574240.671356</v>
      </c>
      <c r="M2126" s="471">
        <f t="shared" si="144"/>
        <v>0.05</v>
      </c>
      <c r="N2126" s="475">
        <f t="shared" si="145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43"/>
        <v>-1157574240.671356</v>
      </c>
      <c r="J2127" s="455">
        <f t="array" ref="J2127">IFERROR(INDEX('Retirement Calculator'!J:J,MATCH('Isaac 401k'!N2127,'Retirement Calculator'!A:A,0),0),0)</f>
        <v>0</v>
      </c>
      <c r="K2127" s="455">
        <f t="shared" ca="1" si="141"/>
        <v>-4823226.0027973168</v>
      </c>
      <c r="L2127" s="455">
        <f t="shared" ca="1" si="142"/>
        <v>-1162397466.6741533</v>
      </c>
      <c r="M2127" s="471">
        <f t="shared" si="144"/>
        <v>0.05</v>
      </c>
      <c r="N2127" s="475">
        <f t="shared" si="145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43"/>
        <v>-1162397466.6741533</v>
      </c>
      <c r="J2128" s="455">
        <f t="array" ref="J2128">IFERROR(INDEX('Retirement Calculator'!J:J,MATCH('Isaac 401k'!N2128,'Retirement Calculator'!A:A,0),0),0)</f>
        <v>0</v>
      </c>
      <c r="K2128" s="455">
        <f t="shared" ca="1" si="141"/>
        <v>-4843322.7778089717</v>
      </c>
      <c r="L2128" s="455">
        <f t="shared" ca="1" si="142"/>
        <v>-1167240789.4519622</v>
      </c>
      <c r="M2128" s="471">
        <f t="shared" si="144"/>
        <v>0.05</v>
      </c>
      <c r="N2128" s="475">
        <f t="shared" si="145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43"/>
        <v>-1167240789.4519622</v>
      </c>
      <c r="J2129" s="455">
        <f t="array" ref="J2129">IFERROR(INDEX('Retirement Calculator'!J:J,MATCH('Isaac 401k'!N2129,'Retirement Calculator'!A:A,0),0),0)</f>
        <v>0</v>
      </c>
      <c r="K2129" s="455">
        <f t="shared" ca="1" si="141"/>
        <v>-4863503.2893831758</v>
      </c>
      <c r="L2129" s="455">
        <f t="shared" ca="1" si="142"/>
        <v>-1172104292.7413454</v>
      </c>
      <c r="M2129" s="471">
        <f t="shared" si="144"/>
        <v>0.05</v>
      </c>
      <c r="N2129" s="475">
        <f t="shared" si="145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43"/>
        <v>-1172104292.7413454</v>
      </c>
      <c r="J2130" s="455">
        <f t="array" ref="J2130">IFERROR(INDEX('Retirement Calculator'!J:J,MATCH('Isaac 401k'!N2130,'Retirement Calculator'!A:A,0),0),0)</f>
        <v>0</v>
      </c>
      <c r="K2130" s="455">
        <f t="shared" ca="1" si="141"/>
        <v>-4883767.8864222728</v>
      </c>
      <c r="L2130" s="455">
        <f t="shared" ca="1" si="142"/>
        <v>-1176988060.6277676</v>
      </c>
      <c r="M2130" s="471">
        <f t="shared" si="144"/>
        <v>0.05</v>
      </c>
      <c r="N2130" s="475">
        <f t="shared" si="145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43"/>
        <v>-1176988060.6277676</v>
      </c>
      <c r="J2131" s="455">
        <f t="array" ref="J2131">IFERROR(INDEX('Retirement Calculator'!J:J,MATCH('Isaac 401k'!N2131,'Retirement Calculator'!A:A,0),0),0)</f>
        <v>0</v>
      </c>
      <c r="K2131" s="455">
        <f t="shared" ca="1" si="141"/>
        <v>-4904116.9192823647</v>
      </c>
      <c r="L2131" s="455">
        <f t="shared" ca="1" si="142"/>
        <v>-1181892177.54705</v>
      </c>
      <c r="M2131" s="471">
        <f t="shared" si="144"/>
        <v>0.05</v>
      </c>
      <c r="N2131" s="475">
        <f t="shared" si="145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43"/>
        <v>-1181892177.54705</v>
      </c>
      <c r="J2132" s="455">
        <f t="array" ref="J2132">IFERROR(INDEX('Retirement Calculator'!J:J,MATCH('Isaac 401k'!N2132,'Retirement Calculator'!A:A,0),0),0)</f>
        <v>0</v>
      </c>
      <c r="K2132" s="455">
        <f t="shared" ca="1" si="141"/>
        <v>-4924550.7397793746</v>
      </c>
      <c r="L2132" s="455">
        <f t="shared" ca="1" si="142"/>
        <v>-1186816728.2868295</v>
      </c>
      <c r="M2132" s="471">
        <f t="shared" si="144"/>
        <v>0.05</v>
      </c>
      <c r="N2132" s="475">
        <f t="shared" si="145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43"/>
        <v>-1186816728.2868295</v>
      </c>
      <c r="J2133" s="455">
        <f t="array" ref="J2133">IFERROR(INDEX('Retirement Calculator'!J:J,MATCH('Isaac 401k'!N2133,'Retirement Calculator'!A:A,0),0),0)</f>
        <v>0</v>
      </c>
      <c r="K2133" s="455">
        <f t="shared" ca="1" si="141"/>
        <v>-4945069.7011951227</v>
      </c>
      <c r="L2133" s="455">
        <f t="shared" ca="1" si="142"/>
        <v>-1191761797.9880247</v>
      </c>
      <c r="M2133" s="471">
        <f t="shared" si="144"/>
        <v>0.05</v>
      </c>
      <c r="N2133" s="475">
        <f t="shared" si="145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43"/>
        <v>-1191761797.9880247</v>
      </c>
      <c r="J2134" s="455">
        <f t="array" ref="J2134">IFERROR(INDEX('Retirement Calculator'!J:J,MATCH('Isaac 401k'!N2134,'Retirement Calculator'!A:A,0),0),0)</f>
        <v>0</v>
      </c>
      <c r="K2134" s="455">
        <f t="shared" ca="1" si="141"/>
        <v>-4965674.1582834367</v>
      </c>
      <c r="L2134" s="455">
        <f t="shared" ca="1" si="142"/>
        <v>-1196727472.1463082</v>
      </c>
      <c r="M2134" s="471">
        <f t="shared" si="144"/>
        <v>0.05</v>
      </c>
      <c r="N2134" s="475">
        <f t="shared" si="145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43"/>
        <v>-1196727472.1463082</v>
      </c>
      <c r="J2135" s="455">
        <f t="array" ref="J2135">IFERROR(INDEX('Retirement Calculator'!J:J,MATCH('Isaac 401k'!N2135,'Retirement Calculator'!A:A,0),0),0)</f>
        <v>0</v>
      </c>
      <c r="K2135" s="455">
        <f t="shared" ca="1" si="141"/>
        <v>-4986364.4672762845</v>
      </c>
      <c r="L2135" s="455">
        <f t="shared" ca="1" si="142"/>
        <v>-1201713836.6135845</v>
      </c>
      <c r="M2135" s="471">
        <f t="shared" si="144"/>
        <v>0.05</v>
      </c>
      <c r="N2135" s="475">
        <f t="shared" si="145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43"/>
        <v>-1201713836.6135845</v>
      </c>
      <c r="J2136" s="455">
        <f t="array" ref="J2136">IFERROR(INDEX('Retirement Calculator'!J:J,MATCH('Isaac 401k'!N2136,'Retirement Calculator'!A:A,0),0),0)</f>
        <v>0</v>
      </c>
      <c r="K2136" s="455">
        <f t="shared" ca="1" si="141"/>
        <v>-5007140.9858899359</v>
      </c>
      <c r="L2136" s="455">
        <f t="shared" ca="1" si="142"/>
        <v>-1206720977.5994744</v>
      </c>
      <c r="M2136" s="471">
        <f t="shared" si="144"/>
        <v>0.05</v>
      </c>
      <c r="N2136" s="475">
        <f t="shared" si="145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43"/>
        <v>-1206720977.5994744</v>
      </c>
      <c r="J2137" s="455">
        <f t="array" ref="J2137">IFERROR(INDEX('Retirement Calculator'!J:J,MATCH('Isaac 401k'!N2137,'Retirement Calculator'!A:A,0),0),0)</f>
        <v>0</v>
      </c>
      <c r="K2137" s="455">
        <f t="shared" ca="1" si="141"/>
        <v>-5028004.0733311437</v>
      </c>
      <c r="L2137" s="455">
        <f t="shared" ca="1" si="142"/>
        <v>-1211748981.6728055</v>
      </c>
      <c r="M2137" s="471">
        <f t="shared" si="144"/>
        <v>0.05</v>
      </c>
      <c r="N2137" s="475">
        <f t="shared" si="145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43"/>
        <v>-1211748981.6728055</v>
      </c>
      <c r="J2138" s="455">
        <f t="array" ref="J2138">IFERROR(INDEX('Retirement Calculator'!J:J,MATCH('Isaac 401k'!N2138,'Retirement Calculator'!A:A,0),0),0)</f>
        <v>0</v>
      </c>
      <c r="K2138" s="455">
        <f t="shared" ca="1" si="141"/>
        <v>-5048954.0903033568</v>
      </c>
      <c r="L2138" s="455">
        <f t="shared" ca="1" si="142"/>
        <v>-1216797935.763109</v>
      </c>
      <c r="M2138" s="471">
        <f t="shared" si="144"/>
        <v>0.05</v>
      </c>
      <c r="N2138" s="475">
        <f t="shared" si="145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43"/>
        <v>-1216797935.763109</v>
      </c>
      <c r="J2139" s="455">
        <f t="array" ref="J2139">IFERROR(INDEX('Retirement Calculator'!J:J,MATCH('Isaac 401k'!N2139,'Retirement Calculator'!A:A,0),0),0)</f>
        <v>0</v>
      </c>
      <c r="K2139" s="455">
        <f t="shared" ca="1" si="141"/>
        <v>-5069991.399012954</v>
      </c>
      <c r="L2139" s="455">
        <f t="shared" ca="1" si="142"/>
        <v>-1221867927.162122</v>
      </c>
      <c r="M2139" s="471">
        <f t="shared" si="144"/>
        <v>0.05</v>
      </c>
      <c r="N2139" s="475">
        <f t="shared" si="145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43"/>
        <v>-1221867927.162122</v>
      </c>
      <c r="J2140" s="455">
        <f t="array" ref="J2140">IFERROR(INDEX('Retirement Calculator'!J:J,MATCH('Isaac 401k'!N2140,'Retirement Calculator'!A:A,0),0),0)</f>
        <v>0</v>
      </c>
      <c r="K2140" s="455">
        <f t="shared" ca="1" si="141"/>
        <v>-5091116.3631755086</v>
      </c>
      <c r="L2140" s="455">
        <f t="shared" ca="1" si="142"/>
        <v>-1226959043.5252974</v>
      </c>
      <c r="M2140" s="471">
        <f t="shared" si="144"/>
        <v>0.05</v>
      </c>
      <c r="N2140" s="475">
        <f t="shared" si="145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43"/>
        <v>-1226959043.5252974</v>
      </c>
      <c r="J2141" s="455">
        <f t="array" ref="J2141">IFERROR(INDEX('Retirement Calculator'!J:J,MATCH('Isaac 401k'!N2141,'Retirement Calculator'!A:A,0),0),0)</f>
        <v>0</v>
      </c>
      <c r="K2141" s="455">
        <f t="shared" ca="1" si="141"/>
        <v>-5112329.3480220726</v>
      </c>
      <c r="L2141" s="455">
        <f t="shared" ca="1" si="142"/>
        <v>-1232071372.8733194</v>
      </c>
      <c r="M2141" s="471">
        <f t="shared" si="144"/>
        <v>0.05</v>
      </c>
      <c r="N2141" s="475">
        <f t="shared" si="145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43"/>
        <v>-1232071372.8733194</v>
      </c>
      <c r="J2142" s="455">
        <f t="array" ref="J2142">IFERROR(INDEX('Retirement Calculator'!J:J,MATCH('Isaac 401k'!N2142,'Retirement Calculator'!A:A,0),0),0)</f>
        <v>0</v>
      </c>
      <c r="K2142" s="455">
        <f t="shared" ca="1" si="141"/>
        <v>-5133630.7203054978</v>
      </c>
      <c r="L2142" s="455">
        <f t="shared" ca="1" si="142"/>
        <v>-1237205003.5936248</v>
      </c>
      <c r="M2142" s="471">
        <f t="shared" si="144"/>
        <v>0.05</v>
      </c>
      <c r="N2142" s="475">
        <f t="shared" si="145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43"/>
        <v>-1237205003.5936248</v>
      </c>
      <c r="J2143" s="455">
        <f t="array" ref="J2143">IFERROR(INDEX('Retirement Calculator'!J:J,MATCH('Isaac 401k'!N2143,'Retirement Calculator'!A:A,0),0),0)</f>
        <v>0</v>
      </c>
      <c r="K2143" s="455">
        <f t="shared" ca="1" si="141"/>
        <v>-5155020.8483067704</v>
      </c>
      <c r="L2143" s="455">
        <f t="shared" ca="1" si="142"/>
        <v>-1242360024.4419315</v>
      </c>
      <c r="M2143" s="471">
        <f t="shared" si="144"/>
        <v>0.05</v>
      </c>
      <c r="N2143" s="475">
        <f t="shared" si="145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43"/>
        <v>-1242360024.4419315</v>
      </c>
      <c r="J2144" s="455">
        <f t="array" ref="J2144">IFERROR(INDEX('Retirement Calculator'!J:J,MATCH('Isaac 401k'!N2144,'Retirement Calculator'!A:A,0),0),0)</f>
        <v>0</v>
      </c>
      <c r="K2144" s="455">
        <f t="shared" ca="1" si="141"/>
        <v>-5176500.1018413808</v>
      </c>
      <c r="L2144" s="455">
        <f t="shared" ca="1" si="142"/>
        <v>-1247536524.5437729</v>
      </c>
      <c r="M2144" s="471">
        <f t="shared" si="144"/>
        <v>0.05</v>
      </c>
      <c r="N2144" s="475">
        <f t="shared" si="145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43"/>
        <v>-1247536524.5437729</v>
      </c>
      <c r="J2145" s="455">
        <f t="array" ref="J2145">IFERROR(INDEX('Retirement Calculator'!J:J,MATCH('Isaac 401k'!N2145,'Retirement Calculator'!A:A,0),0),0)</f>
        <v>0</v>
      </c>
      <c r="K2145" s="455">
        <f t="shared" ca="1" si="141"/>
        <v>-5198068.8522657203</v>
      </c>
      <c r="L2145" s="455">
        <f t="shared" ca="1" si="142"/>
        <v>-1252734593.3960388</v>
      </c>
      <c r="M2145" s="471">
        <f t="shared" si="144"/>
        <v>0.05</v>
      </c>
      <c r="N2145" s="475">
        <f t="shared" si="145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43"/>
        <v>-1252734593.3960388</v>
      </c>
      <c r="J2146" s="455">
        <f t="array" ref="J2146">IFERROR(INDEX('Retirement Calculator'!J:J,MATCH('Isaac 401k'!N2146,'Retirement Calculator'!A:A,0),0),0)</f>
        <v>0</v>
      </c>
      <c r="K2146" s="455">
        <f t="shared" ca="1" si="141"/>
        <v>-5219727.4724834953</v>
      </c>
      <c r="L2146" s="455">
        <f t="shared" ca="1" si="142"/>
        <v>-1257954320.8685222</v>
      </c>
      <c r="M2146" s="471">
        <f t="shared" si="144"/>
        <v>0.05</v>
      </c>
      <c r="N2146" s="475">
        <f t="shared" si="145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43"/>
        <v>-1257954320.8685222</v>
      </c>
      <c r="J2147" s="455">
        <f t="array" ref="J2147">IFERROR(INDEX('Retirement Calculator'!J:J,MATCH('Isaac 401k'!N2147,'Retirement Calculator'!A:A,0),0),0)</f>
        <v>0</v>
      </c>
      <c r="K2147" s="455">
        <f t="shared" ca="1" si="141"/>
        <v>-5241476.3369521759</v>
      </c>
      <c r="L2147" s="455">
        <f t="shared" ca="1" si="142"/>
        <v>-1263195797.2054744</v>
      </c>
      <c r="M2147" s="471">
        <f t="shared" si="144"/>
        <v>0.05</v>
      </c>
      <c r="N2147" s="475">
        <f t="shared" si="145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43"/>
        <v>-1263195797.2054744</v>
      </c>
      <c r="J2148" s="455">
        <f t="array" ref="J2148">IFERROR(INDEX('Retirement Calculator'!J:J,MATCH('Isaac 401k'!N2148,'Retirement Calculator'!A:A,0),0),0)</f>
        <v>0</v>
      </c>
      <c r="K2148" s="455">
        <f t="shared" ca="1" si="141"/>
        <v>-5263315.8216894763</v>
      </c>
      <c r="L2148" s="455">
        <f t="shared" ca="1" si="142"/>
        <v>-1268459113.0271637</v>
      </c>
      <c r="M2148" s="471">
        <f t="shared" si="144"/>
        <v>0.05</v>
      </c>
      <c r="N2148" s="475">
        <f t="shared" si="145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43"/>
        <v>-1268459113.0271637</v>
      </c>
      <c r="J2149" s="455">
        <f t="array" ref="J2149">IFERROR(INDEX('Retirement Calculator'!J:J,MATCH('Isaac 401k'!N2149,'Retirement Calculator'!A:A,0),0),0)</f>
        <v>0</v>
      </c>
      <c r="K2149" s="455">
        <f t="shared" ca="1" si="141"/>
        <v>-5285246.3042798489</v>
      </c>
      <c r="L2149" s="455">
        <f t="shared" ca="1" si="142"/>
        <v>-1273744359.3314435</v>
      </c>
      <c r="M2149" s="471">
        <f t="shared" si="144"/>
        <v>0.05</v>
      </c>
      <c r="N2149" s="475">
        <f t="shared" si="145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43"/>
        <v>-1273744359.3314435</v>
      </c>
      <c r="J2150" s="455">
        <f t="array" ref="J2150">IFERROR(INDEX('Retirement Calculator'!J:J,MATCH('Isaac 401k'!N2150,'Retirement Calculator'!A:A,0),0),0)</f>
        <v>0</v>
      </c>
      <c r="K2150" s="455">
        <f t="shared" ca="1" si="141"/>
        <v>-5307268.163881015</v>
      </c>
      <c r="L2150" s="455">
        <f t="shared" ca="1" si="142"/>
        <v>-1279051627.4953246</v>
      </c>
      <c r="M2150" s="471">
        <f t="shared" si="144"/>
        <v>0.05</v>
      </c>
      <c r="N2150" s="475">
        <f t="shared" si="145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43"/>
        <v>-1279051627.4953246</v>
      </c>
      <c r="J2151" s="455">
        <f t="array" ref="J2151">IFERROR(INDEX('Retirement Calculator'!J:J,MATCH('Isaac 401k'!N2151,'Retirement Calculator'!A:A,0),0),0)</f>
        <v>0</v>
      </c>
      <c r="K2151" s="455">
        <f t="shared" ca="1" si="141"/>
        <v>-5329381.7812305195</v>
      </c>
      <c r="L2151" s="455">
        <f t="shared" ca="1" si="142"/>
        <v>-1284381009.2765551</v>
      </c>
      <c r="M2151" s="471">
        <f t="shared" si="144"/>
        <v>0.05</v>
      </c>
      <c r="N2151" s="475">
        <f t="shared" si="145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43"/>
        <v>-1284381009.2765551</v>
      </c>
      <c r="J2152" s="455">
        <f t="array" ref="J2152">IFERROR(INDEX('Retirement Calculator'!J:J,MATCH('Isaac 401k'!N2152,'Retirement Calculator'!A:A,0),0),0)</f>
        <v>0</v>
      </c>
      <c r="K2152" s="455">
        <f t="shared" ca="1" si="141"/>
        <v>-5351587.5386523129</v>
      </c>
      <c r="L2152" s="455">
        <f t="shared" ca="1" si="142"/>
        <v>-1289732596.8152075</v>
      </c>
      <c r="M2152" s="471">
        <f t="shared" si="144"/>
        <v>0.05</v>
      </c>
      <c r="N2152" s="475">
        <f t="shared" si="145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43"/>
        <v>-1289732596.8152075</v>
      </c>
      <c r="J2153" s="455">
        <f t="array" ref="J2153">IFERROR(INDEX('Retirement Calculator'!J:J,MATCH('Isaac 401k'!N2153,'Retirement Calculator'!A:A,0),0),0)</f>
        <v>0</v>
      </c>
      <c r="K2153" s="455">
        <f t="shared" ca="1" si="141"/>
        <v>-5373885.8200633647</v>
      </c>
      <c r="L2153" s="455">
        <f t="shared" ca="1" si="142"/>
        <v>-1295106482.6352708</v>
      </c>
      <c r="M2153" s="471">
        <f t="shared" si="144"/>
        <v>0.05</v>
      </c>
      <c r="N2153" s="475">
        <f t="shared" si="145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43"/>
        <v>-1295106482.6352708</v>
      </c>
      <c r="J2154" s="455">
        <f t="array" ref="J2154">IFERROR(INDEX('Retirement Calculator'!J:J,MATCH('Isaac 401k'!N2154,'Retirement Calculator'!A:A,0),0),0)</f>
        <v>0</v>
      </c>
      <c r="K2154" s="455">
        <f t="shared" ca="1" si="141"/>
        <v>-5396277.010980295</v>
      </c>
      <c r="L2154" s="455">
        <f t="shared" ca="1" si="142"/>
        <v>-1300502759.6462512</v>
      </c>
      <c r="M2154" s="471">
        <f t="shared" si="144"/>
        <v>0.05</v>
      </c>
      <c r="N2154" s="475">
        <f t="shared" si="145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43"/>
        <v>-1300502759.6462512</v>
      </c>
      <c r="J2155" s="455">
        <f t="array" ref="J2155">IFERROR(INDEX('Retirement Calculator'!J:J,MATCH('Isaac 401k'!N2155,'Retirement Calculator'!A:A,0),0),0)</f>
        <v>0</v>
      </c>
      <c r="K2155" s="455">
        <f t="shared" ca="1" si="141"/>
        <v>-5418761.498526047</v>
      </c>
      <c r="L2155" s="455">
        <f t="shared" ca="1" si="142"/>
        <v>-1305921521.1447773</v>
      </c>
      <c r="M2155" s="471">
        <f t="shared" si="144"/>
        <v>0.05</v>
      </c>
      <c r="N2155" s="475">
        <f t="shared" si="145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43"/>
        <v>-1305921521.1447773</v>
      </c>
      <c r="J2156" s="455">
        <f t="array" ref="J2156">IFERROR(INDEX('Retirement Calculator'!J:J,MATCH('Isaac 401k'!N2156,'Retirement Calculator'!A:A,0),0),0)</f>
        <v>0</v>
      </c>
      <c r="K2156" s="455">
        <f t="shared" ca="1" si="141"/>
        <v>-5441339.6714365724</v>
      </c>
      <c r="L2156" s="455">
        <f t="shared" ca="1" si="142"/>
        <v>-1311362860.8162138</v>
      </c>
      <c r="M2156" s="471">
        <f t="shared" si="144"/>
        <v>0.05</v>
      </c>
      <c r="N2156" s="475">
        <f t="shared" si="145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43"/>
        <v>-1311362860.8162138</v>
      </c>
      <c r="J2157" s="455">
        <f t="array" ref="J2157">IFERROR(INDEX('Retirement Calculator'!J:J,MATCH('Isaac 401k'!N2157,'Retirement Calculator'!A:A,0),0),0)</f>
        <v>0</v>
      </c>
      <c r="K2157" s="455">
        <f t="shared" ca="1" si="141"/>
        <v>-5464011.9200675581</v>
      </c>
      <c r="L2157" s="455">
        <f t="shared" ca="1" si="142"/>
        <v>-1316826872.7362814</v>
      </c>
      <c r="M2157" s="471">
        <f t="shared" si="144"/>
        <v>0.05</v>
      </c>
      <c r="N2157" s="475">
        <f t="shared" si="145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43"/>
        <v>-1316826872.7362814</v>
      </c>
      <c r="J2158" s="455">
        <f t="array" ref="J2158">IFERROR(INDEX('Retirement Calculator'!J:J,MATCH('Isaac 401k'!N2158,'Retirement Calculator'!A:A,0),0),0)</f>
        <v>0</v>
      </c>
      <c r="K2158" s="455">
        <f t="shared" ca="1" si="141"/>
        <v>-5486778.6364011727</v>
      </c>
      <c r="L2158" s="455">
        <f t="shared" ca="1" si="142"/>
        <v>-1322313651.3726826</v>
      </c>
      <c r="M2158" s="471">
        <f t="shared" si="144"/>
        <v>0.05</v>
      </c>
      <c r="N2158" s="475">
        <f t="shared" si="145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43"/>
        <v>-1322313651.3726826</v>
      </c>
      <c r="J2159" s="455">
        <f t="array" ref="J2159">IFERROR(INDEX('Retirement Calculator'!J:J,MATCH('Isaac 401k'!N2159,'Retirement Calculator'!A:A,0),0),0)</f>
        <v>0</v>
      </c>
      <c r="K2159" s="455">
        <f t="shared" ca="1" si="141"/>
        <v>-5509640.2140528439</v>
      </c>
      <c r="L2159" s="455">
        <f t="shared" ca="1" si="142"/>
        <v>-1327823291.5867355</v>
      </c>
      <c r="M2159" s="471">
        <f t="shared" si="144"/>
        <v>0.05</v>
      </c>
      <c r="N2159" s="475">
        <f t="shared" si="145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43"/>
        <v>-1327823291.5867355</v>
      </c>
      <c r="J2160" s="455">
        <f t="array" ref="J2160">IFERROR(INDEX('Retirement Calculator'!J:J,MATCH('Isaac 401k'!N2160,'Retirement Calculator'!A:A,0),0),0)</f>
        <v>0</v>
      </c>
      <c r="K2160" s="455">
        <f t="shared" ca="1" si="141"/>
        <v>-5532597.0482780645</v>
      </c>
      <c r="L2160" s="455">
        <f t="shared" ca="1" si="142"/>
        <v>-1333355888.6350136</v>
      </c>
      <c r="M2160" s="471">
        <f t="shared" si="144"/>
        <v>0.05</v>
      </c>
      <c r="N2160" s="475">
        <f t="shared" si="145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43"/>
        <v>-1333355888.6350136</v>
      </c>
      <c r="J2161" s="455">
        <f t="array" ref="J2161">IFERROR(INDEX('Retirement Calculator'!J:J,MATCH('Isaac 401k'!N2161,'Retirement Calculator'!A:A,0),0),0)</f>
        <v>0</v>
      </c>
      <c r="K2161" s="455">
        <f t="shared" ca="1" si="141"/>
        <v>-5555649.5359792234</v>
      </c>
      <c r="L2161" s="455">
        <f t="shared" ca="1" si="142"/>
        <v>-1338911538.1709929</v>
      </c>
      <c r="M2161" s="471">
        <f t="shared" si="144"/>
        <v>0.05</v>
      </c>
      <c r="N2161" s="475">
        <f t="shared" si="145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43"/>
        <v>-1338911538.1709929</v>
      </c>
      <c r="J2162" s="455">
        <f t="array" ref="J2162">IFERROR(INDEX('Retirement Calculator'!J:J,MATCH('Isaac 401k'!N2162,'Retirement Calculator'!A:A,0),0),0)</f>
        <v>0</v>
      </c>
      <c r="K2162" s="455">
        <f t="shared" ca="1" si="141"/>
        <v>-5578798.0757124703</v>
      </c>
      <c r="L2162" s="455">
        <f t="shared" ca="1" si="142"/>
        <v>-1344490336.2467053</v>
      </c>
      <c r="M2162" s="471">
        <f t="shared" si="144"/>
        <v>0.05</v>
      </c>
      <c r="N2162" s="475">
        <f t="shared" si="145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43"/>
        <v>-1344490336.2467053</v>
      </c>
      <c r="J2163" s="455">
        <f t="array" ref="J2163">IFERROR(INDEX('Retirement Calculator'!J:J,MATCH('Isaac 401k'!N2163,'Retirement Calculator'!A:A,0),0),0)</f>
        <v>0</v>
      </c>
      <c r="K2163" s="455">
        <f t="shared" ca="1" si="141"/>
        <v>-5602043.0676946053</v>
      </c>
      <c r="L2163" s="455">
        <f t="shared" ca="1" si="142"/>
        <v>-1350092379.3144</v>
      </c>
      <c r="M2163" s="471">
        <f t="shared" si="144"/>
        <v>0.05</v>
      </c>
      <c r="N2163" s="475">
        <f t="shared" si="145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43"/>
        <v>-1350092379.3144</v>
      </c>
      <c r="J2164" s="455">
        <f t="array" ref="J2164">IFERROR(INDEX('Retirement Calculator'!J:J,MATCH('Isaac 401k'!N2164,'Retirement Calculator'!A:A,0),0),0)</f>
        <v>0</v>
      </c>
      <c r="K2164" s="455">
        <f t="shared" ca="1" si="141"/>
        <v>-5625384.9138099998</v>
      </c>
      <c r="L2164" s="455">
        <f t="shared" ca="1" si="142"/>
        <v>-1355717764.22821</v>
      </c>
      <c r="M2164" s="471">
        <f t="shared" si="144"/>
        <v>0.05</v>
      </c>
      <c r="N2164" s="475">
        <f t="shared" si="145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43"/>
        <v>-1355717764.22821</v>
      </c>
      <c r="J2165" s="455">
        <f t="array" ref="J2165">IFERROR(INDEX('Retirement Calculator'!J:J,MATCH('Isaac 401k'!N2165,'Retirement Calculator'!A:A,0),0),0)</f>
        <v>0</v>
      </c>
      <c r="K2165" s="455">
        <f t="shared" ca="1" si="141"/>
        <v>-5648824.0176175414</v>
      </c>
      <c r="L2165" s="455">
        <f t="shared" ca="1" si="142"/>
        <v>-1361366588.2458274</v>
      </c>
      <c r="M2165" s="471">
        <f t="shared" si="144"/>
        <v>0.05</v>
      </c>
      <c r="N2165" s="475">
        <f t="shared" si="145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43"/>
        <v>-1361366588.2458274</v>
      </c>
      <c r="J2166" s="455">
        <f t="array" ref="J2166">IFERROR(INDEX('Retirement Calculator'!J:J,MATCH('Isaac 401k'!N2166,'Retirement Calculator'!A:A,0),0),0)</f>
        <v>0</v>
      </c>
      <c r="K2166" s="455">
        <f t="shared" ca="1" si="141"/>
        <v>-5672360.7843576139</v>
      </c>
      <c r="L2166" s="455">
        <f t="shared" ca="1" si="142"/>
        <v>-1367038949.030185</v>
      </c>
      <c r="M2166" s="471">
        <f t="shared" si="144"/>
        <v>0.05</v>
      </c>
      <c r="N2166" s="475">
        <f t="shared" si="145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43"/>
        <v>-1367038949.030185</v>
      </c>
      <c r="J2167" s="455">
        <f t="array" ref="J2167">IFERROR(INDEX('Retirement Calculator'!J:J,MATCH('Isaac 401k'!N2167,'Retirement Calculator'!A:A,0),0),0)</f>
        <v>0</v>
      </c>
      <c r="K2167" s="455">
        <f t="shared" ca="1" si="141"/>
        <v>-5695995.620959104</v>
      </c>
      <c r="L2167" s="455">
        <f t="shared" ca="1" si="142"/>
        <v>-1372734944.651144</v>
      </c>
      <c r="M2167" s="471">
        <f t="shared" si="144"/>
        <v>0.05</v>
      </c>
      <c r="N2167" s="475">
        <f t="shared" si="145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43"/>
        <v>-1372734944.651144</v>
      </c>
      <c r="J2168" s="455">
        <f t="array" ref="J2168">IFERROR(INDEX('Retirement Calculator'!J:J,MATCH('Isaac 401k'!N2168,'Retirement Calculator'!A:A,0),0),0)</f>
        <v>0</v>
      </c>
      <c r="K2168" s="455">
        <f t="shared" ca="1" si="141"/>
        <v>-5719728.9360464336</v>
      </c>
      <c r="L2168" s="455">
        <f t="shared" ca="1" si="142"/>
        <v>-1378454673.5871904</v>
      </c>
      <c r="M2168" s="471">
        <f t="shared" si="144"/>
        <v>0.05</v>
      </c>
      <c r="N2168" s="475">
        <f t="shared" si="145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43"/>
        <v>-1378454673.5871904</v>
      </c>
      <c r="J2169" s="455">
        <f t="array" ref="J2169">IFERROR(INDEX('Retirement Calculator'!J:J,MATCH('Isaac 401k'!N2169,'Retirement Calculator'!A:A,0),0),0)</f>
        <v>0</v>
      </c>
      <c r="K2169" s="455">
        <f t="shared" ca="1" si="141"/>
        <v>-5743561.1399466265</v>
      </c>
      <c r="L2169" s="455">
        <f t="shared" ca="1" si="142"/>
        <v>-1384198234.7271371</v>
      </c>
      <c r="M2169" s="471">
        <f t="shared" si="144"/>
        <v>0.05</v>
      </c>
      <c r="N2169" s="475">
        <f t="shared" si="145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43"/>
        <v>-1384198234.7271371</v>
      </c>
      <c r="J2170" s="455">
        <f t="array" ref="J2170">IFERROR(INDEX('Retirement Calculator'!J:J,MATCH('Isaac 401k'!N2170,'Retirement Calculator'!A:A,0),0),0)</f>
        <v>0</v>
      </c>
      <c r="K2170" s="455">
        <f t="shared" ca="1" si="141"/>
        <v>-5767492.6446964042</v>
      </c>
      <c r="L2170" s="455">
        <f t="shared" ca="1" si="142"/>
        <v>-1389965727.3718336</v>
      </c>
      <c r="M2170" s="471">
        <f t="shared" si="144"/>
        <v>0.05</v>
      </c>
      <c r="N2170" s="475">
        <f t="shared" si="145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43"/>
        <v>-1389965727.3718336</v>
      </c>
      <c r="J2171" s="455">
        <f t="array" ref="J2171">IFERROR(INDEX('Retirement Calculator'!J:J,MATCH('Isaac 401k'!N2171,'Retirement Calculator'!A:A,0),0),0)</f>
        <v>0</v>
      </c>
      <c r="K2171" s="455">
        <f t="shared" ca="1" si="141"/>
        <v>-5791523.8640493061</v>
      </c>
      <c r="L2171" s="455">
        <f t="shared" ca="1" si="142"/>
        <v>-1395757251.2358828</v>
      </c>
      <c r="M2171" s="471">
        <f t="shared" si="144"/>
        <v>0.05</v>
      </c>
      <c r="N2171" s="475">
        <f t="shared" si="145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43"/>
        <v>-1395757251.2358828</v>
      </c>
      <c r="J2172" s="455">
        <f t="array" ref="J2172">IFERROR(INDEX('Retirement Calculator'!J:J,MATCH('Isaac 401k'!N2172,'Retirement Calculator'!A:A,0),0),0)</f>
        <v>0</v>
      </c>
      <c r="K2172" s="455">
        <f t="shared" ca="1" si="141"/>
        <v>-5815655.2134828446</v>
      </c>
      <c r="L2172" s="455">
        <f t="shared" ca="1" si="142"/>
        <v>-1401572906.4493656</v>
      </c>
      <c r="M2172" s="471">
        <f t="shared" si="144"/>
        <v>0.05</v>
      </c>
      <c r="N2172" s="475">
        <f t="shared" si="145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43"/>
        <v>-1401572906.4493656</v>
      </c>
      <c r="J2173" s="455">
        <f t="array" ref="J2173">IFERROR(INDEX('Retirement Calculator'!J:J,MATCH('Isaac 401k'!N2173,'Retirement Calculator'!A:A,0),0),0)</f>
        <v>0</v>
      </c>
      <c r="K2173" s="455">
        <f t="shared" ca="1" si="141"/>
        <v>-5839887.1102056904</v>
      </c>
      <c r="L2173" s="455">
        <f t="shared" ca="1" si="142"/>
        <v>-1407412793.5595713</v>
      </c>
      <c r="M2173" s="471">
        <f t="shared" si="144"/>
        <v>0.05</v>
      </c>
      <c r="N2173" s="475">
        <f t="shared" si="145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43"/>
        <v>-1407412793.5595713</v>
      </c>
      <c r="J2174" s="455">
        <f t="array" ref="J2174">IFERROR(INDEX('Retirement Calculator'!J:J,MATCH('Isaac 401k'!N2174,'Retirement Calculator'!A:A,0),0),0)</f>
        <v>0</v>
      </c>
      <c r="K2174" s="455">
        <f t="shared" ca="1" si="141"/>
        <v>-5864219.9731648806</v>
      </c>
      <c r="L2174" s="455">
        <f t="shared" ca="1" si="142"/>
        <v>-1413277013.5327361</v>
      </c>
      <c r="M2174" s="471">
        <f t="shared" si="144"/>
        <v>0.05</v>
      </c>
      <c r="N2174" s="475">
        <f t="shared" si="145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43"/>
        <v>-1413277013.5327361</v>
      </c>
      <c r="J2175" s="455">
        <f t="array" ref="J2175">IFERROR(INDEX('Retirement Calculator'!J:J,MATCH('Isaac 401k'!N2175,'Retirement Calculator'!A:A,0),0),0)</f>
        <v>0</v>
      </c>
      <c r="K2175" s="455">
        <f t="shared" ca="1" si="141"/>
        <v>-5888654.223053067</v>
      </c>
      <c r="L2175" s="455">
        <f t="shared" ca="1" si="142"/>
        <v>-1419165667.755789</v>
      </c>
      <c r="M2175" s="471">
        <f t="shared" si="144"/>
        <v>0.05</v>
      </c>
      <c r="N2175" s="475">
        <f t="shared" si="145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43"/>
        <v>-1419165667.755789</v>
      </c>
      <c r="J2176" s="455">
        <f t="array" ref="J2176">IFERROR(INDEX('Retirement Calculator'!J:J,MATCH('Isaac 401k'!N2176,'Retirement Calculator'!A:A,0),0),0)</f>
        <v>0</v>
      </c>
      <c r="K2176" s="455">
        <f t="shared" ca="1" si="141"/>
        <v>-5913190.2823157879</v>
      </c>
      <c r="L2176" s="455">
        <f t="shared" ca="1" si="142"/>
        <v>-1425078858.0381048</v>
      </c>
      <c r="M2176" s="471">
        <f t="shared" si="144"/>
        <v>0.05</v>
      </c>
      <c r="N2176" s="475">
        <f t="shared" si="145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43"/>
        <v>-1425078858.0381048</v>
      </c>
      <c r="J2177" s="455">
        <f t="array" ref="J2177">IFERROR(INDEX('Retirement Calculator'!J:J,MATCH('Isaac 401k'!N2177,'Retirement Calculator'!A:A,0),0),0)</f>
        <v>0</v>
      </c>
      <c r="K2177" s="455">
        <f t="shared" ca="1" si="141"/>
        <v>-5937828.5751587702</v>
      </c>
      <c r="L2177" s="455">
        <f t="shared" ca="1" si="142"/>
        <v>-1431016686.6132636</v>
      </c>
      <c r="M2177" s="471">
        <f t="shared" si="144"/>
        <v>0.05</v>
      </c>
      <c r="N2177" s="475">
        <f t="shared" si="145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43"/>
        <v>-1431016686.6132636</v>
      </c>
      <c r="J2178" s="455">
        <f t="array" ref="J2178">IFERROR(INDEX('Retirement Calculator'!J:J,MATCH('Isaac 401k'!N2178,'Retirement Calculator'!A:A,0),0),0)</f>
        <v>0</v>
      </c>
      <c r="K2178" s="455">
        <f t="shared" ca="1" si="141"/>
        <v>-5962569.5275552645</v>
      </c>
      <c r="L2178" s="455">
        <f t="shared" ca="1" si="142"/>
        <v>-1436979256.1408188</v>
      </c>
      <c r="M2178" s="471">
        <f t="shared" si="144"/>
        <v>0.05</v>
      </c>
      <c r="N2178" s="475">
        <f t="shared" si="145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43"/>
        <v>-1436979256.1408188</v>
      </c>
      <c r="J2179" s="455">
        <f t="array" ref="J2179">IFERROR(INDEX('Retirement Calculator'!J:J,MATCH('Isaac 401k'!N2179,'Retirement Calculator'!A:A,0),0),0)</f>
        <v>0</v>
      </c>
      <c r="K2179" s="455">
        <f t="shared" ca="1" si="141"/>
        <v>-5987413.5672534117</v>
      </c>
      <c r="L2179" s="455">
        <f t="shared" ca="1" si="142"/>
        <v>-1442966669.7080722</v>
      </c>
      <c r="M2179" s="471">
        <f t="shared" si="144"/>
        <v>0.05</v>
      </c>
      <c r="N2179" s="475">
        <f t="shared" si="145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43"/>
        <v>-1442966669.7080722</v>
      </c>
      <c r="J2180" s="455">
        <f t="array" ref="J2180">IFERROR(INDEX('Retirement Calculator'!J:J,MATCH('Isaac 401k'!N2180,'Retirement Calculator'!A:A,0),0),0)</f>
        <v>0</v>
      </c>
      <c r="K2180" s="455">
        <f t="shared" ca="1" si="141"/>
        <v>-6012361.123783634</v>
      </c>
      <c r="L2180" s="455">
        <f t="shared" ca="1" si="142"/>
        <v>-1448979030.8318558</v>
      </c>
      <c r="M2180" s="471">
        <f t="shared" si="144"/>
        <v>0.05</v>
      </c>
      <c r="N2180" s="475">
        <f t="shared" si="145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43"/>
        <v>-1448979030.8318558</v>
      </c>
      <c r="J2181" s="455">
        <f t="array" ref="J2181">IFERROR(INDEX('Retirement Calculator'!J:J,MATCH('Isaac 401k'!N2181,'Retirement Calculator'!A:A,0),0),0)</f>
        <v>0</v>
      </c>
      <c r="K2181" s="455">
        <f t="shared" ca="1" si="141"/>
        <v>-6037412.628466066</v>
      </c>
      <c r="L2181" s="455">
        <f t="shared" ca="1" si="142"/>
        <v>-1455016443.4603219</v>
      </c>
      <c r="M2181" s="471">
        <f t="shared" si="144"/>
        <v>0.05</v>
      </c>
      <c r="N2181" s="475">
        <f t="shared" si="145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43"/>
        <v>-1455016443.4603219</v>
      </c>
      <c r="J2182" s="455">
        <f t="array" ref="J2182">IFERROR(INDEX('Retirement Calculator'!J:J,MATCH('Isaac 401k'!N2182,'Retirement Calculator'!A:A,0),0),0)</f>
        <v>0</v>
      </c>
      <c r="K2182" s="455">
        <f t="shared" ca="1" si="141"/>
        <v>-6062568.5144180078</v>
      </c>
      <c r="L2182" s="455">
        <f t="shared" ca="1" si="142"/>
        <v>-1461079011.97474</v>
      </c>
      <c r="M2182" s="471">
        <f t="shared" si="144"/>
        <v>0.05</v>
      </c>
      <c r="N2182" s="475">
        <f t="shared" si="145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43"/>
        <v>-1461079011.97474</v>
      </c>
      <c r="J2183" s="455">
        <f t="array" ref="J2183">IFERROR(INDEX('Retirement Calculator'!J:J,MATCH('Isaac 401k'!N2183,'Retirement Calculator'!A:A,0),0),0)</f>
        <v>0</v>
      </c>
      <c r="K2183" s="455">
        <f t="shared" ca="1" si="141"/>
        <v>-6087829.2165614171</v>
      </c>
      <c r="L2183" s="455">
        <f t="shared" ca="1" si="142"/>
        <v>-1467166841.1913013</v>
      </c>
      <c r="M2183" s="471">
        <f t="shared" si="144"/>
        <v>0.05</v>
      </c>
      <c r="N2183" s="475">
        <f t="shared" si="145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43"/>
        <v>-1467166841.1913013</v>
      </c>
      <c r="J2184" s="455">
        <f t="array" ref="J2184">IFERROR(INDEX('Retirement Calculator'!J:J,MATCH('Isaac 401k'!N2184,'Retirement Calculator'!A:A,0),0),0)</f>
        <v>0</v>
      </c>
      <c r="K2184" s="455">
        <f t="shared" ca="1" si="141"/>
        <v>-6113195.1716304226</v>
      </c>
      <c r="L2184" s="455">
        <f t="shared" ca="1" si="142"/>
        <v>-1473280036.3629317</v>
      </c>
      <c r="M2184" s="471">
        <f t="shared" si="144"/>
        <v>0.05</v>
      </c>
      <c r="N2184" s="475">
        <f t="shared" si="145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43"/>
        <v>-1473280036.3629317</v>
      </c>
      <c r="J2185" s="455">
        <f t="array" ref="J2185">IFERROR(INDEX('Retirement Calculator'!J:J,MATCH('Isaac 401k'!N2185,'Retirement Calculator'!A:A,0),0),0)</f>
        <v>0</v>
      </c>
      <c r="K2185" s="455">
        <f t="shared" ca="1" si="141"/>
        <v>-6138666.8181788819</v>
      </c>
      <c r="L2185" s="455">
        <f t="shared" ca="1" si="142"/>
        <v>-1479418703.1811106</v>
      </c>
      <c r="M2185" s="471">
        <f t="shared" si="144"/>
        <v>0.05</v>
      </c>
      <c r="N2185" s="475">
        <f t="shared" si="145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43"/>
        <v>-1479418703.1811106</v>
      </c>
      <c r="J2186" s="455">
        <f t="array" ref="J2186">IFERROR(INDEX('Retirement Calculator'!J:J,MATCH('Isaac 401k'!N2186,'Retirement Calculator'!A:A,0),0),0)</f>
        <v>0</v>
      </c>
      <c r="K2186" s="455">
        <f t="shared" ca="1" si="141"/>
        <v>-6164244.5965879606</v>
      </c>
      <c r="L2186" s="455">
        <f t="shared" ca="1" si="142"/>
        <v>-1485582947.7776985</v>
      </c>
      <c r="M2186" s="471">
        <f t="shared" si="144"/>
        <v>0.05</v>
      </c>
      <c r="N2186" s="475">
        <f t="shared" si="145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43"/>
        <v>-1485582947.7776985</v>
      </c>
      <c r="J2187" s="455">
        <f t="array" ref="J2187">IFERROR(INDEX('Retirement Calculator'!J:J,MATCH('Isaac 401k'!N2187,'Retirement Calculator'!A:A,0),0),0)</f>
        <v>0</v>
      </c>
      <c r="K2187" s="455">
        <f t="shared" ca="1" si="141"/>
        <v>-6189928.949073744</v>
      </c>
      <c r="L2187" s="455">
        <f t="shared" ca="1" si="142"/>
        <v>-1491772876.7267723</v>
      </c>
      <c r="M2187" s="471">
        <f t="shared" si="144"/>
        <v>0.05</v>
      </c>
      <c r="N2187" s="475">
        <f t="shared" si="145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43"/>
        <v>-1491772876.7267723</v>
      </c>
      <c r="J2188" s="455">
        <f t="array" ref="J2188">IFERROR(INDEX('Retirement Calculator'!J:J,MATCH('Isaac 401k'!N2188,'Retirement Calculator'!A:A,0),0),0)</f>
        <v>0</v>
      </c>
      <c r="K2188" s="455">
        <f t="shared" ca="1" si="141"/>
        <v>-6215720.3196948841</v>
      </c>
      <c r="L2188" s="455">
        <f t="shared" ca="1" si="142"/>
        <v>-1497988597.0464673</v>
      </c>
      <c r="M2188" s="471">
        <f t="shared" si="144"/>
        <v>0.05</v>
      </c>
      <c r="N2188" s="475">
        <f t="shared" si="145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43"/>
        <v>-1497988597.0464673</v>
      </c>
      <c r="J2189" s="455">
        <f t="array" ref="J2189">IFERROR(INDEX('Retirement Calculator'!J:J,MATCH('Isaac 401k'!N2189,'Retirement Calculator'!A:A,0),0),0)</f>
        <v>0</v>
      </c>
      <c r="K2189" s="455">
        <f t="shared" ca="1" si="141"/>
        <v>-6241619.1543602804</v>
      </c>
      <c r="L2189" s="455">
        <f t="shared" ca="1" si="142"/>
        <v>-1504230216.2008276</v>
      </c>
      <c r="M2189" s="471">
        <f t="shared" si="144"/>
        <v>0.05</v>
      </c>
      <c r="N2189" s="475">
        <f t="shared" si="145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43"/>
        <v>-1504230216.2008276</v>
      </c>
      <c r="J2190" s="455">
        <f t="array" ref="J2190">IFERROR(INDEX('Retirement Calculator'!J:J,MATCH('Isaac 401k'!N2190,'Retirement Calculator'!A:A,0),0),0)</f>
        <v>0</v>
      </c>
      <c r="K2190" s="455">
        <f t="shared" ca="1" si="141"/>
        <v>-6267625.9008367816</v>
      </c>
      <c r="L2190" s="455">
        <f t="shared" ca="1" si="142"/>
        <v>-1510497842.1016643</v>
      </c>
      <c r="M2190" s="471">
        <f t="shared" si="144"/>
        <v>0.05</v>
      </c>
      <c r="N2190" s="475">
        <f t="shared" si="145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43"/>
        <v>-1510497842.1016643</v>
      </c>
      <c r="J2191" s="455">
        <f t="array" ref="J2191">IFERROR(INDEX('Retirement Calculator'!J:J,MATCH('Isaac 401k'!N2191,'Retirement Calculator'!A:A,0),0),0)</f>
        <v>0</v>
      </c>
      <c r="K2191" s="455">
        <f t="shared" ca="1" si="141"/>
        <v>-6293741.0087569347</v>
      </c>
      <c r="L2191" s="455">
        <f t="shared" ca="1" si="142"/>
        <v>-1516791583.1104212</v>
      </c>
      <c r="M2191" s="471">
        <f t="shared" si="144"/>
        <v>0.05</v>
      </c>
      <c r="N2191" s="475">
        <f t="shared" si="145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43"/>
        <v>-1516791583.1104212</v>
      </c>
      <c r="J2192" s="455">
        <f t="array" ref="J2192">IFERROR(INDEX('Retirement Calculator'!J:J,MATCH('Isaac 401k'!N2192,'Retirement Calculator'!A:A,0),0),0)</f>
        <v>0</v>
      </c>
      <c r="K2192" s="455">
        <f t="shared" ca="1" si="141"/>
        <v>-6319964.9296267545</v>
      </c>
      <c r="L2192" s="455">
        <f t="shared" ca="1" si="142"/>
        <v>-1523111548.0400479</v>
      </c>
      <c r="M2192" s="471">
        <f t="shared" si="144"/>
        <v>0.05</v>
      </c>
      <c r="N2192" s="475">
        <f t="shared" si="145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43"/>
        <v>-1523111548.0400479</v>
      </c>
      <c r="J2193" s="455">
        <f t="array" ref="J2193">IFERROR(INDEX('Retirement Calculator'!J:J,MATCH('Isaac 401k'!N2193,'Retirement Calculator'!A:A,0),0),0)</f>
        <v>0</v>
      </c>
      <c r="K2193" s="455">
        <f t="shared" ca="1" si="141"/>
        <v>-6346298.1168335332</v>
      </c>
      <c r="L2193" s="455">
        <f t="shared" ca="1" si="142"/>
        <v>-1529457846.1568813</v>
      </c>
      <c r="M2193" s="471">
        <f t="shared" si="144"/>
        <v>0.05</v>
      </c>
      <c r="N2193" s="475">
        <f t="shared" si="145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43"/>
        <v>-1529457846.1568813</v>
      </c>
      <c r="J2194" s="455">
        <f t="array" ref="J2194">IFERROR(INDEX('Retirement Calculator'!J:J,MATCH('Isaac 401k'!N2194,'Retirement Calculator'!A:A,0),0),0)</f>
        <v>0</v>
      </c>
      <c r="K2194" s="455">
        <f t="shared" ca="1" si="141"/>
        <v>-6372741.0256536724</v>
      </c>
      <c r="L2194" s="455">
        <f t="shared" ca="1" si="142"/>
        <v>-1535830587.1825349</v>
      </c>
      <c r="M2194" s="471">
        <f t="shared" si="144"/>
        <v>0.05</v>
      </c>
      <c r="N2194" s="475">
        <f t="shared" si="145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43"/>
        <v>-1535830587.1825349</v>
      </c>
      <c r="J2195" s="455">
        <f t="array" ref="J2195">IFERROR(INDEX('Retirement Calculator'!J:J,MATCH('Isaac 401k'!N2195,'Retirement Calculator'!A:A,0),0),0)</f>
        <v>0</v>
      </c>
      <c r="K2195" s="455">
        <f t="shared" ca="1" si="141"/>
        <v>-6399294.1132605625</v>
      </c>
      <c r="L2195" s="455">
        <f t="shared" ca="1" si="142"/>
        <v>-1542229881.2957954</v>
      </c>
      <c r="M2195" s="471">
        <f t="shared" si="144"/>
        <v>0.05</v>
      </c>
      <c r="N2195" s="475">
        <f t="shared" si="145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43"/>
        <v>-1542229881.2957954</v>
      </c>
      <c r="J2196" s="455">
        <f t="array" ref="J2196">IFERROR(INDEX('Retirement Calculator'!J:J,MATCH('Isaac 401k'!N2196,'Retirement Calculator'!A:A,0),0),0)</f>
        <v>0</v>
      </c>
      <c r="K2196" s="455">
        <f t="shared" ca="1" si="141"/>
        <v>-6425957.838732481</v>
      </c>
      <c r="L2196" s="455">
        <f t="shared" ca="1" si="142"/>
        <v>-1548655839.1345279</v>
      </c>
      <c r="M2196" s="471">
        <f t="shared" si="144"/>
        <v>0.05</v>
      </c>
      <c r="N2196" s="475">
        <f t="shared" si="145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43"/>
        <v>-1548655839.1345279</v>
      </c>
      <c r="J2197" s="455">
        <f t="array" ref="J2197">IFERROR(INDEX('Retirement Calculator'!J:J,MATCH('Isaac 401k'!N2197,'Retirement Calculator'!A:A,0),0),0)</f>
        <v>0</v>
      </c>
      <c r="K2197" s="455">
        <f t="shared" ca="1" si="141"/>
        <v>-6452732.6630605329</v>
      </c>
      <c r="L2197" s="455">
        <f t="shared" ca="1" si="142"/>
        <v>-1555108571.7975883</v>
      </c>
      <c r="M2197" s="471">
        <f t="shared" si="144"/>
        <v>0.05</v>
      </c>
      <c r="N2197" s="475">
        <f t="shared" si="145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43"/>
        <v>-1555108571.7975883</v>
      </c>
      <c r="J2198" s="455">
        <f t="array" ref="J2198">IFERROR(INDEX('Retirement Calculator'!J:J,MATCH('Isaac 401k'!N2198,'Retirement Calculator'!A:A,0),0),0)</f>
        <v>0</v>
      </c>
      <c r="K2198" s="455">
        <f t="shared" ca="1" si="141"/>
        <v>-6479619.0491566183</v>
      </c>
      <c r="L2198" s="455">
        <f t="shared" ca="1" si="142"/>
        <v>-1561588190.846745</v>
      </c>
      <c r="M2198" s="471">
        <f t="shared" si="144"/>
        <v>0.05</v>
      </c>
      <c r="N2198" s="475">
        <f t="shared" si="145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43"/>
        <v>-1561588190.846745</v>
      </c>
      <c r="J2199" s="455">
        <f t="array" ref="J2199">IFERROR(INDEX('Retirement Calculator'!J:J,MATCH('Isaac 401k'!N2199,'Retirement Calculator'!A:A,0),0),0)</f>
        <v>0</v>
      </c>
      <c r="K2199" s="455">
        <f t="shared" ca="1" si="141"/>
        <v>-6506617.4618614372</v>
      </c>
      <c r="L2199" s="455">
        <f t="shared" ca="1" si="142"/>
        <v>-1568094808.3086064</v>
      </c>
      <c r="M2199" s="471">
        <f t="shared" si="144"/>
        <v>0.05</v>
      </c>
      <c r="N2199" s="475">
        <f t="shared" si="145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43"/>
        <v>-1568094808.3086064</v>
      </c>
      <c r="J2200" s="455">
        <f t="array" ref="J2200">IFERROR(INDEX('Retirement Calculator'!J:J,MATCH('Isaac 401k'!N2200,'Retirement Calculator'!A:A,0),0),0)</f>
        <v>0</v>
      </c>
      <c r="K2200" s="455">
        <f t="shared" ca="1" si="141"/>
        <v>-6533728.3679525265</v>
      </c>
      <c r="L2200" s="455">
        <f t="shared" ca="1" si="142"/>
        <v>-1574628536.676559</v>
      </c>
      <c r="M2200" s="471">
        <f t="shared" si="144"/>
        <v>0.05</v>
      </c>
      <c r="N2200" s="475">
        <f t="shared" si="145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43"/>
        <v>-1574628536.676559</v>
      </c>
      <c r="J2201" s="455">
        <f t="array" ref="J2201">IFERROR(INDEX('Retirement Calculator'!J:J,MATCH('Isaac 401k'!N2201,'Retirement Calculator'!A:A,0),0),0)</f>
        <v>0</v>
      </c>
      <c r="K2201" s="455">
        <f t="shared" ca="1" si="141"/>
        <v>-6560952.2361523286</v>
      </c>
      <c r="L2201" s="455">
        <f t="shared" ca="1" si="142"/>
        <v>-1581189488.9127114</v>
      </c>
      <c r="M2201" s="471">
        <f t="shared" si="144"/>
        <v>0.05</v>
      </c>
      <c r="N2201" s="475">
        <f t="shared" si="145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43"/>
        <v>-1581189488.9127114</v>
      </c>
      <c r="J2202" s="455">
        <f t="array" ref="J2202">IFERROR(INDEX('Retirement Calculator'!J:J,MATCH('Isaac 401k'!N2202,'Retirement Calculator'!A:A,0),0),0)</f>
        <v>0</v>
      </c>
      <c r="K2202" s="455">
        <f t="shared" ca="1" si="141"/>
        <v>-6588289.5371362977</v>
      </c>
      <c r="L2202" s="455">
        <f t="shared" ca="1" si="142"/>
        <v>-1587777778.4498477</v>
      </c>
      <c r="M2202" s="471">
        <f t="shared" si="144"/>
        <v>0.05</v>
      </c>
      <c r="N2202" s="475">
        <f t="shared" si="145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43"/>
        <v>-1587777778.4498477</v>
      </c>
      <c r="J2203" s="455">
        <f t="array" ref="J2203">IFERROR(INDEX('Retirement Calculator'!J:J,MATCH('Isaac 401k'!N2203,'Retirement Calculator'!A:A,0),0),0)</f>
        <v>0</v>
      </c>
      <c r="K2203" s="455">
        <f t="shared" ca="1" si="141"/>
        <v>-6615740.7435410321</v>
      </c>
      <c r="L2203" s="455">
        <f t="shared" ca="1" si="142"/>
        <v>-1594393519.1933887</v>
      </c>
      <c r="M2203" s="471">
        <f t="shared" si="144"/>
        <v>0.05</v>
      </c>
      <c r="N2203" s="475">
        <f t="shared" si="145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43"/>
        <v>-1594393519.1933887</v>
      </c>
      <c r="J2204" s="455">
        <f t="array" ref="J2204">IFERROR(INDEX('Retirement Calculator'!J:J,MATCH('Isaac 401k'!N2204,'Retirement Calculator'!A:A,0),0),0)</f>
        <v>0</v>
      </c>
      <c r="K2204" s="455">
        <f t="shared" ca="1" si="141"/>
        <v>-6643306.3299724525</v>
      </c>
      <c r="L2204" s="455">
        <f t="shared" ca="1" si="142"/>
        <v>-1601036825.5233612</v>
      </c>
      <c r="M2204" s="471">
        <f t="shared" si="144"/>
        <v>0.05</v>
      </c>
      <c r="N2204" s="475">
        <f t="shared" si="145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43"/>
        <v>-1601036825.5233612</v>
      </c>
      <c r="J2205" s="455">
        <f t="array" ref="J2205">IFERROR(INDEX('Retirement Calculator'!J:J,MATCH('Isaac 401k'!N2205,'Retirement Calculator'!A:A,0),0),0)</f>
        <v>0</v>
      </c>
      <c r="K2205" s="455">
        <f t="shared" ca="1" si="141"/>
        <v>-6670986.7730140053</v>
      </c>
      <c r="L2205" s="455">
        <f t="shared" ca="1" si="142"/>
        <v>-1607707812.2963753</v>
      </c>
      <c r="M2205" s="471">
        <f t="shared" si="144"/>
        <v>0.05</v>
      </c>
      <c r="N2205" s="475">
        <f t="shared" si="145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43"/>
        <v>-1607707812.2963753</v>
      </c>
      <c r="J2206" s="455">
        <f t="array" ref="J2206">IFERROR(INDEX('Retirement Calculator'!J:J,MATCH('Isaac 401k'!N2206,'Retirement Calculator'!A:A,0),0),0)</f>
        <v>0</v>
      </c>
      <c r="K2206" s="455">
        <f t="shared" ca="1" si="141"/>
        <v>-6698782.5512348972</v>
      </c>
      <c r="L2206" s="455">
        <f t="shared" ca="1" si="142"/>
        <v>-1614406594.8476102</v>
      </c>
      <c r="M2206" s="471">
        <f t="shared" si="144"/>
        <v>0.05</v>
      </c>
      <c r="N2206" s="475">
        <f t="shared" si="145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43"/>
        <v>-1614406594.8476102</v>
      </c>
      <c r="J2207" s="455">
        <f t="array" ref="J2207">IFERROR(INDEX('Retirement Calculator'!J:J,MATCH('Isaac 401k'!N2207,'Retirement Calculator'!A:A,0),0),0)</f>
        <v>0</v>
      </c>
      <c r="K2207" s="455">
        <f t="shared" ca="1" si="141"/>
        <v>-6726694.1451983759</v>
      </c>
      <c r="L2207" s="455">
        <f t="shared" ca="1" si="142"/>
        <v>-1621133288.9928086</v>
      </c>
      <c r="M2207" s="471">
        <f t="shared" si="144"/>
        <v>0.05</v>
      </c>
      <c r="N2207" s="475">
        <f t="shared" si="145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43"/>
        <v>-1621133288.9928086</v>
      </c>
      <c r="J2208" s="455">
        <f t="array" ref="J2208">IFERROR(INDEX('Retirement Calculator'!J:J,MATCH('Isaac 401k'!N2208,'Retirement Calculator'!A:A,0),0),0)</f>
        <v>0</v>
      </c>
      <c r="K2208" s="455">
        <f t="shared" ca="1" si="141"/>
        <v>-6754722.0374700353</v>
      </c>
      <c r="L2208" s="455">
        <f t="shared" ca="1" si="142"/>
        <v>-1627888011.0302787</v>
      </c>
      <c r="M2208" s="471">
        <f t="shared" si="144"/>
        <v>0.05</v>
      </c>
      <c r="N2208" s="475">
        <f t="shared" si="145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43"/>
        <v>-1627888011.0302787</v>
      </c>
      <c r="J2209" s="455">
        <f t="array" ref="J2209">IFERROR(INDEX('Retirement Calculator'!J:J,MATCH('Isaac 401k'!N2209,'Retirement Calculator'!A:A,0),0),0)</f>
        <v>0</v>
      </c>
      <c r="K2209" s="455">
        <f t="shared" ca="1" si="141"/>
        <v>-6782866.7126261611</v>
      </c>
      <c r="L2209" s="455">
        <f t="shared" ca="1" si="142"/>
        <v>-1634670877.7429049</v>
      </c>
      <c r="M2209" s="471">
        <f t="shared" si="144"/>
        <v>0.05</v>
      </c>
      <c r="N2209" s="475">
        <f t="shared" si="145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43"/>
        <v>-1634670877.7429049</v>
      </c>
      <c r="J2210" s="455">
        <f t="array" ref="J2210">IFERROR(INDEX('Retirement Calculator'!J:J,MATCH('Isaac 401k'!N2210,'Retirement Calculator'!A:A,0),0),0)</f>
        <v>0</v>
      </c>
      <c r="K2210" s="455">
        <f t="shared" ca="1" si="141"/>
        <v>-6811128.6572621036</v>
      </c>
      <c r="L2210" s="455">
        <f t="shared" ca="1" si="142"/>
        <v>-1641482006.400167</v>
      </c>
      <c r="M2210" s="471">
        <f t="shared" si="144"/>
        <v>0.05</v>
      </c>
      <c r="N2210" s="475">
        <f t="shared" si="145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43"/>
        <v>-1641482006.400167</v>
      </c>
      <c r="J2211" s="455">
        <f t="array" ref="J2211">IFERROR(INDEX('Retirement Calculator'!J:J,MATCH('Isaac 401k'!N2211,'Retirement Calculator'!A:A,0),0),0)</f>
        <v>0</v>
      </c>
      <c r="K2211" s="455">
        <f t="shared" ca="1" si="141"/>
        <v>-6839508.360000696</v>
      </c>
      <c r="L2211" s="455">
        <f t="shared" ca="1" si="142"/>
        <v>-1648321514.7601676</v>
      </c>
      <c r="M2211" s="471">
        <f t="shared" si="144"/>
        <v>0.05</v>
      </c>
      <c r="N2211" s="475">
        <f t="shared" si="145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43"/>
        <v>-1648321514.7601676</v>
      </c>
      <c r="J2212" s="455">
        <f t="array" ref="J2212">IFERROR(INDEX('Retirement Calculator'!J:J,MATCH('Isaac 401k'!N2212,'Retirement Calculator'!A:A,0),0),0)</f>
        <v>0</v>
      </c>
      <c r="K2212" s="455">
        <f t="shared" ca="1" si="141"/>
        <v>-6868006.3115006983</v>
      </c>
      <c r="L2212" s="455">
        <f t="shared" ca="1" si="142"/>
        <v>-1655189521.0716684</v>
      </c>
      <c r="M2212" s="471">
        <f t="shared" si="144"/>
        <v>0.05</v>
      </c>
      <c r="N2212" s="475">
        <f t="shared" si="145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43"/>
        <v>-1655189521.0716684</v>
      </c>
      <c r="J2213" s="455">
        <f t="array" ref="J2213">IFERROR(INDEX('Retirement Calculator'!J:J,MATCH('Isaac 401k'!N2213,'Retirement Calculator'!A:A,0),0),0)</f>
        <v>0</v>
      </c>
      <c r="K2213" s="455">
        <f t="shared" ca="1" si="141"/>
        <v>-6896623.0044652848</v>
      </c>
      <c r="L2213" s="455">
        <f t="shared" ca="1" si="142"/>
        <v>-1662086144.0761337</v>
      </c>
      <c r="M2213" s="471">
        <f t="shared" si="144"/>
        <v>0.05</v>
      </c>
      <c r="N2213" s="475">
        <f t="shared" si="145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43"/>
        <v>-1662086144.0761337</v>
      </c>
      <c r="J2214" s="455">
        <f t="array" ref="J2214">IFERROR(INDEX('Retirement Calculator'!J:J,MATCH('Isaac 401k'!N2214,'Retirement Calculator'!A:A,0),0),0)</f>
        <v>0</v>
      </c>
      <c r="K2214" s="455">
        <f t="shared" ca="1" si="141"/>
        <v>-6925358.933650557</v>
      </c>
      <c r="L2214" s="455">
        <f t="shared" ca="1" si="142"/>
        <v>-1669011503.0097842</v>
      </c>
      <c r="M2214" s="471">
        <f t="shared" si="144"/>
        <v>0.05</v>
      </c>
      <c r="N2214" s="475">
        <f t="shared" si="145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43"/>
        <v>-1669011503.0097842</v>
      </c>
      <c r="J2215" s="455">
        <f t="array" ref="J2215">IFERROR(INDEX('Retirement Calculator'!J:J,MATCH('Isaac 401k'!N2215,'Retirement Calculator'!A:A,0),0),0)</f>
        <v>0</v>
      </c>
      <c r="K2215" s="455">
        <f t="shared" ca="1" si="141"/>
        <v>-6954214.5958741009</v>
      </c>
      <c r="L2215" s="455">
        <f t="shared" ca="1" si="142"/>
        <v>-1675965717.6056583</v>
      </c>
      <c r="M2215" s="471">
        <f t="shared" si="144"/>
        <v>0.05</v>
      </c>
      <c r="N2215" s="475">
        <f t="shared" si="145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43"/>
        <v>-1675965717.6056583</v>
      </c>
      <c r="J2216" s="455">
        <f t="array" ref="J2216">IFERROR(INDEX('Retirement Calculator'!J:J,MATCH('Isaac 401k'!N2216,'Retirement Calculator'!A:A,0),0),0)</f>
        <v>0</v>
      </c>
      <c r="K2216" s="455">
        <f t="shared" ca="1" si="141"/>
        <v>-6983190.4900235757</v>
      </c>
      <c r="L2216" s="455">
        <f t="shared" ca="1" si="142"/>
        <v>-1682948908.0956819</v>
      </c>
      <c r="M2216" s="471">
        <f t="shared" si="144"/>
        <v>0.05</v>
      </c>
      <c r="N2216" s="475">
        <f t="shared" si="145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43"/>
        <v>-1682948908.0956819</v>
      </c>
      <c r="J2217" s="455">
        <f t="array" ref="J2217">IFERROR(INDEX('Retirement Calculator'!J:J,MATCH('Isaac 401k'!N2217,'Retirement Calculator'!A:A,0),0),0)</f>
        <v>0</v>
      </c>
      <c r="K2217" s="455">
        <f t="shared" ca="1" si="141"/>
        <v>-7012287.1170653421</v>
      </c>
      <c r="L2217" s="455">
        <f t="shared" ca="1" si="142"/>
        <v>-1689961195.2127473</v>
      </c>
      <c r="M2217" s="471">
        <f t="shared" si="144"/>
        <v>0.05</v>
      </c>
      <c r="N2217" s="475">
        <f t="shared" si="145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43"/>
        <v>-1689961195.2127473</v>
      </c>
      <c r="J2218" s="455">
        <f t="array" ref="J2218">IFERROR(INDEX('Retirement Calculator'!J:J,MATCH('Isaac 401k'!N2218,'Retirement Calculator'!A:A,0),0),0)</f>
        <v>0</v>
      </c>
      <c r="K2218" s="455">
        <f t="shared" ca="1" si="141"/>
        <v>-7041504.9800531128</v>
      </c>
      <c r="L2218" s="455">
        <f t="shared" ca="1" si="142"/>
        <v>-1697002700.1928005</v>
      </c>
      <c r="M2218" s="471">
        <f t="shared" si="144"/>
        <v>0.05</v>
      </c>
      <c r="N2218" s="475">
        <f t="shared" si="145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43"/>
        <v>-1697002700.1928005</v>
      </c>
      <c r="J2219" s="455">
        <f t="array" ref="J2219">IFERROR(INDEX('Retirement Calculator'!J:J,MATCH('Isaac 401k'!N2219,'Retirement Calculator'!A:A,0),0),0)</f>
        <v>0</v>
      </c>
      <c r="K2219" s="455">
        <f t="shared" ca="1" si="141"/>
        <v>-7070844.5841366677</v>
      </c>
      <c r="L2219" s="455">
        <f t="shared" ca="1" si="142"/>
        <v>-1704073544.7769372</v>
      </c>
      <c r="M2219" s="471">
        <f t="shared" si="144"/>
        <v>0.05</v>
      </c>
      <c r="N2219" s="475">
        <f t="shared" si="145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43"/>
        <v>-1704073544.7769372</v>
      </c>
      <c r="J2220" s="455">
        <f t="array" ref="J2220">IFERROR(INDEX('Retirement Calculator'!J:J,MATCH('Isaac 401k'!N2220,'Retirement Calculator'!A:A,0),0),0)</f>
        <v>0</v>
      </c>
      <c r="K2220" s="455">
        <f t="shared" ca="1" si="141"/>
        <v>-7100306.4365705717</v>
      </c>
      <c r="L2220" s="455">
        <f t="shared" ca="1" si="142"/>
        <v>-1711173851.2135079</v>
      </c>
      <c r="M2220" s="471">
        <f t="shared" si="144"/>
        <v>0.05</v>
      </c>
      <c r="N2220" s="475">
        <f t="shared" si="145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43"/>
        <v>-1711173851.2135079</v>
      </c>
      <c r="J2221" s="455">
        <f t="array" ref="J2221">IFERROR(INDEX('Retirement Calculator'!J:J,MATCH('Isaac 401k'!N2221,'Retirement Calculator'!A:A,0),0),0)</f>
        <v>0</v>
      </c>
      <c r="K2221" s="455">
        <f t="shared" ca="1" si="141"/>
        <v>-7129891.0467229495</v>
      </c>
      <c r="L2221" s="455">
        <f t="shared" ca="1" si="142"/>
        <v>-1718303742.2602308</v>
      </c>
      <c r="M2221" s="471">
        <f t="shared" si="144"/>
        <v>0.05</v>
      </c>
      <c r="N2221" s="475">
        <f t="shared" si="145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43"/>
        <v>-1718303742.2602308</v>
      </c>
      <c r="J2222" s="455">
        <f t="array" ref="J2222">IFERROR(INDEX('Retirement Calculator'!J:J,MATCH('Isaac 401k'!N2222,'Retirement Calculator'!A:A,0),0),0)</f>
        <v>0</v>
      </c>
      <c r="K2222" s="455">
        <f t="shared" ca="1" si="141"/>
        <v>-7159598.9260842949</v>
      </c>
      <c r="L2222" s="455">
        <f t="shared" ca="1" si="142"/>
        <v>-1725463341.1863151</v>
      </c>
      <c r="M2222" s="471">
        <f t="shared" si="144"/>
        <v>0.05</v>
      </c>
      <c r="N2222" s="475">
        <f t="shared" si="145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43"/>
        <v>-1725463341.1863151</v>
      </c>
      <c r="J2223" s="455">
        <f t="array" ref="J2223">IFERROR(INDEX('Retirement Calculator'!J:J,MATCH('Isaac 401k'!N2223,'Retirement Calculator'!A:A,0),0),0)</f>
        <v>0</v>
      </c>
      <c r="K2223" s="455">
        <f t="shared" ca="1" si="141"/>
        <v>-7189430.5882763127</v>
      </c>
      <c r="L2223" s="455">
        <f t="shared" ca="1" si="142"/>
        <v>-1732652771.7745914</v>
      </c>
      <c r="M2223" s="471">
        <f t="shared" si="144"/>
        <v>0.05</v>
      </c>
      <c r="N2223" s="475">
        <f t="shared" si="145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43"/>
        <v>-1732652771.7745914</v>
      </c>
      <c r="J2224" s="455">
        <f t="array" ref="J2224">IFERROR(INDEX('Retirement Calculator'!J:J,MATCH('Isaac 401k'!N2224,'Retirement Calculator'!A:A,0),0),0)</f>
        <v>0</v>
      </c>
      <c r="K2224" s="455">
        <f t="shared" ca="1" si="141"/>
        <v>-7219386.5490607983</v>
      </c>
      <c r="L2224" s="455">
        <f t="shared" ca="1" si="142"/>
        <v>-1739872158.3236523</v>
      </c>
      <c r="M2224" s="471">
        <f t="shared" si="144"/>
        <v>0.05</v>
      </c>
      <c r="N2224" s="475">
        <f t="shared" si="145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43"/>
        <v>-1739872158.3236523</v>
      </c>
      <c r="J2225" s="455">
        <f t="array" ref="J2225">IFERROR(INDEX('Retirement Calculator'!J:J,MATCH('Isaac 401k'!N2225,'Retirement Calculator'!A:A,0),0),0)</f>
        <v>0</v>
      </c>
      <c r="K2225" s="455">
        <f t="shared" ca="1" si="141"/>
        <v>-7249467.3263485515</v>
      </c>
      <c r="L2225" s="455">
        <f t="shared" ca="1" si="142"/>
        <v>-1747121625.6500008</v>
      </c>
      <c r="M2225" s="471">
        <f t="shared" si="144"/>
        <v>0.05</v>
      </c>
      <c r="N2225" s="475">
        <f t="shared" si="145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43"/>
        <v>-1747121625.6500008</v>
      </c>
      <c r="J2226" s="455">
        <f t="array" ref="J2226">IFERROR(INDEX('Retirement Calculator'!J:J,MATCH('Isaac 401k'!N2226,'Retirement Calculator'!A:A,0),0),0)</f>
        <v>0</v>
      </c>
      <c r="K2226" s="455">
        <f t="shared" ca="1" si="141"/>
        <v>-7279673.4402083363</v>
      </c>
      <c r="L2226" s="455">
        <f t="shared" ca="1" si="142"/>
        <v>-1754401299.0902092</v>
      </c>
      <c r="M2226" s="471">
        <f t="shared" si="144"/>
        <v>0.05</v>
      </c>
      <c r="N2226" s="475">
        <f t="shared" si="145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43"/>
        <v>-1754401299.0902092</v>
      </c>
      <c r="J2227" s="455">
        <f t="array" ref="J2227">IFERROR(INDEX('Retirement Calculator'!J:J,MATCH('Isaac 401k'!N2227,'Retirement Calculator'!A:A,0),0),0)</f>
        <v>0</v>
      </c>
      <c r="K2227" s="455">
        <f t="shared" ca="1" si="141"/>
        <v>-7310005.412875873</v>
      </c>
      <c r="L2227" s="455">
        <f t="shared" ca="1" si="142"/>
        <v>-1761711304.5030851</v>
      </c>
      <c r="M2227" s="471">
        <f t="shared" si="144"/>
        <v>0.05</v>
      </c>
      <c r="N2227" s="475">
        <f t="shared" si="145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43"/>
        <v>-1761711304.5030851</v>
      </c>
      <c r="J2228" s="455">
        <f t="array" ref="J2228">IFERROR(INDEX('Retirement Calculator'!J:J,MATCH('Isaac 401k'!N2228,'Retirement Calculator'!A:A,0),0),0)</f>
        <v>0</v>
      </c>
      <c r="K2228" s="455">
        <f t="shared" ca="1" si="141"/>
        <v>-7340463.7687628558</v>
      </c>
      <c r="L2228" s="455">
        <f t="shared" ca="1" si="142"/>
        <v>-1769051768.271848</v>
      </c>
      <c r="M2228" s="471">
        <f t="shared" si="144"/>
        <v>0.05</v>
      </c>
      <c r="N2228" s="475">
        <f t="shared" si="145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43"/>
        <v>-1769051768.271848</v>
      </c>
      <c r="J2229" s="455">
        <f t="array" ref="J2229">IFERROR(INDEX('Retirement Calculator'!J:J,MATCH('Isaac 401k'!N2229,'Retirement Calculator'!A:A,0),0),0)</f>
        <v>0</v>
      </c>
      <c r="K2229" s="455">
        <f t="shared" ca="1" si="141"/>
        <v>-7371049.0344660319</v>
      </c>
      <c r="L2229" s="455">
        <f t="shared" ca="1" si="142"/>
        <v>-1776422817.306314</v>
      </c>
      <c r="M2229" s="471">
        <f t="shared" si="144"/>
        <v>0.05</v>
      </c>
      <c r="N2229" s="475">
        <f t="shared" si="145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43"/>
        <v>-1776422817.306314</v>
      </c>
      <c r="J2230" s="455">
        <f t="array" ref="J2230">IFERROR(INDEX('Retirement Calculator'!J:J,MATCH('Isaac 401k'!N2230,'Retirement Calculator'!A:A,0),0),0)</f>
        <v>0</v>
      </c>
      <c r="K2230" s="455">
        <f t="shared" ca="1" si="141"/>
        <v>-7401761.7387763094</v>
      </c>
      <c r="L2230" s="455">
        <f t="shared" ca="1" si="142"/>
        <v>-1783824579.0450902</v>
      </c>
      <c r="M2230" s="471">
        <f t="shared" si="144"/>
        <v>0.05</v>
      </c>
      <c r="N2230" s="475">
        <f t="shared" si="145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43"/>
        <v>-1783824579.0450902</v>
      </c>
      <c r="J2231" s="455">
        <f t="array" ref="J2231">IFERROR(INDEX('Retirement Calculator'!J:J,MATCH('Isaac 401k'!N2231,'Retirement Calculator'!A:A,0),0),0)</f>
        <v>0</v>
      </c>
      <c r="K2231" s="455">
        <f t="shared" ca="1" si="141"/>
        <v>-7432602.4126878753</v>
      </c>
      <c r="L2231" s="455">
        <f t="shared" ca="1" si="142"/>
        <v>-1791257181.457778</v>
      </c>
      <c r="M2231" s="471">
        <f t="shared" si="144"/>
        <v>0.05</v>
      </c>
      <c r="N2231" s="475">
        <f t="shared" si="145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43"/>
        <v>-1791257181.457778</v>
      </c>
      <c r="J2232" s="455">
        <f t="array" ref="J2232">IFERROR(INDEX('Retirement Calculator'!J:J,MATCH('Isaac 401k'!N2232,'Retirement Calculator'!A:A,0),0),0)</f>
        <v>0</v>
      </c>
      <c r="K2232" s="455">
        <f t="shared" ca="1" si="141"/>
        <v>-7463571.5894074077</v>
      </c>
      <c r="L2232" s="455">
        <f t="shared" ca="1" si="142"/>
        <v>-1798720753.0471854</v>
      </c>
      <c r="M2232" s="471">
        <f t="shared" si="144"/>
        <v>0.05</v>
      </c>
      <c r="N2232" s="475">
        <f t="shared" si="145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43"/>
        <v>-1798720753.0471854</v>
      </c>
      <c r="J2233" s="455">
        <f t="array" ref="J2233">IFERROR(INDEX('Retirement Calculator'!J:J,MATCH('Isaac 401k'!N2233,'Retirement Calculator'!A:A,0),0),0)</f>
        <v>0</v>
      </c>
      <c r="K2233" s="455">
        <f t="shared" ca="1" si="141"/>
        <v>-7494669.8043632722</v>
      </c>
      <c r="L2233" s="455">
        <f t="shared" ca="1" si="142"/>
        <v>-1806215422.8515487</v>
      </c>
      <c r="M2233" s="471">
        <f t="shared" si="144"/>
        <v>0.05</v>
      </c>
      <c r="N2233" s="475">
        <f t="shared" si="145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43"/>
        <v>-1806215422.8515487</v>
      </c>
      <c r="J2234" s="455">
        <f t="array" ref="J2234">IFERROR(INDEX('Retirement Calculator'!J:J,MATCH('Isaac 401k'!N2234,'Retirement Calculator'!A:A,0),0),0)</f>
        <v>0</v>
      </c>
      <c r="K2234" s="455">
        <f t="shared" ca="1" si="141"/>
        <v>-7525897.595214786</v>
      </c>
      <c r="L2234" s="455">
        <f t="shared" ca="1" si="142"/>
        <v>-1813741320.4467635</v>
      </c>
      <c r="M2234" s="471">
        <f t="shared" si="144"/>
        <v>0.05</v>
      </c>
      <c r="N2234" s="475">
        <f t="shared" si="145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43"/>
        <v>-1813741320.4467635</v>
      </c>
      <c r="J2235" s="455">
        <f t="array" ref="J2235">IFERROR(INDEX('Retirement Calculator'!J:J,MATCH('Isaac 401k'!N2235,'Retirement Calculator'!A:A,0),0),0)</f>
        <v>0</v>
      </c>
      <c r="K2235" s="455">
        <f t="shared" ca="1" si="141"/>
        <v>-7557255.5018615155</v>
      </c>
      <c r="L2235" s="455">
        <f t="shared" ca="1" si="142"/>
        <v>-1821298575.9486251</v>
      </c>
      <c r="M2235" s="471">
        <f t="shared" si="144"/>
        <v>0.05</v>
      </c>
      <c r="N2235" s="475">
        <f t="shared" si="145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43"/>
        <v>-1821298575.9486251</v>
      </c>
      <c r="J2236" s="455">
        <f t="array" ref="J2236">IFERROR(INDEX('Retirement Calculator'!J:J,MATCH('Isaac 401k'!N2236,'Retirement Calculator'!A:A,0),0),0)</f>
        <v>0</v>
      </c>
      <c r="K2236" s="455">
        <f t="shared" ca="1" si="141"/>
        <v>-7588744.0664526047</v>
      </c>
      <c r="L2236" s="455">
        <f t="shared" ca="1" si="142"/>
        <v>-1828887320.0150776</v>
      </c>
      <c r="M2236" s="471">
        <f t="shared" si="144"/>
        <v>0.05</v>
      </c>
      <c r="N2236" s="475">
        <f t="shared" si="145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43"/>
        <v>-1828887320.0150776</v>
      </c>
      <c r="J2237" s="455">
        <f t="array" ref="J2237">IFERROR(INDEX('Retirement Calculator'!J:J,MATCH('Isaac 401k'!N2237,'Retirement Calculator'!A:A,0),0),0)</f>
        <v>0</v>
      </c>
      <c r="K2237" s="455">
        <f t="shared" ca="1" si="141"/>
        <v>-7620363.8333961572</v>
      </c>
      <c r="L2237" s="455">
        <f t="shared" ca="1" si="142"/>
        <v>-1836507683.8484738</v>
      </c>
      <c r="M2237" s="471">
        <f t="shared" si="144"/>
        <v>0.05</v>
      </c>
      <c r="N2237" s="475">
        <f t="shared" si="145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43"/>
        <v>-1836507683.8484738</v>
      </c>
      <c r="J2238" s="455">
        <f t="array" ref="J2238">IFERROR(INDEX('Retirement Calculator'!J:J,MATCH('Isaac 401k'!N2238,'Retirement Calculator'!A:A,0),0),0)</f>
        <v>0</v>
      </c>
      <c r="K2238" s="455">
        <f t="shared" ca="1" si="141"/>
        <v>-7652115.3493686402</v>
      </c>
      <c r="L2238" s="455">
        <f t="shared" ca="1" si="142"/>
        <v>-1844159799.1978424</v>
      </c>
      <c r="M2238" s="471">
        <f t="shared" si="144"/>
        <v>0.05</v>
      </c>
      <c r="N2238" s="475">
        <f t="shared" si="145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43"/>
        <v>-1844159799.1978424</v>
      </c>
      <c r="J2239" s="455">
        <f t="array" ref="J2239">IFERROR(INDEX('Retirement Calculator'!J:J,MATCH('Isaac 401k'!N2239,'Retirement Calculator'!A:A,0),0),0)</f>
        <v>0</v>
      </c>
      <c r="K2239" s="455">
        <f t="shared" ca="1" si="141"/>
        <v>-7683999.163324344</v>
      </c>
      <c r="L2239" s="455">
        <f t="shared" ca="1" si="142"/>
        <v>-1851843798.3611667</v>
      </c>
      <c r="M2239" s="471">
        <f t="shared" si="144"/>
        <v>0.05</v>
      </c>
      <c r="N2239" s="475">
        <f t="shared" si="145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43"/>
        <v>-1851843798.3611667</v>
      </c>
      <c r="J2240" s="455">
        <f t="array" ref="J2240">IFERROR(INDEX('Retirement Calculator'!J:J,MATCH('Isaac 401k'!N2240,'Retirement Calculator'!A:A,0),0),0)</f>
        <v>0</v>
      </c>
      <c r="K2240" s="455">
        <f t="shared" ca="1" si="141"/>
        <v>-7716015.826504861</v>
      </c>
      <c r="L2240" s="455">
        <f t="shared" ca="1" si="142"/>
        <v>-1859559814.1876717</v>
      </c>
      <c r="M2240" s="471">
        <f t="shared" si="144"/>
        <v>0.05</v>
      </c>
      <c r="N2240" s="475">
        <f t="shared" si="145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43"/>
        <v>-1859559814.1876717</v>
      </c>
      <c r="J2241" s="455">
        <f t="array" ref="J2241">IFERROR(INDEX('Retirement Calculator'!J:J,MATCH('Isaac 401k'!N2241,'Retirement Calculator'!A:A,0),0),0)</f>
        <v>0</v>
      </c>
      <c r="K2241" s="455">
        <f t="shared" ca="1" si="141"/>
        <v>-7748165.892448633</v>
      </c>
      <c r="L2241" s="455">
        <f t="shared" ca="1" si="142"/>
        <v>-1867307980.0801203</v>
      </c>
      <c r="M2241" s="471">
        <f t="shared" si="144"/>
        <v>0.05</v>
      </c>
      <c r="N2241" s="475">
        <f t="shared" si="145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43"/>
        <v>-1867307980.0801203</v>
      </c>
      <c r="J2242" s="455">
        <f t="array" ref="J2242">IFERROR(INDEX('Retirement Calculator'!J:J,MATCH('Isaac 401k'!N2242,'Retirement Calculator'!A:A,0),0),0)</f>
        <v>0</v>
      </c>
      <c r="K2242" s="455">
        <f t="shared" ca="1" si="141"/>
        <v>-7780449.9170005014</v>
      </c>
      <c r="L2242" s="455">
        <f t="shared" ca="1" si="142"/>
        <v>-1875088429.9971209</v>
      </c>
      <c r="M2242" s="471">
        <f t="shared" si="144"/>
        <v>0.05</v>
      </c>
      <c r="N2242" s="475">
        <f t="shared" si="145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43"/>
        <v>-1875088429.9971209</v>
      </c>
      <c r="J2243" s="455">
        <f t="array" ref="J2243">IFERROR(INDEX('Retirement Calculator'!J:J,MATCH('Isaac 401k'!N2243,'Retirement Calculator'!A:A,0),0),0)</f>
        <v>0</v>
      </c>
      <c r="K2243" s="455">
        <f t="shared" ca="1" si="141"/>
        <v>-7812868.4583213376</v>
      </c>
      <c r="L2243" s="455">
        <f t="shared" ca="1" si="142"/>
        <v>-1882901298.4554422</v>
      </c>
      <c r="M2243" s="471">
        <f t="shared" si="144"/>
        <v>0.05</v>
      </c>
      <c r="N2243" s="475">
        <f t="shared" si="145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43"/>
        <v>-1882901298.4554422</v>
      </c>
      <c r="J2244" s="455">
        <f t="array" ref="J2244">IFERROR(INDEX('Retirement Calculator'!J:J,MATCH('Isaac 401k'!N2244,'Retirement Calculator'!A:A,0),0),0)</f>
        <v>0</v>
      </c>
      <c r="K2244" s="455">
        <f t="shared" ca="1" si="141"/>
        <v>-7845422.0768976761</v>
      </c>
      <c r="L2244" s="455">
        <f t="shared" ca="1" si="142"/>
        <v>-1890746720.5323398</v>
      </c>
      <c r="M2244" s="471">
        <f t="shared" si="144"/>
        <v>0.05</v>
      </c>
      <c r="N2244" s="475">
        <f t="shared" si="145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43"/>
        <v>-1890746720.5323398</v>
      </c>
      <c r="J2245" s="455">
        <f t="array" ref="J2245">IFERROR(INDEX('Retirement Calculator'!J:J,MATCH('Isaac 401k'!N2245,'Retirement Calculator'!A:A,0),0),0)</f>
        <v>0</v>
      </c>
      <c r="K2245" s="455">
        <f t="shared" ca="1" si="141"/>
        <v>-7878111.3355514156</v>
      </c>
      <c r="L2245" s="455">
        <f t="shared" ca="1" si="142"/>
        <v>-1898624831.8678913</v>
      </c>
      <c r="M2245" s="471">
        <f t="shared" si="144"/>
        <v>0.05</v>
      </c>
      <c r="N2245" s="475">
        <f t="shared" si="145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43"/>
        <v>-1898624831.8678913</v>
      </c>
      <c r="J2246" s="455">
        <f t="array" ref="J2246">IFERROR(INDEX('Retirement Calculator'!J:J,MATCH('Isaac 401k'!N2246,'Retirement Calculator'!A:A,0),0),0)</f>
        <v>0</v>
      </c>
      <c r="K2246" s="455">
        <f t="shared" ca="1" si="141"/>
        <v>-7910936.7994495481</v>
      </c>
      <c r="L2246" s="455">
        <f t="shared" ca="1" si="142"/>
        <v>-1906535768.6673408</v>
      </c>
      <c r="M2246" s="471">
        <f t="shared" si="144"/>
        <v>0.05</v>
      </c>
      <c r="N2246" s="475">
        <f t="shared" si="145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43"/>
        <v>-1906535768.6673408</v>
      </c>
      <c r="J2247" s="455">
        <f t="array" ref="J2247">IFERROR(INDEX('Retirement Calculator'!J:J,MATCH('Isaac 401k'!N2247,'Retirement Calculator'!A:A,0),0),0)</f>
        <v>0</v>
      </c>
      <c r="K2247" s="455">
        <f t="shared" ca="1" si="141"/>
        <v>-7943899.0361139188</v>
      </c>
      <c r="L2247" s="455">
        <f t="shared" ca="1" si="142"/>
        <v>-1914479667.7034547</v>
      </c>
      <c r="M2247" s="471">
        <f t="shared" si="144"/>
        <v>0.05</v>
      </c>
      <c r="N2247" s="475">
        <f t="shared" si="145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43"/>
        <v>-1914479667.7034547</v>
      </c>
      <c r="J2248" s="455">
        <f t="array" ref="J2248">IFERROR(INDEX('Retirement Calculator'!J:J,MATCH('Isaac 401k'!N2248,'Retirement Calculator'!A:A,0),0),0)</f>
        <v>0</v>
      </c>
      <c r="K2248" s="455">
        <f t="shared" ca="1" si="141"/>
        <v>-7976998.615431061</v>
      </c>
      <c r="L2248" s="455">
        <f t="shared" ca="1" si="142"/>
        <v>-1922456666.3188858</v>
      </c>
      <c r="M2248" s="471">
        <f t="shared" si="144"/>
        <v>0.05</v>
      </c>
      <c r="N2248" s="475">
        <f t="shared" si="145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43"/>
        <v>-1922456666.3188858</v>
      </c>
      <c r="J2249" s="455">
        <f t="array" ref="J2249">IFERROR(INDEX('Retirement Calculator'!J:J,MATCH('Isaac 401k'!N2249,'Retirement Calculator'!A:A,0),0),0)</f>
        <v>0</v>
      </c>
      <c r="K2249" s="455">
        <f t="shared" ca="1" si="141"/>
        <v>-8010236.1096620243</v>
      </c>
      <c r="L2249" s="455">
        <f t="shared" ca="1" si="142"/>
        <v>-1930466902.4285479</v>
      </c>
      <c r="M2249" s="471">
        <f t="shared" si="144"/>
        <v>0.05</v>
      </c>
      <c r="N2249" s="475">
        <f t="shared" si="145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43"/>
        <v>-1930466902.4285479</v>
      </c>
      <c r="J2250" s="455">
        <f t="array" ref="J2250">IFERROR(INDEX('Retirement Calculator'!J:J,MATCH('Isaac 401k'!N2250,'Retirement Calculator'!A:A,0),0),0)</f>
        <v>0</v>
      </c>
      <c r="K2250" s="455">
        <f t="shared" ca="1" si="141"/>
        <v>-8043612.0934522822</v>
      </c>
      <c r="L2250" s="455">
        <f t="shared" ca="1" si="142"/>
        <v>-1938510514.5220001</v>
      </c>
      <c r="M2250" s="471">
        <f t="shared" si="144"/>
        <v>0.05</v>
      </c>
      <c r="N2250" s="475">
        <f t="shared" si="145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43"/>
        <v>-1938510514.5220001</v>
      </c>
      <c r="J2251" s="455">
        <f t="array" ref="J2251">IFERROR(INDEX('Retirement Calculator'!J:J,MATCH('Isaac 401k'!N2251,'Retirement Calculator'!A:A,0),0),0)</f>
        <v>0</v>
      </c>
      <c r="K2251" s="455">
        <f t="shared" ca="1" si="141"/>
        <v>-8077127.143841668</v>
      </c>
      <c r="L2251" s="455">
        <f t="shared" ca="1" si="142"/>
        <v>-1946587641.6658418</v>
      </c>
      <c r="M2251" s="471">
        <f t="shared" si="144"/>
        <v>0.05</v>
      </c>
      <c r="N2251" s="475">
        <f t="shared" si="145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43"/>
        <v>-1946587641.6658418</v>
      </c>
      <c r="J2252" s="455">
        <f t="array" ref="J2252">IFERROR(INDEX('Retirement Calculator'!J:J,MATCH('Isaac 401k'!N2252,'Retirement Calculator'!A:A,0),0),0)</f>
        <v>0</v>
      </c>
      <c r="K2252" s="455">
        <f t="shared" ca="1" si="141"/>
        <v>-8110781.8402743405</v>
      </c>
      <c r="L2252" s="455">
        <f t="shared" ca="1" si="142"/>
        <v>-1954698423.5061162</v>
      </c>
      <c r="M2252" s="471">
        <f t="shared" si="144"/>
        <v>0.05</v>
      </c>
      <c r="N2252" s="475">
        <f t="shared" si="145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43"/>
        <v>-1954698423.5061162</v>
      </c>
      <c r="J2253" s="455">
        <f t="array" ref="J2253">IFERROR(INDEX('Retirement Calculator'!J:J,MATCH('Isaac 401k'!N2253,'Retirement Calculator'!A:A,0),0),0)</f>
        <v>0</v>
      </c>
      <c r="K2253" s="455">
        <f t="shared" ca="1" si="141"/>
        <v>-8144576.7646088181</v>
      </c>
      <c r="L2253" s="455">
        <f t="shared" ca="1" si="142"/>
        <v>-1962843000.270725</v>
      </c>
      <c r="M2253" s="471">
        <f t="shared" si="144"/>
        <v>0.05</v>
      </c>
      <c r="N2253" s="475">
        <f t="shared" si="145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43"/>
        <v>-1962843000.270725</v>
      </c>
      <c r="J2254" s="455">
        <f t="array" ref="J2254">IFERROR(INDEX('Retirement Calculator'!J:J,MATCH('Isaac 401k'!N2254,'Retirement Calculator'!A:A,0),0),0)</f>
        <v>0</v>
      </c>
      <c r="K2254" s="455">
        <f t="shared" ca="1" si="141"/>
        <v>-8178512.5011280216</v>
      </c>
      <c r="L2254" s="455">
        <f t="shared" ca="1" si="142"/>
        <v>-1971021512.771853</v>
      </c>
      <c r="M2254" s="471">
        <f t="shared" si="144"/>
        <v>0.05</v>
      </c>
      <c r="N2254" s="475">
        <f t="shared" si="145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43"/>
        <v>-1971021512.771853</v>
      </c>
      <c r="J2255" s="455">
        <f t="array" ref="J2255">IFERROR(INDEX('Retirement Calculator'!J:J,MATCH('Isaac 401k'!N2255,'Retirement Calculator'!A:A,0),0),0)</f>
        <v>0</v>
      </c>
      <c r="K2255" s="455">
        <f t="shared" ca="1" si="141"/>
        <v>-8212589.6365493871</v>
      </c>
      <c r="L2255" s="455">
        <f t="shared" ca="1" si="142"/>
        <v>-1979234102.4084024</v>
      </c>
      <c r="M2255" s="471">
        <f t="shared" si="144"/>
        <v>0.05</v>
      </c>
      <c r="N2255" s="475">
        <f t="shared" si="145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43"/>
        <v>-1979234102.4084024</v>
      </c>
      <c r="J2256" s="455">
        <f t="array" ref="J2256">IFERROR(INDEX('Retirement Calculator'!J:J,MATCH('Isaac 401k'!N2256,'Retirement Calculator'!A:A,0),0),0)</f>
        <v>0</v>
      </c>
      <c r="K2256" s="455">
        <f t="shared" ca="1" si="141"/>
        <v>-8246808.7600350091</v>
      </c>
      <c r="L2256" s="455">
        <f t="shared" ca="1" si="142"/>
        <v>-1987480911.1684375</v>
      </c>
      <c r="M2256" s="471">
        <f t="shared" si="144"/>
        <v>0.05</v>
      </c>
      <c r="N2256" s="475">
        <f t="shared" si="145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43"/>
        <v>-1987480911.1684375</v>
      </c>
      <c r="J2257" s="455">
        <f t="array" ref="J2257">IFERROR(INDEX('Retirement Calculator'!J:J,MATCH('Isaac 401k'!N2257,'Retirement Calculator'!A:A,0),0),0)</f>
        <v>0</v>
      </c>
      <c r="K2257" s="455">
        <f t="shared" ca="1" si="141"/>
        <v>-8281170.4632018227</v>
      </c>
      <c r="L2257" s="455">
        <f t="shared" ca="1" si="142"/>
        <v>-1995762081.6316392</v>
      </c>
      <c r="M2257" s="471">
        <f t="shared" si="144"/>
        <v>0.05</v>
      </c>
      <c r="N2257" s="475">
        <f t="shared" si="145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43"/>
        <v>-1995762081.6316392</v>
      </c>
      <c r="J2258" s="455">
        <f t="array" ref="J2258">IFERROR(INDEX('Retirement Calculator'!J:J,MATCH('Isaac 401k'!N2258,'Retirement Calculator'!A:A,0),0),0)</f>
        <v>0</v>
      </c>
      <c r="K2258" s="455">
        <f t="shared" ca="1" si="141"/>
        <v>-8315675.3401318304</v>
      </c>
      <c r="L2258" s="455">
        <f t="shared" ca="1" si="142"/>
        <v>-2004077756.971771</v>
      </c>
      <c r="M2258" s="471">
        <f t="shared" si="144"/>
        <v>0.05</v>
      </c>
      <c r="N2258" s="475">
        <f t="shared" si="145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43"/>
        <v>-2004077756.971771</v>
      </c>
      <c r="J2259" s="455">
        <f t="array" ref="J2259">IFERROR(INDEX('Retirement Calculator'!J:J,MATCH('Isaac 401k'!N2259,'Retirement Calculator'!A:A,0),0),0)</f>
        <v>0</v>
      </c>
      <c r="K2259" s="455">
        <f t="shared" ca="1" si="141"/>
        <v>-8350323.9873823803</v>
      </c>
      <c r="L2259" s="455">
        <f t="shared" ca="1" si="142"/>
        <v>-2012428080.9591534</v>
      </c>
      <c r="M2259" s="471">
        <f t="shared" si="144"/>
        <v>0.05</v>
      </c>
      <c r="N2259" s="475">
        <f t="shared" si="145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43"/>
        <v>-2012428080.9591534</v>
      </c>
      <c r="J2260" s="455">
        <f t="array" ref="J2260">IFERROR(INDEX('Retirement Calculator'!J:J,MATCH('Isaac 401k'!N2260,'Retirement Calculator'!A:A,0),0),0)</f>
        <v>0</v>
      </c>
      <c r="K2260" s="455">
        <f t="shared" ca="1" si="141"/>
        <v>-8385117.0039964719</v>
      </c>
      <c r="L2260" s="455">
        <f t="shared" ca="1" si="142"/>
        <v>-2020813197.9631498</v>
      </c>
      <c r="M2260" s="471">
        <f t="shared" si="144"/>
        <v>0.05</v>
      </c>
      <c r="N2260" s="475">
        <f t="shared" si="145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43"/>
        <v>-2020813197.9631498</v>
      </c>
      <c r="J2261" s="455">
        <f t="array" ref="J2261">IFERROR(INDEX('Retirement Calculator'!J:J,MATCH('Isaac 401k'!N2261,'Retirement Calculator'!A:A,0),0),0)</f>
        <v>0</v>
      </c>
      <c r="K2261" s="455">
        <f t="shared" ca="1" si="141"/>
        <v>-8420054.9915131237</v>
      </c>
      <c r="L2261" s="455">
        <f t="shared" ca="1" si="142"/>
        <v>-2029233252.9546628</v>
      </c>
      <c r="M2261" s="471">
        <f t="shared" si="144"/>
        <v>0.05</v>
      </c>
      <c r="N2261" s="475">
        <f t="shared" si="145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43"/>
        <v>-2029233252.9546628</v>
      </c>
      <c r="J2262" s="455">
        <f t="array" ref="J2262">IFERROR(INDEX('Retirement Calculator'!J:J,MATCH('Isaac 401k'!N2262,'Retirement Calculator'!A:A,0),0),0)</f>
        <v>0</v>
      </c>
      <c r="K2262" s="455">
        <f t="shared" ca="1" si="141"/>
        <v>-8455138.5539777614</v>
      </c>
      <c r="L2262" s="455">
        <f t="shared" ca="1" si="142"/>
        <v>-2037688391.5086405</v>
      </c>
      <c r="M2262" s="471">
        <f t="shared" si="144"/>
        <v>0.05</v>
      </c>
      <c r="N2262" s="475">
        <f t="shared" si="145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43"/>
        <v>-2037688391.5086405</v>
      </c>
      <c r="J2263" s="455">
        <f t="array" ref="J2263">IFERROR(INDEX('Retirement Calculator'!J:J,MATCH('Isaac 401k'!N2263,'Retirement Calculator'!A:A,0),0),0)</f>
        <v>0</v>
      </c>
      <c r="K2263" s="455">
        <f t="shared" ca="1" si="141"/>
        <v>-8490368.2979526687</v>
      </c>
      <c r="L2263" s="455">
        <f t="shared" ca="1" si="142"/>
        <v>-2046178759.8065932</v>
      </c>
      <c r="M2263" s="471">
        <f t="shared" si="144"/>
        <v>0.05</v>
      </c>
      <c r="N2263" s="475">
        <f t="shared" si="145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43"/>
        <v>-2046178759.8065932</v>
      </c>
      <c r="J2264" s="455">
        <f t="array" ref="J2264">IFERROR(INDEX('Retirement Calculator'!J:J,MATCH('Isaac 401k'!N2264,'Retirement Calculator'!A:A,0),0),0)</f>
        <v>0</v>
      </c>
      <c r="K2264" s="455">
        <f t="shared" ca="1" si="141"/>
        <v>-8525744.8325274717</v>
      </c>
      <c r="L2264" s="455">
        <f t="shared" ca="1" si="142"/>
        <v>-2054704504.6391206</v>
      </c>
      <c r="M2264" s="471">
        <f t="shared" si="144"/>
        <v>0.05</v>
      </c>
      <c r="N2264" s="475">
        <f t="shared" si="145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43"/>
        <v>-2054704504.6391206</v>
      </c>
      <c r="J2265" s="455">
        <f t="array" ref="J2265">IFERROR(INDEX('Retirement Calculator'!J:J,MATCH('Isaac 401k'!N2265,'Retirement Calculator'!A:A,0),0),0)</f>
        <v>0</v>
      </c>
      <c r="K2265" s="455">
        <f t="shared" ca="1" si="141"/>
        <v>-8561268.7693296708</v>
      </c>
      <c r="L2265" s="455">
        <f t="shared" ca="1" si="142"/>
        <v>-2063265773.4084504</v>
      </c>
      <c r="M2265" s="471">
        <f t="shared" si="144"/>
        <v>0.05</v>
      </c>
      <c r="N2265" s="475">
        <f t="shared" si="145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43"/>
        <v>-2063265773.4084504</v>
      </c>
      <c r="J2266" s="455">
        <f t="array" ref="J2266">IFERROR(INDEX('Retirement Calculator'!J:J,MATCH('Isaac 401k'!N2266,'Retirement Calculator'!A:A,0),0),0)</f>
        <v>0</v>
      </c>
      <c r="K2266" s="455">
        <f t="shared" ca="1" si="141"/>
        <v>-8596940.7225352079</v>
      </c>
      <c r="L2266" s="455">
        <f t="shared" ca="1" si="142"/>
        <v>-2071862714.1309855</v>
      </c>
      <c r="M2266" s="471">
        <f t="shared" si="144"/>
        <v>0.05</v>
      </c>
      <c r="N2266" s="475">
        <f t="shared" si="145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43"/>
        <v>-2071862714.1309855</v>
      </c>
      <c r="J2267" s="455">
        <f t="array" ref="J2267">IFERROR(INDEX('Retirement Calculator'!J:J,MATCH('Isaac 401k'!N2267,'Retirement Calculator'!A:A,0),0),0)</f>
        <v>0</v>
      </c>
      <c r="K2267" s="455">
        <f t="shared" ca="1" si="141"/>
        <v>-8632761.3088791054</v>
      </c>
      <c r="L2267" s="455">
        <f t="shared" ca="1" si="142"/>
        <v>-2080495475.4398646</v>
      </c>
      <c r="M2267" s="471">
        <f t="shared" si="144"/>
        <v>0.05</v>
      </c>
      <c r="N2267" s="475">
        <f t="shared" si="145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43"/>
        <v>-2080495475.4398646</v>
      </c>
      <c r="J2268" s="455">
        <f t="array" ref="J2268">IFERROR(INDEX('Retirement Calculator'!J:J,MATCH('Isaac 401k'!N2268,'Retirement Calculator'!A:A,0),0),0)</f>
        <v>0</v>
      </c>
      <c r="K2268" s="455">
        <f t="shared" ca="1" si="141"/>
        <v>-8668731.1476661023</v>
      </c>
      <c r="L2268" s="455">
        <f t="shared" ca="1" si="142"/>
        <v>-2089164206.5875309</v>
      </c>
      <c r="M2268" s="471">
        <f t="shared" si="144"/>
        <v>0.05</v>
      </c>
      <c r="N2268" s="475">
        <f t="shared" si="145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43"/>
        <v>-2089164206.5875309</v>
      </c>
      <c r="J2269" s="455">
        <f t="array" ref="J2269">IFERROR(INDEX('Retirement Calculator'!J:J,MATCH('Isaac 401k'!N2269,'Retirement Calculator'!A:A,0),0),0)</f>
        <v>0</v>
      </c>
      <c r="K2269" s="455">
        <f t="shared" ca="1" si="141"/>
        <v>-8704850.860781379</v>
      </c>
      <c r="L2269" s="455">
        <f t="shared" ca="1" si="142"/>
        <v>-2097869057.4483123</v>
      </c>
      <c r="M2269" s="471">
        <f t="shared" si="144"/>
        <v>0.05</v>
      </c>
      <c r="N2269" s="475">
        <f t="shared" si="145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43"/>
        <v>-2097869057.4483123</v>
      </c>
      <c r="J2270" s="455">
        <f t="array" ref="J2270">IFERROR(INDEX('Retirement Calculator'!J:J,MATCH('Isaac 401k'!N2270,'Retirement Calculator'!A:A,0),0),0)</f>
        <v>0</v>
      </c>
      <c r="K2270" s="455">
        <f t="shared" ca="1" si="141"/>
        <v>-8741121.0727013014</v>
      </c>
      <c r="L2270" s="455">
        <f t="shared" ca="1" si="142"/>
        <v>-2106610178.5210135</v>
      </c>
      <c r="M2270" s="471">
        <f t="shared" si="144"/>
        <v>0.05</v>
      </c>
      <c r="N2270" s="475">
        <f t="shared" si="145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43"/>
        <v>-2106610178.5210135</v>
      </c>
      <c r="J2271" s="455">
        <f t="array" ref="J2271">IFERROR(INDEX('Retirement Calculator'!J:J,MATCH('Isaac 401k'!N2271,'Retirement Calculator'!A:A,0),0),0)</f>
        <v>0</v>
      </c>
      <c r="K2271" s="455">
        <f t="shared" ca="1" si="141"/>
        <v>-8777542.4105042219</v>
      </c>
      <c r="L2271" s="455">
        <f t="shared" ca="1" si="142"/>
        <v>-2115387720.9315176</v>
      </c>
      <c r="M2271" s="471">
        <f t="shared" si="144"/>
        <v>0.05</v>
      </c>
      <c r="N2271" s="475">
        <f t="shared" si="145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43"/>
        <v>-2115387720.9315176</v>
      </c>
      <c r="J2272" s="455">
        <f t="array" ref="J2272">IFERROR(INDEX('Retirement Calculator'!J:J,MATCH('Isaac 401k'!N2272,'Retirement Calculator'!A:A,0),0),0)</f>
        <v>0</v>
      </c>
      <c r="K2272" s="455">
        <f t="shared" ca="1" si="141"/>
        <v>-8814115.5038813241</v>
      </c>
      <c r="L2272" s="455">
        <f t="shared" ca="1" si="142"/>
        <v>-2124201836.4353988</v>
      </c>
      <c r="M2272" s="471">
        <f t="shared" si="144"/>
        <v>0.05</v>
      </c>
      <c r="N2272" s="475">
        <f t="shared" si="145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43"/>
        <v>-2124201836.4353988</v>
      </c>
      <c r="J2273" s="455">
        <f t="array" ref="J2273">IFERROR(INDEX('Retirement Calculator'!J:J,MATCH('Isaac 401k'!N2273,'Retirement Calculator'!A:A,0),0),0)</f>
        <v>0</v>
      </c>
      <c r="K2273" s="455">
        <f t="shared" ca="1" si="141"/>
        <v>-8850840.9851474948</v>
      </c>
      <c r="L2273" s="455">
        <f t="shared" ca="1" si="142"/>
        <v>-2133052677.4205463</v>
      </c>
      <c r="M2273" s="471">
        <f t="shared" si="144"/>
        <v>0.05</v>
      </c>
      <c r="N2273" s="475">
        <f t="shared" si="145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43"/>
        <v>-2133052677.4205463</v>
      </c>
      <c r="J2274" s="455">
        <f t="array" ref="J2274">IFERROR(INDEX('Retirement Calculator'!J:J,MATCH('Isaac 401k'!N2274,'Retirement Calculator'!A:A,0),0),0)</f>
        <v>0</v>
      </c>
      <c r="K2274" s="455">
        <f t="shared" ca="1" si="141"/>
        <v>-8887719.4892522767</v>
      </c>
      <c r="L2274" s="455">
        <f t="shared" ca="1" si="142"/>
        <v>-2141940396.9097986</v>
      </c>
      <c r="M2274" s="471">
        <f t="shared" si="144"/>
        <v>0.05</v>
      </c>
      <c r="N2274" s="475">
        <f t="shared" si="145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43"/>
        <v>-2141940396.9097986</v>
      </c>
      <c r="J2275" s="455">
        <f t="array" ref="J2275">IFERROR(INDEX('Retirement Calculator'!J:J,MATCH('Isaac 401k'!N2275,'Retirement Calculator'!A:A,0),0),0)</f>
        <v>0</v>
      </c>
      <c r="K2275" s="455">
        <f t="shared" ca="1" si="141"/>
        <v>-8924751.6537908278</v>
      </c>
      <c r="L2275" s="455">
        <f t="shared" ca="1" si="142"/>
        <v>-2150865148.5635896</v>
      </c>
      <c r="M2275" s="471">
        <f t="shared" si="144"/>
        <v>0.05</v>
      </c>
      <c r="N2275" s="475">
        <f t="shared" si="145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43"/>
        <v>-2150865148.5635896</v>
      </c>
      <c r="J2276" s="455">
        <f t="array" ref="J2276">IFERROR(INDEX('Retirement Calculator'!J:J,MATCH('Isaac 401k'!N2276,'Retirement Calculator'!A:A,0),0),0)</f>
        <v>0</v>
      </c>
      <c r="K2276" s="455">
        <f t="shared" ca="1" si="141"/>
        <v>-8961938.1190149561</v>
      </c>
      <c r="L2276" s="455">
        <f t="shared" ca="1" si="142"/>
        <v>-2159827086.6826043</v>
      </c>
      <c r="M2276" s="471">
        <f t="shared" si="144"/>
        <v>0.05</v>
      </c>
      <c r="N2276" s="475">
        <f t="shared" si="145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43"/>
        <v>-2159827086.6826043</v>
      </c>
      <c r="J2277" s="455">
        <f t="array" ref="J2277">IFERROR(INDEX('Retirement Calculator'!J:J,MATCH('Isaac 401k'!N2277,'Retirement Calculator'!A:A,0),0),0)</f>
        <v>0</v>
      </c>
      <c r="K2277" s="455">
        <f t="shared" ca="1" si="141"/>
        <v>-8999279.527844185</v>
      </c>
      <c r="L2277" s="455">
        <f t="shared" ca="1" si="142"/>
        <v>-2168826366.2104483</v>
      </c>
      <c r="M2277" s="471">
        <f t="shared" si="144"/>
        <v>0.05</v>
      </c>
      <c r="N2277" s="475">
        <f t="shared" si="145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43"/>
        <v>-2168826366.2104483</v>
      </c>
      <c r="J2278" s="455">
        <f t="array" ref="J2278">IFERROR(INDEX('Retirement Calculator'!J:J,MATCH('Isaac 401k'!N2278,'Retirement Calculator'!A:A,0),0),0)</f>
        <v>0</v>
      </c>
      <c r="K2278" s="455">
        <f t="shared" ca="1" si="141"/>
        <v>-9036776.5258768685</v>
      </c>
      <c r="L2278" s="455">
        <f t="shared" ca="1" si="142"/>
        <v>-2177863142.7363253</v>
      </c>
      <c r="M2278" s="471">
        <f t="shared" si="144"/>
        <v>0.05</v>
      </c>
      <c r="N2278" s="475">
        <f t="shared" si="145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43"/>
        <v>-2177863142.7363253</v>
      </c>
      <c r="J2279" s="455">
        <f t="array" ref="J2279">IFERROR(INDEX('Retirement Calculator'!J:J,MATCH('Isaac 401k'!N2279,'Retirement Calculator'!A:A,0),0),0)</f>
        <v>0</v>
      </c>
      <c r="K2279" s="455">
        <f t="shared" ca="1" si="141"/>
        <v>-9074429.7614013553</v>
      </c>
      <c r="L2279" s="455">
        <f t="shared" ca="1" si="142"/>
        <v>-2186937572.4977264</v>
      </c>
      <c r="M2279" s="471">
        <f t="shared" si="144"/>
        <v>0.05</v>
      </c>
      <c r="N2279" s="475">
        <f t="shared" si="145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43"/>
        <v>-2186937572.4977264</v>
      </c>
      <c r="J2280" s="455">
        <f t="array" ref="J2280">IFERROR(INDEX('Retirement Calculator'!J:J,MATCH('Isaac 401k'!N2280,'Retirement Calculator'!A:A,0),0),0)</f>
        <v>0</v>
      </c>
      <c r="K2280" s="455">
        <f t="shared" ca="1" si="141"/>
        <v>-9112239.8854071926</v>
      </c>
      <c r="L2280" s="455">
        <f t="shared" ca="1" si="142"/>
        <v>-2196049812.3831334</v>
      </c>
      <c r="M2280" s="471">
        <f t="shared" si="144"/>
        <v>0.05</v>
      </c>
      <c r="N2280" s="475">
        <f t="shared" si="145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43"/>
        <v>-2196049812.3831334</v>
      </c>
      <c r="J2281" s="455">
        <f t="array" ref="J2281">IFERROR(INDEX('Retirement Calculator'!J:J,MATCH('Isaac 401k'!N2281,'Retirement Calculator'!A:A,0),0),0)</f>
        <v>0</v>
      </c>
      <c r="K2281" s="455">
        <f t="shared" ca="1" si="141"/>
        <v>-9150207.5515963882</v>
      </c>
      <c r="L2281" s="455">
        <f t="shared" ca="1" si="142"/>
        <v>-2205200019.9347296</v>
      </c>
      <c r="M2281" s="471">
        <f t="shared" si="144"/>
        <v>0.05</v>
      </c>
      <c r="N2281" s="475">
        <f t="shared" si="145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43"/>
        <v>-2205200019.9347296</v>
      </c>
      <c r="J2282" s="455">
        <f t="array" ref="J2282">IFERROR(INDEX('Retirement Calculator'!J:J,MATCH('Isaac 401k'!N2282,'Retirement Calculator'!A:A,0),0),0)</f>
        <v>0</v>
      </c>
      <c r="K2282" s="455">
        <f t="shared" ca="1" si="141"/>
        <v>-9188333.4163947068</v>
      </c>
      <c r="L2282" s="455">
        <f t="shared" ca="1" si="142"/>
        <v>-2214388353.3511243</v>
      </c>
      <c r="M2282" s="471">
        <f t="shared" si="144"/>
        <v>0.05</v>
      </c>
      <c r="N2282" s="475">
        <f t="shared" si="145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43"/>
        <v>-2214388353.3511243</v>
      </c>
      <c r="J2283" s="455">
        <f t="array" ref="J2283">IFERROR(INDEX('Retirement Calculator'!J:J,MATCH('Isaac 401k'!N2283,'Retirement Calculator'!A:A,0),0),0)</f>
        <v>0</v>
      </c>
      <c r="K2283" s="455">
        <f t="shared" ca="1" si="141"/>
        <v>-9226618.1389630176</v>
      </c>
      <c r="L2283" s="455">
        <f t="shared" ca="1" si="142"/>
        <v>-2223614971.4900875</v>
      </c>
      <c r="M2283" s="471">
        <f t="shared" si="144"/>
        <v>0.05</v>
      </c>
      <c r="N2283" s="475">
        <f t="shared" si="145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43"/>
        <v>-2223614971.4900875</v>
      </c>
      <c r="J2284" s="455">
        <f t="array" ref="J2284">IFERROR(INDEX('Retirement Calculator'!J:J,MATCH('Isaac 401k'!N2284,'Retirement Calculator'!A:A,0),0),0)</f>
        <v>0</v>
      </c>
      <c r="K2284" s="455">
        <f t="shared" ca="1" si="141"/>
        <v>-9265062.3812086973</v>
      </c>
      <c r="L2284" s="455">
        <f t="shared" ca="1" si="142"/>
        <v>-2232880033.8712964</v>
      </c>
      <c r="M2284" s="471">
        <f t="shared" si="144"/>
        <v>0.05</v>
      </c>
      <c r="N2284" s="475">
        <f t="shared" si="145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43"/>
        <v>-2232880033.8712964</v>
      </c>
      <c r="J2285" s="455">
        <f t="array" ref="J2285">IFERROR(INDEX('Retirement Calculator'!J:J,MATCH('Isaac 401k'!N2285,'Retirement Calculator'!A:A,0),0),0)</f>
        <v>0</v>
      </c>
      <c r="K2285" s="455">
        <f t="shared" ca="1" si="141"/>
        <v>-9303666.8077970687</v>
      </c>
      <c r="L2285" s="455">
        <f t="shared" ca="1" si="142"/>
        <v>-2242183700.6790934</v>
      </c>
      <c r="M2285" s="471">
        <f t="shared" si="144"/>
        <v>0.05</v>
      </c>
      <c r="N2285" s="475">
        <f t="shared" si="145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43"/>
        <v>-2242183700.6790934</v>
      </c>
      <c r="J2286" s="455">
        <f t="array" ref="J2286">IFERROR(INDEX('Retirement Calculator'!J:J,MATCH('Isaac 401k'!N2286,'Retirement Calculator'!A:A,0),0),0)</f>
        <v>0</v>
      </c>
      <c r="K2286" s="455">
        <f t="shared" ca="1" si="141"/>
        <v>-9342432.0861628894</v>
      </c>
      <c r="L2286" s="455">
        <f t="shared" ca="1" si="142"/>
        <v>-2251526132.7652564</v>
      </c>
      <c r="M2286" s="471">
        <f t="shared" si="144"/>
        <v>0.05</v>
      </c>
      <c r="N2286" s="475">
        <f t="shared" si="145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43"/>
        <v>-2251526132.7652564</v>
      </c>
      <c r="J2287" s="455">
        <f t="array" ref="J2287">IFERROR(INDEX('Retirement Calculator'!J:J,MATCH('Isaac 401k'!N2287,'Retirement Calculator'!A:A,0),0),0)</f>
        <v>0</v>
      </c>
      <c r="K2287" s="455">
        <f t="shared" ca="1" si="141"/>
        <v>-9381358.8865219019</v>
      </c>
      <c r="L2287" s="455">
        <f t="shared" ca="1" si="142"/>
        <v>-2260907491.6517782</v>
      </c>
      <c r="M2287" s="471">
        <f t="shared" si="144"/>
        <v>0.05</v>
      </c>
      <c r="N2287" s="475">
        <f t="shared" si="145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43"/>
        <v>-2260907491.6517782</v>
      </c>
      <c r="J2288" s="455">
        <f t="array" ref="J2288">IFERROR(INDEX('Retirement Calculator'!J:J,MATCH('Isaac 401k'!N2288,'Retirement Calculator'!A:A,0),0),0)</f>
        <v>0</v>
      </c>
      <c r="K2288" s="455">
        <f t="shared" ca="1" si="141"/>
        <v>-9420447.8818824086</v>
      </c>
      <c r="L2288" s="455">
        <f t="shared" ca="1" si="142"/>
        <v>-2270327939.5336604</v>
      </c>
      <c r="M2288" s="471">
        <f t="shared" si="144"/>
        <v>0.05</v>
      </c>
      <c r="N2288" s="475">
        <f t="shared" si="145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43"/>
        <v>-2270327939.5336604</v>
      </c>
      <c r="J2289" s="455">
        <f t="array" ref="J2289">IFERROR(INDEX('Retirement Calculator'!J:J,MATCH('Isaac 401k'!N2289,'Retirement Calculator'!A:A,0),0),0)</f>
        <v>0</v>
      </c>
      <c r="K2289" s="455">
        <f t="shared" ca="1" si="141"/>
        <v>-9459699.7480569184</v>
      </c>
      <c r="L2289" s="455">
        <f t="shared" ca="1" si="142"/>
        <v>-2279787639.2817173</v>
      </c>
      <c r="M2289" s="471">
        <f t="shared" si="144"/>
        <v>0.05</v>
      </c>
      <c r="N2289" s="475">
        <f t="shared" si="145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43"/>
        <v>-2279787639.2817173</v>
      </c>
      <c r="J2290" s="455">
        <f t="array" ref="J2290">IFERROR(INDEX('Retirement Calculator'!J:J,MATCH('Isaac 401k'!N2290,'Retirement Calculator'!A:A,0),0),0)</f>
        <v>0</v>
      </c>
      <c r="K2290" s="455">
        <f t="shared" ca="1" si="141"/>
        <v>-9499115.1636738218</v>
      </c>
      <c r="L2290" s="455">
        <f t="shared" ca="1" si="142"/>
        <v>-2289286754.4453912</v>
      </c>
      <c r="M2290" s="471">
        <f t="shared" si="144"/>
        <v>0.05</v>
      </c>
      <c r="N2290" s="475">
        <f t="shared" si="145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43"/>
        <v>-2289286754.4453912</v>
      </c>
      <c r="J2291" s="455">
        <f t="array" ref="J2291">IFERROR(INDEX('Retirement Calculator'!J:J,MATCH('Isaac 401k'!N2291,'Retirement Calculator'!A:A,0),0),0)</f>
        <v>0</v>
      </c>
      <c r="K2291" s="455">
        <f t="shared" ca="1" si="141"/>
        <v>-9538694.8101891298</v>
      </c>
      <c r="L2291" s="455">
        <f t="shared" ca="1" si="142"/>
        <v>-2298825449.2555804</v>
      </c>
      <c r="M2291" s="471">
        <f t="shared" si="144"/>
        <v>0.05</v>
      </c>
      <c r="N2291" s="475">
        <f t="shared" si="145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43"/>
        <v>-2298825449.2555804</v>
      </c>
      <c r="J2292" s="455">
        <f t="array" ref="J2292">IFERROR(INDEX('Retirement Calculator'!J:J,MATCH('Isaac 401k'!N2292,'Retirement Calculator'!A:A,0),0),0)</f>
        <v>0</v>
      </c>
      <c r="K2292" s="455">
        <f t="shared" ca="1" si="141"/>
        <v>-9578439.3718982525</v>
      </c>
      <c r="L2292" s="455">
        <f t="shared" ca="1" si="142"/>
        <v>-2308403888.6274786</v>
      </c>
      <c r="M2292" s="471">
        <f t="shared" si="144"/>
        <v>0.05</v>
      </c>
      <c r="N2292" s="475">
        <f t="shared" si="145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43"/>
        <v>-2308403888.6274786</v>
      </c>
      <c r="J2293" s="455">
        <f t="array" ref="J2293">IFERROR(INDEX('Retirement Calculator'!J:J,MATCH('Isaac 401k'!N2293,'Retirement Calculator'!A:A,0),0),0)</f>
        <v>0</v>
      </c>
      <c r="K2293" s="455">
        <f t="shared" ca="1" si="141"/>
        <v>-9618349.5359478276</v>
      </c>
      <c r="L2293" s="455">
        <f t="shared" ca="1" si="142"/>
        <v>-2318022238.1634264</v>
      </c>
      <c r="M2293" s="471">
        <f t="shared" si="144"/>
        <v>0.05</v>
      </c>
      <c r="N2293" s="475">
        <f t="shared" si="145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43"/>
        <v>-2318022238.1634264</v>
      </c>
      <c r="J2294" s="455">
        <f t="array" ref="J2294">IFERROR(INDEX('Retirement Calculator'!J:J,MATCH('Isaac 401k'!N2294,'Retirement Calculator'!A:A,0),0),0)</f>
        <v>0</v>
      </c>
      <c r="K2294" s="455">
        <f t="shared" ca="1" si="141"/>
        <v>-9658425.9923476093</v>
      </c>
      <c r="L2294" s="455">
        <f t="shared" ca="1" si="142"/>
        <v>-2327680664.1557741</v>
      </c>
      <c r="M2294" s="471">
        <f t="shared" si="144"/>
        <v>0.05</v>
      </c>
      <c r="N2294" s="475">
        <f t="shared" si="145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43"/>
        <v>-2327680664.1557741</v>
      </c>
      <c r="J2295" s="455">
        <f t="array" ref="J2295">IFERROR(INDEX('Retirement Calculator'!J:J,MATCH('Isaac 401k'!N2295,'Retirement Calculator'!A:A,0),0),0)</f>
        <v>0</v>
      </c>
      <c r="K2295" s="455">
        <f t="shared" ca="1" si="141"/>
        <v>-9698669.4339823928</v>
      </c>
      <c r="L2295" s="455">
        <f t="shared" ca="1" si="142"/>
        <v>-2337379333.5897565</v>
      </c>
      <c r="M2295" s="471">
        <f t="shared" si="144"/>
        <v>0.05</v>
      </c>
      <c r="N2295" s="475">
        <f t="shared" si="145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43"/>
        <v>-2337379333.5897565</v>
      </c>
      <c r="J2296" s="455">
        <f t="array" ref="J2296">IFERROR(INDEX('Retirement Calculator'!J:J,MATCH('Isaac 401k'!N2296,'Retirement Calculator'!A:A,0),0),0)</f>
        <v>0</v>
      </c>
      <c r="K2296" s="455">
        <f t="shared" ca="1" si="141"/>
        <v>-9739080.556623986</v>
      </c>
      <c r="L2296" s="455">
        <f t="shared" ca="1" si="142"/>
        <v>-2347118414.1463804</v>
      </c>
      <c r="M2296" s="471">
        <f t="shared" si="144"/>
        <v>0.05</v>
      </c>
      <c r="N2296" s="475">
        <f t="shared" si="145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43"/>
        <v>-2347118414.1463804</v>
      </c>
      <c r="J2297" s="455">
        <f t="array" ref="J2297">IFERROR(INDEX('Retirement Calculator'!J:J,MATCH('Isaac 401k'!N2297,'Retirement Calculator'!A:A,0),0),0)</f>
        <v>0</v>
      </c>
      <c r="K2297" s="455">
        <f t="shared" ca="1" si="141"/>
        <v>-9779660.0589432511</v>
      </c>
      <c r="L2297" s="455">
        <f t="shared" ca="1" si="142"/>
        <v>-2356898074.2053237</v>
      </c>
      <c r="M2297" s="471">
        <f t="shared" si="144"/>
        <v>0.05</v>
      </c>
      <c r="N2297" s="475">
        <f t="shared" si="145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43"/>
        <v>-2356898074.2053237</v>
      </c>
      <c r="J2298" s="455">
        <f t="array" ref="J2298">IFERROR(INDEX('Retirement Calculator'!J:J,MATCH('Isaac 401k'!N2298,'Retirement Calculator'!A:A,0),0),0)</f>
        <v>0</v>
      </c>
      <c r="K2298" s="455">
        <f t="shared" ca="1" si="141"/>
        <v>-9820408.6425221823</v>
      </c>
      <c r="L2298" s="455">
        <f t="shared" ca="1" si="142"/>
        <v>-2366718482.847846</v>
      </c>
      <c r="M2298" s="471">
        <f t="shared" si="144"/>
        <v>0.05</v>
      </c>
      <c r="N2298" s="475">
        <f t="shared" si="145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43"/>
        <v>-2366718482.847846</v>
      </c>
      <c r="J2299" s="455">
        <f t="array" ref="J2299">IFERROR(INDEX('Retirement Calculator'!J:J,MATCH('Isaac 401k'!N2299,'Retirement Calculator'!A:A,0),0),0)</f>
        <v>0</v>
      </c>
      <c r="K2299" s="455">
        <f t="shared" ca="1" si="141"/>
        <v>-9861327.0118660256</v>
      </c>
      <c r="L2299" s="455">
        <f t="shared" ca="1" si="142"/>
        <v>-2376579809.8597121</v>
      </c>
      <c r="M2299" s="471">
        <f t="shared" si="144"/>
        <v>0.05</v>
      </c>
      <c r="N2299" s="475">
        <f t="shared" si="145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43"/>
        <v>-2376579809.8597121</v>
      </c>
      <c r="J2300" s="455">
        <f t="array" ref="J2300">IFERROR(INDEX('Retirement Calculator'!J:J,MATCH('Isaac 401k'!N2300,'Retirement Calculator'!A:A,0),0),0)</f>
        <v>0</v>
      </c>
      <c r="K2300" s="455">
        <f t="shared" ca="1" si="141"/>
        <v>-9902415.8744154666</v>
      </c>
      <c r="L2300" s="455">
        <f t="shared" ca="1" si="142"/>
        <v>-2386482225.7341275</v>
      </c>
      <c r="M2300" s="471">
        <f t="shared" si="144"/>
        <v>0.05</v>
      </c>
      <c r="N2300" s="475">
        <f t="shared" si="145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43"/>
        <v>-2386482225.7341275</v>
      </c>
      <c r="J2301" s="455">
        <f t="array" ref="J2301">IFERROR(INDEX('Retirement Calculator'!J:J,MATCH('Isaac 401k'!N2301,'Retirement Calculator'!A:A,0),0),0)</f>
        <v>0</v>
      </c>
      <c r="K2301" s="455">
        <f t="shared" ca="1" si="141"/>
        <v>-9943675.9405588638</v>
      </c>
      <c r="L2301" s="455">
        <f t="shared" ca="1" si="142"/>
        <v>-2396425901.6746864</v>
      </c>
      <c r="M2301" s="471">
        <f t="shared" si="144"/>
        <v>0.05</v>
      </c>
      <c r="N2301" s="475">
        <f t="shared" si="145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43"/>
        <v>-2396425901.6746864</v>
      </c>
      <c r="J2302" s="455">
        <f t="array" ref="J2302">IFERROR(INDEX('Retirement Calculator'!J:J,MATCH('Isaac 401k'!N2302,'Retirement Calculator'!A:A,0),0),0)</f>
        <v>0</v>
      </c>
      <c r="K2302" s="455">
        <f t="shared" ca="1" si="141"/>
        <v>-9985107.9236445259</v>
      </c>
      <c r="L2302" s="455">
        <f t="shared" ca="1" si="142"/>
        <v>-2406411009.598331</v>
      </c>
      <c r="M2302" s="471">
        <f t="shared" si="144"/>
        <v>0.05</v>
      </c>
      <c r="N2302" s="475">
        <f t="shared" si="145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43"/>
        <v>-2406411009.598331</v>
      </c>
      <c r="J2303" s="455">
        <f t="array" ref="J2303">IFERROR(INDEX('Retirement Calculator'!J:J,MATCH('Isaac 401k'!N2303,'Retirement Calculator'!A:A,0),0),0)</f>
        <v>0</v>
      </c>
      <c r="K2303" s="455">
        <f t="shared" ref="K2303:K2557" ca="1" si="146">IPMT(M2303/12,1,12,-I2303+J2303,,0)</f>
        <v>-10026712.539993046</v>
      </c>
      <c r="L2303" s="455">
        <f t="shared" ref="L2303:L2557" ca="1" si="147">I2303-J2303+K2303</f>
        <v>-2416437722.1383238</v>
      </c>
      <c r="M2303" s="471">
        <f t="shared" si="144"/>
        <v>0.05</v>
      </c>
      <c r="N2303" s="475">
        <f t="shared" si="145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48">L2303</f>
        <v>-2416437722.1383238</v>
      </c>
      <c r="J2304" s="455">
        <f t="array" ref="J2304">IFERROR(INDEX('Retirement Calculator'!J:J,MATCH('Isaac 401k'!N2304,'Retirement Calculator'!A:A,0),0),0)</f>
        <v>0</v>
      </c>
      <c r="K2304" s="455">
        <f t="shared" ca="1" si="146"/>
        <v>-10068490.508909682</v>
      </c>
      <c r="L2304" s="455">
        <f t="shared" ca="1" si="147"/>
        <v>-2426506212.6472335</v>
      </c>
      <c r="M2304" s="471">
        <f t="shared" ref="M2304:M2558" si="149">M2303</f>
        <v>0.05</v>
      </c>
      <c r="N2304" s="475">
        <f t="shared" ref="N2304:N2558" si="150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48"/>
        <v>-2426506212.6472335</v>
      </c>
      <c r="J2305" s="455">
        <f t="array" ref="J2305">IFERROR(INDEX('Retirement Calculator'!J:J,MATCH('Isaac 401k'!N2305,'Retirement Calculator'!A:A,0),0),0)</f>
        <v>0</v>
      </c>
      <c r="K2305" s="455">
        <f t="shared" ca="1" si="146"/>
        <v>-10110442.552696805</v>
      </c>
      <c r="L2305" s="455">
        <f t="shared" ca="1" si="147"/>
        <v>-2436616655.1999302</v>
      </c>
      <c r="M2305" s="471">
        <f t="shared" si="149"/>
        <v>0.05</v>
      </c>
      <c r="N2305" s="475">
        <f t="shared" si="150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48"/>
        <v>-2436616655.1999302</v>
      </c>
      <c r="J2306" s="455">
        <f t="array" ref="J2306">IFERROR(INDEX('Retirement Calculator'!J:J,MATCH('Isaac 401k'!N2306,'Retirement Calculator'!A:A,0),0),0)</f>
        <v>0</v>
      </c>
      <c r="K2306" s="455">
        <f t="shared" ca="1" si="146"/>
        <v>-10152569.396666376</v>
      </c>
      <c r="L2306" s="455">
        <f t="shared" ca="1" si="147"/>
        <v>-2446769224.5965967</v>
      </c>
      <c r="M2306" s="471">
        <f t="shared" si="149"/>
        <v>0.05</v>
      </c>
      <c r="N2306" s="475">
        <f t="shared" si="150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48"/>
        <v>-2446769224.5965967</v>
      </c>
      <c r="J2307" s="455">
        <f t="array" ref="J2307">IFERROR(INDEX('Retirement Calculator'!J:J,MATCH('Isaac 401k'!N2307,'Retirement Calculator'!A:A,0),0),0)</f>
        <v>0</v>
      </c>
      <c r="K2307" s="455">
        <f t="shared" ca="1" si="146"/>
        <v>-10194871.769152487</v>
      </c>
      <c r="L2307" s="455">
        <f t="shared" ca="1" si="147"/>
        <v>-2456964096.3657494</v>
      </c>
      <c r="M2307" s="471">
        <f t="shared" si="149"/>
        <v>0.05</v>
      </c>
      <c r="N2307" s="475">
        <f t="shared" si="150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48"/>
        <v>-2456964096.3657494</v>
      </c>
      <c r="J2308" s="455">
        <f t="array" ref="J2308">IFERROR(INDEX('Retirement Calculator'!J:J,MATCH('Isaac 401k'!N2308,'Retirement Calculator'!A:A,0),0),0)</f>
        <v>0</v>
      </c>
      <c r="K2308" s="455">
        <f t="shared" ca="1" si="146"/>
        <v>-10237350.401523955</v>
      </c>
      <c r="L2308" s="455">
        <f t="shared" ca="1" si="147"/>
        <v>-2467201446.7672734</v>
      </c>
      <c r="M2308" s="471">
        <f t="shared" si="149"/>
        <v>0.05</v>
      </c>
      <c r="N2308" s="475">
        <f t="shared" si="150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48"/>
        <v>-2467201446.7672734</v>
      </c>
      <c r="J2309" s="455">
        <f t="array" ref="J2309">IFERROR(INDEX('Retirement Calculator'!J:J,MATCH('Isaac 401k'!N2309,'Retirement Calculator'!A:A,0),0),0)</f>
        <v>0</v>
      </c>
      <c r="K2309" s="455">
        <f t="shared" ca="1" si="146"/>
        <v>-10280006.028196972</v>
      </c>
      <c r="L2309" s="455">
        <f t="shared" ca="1" si="147"/>
        <v>-2477481452.7954702</v>
      </c>
      <c r="M2309" s="471">
        <f t="shared" si="149"/>
        <v>0.05</v>
      </c>
      <c r="N2309" s="475">
        <f t="shared" si="150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48"/>
        <v>-2477481452.7954702</v>
      </c>
      <c r="J2310" s="455">
        <f t="array" ref="J2310">IFERROR(INDEX('Retirement Calculator'!J:J,MATCH('Isaac 401k'!N2310,'Retirement Calculator'!A:A,0),0),0)</f>
        <v>0</v>
      </c>
      <c r="K2310" s="455">
        <f t="shared" ca="1" si="146"/>
        <v>-10322839.386647793</v>
      </c>
      <c r="L2310" s="455">
        <f t="shared" ca="1" si="147"/>
        <v>-2487804292.1821179</v>
      </c>
      <c r="M2310" s="471">
        <f t="shared" si="149"/>
        <v>0.05</v>
      </c>
      <c r="N2310" s="475">
        <f t="shared" si="150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48"/>
        <v>-2487804292.1821179</v>
      </c>
      <c r="J2311" s="455">
        <f t="array" ref="J2311">IFERROR(INDEX('Retirement Calculator'!J:J,MATCH('Isaac 401k'!N2311,'Retirement Calculator'!A:A,0),0),0)</f>
        <v>0</v>
      </c>
      <c r="K2311" s="455">
        <f t="shared" ca="1" si="146"/>
        <v>-10365851.217425492</v>
      </c>
      <c r="L2311" s="455">
        <f t="shared" ca="1" si="147"/>
        <v>-2498170143.3995433</v>
      </c>
      <c r="M2311" s="471">
        <f t="shared" si="149"/>
        <v>0.05</v>
      </c>
      <c r="N2311" s="475">
        <f t="shared" si="150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48"/>
        <v>-2498170143.3995433</v>
      </c>
      <c r="J2312" s="455">
        <f t="array" ref="J2312">IFERROR(INDEX('Retirement Calculator'!J:J,MATCH('Isaac 401k'!N2312,'Retirement Calculator'!A:A,0),0),0)</f>
        <v>0</v>
      </c>
      <c r="K2312" s="455">
        <f t="shared" ca="1" si="146"/>
        <v>-10409042.264164764</v>
      </c>
      <c r="L2312" s="455">
        <f t="shared" ca="1" si="147"/>
        <v>-2508579185.6637082</v>
      </c>
      <c r="M2312" s="471">
        <f t="shared" si="149"/>
        <v>0.05</v>
      </c>
      <c r="N2312" s="475">
        <f t="shared" si="150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48"/>
        <v>-2508579185.6637082</v>
      </c>
      <c r="J2313" s="455">
        <f t="array" ref="J2313">IFERROR(INDEX('Retirement Calculator'!J:J,MATCH('Isaac 401k'!N2313,'Retirement Calculator'!A:A,0),0),0)</f>
        <v>0</v>
      </c>
      <c r="K2313" s="455">
        <f t="shared" ca="1" si="146"/>
        <v>-10452413.273598785</v>
      </c>
      <c r="L2313" s="455">
        <f t="shared" ca="1" si="147"/>
        <v>-2519031598.9373069</v>
      </c>
      <c r="M2313" s="471">
        <f t="shared" si="149"/>
        <v>0.05</v>
      </c>
      <c r="N2313" s="475">
        <f t="shared" si="150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48"/>
        <v>-2519031598.9373069</v>
      </c>
      <c r="J2314" s="455">
        <f t="array" ref="J2314">IFERROR(INDEX('Retirement Calculator'!J:J,MATCH('Isaac 401k'!N2314,'Retirement Calculator'!A:A,0),0),0)</f>
        <v>0</v>
      </c>
      <c r="K2314" s="455">
        <f t="shared" ca="1" si="146"/>
        <v>-10495964.995572113</v>
      </c>
      <c r="L2314" s="455">
        <f t="shared" ca="1" si="147"/>
        <v>-2529527563.932879</v>
      </c>
      <c r="M2314" s="471">
        <f t="shared" si="149"/>
        <v>0.05</v>
      </c>
      <c r="N2314" s="475">
        <f t="shared" si="150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48"/>
        <v>-2529527563.932879</v>
      </c>
      <c r="J2315" s="455">
        <f t="array" ref="J2315">IFERROR(INDEX('Retirement Calculator'!J:J,MATCH('Isaac 401k'!N2315,'Retirement Calculator'!A:A,0),0),0)</f>
        <v>0</v>
      </c>
      <c r="K2315" s="455">
        <f t="shared" ca="1" si="146"/>
        <v>-10539698.183053663</v>
      </c>
      <c r="L2315" s="455">
        <f t="shared" ca="1" si="147"/>
        <v>-2540067262.1159325</v>
      </c>
      <c r="M2315" s="471">
        <f t="shared" si="149"/>
        <v>0.05</v>
      </c>
      <c r="N2315" s="475">
        <f t="shared" si="150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48"/>
        <v>-2540067262.1159325</v>
      </c>
      <c r="J2316" s="455">
        <f t="array" ref="J2316">IFERROR(INDEX('Retirement Calculator'!J:J,MATCH('Isaac 401k'!N2316,'Retirement Calculator'!A:A,0),0),0)</f>
        <v>0</v>
      </c>
      <c r="K2316" s="455">
        <f t="shared" ca="1" si="146"/>
        <v>-10583613.592149718</v>
      </c>
      <c r="L2316" s="455">
        <f t="shared" ca="1" si="147"/>
        <v>-2550650875.7080822</v>
      </c>
      <c r="M2316" s="471">
        <f t="shared" si="149"/>
        <v>0.05</v>
      </c>
      <c r="N2316" s="475">
        <f t="shared" si="150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48"/>
        <v>-2550650875.7080822</v>
      </c>
      <c r="J2317" s="455">
        <f t="array" ref="J2317">IFERROR(INDEX('Retirement Calculator'!J:J,MATCH('Isaac 401k'!N2317,'Retirement Calculator'!A:A,0),0),0)</f>
        <v>0</v>
      </c>
      <c r="K2317" s="455">
        <f t="shared" ca="1" si="146"/>
        <v>-10627711.982117008</v>
      </c>
      <c r="L2317" s="455">
        <f t="shared" ca="1" si="147"/>
        <v>-2561278587.6901994</v>
      </c>
      <c r="M2317" s="471">
        <f t="shared" si="149"/>
        <v>0.05</v>
      </c>
      <c r="N2317" s="475">
        <f t="shared" si="150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48"/>
        <v>-2561278587.6901994</v>
      </c>
      <c r="J2318" s="455">
        <f t="array" ref="J2318">IFERROR(INDEX('Retirement Calculator'!J:J,MATCH('Isaac 401k'!N2318,'Retirement Calculator'!A:A,0),0),0)</f>
        <v>0</v>
      </c>
      <c r="K2318" s="455">
        <f t="shared" ca="1" si="146"/>
        <v>-10671994.11537583</v>
      </c>
      <c r="L2318" s="455">
        <f t="shared" ca="1" si="147"/>
        <v>-2571950581.8055754</v>
      </c>
      <c r="M2318" s="471">
        <f t="shared" si="149"/>
        <v>0.05</v>
      </c>
      <c r="N2318" s="475">
        <f t="shared" si="150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48"/>
        <v>-2571950581.8055754</v>
      </c>
      <c r="J2319" s="455">
        <f t="array" ref="J2319">IFERROR(INDEX('Retirement Calculator'!J:J,MATCH('Isaac 401k'!N2319,'Retirement Calculator'!A:A,0),0),0)</f>
        <v>0</v>
      </c>
      <c r="K2319" s="455">
        <f t="shared" ca="1" si="146"/>
        <v>-10716460.757523231</v>
      </c>
      <c r="L2319" s="455">
        <f t="shared" ca="1" si="147"/>
        <v>-2582667042.5630984</v>
      </c>
      <c r="M2319" s="471">
        <f t="shared" si="149"/>
        <v>0.05</v>
      </c>
      <c r="N2319" s="475">
        <f t="shared" si="150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48"/>
        <v>-2582667042.5630984</v>
      </c>
      <c r="J2320" s="455">
        <f t="array" ref="J2320">IFERROR(INDEX('Retirement Calculator'!J:J,MATCH('Isaac 401k'!N2320,'Retirement Calculator'!A:A,0),0),0)</f>
        <v>0</v>
      </c>
      <c r="K2320" s="455">
        <f t="shared" ca="1" si="146"/>
        <v>-10761112.677346243</v>
      </c>
      <c r="L2320" s="455">
        <f t="shared" ca="1" si="147"/>
        <v>-2593428155.2404447</v>
      </c>
      <c r="M2320" s="471">
        <f t="shared" si="149"/>
        <v>0.05</v>
      </c>
      <c r="N2320" s="475">
        <f t="shared" si="150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48"/>
        <v>-2593428155.2404447</v>
      </c>
      <c r="J2321" s="455">
        <f t="array" ref="J2321">IFERROR(INDEX('Retirement Calculator'!J:J,MATCH('Isaac 401k'!N2321,'Retirement Calculator'!A:A,0),0),0)</f>
        <v>0</v>
      </c>
      <c r="K2321" s="455">
        <f t="shared" ca="1" si="146"/>
        <v>-10805950.646835186</v>
      </c>
      <c r="L2321" s="455">
        <f t="shared" ca="1" si="147"/>
        <v>-2604234105.88728</v>
      </c>
      <c r="M2321" s="471">
        <f t="shared" si="149"/>
        <v>0.05</v>
      </c>
      <c r="N2321" s="475">
        <f t="shared" si="150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48"/>
        <v>-2604234105.88728</v>
      </c>
      <c r="J2322" s="455">
        <f t="array" ref="J2322">IFERROR(INDEX('Retirement Calculator'!J:J,MATCH('Isaac 401k'!N2322,'Retirement Calculator'!A:A,0),0),0)</f>
        <v>0</v>
      </c>
      <c r="K2322" s="455">
        <f t="shared" ca="1" si="146"/>
        <v>-10850975.441197</v>
      </c>
      <c r="L2322" s="455">
        <f t="shared" ca="1" si="147"/>
        <v>-2615085081.3284769</v>
      </c>
      <c r="M2322" s="471">
        <f t="shared" si="149"/>
        <v>0.05</v>
      </c>
      <c r="N2322" s="475">
        <f t="shared" si="150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48"/>
        <v>-2615085081.3284769</v>
      </c>
      <c r="J2323" s="455">
        <f t="array" ref="J2323">IFERROR(INDEX('Retirement Calculator'!J:J,MATCH('Isaac 401k'!N2323,'Retirement Calculator'!A:A,0),0),0)</f>
        <v>0</v>
      </c>
      <c r="K2323" s="455">
        <f t="shared" ca="1" si="146"/>
        <v>-10896187.838868653</v>
      </c>
      <c r="L2323" s="455">
        <f t="shared" ca="1" si="147"/>
        <v>-2625981269.1673455</v>
      </c>
      <c r="M2323" s="471">
        <f t="shared" si="149"/>
        <v>0.05</v>
      </c>
      <c r="N2323" s="475">
        <f t="shared" si="150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48"/>
        <v>-2625981269.1673455</v>
      </c>
      <c r="J2324" s="455">
        <f t="array" ref="J2324">IFERROR(INDEX('Retirement Calculator'!J:J,MATCH('Isaac 401k'!N2324,'Retirement Calculator'!A:A,0),0),0)</f>
        <v>0</v>
      </c>
      <c r="K2324" s="455">
        <f t="shared" ca="1" si="146"/>
        <v>-10941588.621530605</v>
      </c>
      <c r="L2324" s="455">
        <f t="shared" ca="1" si="147"/>
        <v>-2636922857.7888761</v>
      </c>
      <c r="M2324" s="471">
        <f t="shared" si="149"/>
        <v>0.05</v>
      </c>
      <c r="N2324" s="475">
        <f t="shared" si="150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48"/>
        <v>-2636922857.7888761</v>
      </c>
      <c r="J2325" s="455">
        <f t="array" ref="J2325">IFERROR(INDEX('Retirement Calculator'!J:J,MATCH('Isaac 401k'!N2325,'Retirement Calculator'!A:A,0),0),0)</f>
        <v>0</v>
      </c>
      <c r="K2325" s="455">
        <f t="shared" ca="1" si="146"/>
        <v>-10987178.574120317</v>
      </c>
      <c r="L2325" s="455">
        <f t="shared" ca="1" si="147"/>
        <v>-2647910036.3629966</v>
      </c>
      <c r="M2325" s="471">
        <f t="shared" si="149"/>
        <v>0.05</v>
      </c>
      <c r="N2325" s="475">
        <f t="shared" si="150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48"/>
        <v>-2647910036.3629966</v>
      </c>
      <c r="J2326" s="455">
        <f t="array" ref="J2326">IFERROR(INDEX('Retirement Calculator'!J:J,MATCH('Isaac 401k'!N2326,'Retirement Calculator'!A:A,0),0),0)</f>
        <v>0</v>
      </c>
      <c r="K2326" s="455">
        <f t="shared" ca="1" si="146"/>
        <v>-11032958.484845819</v>
      </c>
      <c r="L2326" s="455">
        <f t="shared" ca="1" si="147"/>
        <v>-2658942994.8478422</v>
      </c>
      <c r="M2326" s="471">
        <f t="shared" si="149"/>
        <v>0.05</v>
      </c>
      <c r="N2326" s="475">
        <f t="shared" si="150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48"/>
        <v>-2658942994.8478422</v>
      </c>
      <c r="J2327" s="455">
        <f t="array" ref="J2327">IFERROR(INDEX('Retirement Calculator'!J:J,MATCH('Isaac 401k'!N2327,'Retirement Calculator'!A:A,0),0),0)</f>
        <v>0</v>
      </c>
      <c r="K2327" s="455">
        <f t="shared" ca="1" si="146"/>
        <v>-11078929.145199342</v>
      </c>
      <c r="L2327" s="455">
        <f t="shared" ca="1" si="147"/>
        <v>-2670021923.9930415</v>
      </c>
      <c r="M2327" s="471">
        <f t="shared" si="149"/>
        <v>0.05</v>
      </c>
      <c r="N2327" s="475">
        <f t="shared" si="150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48"/>
        <v>-2670021923.9930415</v>
      </c>
      <c r="J2328" s="455">
        <f t="array" ref="J2328">IFERROR(INDEX('Retirement Calculator'!J:J,MATCH('Isaac 401k'!N2328,'Retirement Calculator'!A:A,0),0),0)</f>
        <v>0</v>
      </c>
      <c r="K2328" s="455">
        <f t="shared" ca="1" si="146"/>
        <v>-11125091.349971006</v>
      </c>
      <c r="L2328" s="455">
        <f t="shared" ca="1" si="147"/>
        <v>-2681147015.3430123</v>
      </c>
      <c r="M2328" s="471">
        <f t="shared" si="149"/>
        <v>0.05</v>
      </c>
      <c r="N2328" s="475">
        <f t="shared" si="150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48"/>
        <v>-2681147015.3430123</v>
      </c>
      <c r="J2329" s="455">
        <f t="array" ref="J2329">IFERROR(INDEX('Retirement Calculator'!J:J,MATCH('Isaac 401k'!N2329,'Retirement Calculator'!A:A,0),0),0)</f>
        <v>0</v>
      </c>
      <c r="K2329" s="455">
        <f t="shared" ca="1" si="146"/>
        <v>-11171445.897262551</v>
      </c>
      <c r="L2329" s="455">
        <f t="shared" ca="1" si="147"/>
        <v>-2692318461.2402749</v>
      </c>
      <c r="M2329" s="471">
        <f t="shared" si="149"/>
        <v>0.05</v>
      </c>
      <c r="N2329" s="475">
        <f t="shared" si="150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48"/>
        <v>-2692318461.2402749</v>
      </c>
      <c r="J2330" s="455">
        <f t="array" ref="J2330">IFERROR(INDEX('Retirement Calculator'!J:J,MATCH('Isaac 401k'!N2330,'Retirement Calculator'!A:A,0),0),0)</f>
        <v>0</v>
      </c>
      <c r="K2330" s="455">
        <f t="shared" ca="1" si="146"/>
        <v>-11217993.588501146</v>
      </c>
      <c r="L2330" s="455">
        <f t="shared" ca="1" si="147"/>
        <v>-2703536454.8287759</v>
      </c>
      <c r="M2330" s="471">
        <f t="shared" si="149"/>
        <v>0.05</v>
      </c>
      <c r="N2330" s="475">
        <f t="shared" si="150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48"/>
        <v>-2703536454.8287759</v>
      </c>
      <c r="J2331" s="455">
        <f t="array" ref="J2331">IFERROR(INDEX('Retirement Calculator'!J:J,MATCH('Isaac 401k'!N2331,'Retirement Calculator'!A:A,0),0),0)</f>
        <v>0</v>
      </c>
      <c r="K2331" s="455">
        <f t="shared" ca="1" si="146"/>
        <v>-11264735.228453232</v>
      </c>
      <c r="L2331" s="455">
        <f t="shared" ca="1" si="147"/>
        <v>-2714801190.057229</v>
      </c>
      <c r="M2331" s="471">
        <f t="shared" si="149"/>
        <v>0.05</v>
      </c>
      <c r="N2331" s="475">
        <f t="shared" si="150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48"/>
        <v>-2714801190.057229</v>
      </c>
      <c r="J2332" s="455">
        <f t="array" ref="J2332">IFERROR(INDEX('Retirement Calculator'!J:J,MATCH('Isaac 401k'!N2332,'Retirement Calculator'!A:A,0),0),0)</f>
        <v>0</v>
      </c>
      <c r="K2332" s="455">
        <f t="shared" ca="1" si="146"/>
        <v>-11311671.625238454</v>
      </c>
      <c r="L2332" s="455">
        <f t="shared" ca="1" si="147"/>
        <v>-2726112861.6824675</v>
      </c>
      <c r="M2332" s="471">
        <f t="shared" si="149"/>
        <v>0.05</v>
      </c>
      <c r="N2332" s="475">
        <f t="shared" si="150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48"/>
        <v>-2726112861.6824675</v>
      </c>
      <c r="J2333" s="455">
        <f t="array" ref="J2333">IFERROR(INDEX('Retirement Calculator'!J:J,MATCH('Isaac 401k'!N2333,'Retirement Calculator'!A:A,0),0),0)</f>
        <v>0</v>
      </c>
      <c r="K2333" s="455">
        <f t="shared" ca="1" si="146"/>
        <v>-11358803.590343615</v>
      </c>
      <c r="L2333" s="455">
        <f t="shared" ca="1" si="147"/>
        <v>-2737471665.2728109</v>
      </c>
      <c r="M2333" s="471">
        <f t="shared" si="149"/>
        <v>0.05</v>
      </c>
      <c r="N2333" s="475">
        <f t="shared" si="150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48"/>
        <v>-2737471665.2728109</v>
      </c>
      <c r="J2334" s="455">
        <f t="array" ref="J2334">IFERROR(INDEX('Retirement Calculator'!J:J,MATCH('Isaac 401k'!N2334,'Retirement Calculator'!A:A,0),0),0)</f>
        <v>0</v>
      </c>
      <c r="K2334" s="455">
        <f t="shared" ca="1" si="146"/>
        <v>-11406131.938636713</v>
      </c>
      <c r="L2334" s="455">
        <f t="shared" ca="1" si="147"/>
        <v>-2748877797.2114477</v>
      </c>
      <c r="M2334" s="471">
        <f t="shared" si="149"/>
        <v>0.05</v>
      </c>
      <c r="N2334" s="475">
        <f t="shared" si="150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48"/>
        <v>-2748877797.2114477</v>
      </c>
      <c r="J2335" s="455">
        <f t="array" ref="J2335">IFERROR(INDEX('Retirement Calculator'!J:J,MATCH('Isaac 401k'!N2335,'Retirement Calculator'!A:A,0),0),0)</f>
        <v>0</v>
      </c>
      <c r="K2335" s="455">
        <f t="shared" ca="1" si="146"/>
        <v>-11453657.488381032</v>
      </c>
      <c r="L2335" s="455">
        <f t="shared" ca="1" si="147"/>
        <v>-2760331454.6998286</v>
      </c>
      <c r="M2335" s="471">
        <f t="shared" si="149"/>
        <v>0.05</v>
      </c>
      <c r="N2335" s="475">
        <f t="shared" si="150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48"/>
        <v>-2760331454.6998286</v>
      </c>
      <c r="J2336" s="455">
        <f t="array" ref="J2336">IFERROR(INDEX('Retirement Calculator'!J:J,MATCH('Isaac 401k'!N2336,'Retirement Calculator'!A:A,0),0),0)</f>
        <v>0</v>
      </c>
      <c r="K2336" s="455">
        <f t="shared" ca="1" si="146"/>
        <v>-11501381.061249286</v>
      </c>
      <c r="L2336" s="455">
        <f t="shared" ca="1" si="147"/>
        <v>-2771832835.7610779</v>
      </c>
      <c r="M2336" s="471">
        <f t="shared" si="149"/>
        <v>0.05</v>
      </c>
      <c r="N2336" s="475">
        <f t="shared" si="150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48"/>
        <v>-2771832835.7610779</v>
      </c>
      <c r="J2337" s="455">
        <f t="array" ref="J2337">IFERROR(INDEX('Retirement Calculator'!J:J,MATCH('Isaac 401k'!N2337,'Retirement Calculator'!A:A,0),0),0)</f>
        <v>0</v>
      </c>
      <c r="K2337" s="455">
        <f t="shared" ca="1" si="146"/>
        <v>-11549303.482337825</v>
      </c>
      <c r="L2337" s="455">
        <f t="shared" ca="1" si="147"/>
        <v>-2783382139.2434158</v>
      </c>
      <c r="M2337" s="471">
        <f t="shared" si="149"/>
        <v>0.05</v>
      </c>
      <c r="N2337" s="475">
        <f t="shared" si="150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48"/>
        <v>-2783382139.2434158</v>
      </c>
      <c r="J2338" s="455">
        <f t="array" ref="J2338">IFERROR(INDEX('Retirement Calculator'!J:J,MATCH('Isaac 401k'!N2338,'Retirement Calculator'!A:A,0),0),0)</f>
        <v>0</v>
      </c>
      <c r="K2338" s="455">
        <f t="shared" ca="1" si="146"/>
        <v>-11597425.580180898</v>
      </c>
      <c r="L2338" s="455">
        <f t="shared" ca="1" si="147"/>
        <v>-2794979564.823597</v>
      </c>
      <c r="M2338" s="471">
        <f t="shared" si="149"/>
        <v>0.05</v>
      </c>
      <c r="N2338" s="475">
        <f t="shared" si="150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48"/>
        <v>-2794979564.823597</v>
      </c>
      <c r="J2339" s="455">
        <f t="array" ref="J2339">IFERROR(INDEX('Retirement Calculator'!J:J,MATCH('Isaac 401k'!N2339,'Retirement Calculator'!A:A,0),0),0)</f>
        <v>0</v>
      </c>
      <c r="K2339" s="455">
        <f t="shared" ca="1" si="146"/>
        <v>-11645748.186764987</v>
      </c>
      <c r="L2339" s="455">
        <f t="shared" ca="1" si="147"/>
        <v>-2806625313.0103621</v>
      </c>
      <c r="M2339" s="471">
        <f t="shared" si="149"/>
        <v>0.05</v>
      </c>
      <c r="N2339" s="475">
        <f t="shared" si="150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48"/>
        <v>-2806625313.0103621</v>
      </c>
      <c r="J2340" s="455">
        <f t="array" ref="J2340">IFERROR(INDEX('Retirement Calculator'!J:J,MATCH('Isaac 401k'!N2340,'Retirement Calculator'!A:A,0),0),0)</f>
        <v>0</v>
      </c>
      <c r="K2340" s="455">
        <f t="shared" ca="1" si="146"/>
        <v>-11694272.137543175</v>
      </c>
      <c r="L2340" s="455">
        <f t="shared" ca="1" si="147"/>
        <v>-2818319585.1479053</v>
      </c>
      <c r="M2340" s="471">
        <f t="shared" si="149"/>
        <v>0.05</v>
      </c>
      <c r="N2340" s="475">
        <f t="shared" si="150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48"/>
        <v>-2818319585.1479053</v>
      </c>
      <c r="J2341" s="455">
        <f t="array" ref="J2341">IFERROR(INDEX('Retirement Calculator'!J:J,MATCH('Isaac 401k'!N2341,'Retirement Calculator'!A:A,0),0),0)</f>
        <v>0</v>
      </c>
      <c r="K2341" s="455">
        <f t="shared" ca="1" si="146"/>
        <v>-11742998.271449605</v>
      </c>
      <c r="L2341" s="455">
        <f t="shared" ca="1" si="147"/>
        <v>-2830062583.4193549</v>
      </c>
      <c r="M2341" s="471">
        <f t="shared" si="149"/>
        <v>0.05</v>
      </c>
      <c r="N2341" s="475">
        <f t="shared" si="150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48"/>
        <v>-2830062583.4193549</v>
      </c>
      <c r="J2342" s="455">
        <f t="array" ref="J2342">IFERROR(INDEX('Retirement Calculator'!J:J,MATCH('Isaac 401k'!N2342,'Retirement Calculator'!A:A,0),0),0)</f>
        <v>0</v>
      </c>
      <c r="K2342" s="455">
        <f t="shared" ca="1" si="146"/>
        <v>-11791927.430913979</v>
      </c>
      <c r="L2342" s="455">
        <f t="shared" ca="1" si="147"/>
        <v>-2841854510.8502688</v>
      </c>
      <c r="M2342" s="471">
        <f t="shared" si="149"/>
        <v>0.05</v>
      </c>
      <c r="N2342" s="475">
        <f t="shared" si="150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48"/>
        <v>-2841854510.8502688</v>
      </c>
      <c r="J2343" s="455">
        <f t="array" ref="J2343">IFERROR(INDEX('Retirement Calculator'!J:J,MATCH('Isaac 401k'!N2343,'Retirement Calculator'!A:A,0),0),0)</f>
        <v>0</v>
      </c>
      <c r="K2343" s="455">
        <f t="shared" ca="1" si="146"/>
        <v>-11841060.46187612</v>
      </c>
      <c r="L2343" s="455">
        <f t="shared" ca="1" si="147"/>
        <v>-2853695571.3121448</v>
      </c>
      <c r="M2343" s="471">
        <f t="shared" si="149"/>
        <v>0.05</v>
      </c>
      <c r="N2343" s="475">
        <f t="shared" si="150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48"/>
        <v>-2853695571.3121448</v>
      </c>
      <c r="J2344" s="455">
        <f t="array" ref="J2344">IFERROR(INDEX('Retirement Calculator'!J:J,MATCH('Isaac 401k'!N2344,'Retirement Calculator'!A:A,0),0),0)</f>
        <v>0</v>
      </c>
      <c r="K2344" s="455">
        <f t="shared" ca="1" si="146"/>
        <v>-11890398.213800604</v>
      </c>
      <c r="L2344" s="455">
        <f t="shared" ca="1" si="147"/>
        <v>-2865585969.5259452</v>
      </c>
      <c r="M2344" s="471">
        <f t="shared" si="149"/>
        <v>0.05</v>
      </c>
      <c r="N2344" s="475">
        <f t="shared" si="150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48"/>
        <v>-2865585969.5259452</v>
      </c>
      <c r="J2345" s="455">
        <f t="array" ref="J2345">IFERROR(INDEX('Retirement Calculator'!J:J,MATCH('Isaac 401k'!N2345,'Retirement Calculator'!A:A,0),0),0)</f>
        <v>0</v>
      </c>
      <c r="K2345" s="455">
        <f t="shared" ca="1" si="146"/>
        <v>-11939941.539691439</v>
      </c>
      <c r="L2345" s="455">
        <f t="shared" ca="1" si="147"/>
        <v>-2877525911.0656366</v>
      </c>
      <c r="M2345" s="471">
        <f t="shared" si="149"/>
        <v>0.05</v>
      </c>
      <c r="N2345" s="475">
        <f t="shared" si="150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48"/>
        <v>-2877525911.0656366</v>
      </c>
      <c r="J2346" s="455">
        <f t="array" ref="J2346">IFERROR(INDEX('Retirement Calculator'!J:J,MATCH('Isaac 401k'!N2346,'Retirement Calculator'!A:A,0),0),0)</f>
        <v>0</v>
      </c>
      <c r="K2346" s="455">
        <f t="shared" ca="1" si="146"/>
        <v>-11989691.296106819</v>
      </c>
      <c r="L2346" s="455">
        <f t="shared" ca="1" si="147"/>
        <v>-2889515602.3617435</v>
      </c>
      <c r="M2346" s="471">
        <f t="shared" si="149"/>
        <v>0.05</v>
      </c>
      <c r="N2346" s="475">
        <f t="shared" si="150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48"/>
        <v>-2889515602.3617435</v>
      </c>
      <c r="J2347" s="455">
        <f t="array" ref="J2347">IFERROR(INDEX('Retirement Calculator'!J:J,MATCH('Isaac 401k'!N2347,'Retirement Calculator'!A:A,0),0),0)</f>
        <v>0</v>
      </c>
      <c r="K2347" s="455">
        <f t="shared" ca="1" si="146"/>
        <v>-12039648.34317393</v>
      </c>
      <c r="L2347" s="455">
        <f t="shared" ca="1" si="147"/>
        <v>-2901555250.7049174</v>
      </c>
      <c r="M2347" s="471">
        <f t="shared" si="149"/>
        <v>0.05</v>
      </c>
      <c r="N2347" s="475">
        <f t="shared" si="150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48"/>
        <v>-2901555250.7049174</v>
      </c>
      <c r="J2348" s="455">
        <f t="array" ref="J2348">IFERROR(INDEX('Retirement Calculator'!J:J,MATCH('Isaac 401k'!N2348,'Retirement Calculator'!A:A,0),0),0)</f>
        <v>0</v>
      </c>
      <c r="K2348" s="455">
        <f t="shared" ca="1" si="146"/>
        <v>-12089813.544603823</v>
      </c>
      <c r="L2348" s="455">
        <f t="shared" ca="1" si="147"/>
        <v>-2913645064.2495213</v>
      </c>
      <c r="M2348" s="471">
        <f t="shared" si="149"/>
        <v>0.05</v>
      </c>
      <c r="N2348" s="475">
        <f t="shared" si="150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48"/>
        <v>-2913645064.2495213</v>
      </c>
      <c r="J2349" s="455">
        <f t="array" ref="J2349">IFERROR(INDEX('Retirement Calculator'!J:J,MATCH('Isaac 401k'!N2349,'Retirement Calculator'!A:A,0),0),0)</f>
        <v>0</v>
      </c>
      <c r="K2349" s="455">
        <f t="shared" ca="1" si="146"/>
        <v>-12140187.767706338</v>
      </c>
      <c r="L2349" s="455">
        <f t="shared" ca="1" si="147"/>
        <v>-2925785252.0172276</v>
      </c>
      <c r="M2349" s="471">
        <f t="shared" si="149"/>
        <v>0.05</v>
      </c>
      <c r="N2349" s="475">
        <f t="shared" si="150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48"/>
        <v>-2925785252.0172276</v>
      </c>
      <c r="J2350" s="455">
        <f t="array" ref="J2350">IFERROR(INDEX('Retirement Calculator'!J:J,MATCH('Isaac 401k'!N2350,'Retirement Calculator'!A:A,0),0),0)</f>
        <v>0</v>
      </c>
      <c r="K2350" s="455">
        <f t="shared" ca="1" si="146"/>
        <v>-12190771.883405115</v>
      </c>
      <c r="L2350" s="455">
        <f t="shared" ca="1" si="147"/>
        <v>-2937976023.9006329</v>
      </c>
      <c r="M2350" s="471">
        <f t="shared" si="149"/>
        <v>0.05</v>
      </c>
      <c r="N2350" s="475">
        <f t="shared" si="150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48"/>
        <v>-2937976023.9006329</v>
      </c>
      <c r="J2351" s="455">
        <f t="array" ref="J2351">IFERROR(INDEX('Retirement Calculator'!J:J,MATCH('Isaac 401k'!N2351,'Retirement Calculator'!A:A,0),0),0)</f>
        <v>0</v>
      </c>
      <c r="K2351" s="455">
        <f t="shared" ca="1" si="146"/>
        <v>-12241566.766252637</v>
      </c>
      <c r="L2351" s="455">
        <f t="shared" ca="1" si="147"/>
        <v>-2950217590.6668854</v>
      </c>
      <c r="M2351" s="471">
        <f t="shared" si="149"/>
        <v>0.05</v>
      </c>
      <c r="N2351" s="475">
        <f t="shared" si="150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48"/>
        <v>-2950217590.6668854</v>
      </c>
      <c r="J2352" s="455">
        <f t="array" ref="J2352">IFERROR(INDEX('Retirement Calculator'!J:J,MATCH('Isaac 401k'!N2352,'Retirement Calculator'!A:A,0),0),0)</f>
        <v>0</v>
      </c>
      <c r="K2352" s="455">
        <f t="shared" ca="1" si="146"/>
        <v>-12292573.294445356</v>
      </c>
      <c r="L2352" s="455">
        <f t="shared" ca="1" si="147"/>
        <v>-2962510163.9613309</v>
      </c>
      <c r="M2352" s="471">
        <f t="shared" si="149"/>
        <v>0.05</v>
      </c>
      <c r="N2352" s="475">
        <f t="shared" si="150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48"/>
        <v>-2962510163.9613309</v>
      </c>
      <c r="J2353" s="455">
        <f t="array" ref="J2353">IFERROR(INDEX('Retirement Calculator'!J:J,MATCH('Isaac 401k'!N2353,'Retirement Calculator'!A:A,0),0),0)</f>
        <v>0</v>
      </c>
      <c r="K2353" s="455">
        <f t="shared" ca="1" si="146"/>
        <v>-12343792.349838879</v>
      </c>
      <c r="L2353" s="455">
        <f t="shared" ca="1" si="147"/>
        <v>-2974853956.3111696</v>
      </c>
      <c r="M2353" s="471">
        <f t="shared" si="149"/>
        <v>0.05</v>
      </c>
      <c r="N2353" s="475">
        <f t="shared" si="150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48"/>
        <v>-2974853956.3111696</v>
      </c>
      <c r="J2354" s="455">
        <f t="array" ref="J2354">IFERROR(INDEX('Retirement Calculator'!J:J,MATCH('Isaac 401k'!N2354,'Retirement Calculator'!A:A,0),0),0)</f>
        <v>0</v>
      </c>
      <c r="K2354" s="455">
        <f t="shared" ca="1" si="146"/>
        <v>-12395224.817963207</v>
      </c>
      <c r="L2354" s="455">
        <f t="shared" ca="1" si="147"/>
        <v>-2987249181.1291327</v>
      </c>
      <c r="M2354" s="471">
        <f t="shared" si="149"/>
        <v>0.05</v>
      </c>
      <c r="N2354" s="475">
        <f t="shared" si="150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48"/>
        <v>-2987249181.1291327</v>
      </c>
      <c r="J2355" s="455">
        <f t="array" ref="J2355">IFERROR(INDEX('Retirement Calculator'!J:J,MATCH('Isaac 401k'!N2355,'Retirement Calculator'!A:A,0),0),0)</f>
        <v>0</v>
      </c>
      <c r="K2355" s="455">
        <f t="shared" ca="1" si="146"/>
        <v>-12446871.588038053</v>
      </c>
      <c r="L2355" s="455">
        <f t="shared" ca="1" si="147"/>
        <v>-2999696052.7171707</v>
      </c>
      <c r="M2355" s="471">
        <f t="shared" si="149"/>
        <v>0.05</v>
      </c>
      <c r="N2355" s="475">
        <f t="shared" si="150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48"/>
        <v>-2999696052.7171707</v>
      </c>
      <c r="J2356" s="455">
        <f t="array" ref="J2356">IFERROR(INDEX('Retirement Calculator'!J:J,MATCH('Isaac 401k'!N2356,'Retirement Calculator'!A:A,0),0),0)</f>
        <v>0</v>
      </c>
      <c r="K2356" s="455">
        <f t="shared" ca="1" si="146"/>
        <v>-12498733.552988211</v>
      </c>
      <c r="L2356" s="455">
        <f t="shared" ca="1" si="147"/>
        <v>-3012194786.2701588</v>
      </c>
      <c r="M2356" s="471">
        <f t="shared" si="149"/>
        <v>0.05</v>
      </c>
      <c r="N2356" s="475">
        <f t="shared" si="150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48"/>
        <v>-3012194786.2701588</v>
      </c>
      <c r="J2357" s="455">
        <f t="array" ref="J2357">IFERROR(INDEX('Retirement Calculator'!J:J,MATCH('Isaac 401k'!N2357,'Retirement Calculator'!A:A,0),0),0)</f>
        <v>0</v>
      </c>
      <c r="K2357" s="455">
        <f t="shared" ca="1" si="146"/>
        <v>-12550811.609458994</v>
      </c>
      <c r="L2357" s="455">
        <f t="shared" ca="1" si="147"/>
        <v>-3024745597.8796177</v>
      </c>
      <c r="M2357" s="471">
        <f t="shared" si="149"/>
        <v>0.05</v>
      </c>
      <c r="N2357" s="475">
        <f t="shared" si="150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48"/>
        <v>-3024745597.8796177</v>
      </c>
      <c r="J2358" s="455">
        <f t="array" ref="J2358">IFERROR(INDEX('Retirement Calculator'!J:J,MATCH('Isaac 401k'!N2358,'Retirement Calculator'!A:A,0),0),0)</f>
        <v>0</v>
      </c>
      <c r="K2358" s="455">
        <f t="shared" ca="1" si="146"/>
        <v>-12603106.65783174</v>
      </c>
      <c r="L2358" s="455">
        <f t="shared" ca="1" si="147"/>
        <v>-3037348704.5374494</v>
      </c>
      <c r="M2358" s="471">
        <f t="shared" si="149"/>
        <v>0.05</v>
      </c>
      <c r="N2358" s="475">
        <f t="shared" si="150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48"/>
        <v>-3037348704.5374494</v>
      </c>
      <c r="J2359" s="455">
        <f t="array" ref="J2359">IFERROR(INDEX('Retirement Calculator'!J:J,MATCH('Isaac 401k'!N2359,'Retirement Calculator'!A:A,0),0),0)</f>
        <v>0</v>
      </c>
      <c r="K2359" s="455">
        <f t="shared" ca="1" si="146"/>
        <v>-12655619.602239372</v>
      </c>
      <c r="L2359" s="455">
        <f t="shared" ca="1" si="147"/>
        <v>-3050004324.139689</v>
      </c>
      <c r="M2359" s="471">
        <f t="shared" si="149"/>
        <v>0.05</v>
      </c>
      <c r="N2359" s="475">
        <f t="shared" si="150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48"/>
        <v>-3050004324.139689</v>
      </c>
      <c r="J2360" s="455">
        <f t="array" ref="J2360">IFERROR(INDEX('Retirement Calculator'!J:J,MATCH('Isaac 401k'!N2360,'Retirement Calculator'!A:A,0),0),0)</f>
        <v>0</v>
      </c>
      <c r="K2360" s="455">
        <f t="shared" ca="1" si="146"/>
        <v>-12708351.350582037</v>
      </c>
      <c r="L2360" s="455">
        <f t="shared" ca="1" si="147"/>
        <v>-3062712675.4902711</v>
      </c>
      <c r="M2360" s="471">
        <f t="shared" si="149"/>
        <v>0.05</v>
      </c>
      <c r="N2360" s="475">
        <f t="shared" si="150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48"/>
        <v>-3062712675.4902711</v>
      </c>
      <c r="J2361" s="455">
        <f t="array" ref="J2361">IFERROR(INDEX('Retirement Calculator'!J:J,MATCH('Isaac 401k'!N2361,'Retirement Calculator'!A:A,0),0),0)</f>
        <v>0</v>
      </c>
      <c r="K2361" s="455">
        <f t="shared" ca="1" si="146"/>
        <v>-12761302.814542796</v>
      </c>
      <c r="L2361" s="455">
        <f t="shared" ca="1" si="147"/>
        <v>-3075473978.3048139</v>
      </c>
      <c r="M2361" s="471">
        <f t="shared" si="149"/>
        <v>0.05</v>
      </c>
      <c r="N2361" s="475">
        <f t="shared" si="150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48"/>
        <v>-3075473978.3048139</v>
      </c>
      <c r="J2362" s="455">
        <f t="array" ref="J2362">IFERROR(INDEX('Retirement Calculator'!J:J,MATCH('Isaac 401k'!N2362,'Retirement Calculator'!A:A,0),0),0)</f>
        <v>0</v>
      </c>
      <c r="K2362" s="455">
        <f t="shared" ca="1" si="146"/>
        <v>-12814474.909603391</v>
      </c>
      <c r="L2362" s="455">
        <f t="shared" ca="1" si="147"/>
        <v>-3088288453.2144175</v>
      </c>
      <c r="M2362" s="471">
        <f t="shared" si="149"/>
        <v>0.05</v>
      </c>
      <c r="N2362" s="475">
        <f t="shared" si="150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48"/>
        <v>-3088288453.2144175</v>
      </c>
      <c r="J2363" s="455">
        <f t="array" ref="J2363">IFERROR(INDEX('Retirement Calculator'!J:J,MATCH('Isaac 401k'!N2363,'Retirement Calculator'!A:A,0),0),0)</f>
        <v>0</v>
      </c>
      <c r="K2363" s="455">
        <f t="shared" ca="1" si="146"/>
        <v>-12867868.555060072</v>
      </c>
      <c r="L2363" s="455">
        <f t="shared" ca="1" si="147"/>
        <v>-3101156321.7694774</v>
      </c>
      <c r="M2363" s="471">
        <f t="shared" si="149"/>
        <v>0.05</v>
      </c>
      <c r="N2363" s="475">
        <f t="shared" si="150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48"/>
        <v>-3101156321.7694774</v>
      </c>
      <c r="J2364" s="455">
        <f t="array" ref="J2364">IFERROR(INDEX('Retirement Calculator'!J:J,MATCH('Isaac 401k'!N2364,'Retirement Calculator'!A:A,0),0),0)</f>
        <v>0</v>
      </c>
      <c r="K2364" s="455">
        <f t="shared" ca="1" si="146"/>
        <v>-12921484.674039489</v>
      </c>
      <c r="L2364" s="455">
        <f t="shared" ca="1" si="147"/>
        <v>-3114077806.4435167</v>
      </c>
      <c r="M2364" s="471">
        <f t="shared" si="149"/>
        <v>0.05</v>
      </c>
      <c r="N2364" s="475">
        <f t="shared" si="150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48"/>
        <v>-3114077806.4435167</v>
      </c>
      <c r="J2365" s="455">
        <f t="array" ref="J2365">IFERROR(INDEX('Retirement Calculator'!J:J,MATCH('Isaac 401k'!N2365,'Retirement Calculator'!A:A,0),0),0)</f>
        <v>0</v>
      </c>
      <c r="K2365" s="455">
        <f t="shared" ca="1" si="146"/>
        <v>-12975324.193514653</v>
      </c>
      <c r="L2365" s="455">
        <f t="shared" ca="1" si="147"/>
        <v>-3127053130.6370316</v>
      </c>
      <c r="M2365" s="471">
        <f t="shared" si="149"/>
        <v>0.05</v>
      </c>
      <c r="N2365" s="475">
        <f t="shared" si="150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48"/>
        <v>-3127053130.6370316</v>
      </c>
      <c r="J2366" s="455">
        <f t="array" ref="J2366">IFERROR(INDEX('Retirement Calculator'!J:J,MATCH('Isaac 401k'!N2366,'Retirement Calculator'!A:A,0),0),0)</f>
        <v>0</v>
      </c>
      <c r="K2366" s="455">
        <f t="shared" ca="1" si="146"/>
        <v>-13029388.044320965</v>
      </c>
      <c r="L2366" s="455">
        <f t="shared" ca="1" si="147"/>
        <v>-3140082518.6813526</v>
      </c>
      <c r="M2366" s="471">
        <f t="shared" si="149"/>
        <v>0.05</v>
      </c>
      <c r="N2366" s="475">
        <f t="shared" si="150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48"/>
        <v>-3140082518.6813526</v>
      </c>
      <c r="J2367" s="455">
        <f t="array" ref="J2367">IFERROR(INDEX('Retirement Calculator'!J:J,MATCH('Isaac 401k'!N2367,'Retirement Calculator'!A:A,0),0),0)</f>
        <v>0</v>
      </c>
      <c r="K2367" s="455">
        <f t="shared" ca="1" si="146"/>
        <v>-13083677.161172302</v>
      </c>
      <c r="L2367" s="455">
        <f t="shared" ca="1" si="147"/>
        <v>-3153166195.842525</v>
      </c>
      <c r="M2367" s="471">
        <f t="shared" si="149"/>
        <v>0.05</v>
      </c>
      <c r="N2367" s="475">
        <f t="shared" si="150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48"/>
        <v>-3153166195.842525</v>
      </c>
      <c r="J2368" s="455">
        <f t="array" ref="J2368">IFERROR(INDEX('Retirement Calculator'!J:J,MATCH('Isaac 401k'!N2368,'Retirement Calculator'!A:A,0),0),0)</f>
        <v>0</v>
      </c>
      <c r="K2368" s="455">
        <f t="shared" ca="1" si="146"/>
        <v>-13138192.482677188</v>
      </c>
      <c r="L2368" s="455">
        <f t="shared" ca="1" si="147"/>
        <v>-3166304388.325202</v>
      </c>
      <c r="M2368" s="471">
        <f t="shared" si="149"/>
        <v>0.05</v>
      </c>
      <c r="N2368" s="475">
        <f t="shared" si="150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48"/>
        <v>-3166304388.325202</v>
      </c>
      <c r="J2369" s="455">
        <f t="array" ref="J2369">IFERROR(INDEX('Retirement Calculator'!J:J,MATCH('Isaac 401k'!N2369,'Retirement Calculator'!A:A,0),0),0)</f>
        <v>0</v>
      </c>
      <c r="K2369" s="455">
        <f t="shared" ca="1" si="146"/>
        <v>-13192934.951355008</v>
      </c>
      <c r="L2369" s="455">
        <f t="shared" ca="1" si="147"/>
        <v>-3179497323.276557</v>
      </c>
      <c r="M2369" s="471">
        <f t="shared" si="149"/>
        <v>0.05</v>
      </c>
      <c r="N2369" s="475">
        <f t="shared" si="150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48"/>
        <v>-3179497323.276557</v>
      </c>
      <c r="J2370" s="455">
        <f t="array" ref="J2370">IFERROR(INDEX('Retirement Calculator'!J:J,MATCH('Isaac 401k'!N2370,'Retirement Calculator'!A:A,0),0),0)</f>
        <v>0</v>
      </c>
      <c r="K2370" s="455">
        <f t="shared" ca="1" si="146"/>
        <v>-13247905.513652321</v>
      </c>
      <c r="L2370" s="455">
        <f t="shared" ca="1" si="147"/>
        <v>-3192745228.7902093</v>
      </c>
      <c r="M2370" s="471">
        <f t="shared" si="149"/>
        <v>0.05</v>
      </c>
      <c r="N2370" s="475">
        <f t="shared" si="150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48"/>
        <v>-3192745228.7902093</v>
      </c>
      <c r="J2371" s="455">
        <f t="array" ref="J2371">IFERROR(INDEX('Retirement Calculator'!J:J,MATCH('Isaac 401k'!N2371,'Retirement Calculator'!A:A,0),0),0)</f>
        <v>0</v>
      </c>
      <c r="K2371" s="455">
        <f t="shared" ca="1" si="146"/>
        <v>-13303105.119959205</v>
      </c>
      <c r="L2371" s="455">
        <f t="shared" ca="1" si="147"/>
        <v>-3206048333.9101686</v>
      </c>
      <c r="M2371" s="471">
        <f t="shared" si="149"/>
        <v>0.05</v>
      </c>
      <c r="N2371" s="475">
        <f t="shared" si="150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48"/>
        <v>-3206048333.9101686</v>
      </c>
      <c r="J2372" s="455">
        <f t="array" ref="J2372">IFERROR(INDEX('Retirement Calculator'!J:J,MATCH('Isaac 401k'!N2372,'Retirement Calculator'!A:A,0),0),0)</f>
        <v>0</v>
      </c>
      <c r="K2372" s="455">
        <f t="shared" ca="1" si="146"/>
        <v>-13358534.724625703</v>
      </c>
      <c r="L2372" s="455">
        <f t="shared" ca="1" si="147"/>
        <v>-3219406868.6347942</v>
      </c>
      <c r="M2372" s="471">
        <f t="shared" si="149"/>
        <v>0.05</v>
      </c>
      <c r="N2372" s="475">
        <f t="shared" si="150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48"/>
        <v>-3219406868.6347942</v>
      </c>
      <c r="J2373" s="455">
        <f t="array" ref="J2373">IFERROR(INDEX('Retirement Calculator'!J:J,MATCH('Isaac 401k'!N2373,'Retirement Calculator'!A:A,0),0),0)</f>
        <v>0</v>
      </c>
      <c r="K2373" s="455">
        <f t="shared" ca="1" si="146"/>
        <v>-13414195.28597831</v>
      </c>
      <c r="L2373" s="455">
        <f t="shared" ca="1" si="147"/>
        <v>-3232821063.9207726</v>
      </c>
      <c r="M2373" s="471">
        <f t="shared" si="149"/>
        <v>0.05</v>
      </c>
      <c r="N2373" s="475">
        <f t="shared" si="150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48"/>
        <v>-3232821063.9207726</v>
      </c>
      <c r="J2374" s="455">
        <f t="array" ref="J2374">IFERROR(INDEX('Retirement Calculator'!J:J,MATCH('Isaac 401k'!N2374,'Retirement Calculator'!A:A,0),0),0)</f>
        <v>0</v>
      </c>
      <c r="K2374" s="455">
        <f t="shared" ca="1" si="146"/>
        <v>-13470087.766336553</v>
      </c>
      <c r="L2374" s="455">
        <f t="shared" ca="1" si="147"/>
        <v>-3246291151.687109</v>
      </c>
      <c r="M2374" s="471">
        <f t="shared" si="149"/>
        <v>0.05</v>
      </c>
      <c r="N2374" s="475">
        <f t="shared" si="150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48"/>
        <v>-3246291151.687109</v>
      </c>
      <c r="J2375" s="455">
        <f t="array" ref="J2375">IFERROR(INDEX('Retirement Calculator'!J:J,MATCH('Isaac 401k'!N2375,'Retirement Calculator'!A:A,0),0),0)</f>
        <v>0</v>
      </c>
      <c r="K2375" s="455">
        <f t="shared" ca="1" si="146"/>
        <v>-13526213.132029621</v>
      </c>
      <c r="L2375" s="455">
        <f t="shared" ca="1" si="147"/>
        <v>-3259817364.8191385</v>
      </c>
      <c r="M2375" s="471">
        <f t="shared" si="149"/>
        <v>0.05</v>
      </c>
      <c r="N2375" s="475">
        <f t="shared" si="150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48"/>
        <v>-3259817364.8191385</v>
      </c>
      <c r="J2376" s="455">
        <f t="array" ref="J2376">IFERROR(INDEX('Retirement Calculator'!J:J,MATCH('Isaac 401k'!N2376,'Retirement Calculator'!A:A,0),0),0)</f>
        <v>0</v>
      </c>
      <c r="K2376" s="455">
        <f t="shared" ca="1" si="146"/>
        <v>-13582572.353413077</v>
      </c>
      <c r="L2376" s="455">
        <f t="shared" ca="1" si="147"/>
        <v>-3273399937.1725516</v>
      </c>
      <c r="M2376" s="471">
        <f t="shared" si="149"/>
        <v>0.05</v>
      </c>
      <c r="N2376" s="475">
        <f t="shared" si="150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48"/>
        <v>-3273399937.1725516</v>
      </c>
      <c r="J2377" s="455">
        <f t="array" ref="J2377">IFERROR(INDEX('Retirement Calculator'!J:J,MATCH('Isaac 401k'!N2377,'Retirement Calculator'!A:A,0),0),0)</f>
        <v>0</v>
      </c>
      <c r="K2377" s="455">
        <f t="shared" ca="1" si="146"/>
        <v>-13639166.404885631</v>
      </c>
      <c r="L2377" s="455">
        <f t="shared" ca="1" si="147"/>
        <v>-3287039103.5774374</v>
      </c>
      <c r="M2377" s="471">
        <f t="shared" si="149"/>
        <v>0.05</v>
      </c>
      <c r="N2377" s="475">
        <f t="shared" si="150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48"/>
        <v>-3287039103.5774374</v>
      </c>
      <c r="J2378" s="455">
        <f t="array" ref="J2378">IFERROR(INDEX('Retirement Calculator'!J:J,MATCH('Isaac 401k'!N2378,'Retirement Calculator'!A:A,0),0),0)</f>
        <v>0</v>
      </c>
      <c r="K2378" s="455">
        <f t="shared" ca="1" si="146"/>
        <v>-13695996.264905989</v>
      </c>
      <c r="L2378" s="455">
        <f t="shared" ca="1" si="147"/>
        <v>-3300735099.8423433</v>
      </c>
      <c r="M2378" s="471">
        <f t="shared" si="149"/>
        <v>0.05</v>
      </c>
      <c r="N2378" s="475">
        <f t="shared" si="150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48"/>
        <v>-3300735099.8423433</v>
      </c>
      <c r="J2379" s="455">
        <f t="array" ref="J2379">IFERROR(INDEX('Retirement Calculator'!J:J,MATCH('Isaac 401k'!N2379,'Retirement Calculator'!A:A,0),0),0)</f>
        <v>0</v>
      </c>
      <c r="K2379" s="455">
        <f t="shared" ca="1" si="146"/>
        <v>-13753062.916009763</v>
      </c>
      <c r="L2379" s="455">
        <f t="shared" ca="1" si="147"/>
        <v>-3314488162.7583532</v>
      </c>
      <c r="M2379" s="471">
        <f t="shared" si="149"/>
        <v>0.05</v>
      </c>
      <c r="N2379" s="475">
        <f t="shared" si="150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48"/>
        <v>-3314488162.7583532</v>
      </c>
      <c r="J2380" s="455">
        <f t="array" ref="J2380">IFERROR(INDEX('Retirement Calculator'!J:J,MATCH('Isaac 401k'!N2380,'Retirement Calculator'!A:A,0),0),0)</f>
        <v>0</v>
      </c>
      <c r="K2380" s="455">
        <f t="shared" ca="1" si="146"/>
        <v>-13810367.344826471</v>
      </c>
      <c r="L2380" s="455">
        <f t="shared" ca="1" si="147"/>
        <v>-3328298530.1031799</v>
      </c>
      <c r="M2380" s="471">
        <f t="shared" si="149"/>
        <v>0.05</v>
      </c>
      <c r="N2380" s="475">
        <f t="shared" si="150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48"/>
        <v>-3328298530.1031799</v>
      </c>
      <c r="J2381" s="455">
        <f t="array" ref="J2381">IFERROR(INDEX('Retirement Calculator'!J:J,MATCH('Isaac 401k'!N2381,'Retirement Calculator'!A:A,0),0),0)</f>
        <v>0</v>
      </c>
      <c r="K2381" s="455">
        <f t="shared" ca="1" si="146"/>
        <v>-13867910.542096583</v>
      </c>
      <c r="L2381" s="455">
        <f t="shared" ca="1" si="147"/>
        <v>-3342166440.6452765</v>
      </c>
      <c r="M2381" s="471">
        <f t="shared" si="149"/>
        <v>0.05</v>
      </c>
      <c r="N2381" s="475">
        <f t="shared" si="150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48"/>
        <v>-3342166440.6452765</v>
      </c>
      <c r="J2382" s="455">
        <f t="array" ref="J2382">IFERROR(INDEX('Retirement Calculator'!J:J,MATCH('Isaac 401k'!N2382,'Retirement Calculator'!A:A,0),0),0)</f>
        <v>0</v>
      </c>
      <c r="K2382" s="455">
        <f t="shared" ca="1" si="146"/>
        <v>-13925693.502688652</v>
      </c>
      <c r="L2382" s="455">
        <f t="shared" ca="1" si="147"/>
        <v>-3356092134.1479654</v>
      </c>
      <c r="M2382" s="471">
        <f t="shared" si="149"/>
        <v>0.05</v>
      </c>
      <c r="N2382" s="475">
        <f t="shared" si="150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48"/>
        <v>-3356092134.1479654</v>
      </c>
      <c r="J2383" s="455">
        <f t="array" ref="J2383">IFERROR(INDEX('Retirement Calculator'!J:J,MATCH('Isaac 401k'!N2383,'Retirement Calculator'!A:A,0),0),0)</f>
        <v>0</v>
      </c>
      <c r="K2383" s="455">
        <f t="shared" ca="1" si="146"/>
        <v>-13983717.22561652</v>
      </c>
      <c r="L2383" s="455">
        <f t="shared" ca="1" si="147"/>
        <v>-3370075851.3735819</v>
      </c>
      <c r="M2383" s="471">
        <f t="shared" si="149"/>
        <v>0.05</v>
      </c>
      <c r="N2383" s="475">
        <f t="shared" si="150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48"/>
        <v>-3370075851.3735819</v>
      </c>
      <c r="J2384" s="455">
        <f t="array" ref="J2384">IFERROR(INDEX('Retirement Calculator'!J:J,MATCH('Isaac 401k'!N2384,'Retirement Calculator'!A:A,0),0),0)</f>
        <v>0</v>
      </c>
      <c r="K2384" s="455">
        <f t="shared" ca="1" si="146"/>
        <v>-14041982.714056592</v>
      </c>
      <c r="L2384" s="455">
        <f t="shared" ca="1" si="147"/>
        <v>-3384117834.0876384</v>
      </c>
      <c r="M2384" s="471">
        <f t="shared" si="149"/>
        <v>0.05</v>
      </c>
      <c r="N2384" s="475">
        <f t="shared" si="150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48"/>
        <v>-3384117834.0876384</v>
      </c>
      <c r="J2385" s="455">
        <f t="array" ref="J2385">IFERROR(INDEX('Retirement Calculator'!J:J,MATCH('Isaac 401k'!N2385,'Retirement Calculator'!A:A,0),0),0)</f>
        <v>0</v>
      </c>
      <c r="K2385" s="455">
        <f t="shared" ca="1" si="146"/>
        <v>-14100490.97536516</v>
      </c>
      <c r="L2385" s="455">
        <f t="shared" ca="1" si="147"/>
        <v>-3398218325.0630035</v>
      </c>
      <c r="M2385" s="471">
        <f t="shared" si="149"/>
        <v>0.05</v>
      </c>
      <c r="N2385" s="475">
        <f t="shared" si="150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48"/>
        <v>-3398218325.0630035</v>
      </c>
      <c r="J2386" s="455">
        <f t="array" ref="J2386">IFERROR(INDEX('Retirement Calculator'!J:J,MATCH('Isaac 401k'!N2386,'Retirement Calculator'!A:A,0),0),0)</f>
        <v>0</v>
      </c>
      <c r="K2386" s="455">
        <f t="shared" ca="1" si="146"/>
        <v>-14159243.021095848</v>
      </c>
      <c r="L2386" s="455">
        <f t="shared" ca="1" si="147"/>
        <v>-3412377568.0840993</v>
      </c>
      <c r="M2386" s="471">
        <f t="shared" si="149"/>
        <v>0.05</v>
      </c>
      <c r="N2386" s="475">
        <f t="shared" si="150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48"/>
        <v>-3412377568.0840993</v>
      </c>
      <c r="J2387" s="455">
        <f t="array" ref="J2387">IFERROR(INDEX('Retirement Calculator'!J:J,MATCH('Isaac 401k'!N2387,'Retirement Calculator'!A:A,0),0),0)</f>
        <v>0</v>
      </c>
      <c r="K2387" s="455">
        <f t="shared" ca="1" si="146"/>
        <v>-14218239.867017081</v>
      </c>
      <c r="L2387" s="455">
        <f t="shared" ca="1" si="147"/>
        <v>-3426595807.9511166</v>
      </c>
      <c r="M2387" s="471">
        <f t="shared" si="149"/>
        <v>0.05</v>
      </c>
      <c r="N2387" s="475">
        <f t="shared" si="150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48"/>
        <v>-3426595807.9511166</v>
      </c>
      <c r="J2388" s="455">
        <f t="array" ref="J2388">IFERROR(INDEX('Retirement Calculator'!J:J,MATCH('Isaac 401k'!N2388,'Retirement Calculator'!A:A,0),0),0)</f>
        <v>0</v>
      </c>
      <c r="K2388" s="455">
        <f t="shared" ca="1" si="146"/>
        <v>-14277482.533129653</v>
      </c>
      <c r="L2388" s="455">
        <f t="shared" ca="1" si="147"/>
        <v>-3440873290.4842463</v>
      </c>
      <c r="M2388" s="471">
        <f t="shared" si="149"/>
        <v>0.05</v>
      </c>
      <c r="N2388" s="475">
        <f t="shared" si="150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48"/>
        <v>-3440873290.4842463</v>
      </c>
      <c r="J2389" s="455">
        <f t="array" ref="J2389">IFERROR(INDEX('Retirement Calculator'!J:J,MATCH('Isaac 401k'!N2389,'Retirement Calculator'!A:A,0),0),0)</f>
        <v>0</v>
      </c>
      <c r="K2389" s="455">
        <f t="shared" ca="1" si="146"/>
        <v>-14336972.04368436</v>
      </c>
      <c r="L2389" s="455">
        <f t="shared" ca="1" si="147"/>
        <v>-3455210262.5279307</v>
      </c>
      <c r="M2389" s="471">
        <f t="shared" si="149"/>
        <v>0.05</v>
      </c>
      <c r="N2389" s="475">
        <f t="shared" si="150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48"/>
        <v>-3455210262.5279307</v>
      </c>
      <c r="J2390" s="455">
        <f t="array" ref="J2390">IFERROR(INDEX('Retirement Calculator'!J:J,MATCH('Isaac 401k'!N2390,'Retirement Calculator'!A:A,0),0),0)</f>
        <v>0</v>
      </c>
      <c r="K2390" s="455">
        <f t="shared" ca="1" si="146"/>
        <v>-14396709.427199714</v>
      </c>
      <c r="L2390" s="455">
        <f t="shared" ca="1" si="147"/>
        <v>-3469606971.9551306</v>
      </c>
      <c r="M2390" s="471">
        <f t="shared" si="149"/>
        <v>0.05</v>
      </c>
      <c r="N2390" s="475">
        <f t="shared" si="150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48"/>
        <v>-3469606971.9551306</v>
      </c>
      <c r="J2391" s="455">
        <f t="array" ref="J2391">IFERROR(INDEX('Retirement Calculator'!J:J,MATCH('Isaac 401k'!N2391,'Retirement Calculator'!A:A,0),0),0)</f>
        <v>0</v>
      </c>
      <c r="K2391" s="455">
        <f t="shared" ca="1" si="146"/>
        <v>-14456695.716479711</v>
      </c>
      <c r="L2391" s="455">
        <f t="shared" ca="1" si="147"/>
        <v>-3484063667.6716104</v>
      </c>
      <c r="M2391" s="471">
        <f t="shared" si="149"/>
        <v>0.05</v>
      </c>
      <c r="N2391" s="475">
        <f t="shared" si="150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48"/>
        <v>-3484063667.6716104</v>
      </c>
      <c r="J2392" s="455">
        <f t="array" ref="J2392">IFERROR(INDEX('Retirement Calculator'!J:J,MATCH('Isaac 401k'!N2392,'Retirement Calculator'!A:A,0),0),0)</f>
        <v>0</v>
      </c>
      <c r="K2392" s="455">
        <f t="shared" ca="1" si="146"/>
        <v>-14516931.948631711</v>
      </c>
      <c r="L2392" s="455">
        <f t="shared" ca="1" si="147"/>
        <v>-3498580599.6202421</v>
      </c>
      <c r="M2392" s="471">
        <f t="shared" si="149"/>
        <v>0.05</v>
      </c>
      <c r="N2392" s="475">
        <f t="shared" si="150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48"/>
        <v>-3498580599.6202421</v>
      </c>
      <c r="J2393" s="455">
        <f t="array" ref="J2393">IFERROR(INDEX('Retirement Calculator'!J:J,MATCH('Isaac 401k'!N2393,'Retirement Calculator'!A:A,0),0),0)</f>
        <v>0</v>
      </c>
      <c r="K2393" s="455">
        <f t="shared" ca="1" si="146"/>
        <v>-14577419.165084342</v>
      </c>
      <c r="L2393" s="455">
        <f t="shared" ca="1" si="147"/>
        <v>-3513158018.7853265</v>
      </c>
      <c r="M2393" s="471">
        <f t="shared" si="149"/>
        <v>0.05</v>
      </c>
      <c r="N2393" s="475">
        <f t="shared" si="150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48"/>
        <v>-3513158018.7853265</v>
      </c>
      <c r="J2394" s="455">
        <f t="array" ref="J2394">IFERROR(INDEX('Retirement Calculator'!J:J,MATCH('Isaac 401k'!N2394,'Retirement Calculator'!A:A,0),0),0)</f>
        <v>0</v>
      </c>
      <c r="K2394" s="455">
        <f t="shared" ca="1" si="146"/>
        <v>-14638158.411605528</v>
      </c>
      <c r="L2394" s="455">
        <f t="shared" ca="1" si="147"/>
        <v>-3527796177.1969318</v>
      </c>
      <c r="M2394" s="471">
        <f t="shared" si="149"/>
        <v>0.05</v>
      </c>
      <c r="N2394" s="475">
        <f t="shared" si="150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48"/>
        <v>-3527796177.1969318</v>
      </c>
      <c r="J2395" s="455">
        <f t="array" ref="J2395">IFERROR(INDEX('Retirement Calculator'!J:J,MATCH('Isaac 401k'!N2395,'Retirement Calculator'!A:A,0),0),0)</f>
        <v>0</v>
      </c>
      <c r="K2395" s="455">
        <f t="shared" ca="1" si="146"/>
        <v>-14699150.73832055</v>
      </c>
      <c r="L2395" s="455">
        <f t="shared" ca="1" si="147"/>
        <v>-3542495327.9352522</v>
      </c>
      <c r="M2395" s="471">
        <f t="shared" si="149"/>
        <v>0.05</v>
      </c>
      <c r="N2395" s="475">
        <f t="shared" si="150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48"/>
        <v>-3542495327.9352522</v>
      </c>
      <c r="J2396" s="455">
        <f t="array" ref="J2396">IFERROR(INDEX('Retirement Calculator'!J:J,MATCH('Isaac 401k'!N2396,'Retirement Calculator'!A:A,0),0),0)</f>
        <v>0</v>
      </c>
      <c r="K2396" s="455">
        <f t="shared" ca="1" si="146"/>
        <v>-14760397.199730216</v>
      </c>
      <c r="L2396" s="455">
        <f t="shared" ca="1" si="147"/>
        <v>-3557255725.1349826</v>
      </c>
      <c r="M2396" s="471">
        <f t="shared" si="149"/>
        <v>0.05</v>
      </c>
      <c r="N2396" s="475">
        <f t="shared" si="150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48"/>
        <v>-3557255725.1349826</v>
      </c>
      <c r="J2397" s="455">
        <f t="array" ref="J2397">IFERROR(INDEX('Retirement Calculator'!J:J,MATCH('Isaac 401k'!N2397,'Retirement Calculator'!A:A,0),0),0)</f>
        <v>0</v>
      </c>
      <c r="K2397" s="455">
        <f t="shared" ca="1" si="146"/>
        <v>-14821898.854729094</v>
      </c>
      <c r="L2397" s="455">
        <f t="shared" ca="1" si="147"/>
        <v>-3572077623.9897118</v>
      </c>
      <c r="M2397" s="471">
        <f t="shared" si="149"/>
        <v>0.05</v>
      </c>
      <c r="N2397" s="475">
        <f t="shared" si="150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48"/>
        <v>-3572077623.9897118</v>
      </c>
      <c r="J2398" s="455">
        <f t="array" ref="J2398">IFERROR(INDEX('Retirement Calculator'!J:J,MATCH('Isaac 401k'!N2398,'Retirement Calculator'!A:A,0),0),0)</f>
        <v>0</v>
      </c>
      <c r="K2398" s="455">
        <f t="shared" ca="1" si="146"/>
        <v>-14883656.766623801</v>
      </c>
      <c r="L2398" s="455">
        <f t="shared" ca="1" si="147"/>
        <v>-3586961280.7563357</v>
      </c>
      <c r="M2398" s="471">
        <f t="shared" si="149"/>
        <v>0.05</v>
      </c>
      <c r="N2398" s="475">
        <f t="shared" si="150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48"/>
        <v>-3586961280.7563357</v>
      </c>
      <c r="J2399" s="455">
        <f t="array" ref="J2399">IFERROR(INDEX('Retirement Calculator'!J:J,MATCH('Isaac 401k'!N2399,'Retirement Calculator'!A:A,0),0),0)</f>
        <v>0</v>
      </c>
      <c r="K2399" s="455">
        <f t="shared" ca="1" si="146"/>
        <v>-14945672.003151398</v>
      </c>
      <c r="L2399" s="455">
        <f t="shared" ca="1" si="147"/>
        <v>-3601906952.7594872</v>
      </c>
      <c r="M2399" s="471">
        <f t="shared" si="149"/>
        <v>0.05</v>
      </c>
      <c r="N2399" s="475">
        <f t="shared" si="150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48"/>
        <v>-3601906952.7594872</v>
      </c>
      <c r="J2400" s="455">
        <f t="array" ref="J2400">IFERROR(INDEX('Retirement Calculator'!J:J,MATCH('Isaac 401k'!N2400,'Retirement Calculator'!A:A,0),0),0)</f>
        <v>0</v>
      </c>
      <c r="K2400" s="455">
        <f t="shared" ca="1" si="146"/>
        <v>-15007945.636497861</v>
      </c>
      <c r="L2400" s="455">
        <f t="shared" ca="1" si="147"/>
        <v>-3616914898.3959851</v>
      </c>
      <c r="M2400" s="471">
        <f t="shared" si="149"/>
        <v>0.05</v>
      </c>
      <c r="N2400" s="475">
        <f t="shared" si="150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48"/>
        <v>-3616914898.3959851</v>
      </c>
      <c r="J2401" s="455">
        <f t="array" ref="J2401">IFERROR(INDEX('Retirement Calculator'!J:J,MATCH('Isaac 401k'!N2401,'Retirement Calculator'!A:A,0),0),0)</f>
        <v>0</v>
      </c>
      <c r="K2401" s="455">
        <f t="shared" ca="1" si="146"/>
        <v>-15070478.743316604</v>
      </c>
      <c r="L2401" s="455">
        <f t="shared" ca="1" si="147"/>
        <v>-3631985377.1393018</v>
      </c>
      <c r="M2401" s="471">
        <f t="shared" si="149"/>
        <v>0.05</v>
      </c>
      <c r="N2401" s="475">
        <f t="shared" si="150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48"/>
        <v>-3631985377.1393018</v>
      </c>
      <c r="J2402" s="455">
        <f t="array" ref="J2402">IFERROR(INDEX('Retirement Calculator'!J:J,MATCH('Isaac 401k'!N2402,'Retirement Calculator'!A:A,0),0),0)</f>
        <v>0</v>
      </c>
      <c r="K2402" s="455">
        <f t="shared" ca="1" si="146"/>
        <v>-15133272.404747093</v>
      </c>
      <c r="L2402" s="455">
        <f t="shared" ca="1" si="147"/>
        <v>-3647118649.5440488</v>
      </c>
      <c r="M2402" s="471">
        <f t="shared" si="149"/>
        <v>0.05</v>
      </c>
      <c r="N2402" s="475">
        <f t="shared" si="150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48"/>
        <v>-3647118649.5440488</v>
      </c>
      <c r="J2403" s="455">
        <f t="array" ref="J2403">IFERROR(INDEX('Retirement Calculator'!J:J,MATCH('Isaac 401k'!N2403,'Retirement Calculator'!A:A,0),0),0)</f>
        <v>0</v>
      </c>
      <c r="K2403" s="455">
        <f t="shared" ca="1" si="146"/>
        <v>-15196327.706433536</v>
      </c>
      <c r="L2403" s="455">
        <f t="shared" ca="1" si="147"/>
        <v>-3662314977.2504826</v>
      </c>
      <c r="M2403" s="471">
        <f t="shared" si="149"/>
        <v>0.05</v>
      </c>
      <c r="N2403" s="475">
        <f t="shared" si="150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48"/>
        <v>-3662314977.2504826</v>
      </c>
      <c r="J2404" s="455">
        <f t="array" ref="J2404">IFERROR(INDEX('Retirement Calculator'!J:J,MATCH('Isaac 401k'!N2404,'Retirement Calculator'!A:A,0),0),0)</f>
        <v>0</v>
      </c>
      <c r="K2404" s="455">
        <f t="shared" ca="1" si="146"/>
        <v>-15259645.738543676</v>
      </c>
      <c r="L2404" s="455">
        <f t="shared" ca="1" si="147"/>
        <v>-3677574622.9890261</v>
      </c>
      <c r="M2404" s="471">
        <f t="shared" si="149"/>
        <v>0.05</v>
      </c>
      <c r="N2404" s="475">
        <f t="shared" si="150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48"/>
        <v>-3677574622.9890261</v>
      </c>
      <c r="J2405" s="455">
        <f t="array" ref="J2405">IFERROR(INDEX('Retirement Calculator'!J:J,MATCH('Isaac 401k'!N2405,'Retirement Calculator'!A:A,0),0),0)</f>
        <v>0</v>
      </c>
      <c r="K2405" s="455">
        <f t="shared" ca="1" si="146"/>
        <v>-15323227.595787609</v>
      </c>
      <c r="L2405" s="455">
        <f t="shared" ca="1" si="147"/>
        <v>-3692897850.5848136</v>
      </c>
      <c r="M2405" s="471">
        <f t="shared" si="149"/>
        <v>0.05</v>
      </c>
      <c r="N2405" s="475">
        <f t="shared" si="150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48"/>
        <v>-3692897850.5848136</v>
      </c>
      <c r="J2406" s="455">
        <f t="array" ref="J2406">IFERROR(INDEX('Retirement Calculator'!J:J,MATCH('Isaac 401k'!N2406,'Retirement Calculator'!A:A,0),0),0)</f>
        <v>0</v>
      </c>
      <c r="K2406" s="455">
        <f t="shared" ca="1" si="146"/>
        <v>-15387074.377436724</v>
      </c>
      <c r="L2406" s="455">
        <f t="shared" ca="1" si="147"/>
        <v>-3708284924.9622502</v>
      </c>
      <c r="M2406" s="471">
        <f t="shared" si="149"/>
        <v>0.05</v>
      </c>
      <c r="N2406" s="475">
        <f t="shared" si="150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48"/>
        <v>-3708284924.9622502</v>
      </c>
      <c r="J2407" s="455">
        <f t="array" ref="J2407">IFERROR(INDEX('Retirement Calculator'!J:J,MATCH('Isaac 401k'!N2407,'Retirement Calculator'!A:A,0),0),0)</f>
        <v>0</v>
      </c>
      <c r="K2407" s="455">
        <f t="shared" ca="1" si="146"/>
        <v>-15451187.187342709</v>
      </c>
      <c r="L2407" s="455">
        <f t="shared" ca="1" si="147"/>
        <v>-3723736112.1495929</v>
      </c>
      <c r="M2407" s="471">
        <f t="shared" si="149"/>
        <v>0.05</v>
      </c>
      <c r="N2407" s="475">
        <f t="shared" si="150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48"/>
        <v>-3723736112.1495929</v>
      </c>
      <c r="J2408" s="455">
        <f t="array" ref="J2408">IFERROR(INDEX('Retirement Calculator'!J:J,MATCH('Isaac 401k'!N2408,'Retirement Calculator'!A:A,0),0),0)</f>
        <v>0</v>
      </c>
      <c r="K2408" s="455">
        <f t="shared" ca="1" si="146"/>
        <v>-15515567.133956639</v>
      </c>
      <c r="L2408" s="455">
        <f t="shared" ca="1" si="147"/>
        <v>-3739251679.2835493</v>
      </c>
      <c r="M2408" s="471">
        <f t="shared" si="149"/>
        <v>0.05</v>
      </c>
      <c r="N2408" s="475">
        <f t="shared" si="150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48"/>
        <v>-3739251679.2835493</v>
      </c>
      <c r="J2409" s="455">
        <f t="array" ref="J2409">IFERROR(INDEX('Retirement Calculator'!J:J,MATCH('Isaac 401k'!N2409,'Retirement Calculator'!A:A,0),0),0)</f>
        <v>0</v>
      </c>
      <c r="K2409" s="455">
        <f t="shared" ca="1" si="146"/>
        <v>-15580215.330348125</v>
      </c>
      <c r="L2409" s="455">
        <f t="shared" ca="1" si="147"/>
        <v>-3754831894.6138973</v>
      </c>
      <c r="M2409" s="471">
        <f t="shared" si="149"/>
        <v>0.05</v>
      </c>
      <c r="N2409" s="475">
        <f t="shared" si="150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48"/>
        <v>-3754831894.6138973</v>
      </c>
      <c r="J2410" s="455">
        <f t="array" ref="J2410">IFERROR(INDEX('Retirement Calculator'!J:J,MATCH('Isaac 401k'!N2410,'Retirement Calculator'!A:A,0),0),0)</f>
        <v>0</v>
      </c>
      <c r="K2410" s="455">
        <f t="shared" ca="1" si="146"/>
        <v>-15645132.894224571</v>
      </c>
      <c r="L2410" s="455">
        <f t="shared" ca="1" si="147"/>
        <v>-3770477027.508122</v>
      </c>
      <c r="M2410" s="471">
        <f t="shared" si="149"/>
        <v>0.05</v>
      </c>
      <c r="N2410" s="475">
        <f t="shared" si="150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48"/>
        <v>-3770477027.508122</v>
      </c>
      <c r="J2411" s="455">
        <f t="array" ref="J2411">IFERROR(INDEX('Retirement Calculator'!J:J,MATCH('Isaac 401k'!N2411,'Retirement Calculator'!A:A,0),0),0)</f>
        <v>0</v>
      </c>
      <c r="K2411" s="455">
        <f t="shared" ca="1" si="146"/>
        <v>-15710320.947950508</v>
      </c>
      <c r="L2411" s="455">
        <f t="shared" ca="1" si="147"/>
        <v>-3786187348.4560723</v>
      </c>
      <c r="M2411" s="471">
        <f t="shared" si="149"/>
        <v>0.05</v>
      </c>
      <c r="N2411" s="475">
        <f t="shared" si="150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48"/>
        <v>-3786187348.4560723</v>
      </c>
      <c r="J2412" s="455">
        <f t="array" ref="J2412">IFERROR(INDEX('Retirement Calculator'!J:J,MATCH('Isaac 401k'!N2412,'Retirement Calculator'!A:A,0),0),0)</f>
        <v>0</v>
      </c>
      <c r="K2412" s="455">
        <f t="shared" ca="1" si="146"/>
        <v>-15775780.618566968</v>
      </c>
      <c r="L2412" s="455">
        <f t="shared" ca="1" si="147"/>
        <v>-3801963129.0746393</v>
      </c>
      <c r="M2412" s="471">
        <f t="shared" si="149"/>
        <v>0.05</v>
      </c>
      <c r="N2412" s="475">
        <f t="shared" si="150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48"/>
        <v>-3801963129.0746393</v>
      </c>
      <c r="J2413" s="455">
        <f t="array" ref="J2413">IFERROR(INDEX('Retirement Calculator'!J:J,MATCH('Isaac 401k'!N2413,'Retirement Calculator'!A:A,0),0),0)</f>
        <v>0</v>
      </c>
      <c r="K2413" s="455">
        <f t="shared" ca="1" si="146"/>
        <v>-15841513.037810996</v>
      </c>
      <c r="L2413" s="455">
        <f t="shared" ca="1" si="147"/>
        <v>-3817804642.1124501</v>
      </c>
      <c r="M2413" s="471">
        <f t="shared" si="149"/>
        <v>0.05</v>
      </c>
      <c r="N2413" s="475">
        <f t="shared" si="150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48"/>
        <v>-3817804642.1124501</v>
      </c>
      <c r="J2414" s="455">
        <f t="array" ref="J2414">IFERROR(INDEX('Retirement Calculator'!J:J,MATCH('Isaac 401k'!N2414,'Retirement Calculator'!A:A,0),0),0)</f>
        <v>0</v>
      </c>
      <c r="K2414" s="455">
        <f t="shared" ca="1" si="146"/>
        <v>-15907519.342135208</v>
      </c>
      <c r="L2414" s="455">
        <f t="shared" ca="1" si="147"/>
        <v>-3833712161.4545856</v>
      </c>
      <c r="M2414" s="471">
        <f t="shared" si="149"/>
        <v>0.05</v>
      </c>
      <c r="N2414" s="475">
        <f t="shared" si="150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48"/>
        <v>-3833712161.4545856</v>
      </c>
      <c r="J2415" s="455">
        <f t="array" ref="J2415">IFERROR(INDEX('Retirement Calculator'!J:J,MATCH('Isaac 401k'!N2415,'Retirement Calculator'!A:A,0),0),0)</f>
        <v>0</v>
      </c>
      <c r="K2415" s="455">
        <f t="shared" ca="1" si="146"/>
        <v>-15973800.672727438</v>
      </c>
      <c r="L2415" s="455">
        <f t="shared" ca="1" si="147"/>
        <v>-3849685962.1273131</v>
      </c>
      <c r="M2415" s="471">
        <f t="shared" si="149"/>
        <v>0.05</v>
      </c>
      <c r="N2415" s="475">
        <f t="shared" si="150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48"/>
        <v>-3849685962.1273131</v>
      </c>
      <c r="J2416" s="455">
        <f t="array" ref="J2416">IFERROR(INDEX('Retirement Calculator'!J:J,MATCH('Isaac 401k'!N2416,'Retirement Calculator'!A:A,0),0),0)</f>
        <v>0</v>
      </c>
      <c r="K2416" s="455">
        <f t="shared" ca="1" si="146"/>
        <v>-16040358.175530471</v>
      </c>
      <c r="L2416" s="455">
        <f t="shared" ca="1" si="147"/>
        <v>-3865726320.3028436</v>
      </c>
      <c r="M2416" s="471">
        <f t="shared" si="149"/>
        <v>0.05</v>
      </c>
      <c r="N2416" s="475">
        <f t="shared" si="150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48"/>
        <v>-3865726320.3028436</v>
      </c>
      <c r="J2417" s="455">
        <f t="array" ref="J2417">IFERROR(INDEX('Retirement Calculator'!J:J,MATCH('Isaac 401k'!N2417,'Retirement Calculator'!A:A,0),0),0)</f>
        <v>0</v>
      </c>
      <c r="K2417" s="455">
        <f t="shared" ca="1" si="146"/>
        <v>-16107193.001261851</v>
      </c>
      <c r="L2417" s="455">
        <f t="shared" ca="1" si="147"/>
        <v>-3881833513.3041053</v>
      </c>
      <c r="M2417" s="471">
        <f t="shared" si="149"/>
        <v>0.05</v>
      </c>
      <c r="N2417" s="475">
        <f t="shared" si="150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48"/>
        <v>-3881833513.3041053</v>
      </c>
      <c r="J2418" s="455">
        <f t="array" ref="J2418">IFERROR(INDEX('Retirement Calculator'!J:J,MATCH('Isaac 401k'!N2418,'Retirement Calculator'!A:A,0),0),0)</f>
        <v>0</v>
      </c>
      <c r="K2418" s="455">
        <f t="shared" ca="1" si="146"/>
        <v>-16174306.305433773</v>
      </c>
      <c r="L2418" s="455">
        <f t="shared" ca="1" si="147"/>
        <v>-3898007819.609539</v>
      </c>
      <c r="M2418" s="471">
        <f t="shared" si="149"/>
        <v>0.05</v>
      </c>
      <c r="N2418" s="475">
        <f t="shared" si="150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48"/>
        <v>-3898007819.609539</v>
      </c>
      <c r="J2419" s="455">
        <f t="array" ref="J2419">IFERROR(INDEX('Retirement Calculator'!J:J,MATCH('Isaac 401k'!N2419,'Retirement Calculator'!A:A,0),0),0)</f>
        <v>0</v>
      </c>
      <c r="K2419" s="455">
        <f t="shared" ca="1" si="146"/>
        <v>-16241699.248373076</v>
      </c>
      <c r="L2419" s="455">
        <f t="shared" ca="1" si="147"/>
        <v>-3914249518.8579121</v>
      </c>
      <c r="M2419" s="471">
        <f t="shared" si="149"/>
        <v>0.05</v>
      </c>
      <c r="N2419" s="475">
        <f t="shared" si="150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48"/>
        <v>-3914249518.8579121</v>
      </c>
      <c r="J2420" s="455">
        <f t="array" ref="J2420">IFERROR(INDEX('Retirement Calculator'!J:J,MATCH('Isaac 401k'!N2420,'Retirement Calculator'!A:A,0),0),0)</f>
        <v>0</v>
      </c>
      <c r="K2420" s="455">
        <f t="shared" ca="1" si="146"/>
        <v>-16309372.995241299</v>
      </c>
      <c r="L2420" s="455">
        <f t="shared" ca="1" si="147"/>
        <v>-3930558891.8531532</v>
      </c>
      <c r="M2420" s="471">
        <f t="shared" si="149"/>
        <v>0.05</v>
      </c>
      <c r="N2420" s="475">
        <f t="shared" si="150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48"/>
        <v>-3930558891.8531532</v>
      </c>
      <c r="J2421" s="455">
        <f t="array" ref="J2421">IFERROR(INDEX('Retirement Calculator'!J:J,MATCH('Isaac 401k'!N2421,'Retirement Calculator'!A:A,0),0),0)</f>
        <v>0</v>
      </c>
      <c r="K2421" s="455">
        <f t="shared" ca="1" si="146"/>
        <v>-16377328.716054803</v>
      </c>
      <c r="L2421" s="455">
        <f t="shared" ca="1" si="147"/>
        <v>-3946936220.5692081</v>
      </c>
      <c r="M2421" s="471">
        <f t="shared" si="149"/>
        <v>0.05</v>
      </c>
      <c r="N2421" s="475">
        <f t="shared" si="150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48"/>
        <v>-3946936220.5692081</v>
      </c>
      <c r="J2422" s="455">
        <f t="array" ref="J2422">IFERROR(INDEX('Retirement Calculator'!J:J,MATCH('Isaac 401k'!N2422,'Retirement Calculator'!A:A,0),0),0)</f>
        <v>0</v>
      </c>
      <c r="K2422" s="455">
        <f t="shared" ca="1" si="146"/>
        <v>-16445567.585705034</v>
      </c>
      <c r="L2422" s="455">
        <f t="shared" ca="1" si="147"/>
        <v>-3963381788.1549129</v>
      </c>
      <c r="M2422" s="471">
        <f t="shared" si="149"/>
        <v>0.05</v>
      </c>
      <c r="N2422" s="475">
        <f t="shared" si="150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48"/>
        <v>-3963381788.1549129</v>
      </c>
      <c r="J2423" s="455">
        <f t="array" ref="J2423">IFERROR(INDEX('Retirement Calculator'!J:J,MATCH('Isaac 401k'!N2423,'Retirement Calculator'!A:A,0),0),0)</f>
        <v>0</v>
      </c>
      <c r="K2423" s="455">
        <f t="shared" ca="1" si="146"/>
        <v>-16514090.783978803</v>
      </c>
      <c r="L2423" s="455">
        <f t="shared" ca="1" si="147"/>
        <v>-3979895878.9388919</v>
      </c>
      <c r="M2423" s="471">
        <f t="shared" si="149"/>
        <v>0.05</v>
      </c>
      <c r="N2423" s="475">
        <f t="shared" si="150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48"/>
        <v>-3979895878.9388919</v>
      </c>
      <c r="J2424" s="455">
        <f t="array" ref="J2424">IFERROR(INDEX('Retirement Calculator'!J:J,MATCH('Isaac 401k'!N2424,'Retirement Calculator'!A:A,0),0),0)</f>
        <v>0</v>
      </c>
      <c r="K2424" s="455">
        <f t="shared" ca="1" si="146"/>
        <v>-16582899.495578716</v>
      </c>
      <c r="L2424" s="455">
        <f t="shared" ca="1" si="147"/>
        <v>-3996478778.4344707</v>
      </c>
      <c r="M2424" s="471">
        <f t="shared" si="149"/>
        <v>0.05</v>
      </c>
      <c r="N2424" s="475">
        <f t="shared" si="150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48"/>
        <v>-3996478778.4344707</v>
      </c>
      <c r="J2425" s="455">
        <f t="array" ref="J2425">IFERROR(INDEX('Retirement Calculator'!J:J,MATCH('Isaac 401k'!N2425,'Retirement Calculator'!A:A,0),0),0)</f>
        <v>0</v>
      </c>
      <c r="K2425" s="455">
        <f t="shared" ca="1" si="146"/>
        <v>-16651994.910143627</v>
      </c>
      <c r="L2425" s="455">
        <f t="shared" ca="1" si="147"/>
        <v>-4013130773.3446145</v>
      </c>
      <c r="M2425" s="471">
        <f t="shared" si="149"/>
        <v>0.05</v>
      </c>
      <c r="N2425" s="475">
        <f t="shared" si="150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48"/>
        <v>-4013130773.3446145</v>
      </c>
      <c r="J2426" s="455">
        <f t="array" ref="J2426">IFERROR(INDEX('Retirement Calculator'!J:J,MATCH('Isaac 401k'!N2426,'Retirement Calculator'!A:A,0),0),0)</f>
        <v>0</v>
      </c>
      <c r="K2426" s="455">
        <f t="shared" ca="1" si="146"/>
        <v>-16721378.222269228</v>
      </c>
      <c r="L2426" s="455">
        <f t="shared" ca="1" si="147"/>
        <v>-4029852151.5668836</v>
      </c>
      <c r="M2426" s="471">
        <f t="shared" si="149"/>
        <v>0.05</v>
      </c>
      <c r="N2426" s="475">
        <f t="shared" si="150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48"/>
        <v>-4029852151.5668836</v>
      </c>
      <c r="J2427" s="455">
        <f t="array" ref="J2427">IFERROR(INDEX('Retirement Calculator'!J:J,MATCH('Isaac 401k'!N2427,'Retirement Calculator'!A:A,0),0),0)</f>
        <v>0</v>
      </c>
      <c r="K2427" s="455">
        <f t="shared" ca="1" si="146"/>
        <v>-16791050.631528683</v>
      </c>
      <c r="L2427" s="455">
        <f t="shared" ca="1" si="147"/>
        <v>-4046643202.1984124</v>
      </c>
      <c r="M2427" s="471">
        <f t="shared" si="149"/>
        <v>0.05</v>
      </c>
      <c r="N2427" s="475">
        <f t="shared" si="150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48"/>
        <v>-4046643202.1984124</v>
      </c>
      <c r="J2428" s="455">
        <f t="array" ref="J2428">IFERROR(INDEX('Retirement Calculator'!J:J,MATCH('Isaac 401k'!N2428,'Retirement Calculator'!A:A,0),0),0)</f>
        <v>0</v>
      </c>
      <c r="K2428" s="455">
        <f t="shared" ca="1" si="146"/>
        <v>-16861013.342493385</v>
      </c>
      <c r="L2428" s="455">
        <f t="shared" ca="1" si="147"/>
        <v>-4063504215.540906</v>
      </c>
      <c r="M2428" s="471">
        <f t="shared" si="149"/>
        <v>0.05</v>
      </c>
      <c r="N2428" s="475">
        <f t="shared" si="150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48"/>
        <v>-4063504215.540906</v>
      </c>
      <c r="J2429" s="455">
        <f t="array" ref="J2429">IFERROR(INDEX('Retirement Calculator'!J:J,MATCH('Isaac 401k'!N2429,'Retirement Calculator'!A:A,0),0),0)</f>
        <v>0</v>
      </c>
      <c r="K2429" s="455">
        <f t="shared" ca="1" si="146"/>
        <v>-16931267.564753771</v>
      </c>
      <c r="L2429" s="455">
        <f t="shared" ca="1" si="147"/>
        <v>-4080435483.1056595</v>
      </c>
      <c r="M2429" s="471">
        <f t="shared" si="149"/>
        <v>0.05</v>
      </c>
      <c r="N2429" s="475">
        <f t="shared" si="150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48"/>
        <v>-4080435483.1056595</v>
      </c>
      <c r="J2430" s="455">
        <f t="array" ref="J2430">IFERROR(INDEX('Retirement Calculator'!J:J,MATCH('Isaac 401k'!N2430,'Retirement Calculator'!A:A,0),0),0)</f>
        <v>0</v>
      </c>
      <c r="K2430" s="455">
        <f t="shared" ca="1" si="146"/>
        <v>-17001814.51294025</v>
      </c>
      <c r="L2430" s="455">
        <f t="shared" ca="1" si="147"/>
        <v>-4097437297.6185999</v>
      </c>
      <c r="M2430" s="471">
        <f t="shared" si="149"/>
        <v>0.05</v>
      </c>
      <c r="N2430" s="475">
        <f t="shared" si="150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48"/>
        <v>-4097437297.6185999</v>
      </c>
      <c r="J2431" s="455">
        <f t="array" ref="J2431">IFERROR(INDEX('Retirement Calculator'!J:J,MATCH('Isaac 401k'!N2431,'Retirement Calculator'!A:A,0),0),0)</f>
        <v>0</v>
      </c>
      <c r="K2431" s="455">
        <f t="shared" ca="1" si="146"/>
        <v>-17072655.406744167</v>
      </c>
      <c r="L2431" s="455">
        <f t="shared" ca="1" si="147"/>
        <v>-4114509953.0253439</v>
      </c>
      <c r="M2431" s="471">
        <f t="shared" si="149"/>
        <v>0.05</v>
      </c>
      <c r="N2431" s="475">
        <f t="shared" si="150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48"/>
        <v>-4114509953.0253439</v>
      </c>
      <c r="J2432" s="455">
        <f t="array" ref="J2432">IFERROR(INDEX('Retirement Calculator'!J:J,MATCH('Isaac 401k'!N2432,'Retirement Calculator'!A:A,0),0),0)</f>
        <v>0</v>
      </c>
      <c r="K2432" s="455">
        <f t="shared" ca="1" si="146"/>
        <v>-17143791.470938932</v>
      </c>
      <c r="L2432" s="455">
        <f t="shared" ca="1" si="147"/>
        <v>-4131653744.4962831</v>
      </c>
      <c r="M2432" s="471">
        <f t="shared" si="149"/>
        <v>0.05</v>
      </c>
      <c r="N2432" s="475">
        <f t="shared" si="150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48"/>
        <v>-4131653744.4962831</v>
      </c>
      <c r="J2433" s="455">
        <f t="array" ref="J2433">IFERROR(INDEX('Retirement Calculator'!J:J,MATCH('Isaac 401k'!N2433,'Retirement Calculator'!A:A,0),0),0)</f>
        <v>0</v>
      </c>
      <c r="K2433" s="455">
        <f t="shared" ca="1" si="146"/>
        <v>-17215223.935401179</v>
      </c>
      <c r="L2433" s="455">
        <f t="shared" ca="1" si="147"/>
        <v>-4148868968.431684</v>
      </c>
      <c r="M2433" s="471">
        <f t="shared" si="149"/>
        <v>0.05</v>
      </c>
      <c r="N2433" s="475">
        <f t="shared" si="150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48"/>
        <v>-4148868968.431684</v>
      </c>
      <c r="J2434" s="455">
        <f t="array" ref="J2434">IFERROR(INDEX('Retirement Calculator'!J:J,MATCH('Isaac 401k'!N2434,'Retirement Calculator'!A:A,0),0),0)</f>
        <v>0</v>
      </c>
      <c r="K2434" s="455">
        <f t="shared" ca="1" si="146"/>
        <v>-17286954.035132017</v>
      </c>
      <c r="L2434" s="455">
        <f t="shared" ca="1" si="147"/>
        <v>-4166155922.4668159</v>
      </c>
      <c r="M2434" s="471">
        <f t="shared" si="149"/>
        <v>0.05</v>
      </c>
      <c r="N2434" s="475">
        <f t="shared" si="150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48"/>
        <v>-4166155922.4668159</v>
      </c>
      <c r="J2435" s="455">
        <f t="array" ref="J2435">IFERROR(INDEX('Retirement Calculator'!J:J,MATCH('Isaac 401k'!N2435,'Retirement Calculator'!A:A,0),0),0)</f>
        <v>0</v>
      </c>
      <c r="K2435" s="455">
        <f t="shared" ca="1" si="146"/>
        <v>-17358983.0102784</v>
      </c>
      <c r="L2435" s="455">
        <f t="shared" ca="1" si="147"/>
        <v>-4183514905.4770942</v>
      </c>
      <c r="M2435" s="471">
        <f t="shared" si="149"/>
        <v>0.05</v>
      </c>
      <c r="N2435" s="475">
        <f t="shared" si="150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48"/>
        <v>-4183514905.4770942</v>
      </c>
      <c r="J2436" s="455">
        <f t="array" ref="J2436">IFERROR(INDEX('Retirement Calculator'!J:J,MATCH('Isaac 401k'!N2436,'Retirement Calculator'!A:A,0),0),0)</f>
        <v>0</v>
      </c>
      <c r="K2436" s="455">
        <f t="shared" ca="1" si="146"/>
        <v>-17431312.106154557</v>
      </c>
      <c r="L2436" s="455">
        <f t="shared" ca="1" si="147"/>
        <v>-4200946217.5832486</v>
      </c>
      <c r="M2436" s="471">
        <f t="shared" si="149"/>
        <v>0.05</v>
      </c>
      <c r="N2436" s="475">
        <f t="shared" si="150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48"/>
        <v>-4200946217.5832486</v>
      </c>
      <c r="J2437" s="455">
        <f t="array" ref="J2437">IFERROR(INDEX('Retirement Calculator'!J:J,MATCH('Isaac 401k'!N2437,'Retirement Calculator'!A:A,0),0),0)</f>
        <v>0</v>
      </c>
      <c r="K2437" s="455">
        <f t="shared" ca="1" si="146"/>
        <v>-17503942.573263537</v>
      </c>
      <c r="L2437" s="455">
        <f t="shared" ca="1" si="147"/>
        <v>-4218450160.1565123</v>
      </c>
      <c r="M2437" s="471">
        <f t="shared" si="149"/>
        <v>0.05</v>
      </c>
      <c r="N2437" s="475">
        <f t="shared" si="150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48"/>
        <v>-4218450160.1565123</v>
      </c>
      <c r="J2438" s="455">
        <f t="array" ref="J2438">IFERROR(INDEX('Retirement Calculator'!J:J,MATCH('Isaac 401k'!N2438,'Retirement Calculator'!A:A,0),0),0)</f>
        <v>0</v>
      </c>
      <c r="K2438" s="455">
        <f t="shared" ca="1" si="146"/>
        <v>-17576875.667318802</v>
      </c>
      <c r="L2438" s="455">
        <f t="shared" ca="1" si="147"/>
        <v>-4236027035.8238311</v>
      </c>
      <c r="M2438" s="471">
        <f t="shared" si="149"/>
        <v>0.05</v>
      </c>
      <c r="N2438" s="475">
        <f t="shared" si="150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48"/>
        <v>-4236027035.8238311</v>
      </c>
      <c r="J2439" s="455">
        <f t="array" ref="J2439">IFERROR(INDEX('Retirement Calculator'!J:J,MATCH('Isaac 401k'!N2439,'Retirement Calculator'!A:A,0),0),0)</f>
        <v>0</v>
      </c>
      <c r="K2439" s="455">
        <f t="shared" ca="1" si="146"/>
        <v>-17650112.649265964</v>
      </c>
      <c r="L2439" s="455">
        <f t="shared" ca="1" si="147"/>
        <v>-4253677148.4730968</v>
      </c>
      <c r="M2439" s="471">
        <f t="shared" si="149"/>
        <v>0.05</v>
      </c>
      <c r="N2439" s="475">
        <f t="shared" si="150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48"/>
        <v>-4253677148.4730968</v>
      </c>
      <c r="J2440" s="455">
        <f t="array" ref="J2440">IFERROR(INDEX('Retirement Calculator'!J:J,MATCH('Isaac 401k'!N2440,'Retirement Calculator'!A:A,0),0),0)</f>
        <v>0</v>
      </c>
      <c r="K2440" s="455">
        <f t="shared" ca="1" si="146"/>
        <v>-17723654.785304569</v>
      </c>
      <c r="L2440" s="455">
        <f t="shared" ca="1" si="147"/>
        <v>-4271400803.2584014</v>
      </c>
      <c r="M2440" s="471">
        <f t="shared" si="149"/>
        <v>0.05</v>
      </c>
      <c r="N2440" s="475">
        <f t="shared" si="150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48"/>
        <v>-4271400803.2584014</v>
      </c>
      <c r="J2441" s="455">
        <f t="array" ref="J2441">IFERROR(INDEX('Retirement Calculator'!J:J,MATCH('Isaac 401k'!N2441,'Retirement Calculator'!A:A,0),0),0)</f>
        <v>0</v>
      </c>
      <c r="K2441" s="455">
        <f t="shared" ca="1" si="146"/>
        <v>-17797503.346910007</v>
      </c>
      <c r="L2441" s="455">
        <f t="shared" ca="1" si="147"/>
        <v>-4289198306.6053114</v>
      </c>
      <c r="M2441" s="471">
        <f t="shared" si="149"/>
        <v>0.05</v>
      </c>
      <c r="N2441" s="475">
        <f t="shared" si="150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48"/>
        <v>-4289198306.6053114</v>
      </c>
      <c r="J2442" s="455">
        <f t="array" ref="J2442">IFERROR(INDEX('Retirement Calculator'!J:J,MATCH('Isaac 401k'!N2442,'Retirement Calculator'!A:A,0),0),0)</f>
        <v>0</v>
      </c>
      <c r="K2442" s="455">
        <f t="shared" ca="1" si="146"/>
        <v>-17871659.610855468</v>
      </c>
      <c r="L2442" s="455">
        <f t="shared" ca="1" si="147"/>
        <v>-4307069966.2161665</v>
      </c>
      <c r="M2442" s="471">
        <f t="shared" si="149"/>
        <v>0.05</v>
      </c>
      <c r="N2442" s="475">
        <f t="shared" si="150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48"/>
        <v>-4307069966.2161665</v>
      </c>
      <c r="J2443" s="455">
        <f t="array" ref="J2443">IFERROR(INDEX('Retirement Calculator'!J:J,MATCH('Isaac 401k'!N2443,'Retirement Calculator'!A:A,0),0),0)</f>
        <v>0</v>
      </c>
      <c r="K2443" s="455">
        <f t="shared" ca="1" si="146"/>
        <v>-17946124.859234028</v>
      </c>
      <c r="L2443" s="455">
        <f t="shared" ca="1" si="147"/>
        <v>-4325016091.0754004</v>
      </c>
      <c r="M2443" s="471">
        <f t="shared" si="149"/>
        <v>0.05</v>
      </c>
      <c r="N2443" s="475">
        <f t="shared" si="150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48"/>
        <v>-4325016091.0754004</v>
      </c>
      <c r="J2444" s="455">
        <f t="array" ref="J2444">IFERROR(INDEX('Retirement Calculator'!J:J,MATCH('Isaac 401k'!N2444,'Retirement Calculator'!A:A,0),0),0)</f>
        <v>0</v>
      </c>
      <c r="K2444" s="455">
        <f t="shared" ca="1" si="146"/>
        <v>-18020900.379480835</v>
      </c>
      <c r="L2444" s="455">
        <f t="shared" ca="1" si="147"/>
        <v>-4343036991.4548807</v>
      </c>
      <c r="M2444" s="471">
        <f t="shared" si="149"/>
        <v>0.05</v>
      </c>
      <c r="N2444" s="475">
        <f t="shared" si="150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48"/>
        <v>-4343036991.4548807</v>
      </c>
      <c r="J2445" s="455">
        <f t="array" ref="J2445">IFERROR(INDEX('Retirement Calculator'!J:J,MATCH('Isaac 401k'!N2445,'Retirement Calculator'!A:A,0),0),0)</f>
        <v>0</v>
      </c>
      <c r="K2445" s="455">
        <f t="shared" ca="1" si="146"/>
        <v>-18095987.464395337</v>
      </c>
      <c r="L2445" s="455">
        <f t="shared" ca="1" si="147"/>
        <v>-4361132978.9192762</v>
      </c>
      <c r="M2445" s="471">
        <f t="shared" si="149"/>
        <v>0.05</v>
      </c>
      <c r="N2445" s="475">
        <f t="shared" si="150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48"/>
        <v>-4361132978.9192762</v>
      </c>
      <c r="J2446" s="455">
        <f t="array" ref="J2446">IFERROR(INDEX('Retirement Calculator'!J:J,MATCH('Isaac 401k'!N2446,'Retirement Calculator'!A:A,0),0),0)</f>
        <v>0</v>
      </c>
      <c r="K2446" s="455">
        <f t="shared" ca="1" si="146"/>
        <v>-18171387.412163652</v>
      </c>
      <c r="L2446" s="455">
        <f t="shared" ca="1" si="147"/>
        <v>-4379304366.33144</v>
      </c>
      <c r="M2446" s="471">
        <f t="shared" si="149"/>
        <v>0.05</v>
      </c>
      <c r="N2446" s="475">
        <f t="shared" si="150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48"/>
        <v>-4379304366.33144</v>
      </c>
      <c r="J2447" s="455">
        <f t="array" ref="J2447">IFERROR(INDEX('Retirement Calculator'!J:J,MATCH('Isaac 401k'!N2447,'Retirement Calculator'!A:A,0),0),0)</f>
        <v>0</v>
      </c>
      <c r="K2447" s="455">
        <f t="shared" ca="1" si="146"/>
        <v>-18247101.526381001</v>
      </c>
      <c r="L2447" s="455">
        <f t="shared" ca="1" si="147"/>
        <v>-4397551467.8578205</v>
      </c>
      <c r="M2447" s="471">
        <f t="shared" si="149"/>
        <v>0.05</v>
      </c>
      <c r="N2447" s="475">
        <f t="shared" si="150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48"/>
        <v>-4397551467.8578205</v>
      </c>
      <c r="J2448" s="455">
        <f t="array" ref="J2448">IFERROR(INDEX('Retirement Calculator'!J:J,MATCH('Isaac 401k'!N2448,'Retirement Calculator'!A:A,0),0),0)</f>
        <v>0</v>
      </c>
      <c r="K2448" s="455">
        <f t="shared" ca="1" si="146"/>
        <v>-18323131.116074253</v>
      </c>
      <c r="L2448" s="455">
        <f t="shared" ca="1" si="147"/>
        <v>-4415874598.9738951</v>
      </c>
      <c r="M2448" s="471">
        <f t="shared" si="149"/>
        <v>0.05</v>
      </c>
      <c r="N2448" s="475">
        <f t="shared" si="150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48"/>
        <v>-4415874598.9738951</v>
      </c>
      <c r="J2449" s="455">
        <f t="array" ref="J2449">IFERROR(INDEX('Retirement Calculator'!J:J,MATCH('Isaac 401k'!N2449,'Retirement Calculator'!A:A,0),0),0)</f>
        <v>0</v>
      </c>
      <c r="K2449" s="455">
        <f t="shared" ca="1" si="146"/>
        <v>-18399477.495724563</v>
      </c>
      <c r="L2449" s="455">
        <f t="shared" ca="1" si="147"/>
        <v>-4434274076.4696198</v>
      </c>
      <c r="M2449" s="471">
        <f t="shared" si="149"/>
        <v>0.05</v>
      </c>
      <c r="N2449" s="475">
        <f t="shared" si="150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48"/>
        <v>-4434274076.4696198</v>
      </c>
      <c r="J2450" s="455">
        <f t="array" ref="J2450">IFERROR(INDEX('Retirement Calculator'!J:J,MATCH('Isaac 401k'!N2450,'Retirement Calculator'!A:A,0),0),0)</f>
        <v>0</v>
      </c>
      <c r="K2450" s="455">
        <f t="shared" ca="1" si="146"/>
        <v>-18476141.98529008</v>
      </c>
      <c r="L2450" s="455">
        <f t="shared" ca="1" si="147"/>
        <v>-4452750218.4549103</v>
      </c>
      <c r="M2450" s="471">
        <f t="shared" si="149"/>
        <v>0.05</v>
      </c>
      <c r="N2450" s="475">
        <f t="shared" si="150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48"/>
        <v>-4452750218.4549103</v>
      </c>
      <c r="J2451" s="455">
        <f t="array" ref="J2451">IFERROR(INDEX('Retirement Calculator'!J:J,MATCH('Isaac 401k'!N2451,'Retirement Calculator'!A:A,0),0),0)</f>
        <v>0</v>
      </c>
      <c r="K2451" s="455">
        <f t="shared" ca="1" si="146"/>
        <v>-18553125.910228793</v>
      </c>
      <c r="L2451" s="455">
        <f t="shared" ca="1" si="147"/>
        <v>-4471303344.365139</v>
      </c>
      <c r="M2451" s="471">
        <f t="shared" si="149"/>
        <v>0.05</v>
      </c>
      <c r="N2451" s="475">
        <f t="shared" si="150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48"/>
        <v>-4471303344.365139</v>
      </c>
      <c r="J2452" s="455">
        <f t="array" ref="J2452">IFERROR(INDEX('Retirement Calculator'!J:J,MATCH('Isaac 401k'!N2452,'Retirement Calculator'!A:A,0),0),0)</f>
        <v>0</v>
      </c>
      <c r="K2452" s="455">
        <f t="shared" ca="1" si="146"/>
        <v>-18630430.601521414</v>
      </c>
      <c r="L2452" s="455">
        <f t="shared" ca="1" si="147"/>
        <v>-4489933774.9666605</v>
      </c>
      <c r="M2452" s="471">
        <f t="shared" si="149"/>
        <v>0.05</v>
      </c>
      <c r="N2452" s="475">
        <f t="shared" si="150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48"/>
        <v>-4489933774.9666605</v>
      </c>
      <c r="J2453" s="455">
        <f t="array" ref="J2453">IFERROR(INDEX('Retirement Calculator'!J:J,MATCH('Isaac 401k'!N2453,'Retirement Calculator'!A:A,0),0),0)</f>
        <v>0</v>
      </c>
      <c r="K2453" s="455">
        <f t="shared" ca="1" si="146"/>
        <v>-18708057.39569442</v>
      </c>
      <c r="L2453" s="455">
        <f t="shared" ca="1" si="147"/>
        <v>-4508641832.3623552</v>
      </c>
      <c r="M2453" s="471">
        <f t="shared" si="149"/>
        <v>0.05</v>
      </c>
      <c r="N2453" s="475">
        <f t="shared" si="150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48"/>
        <v>-4508641832.3623552</v>
      </c>
      <c r="J2454" s="455">
        <f t="array" ref="J2454">IFERROR(INDEX('Retirement Calculator'!J:J,MATCH('Isaac 401k'!N2454,'Retirement Calculator'!A:A,0),0),0)</f>
        <v>0</v>
      </c>
      <c r="K2454" s="455">
        <f t="shared" ca="1" si="146"/>
        <v>-18786007.634843148</v>
      </c>
      <c r="L2454" s="455">
        <f t="shared" ca="1" si="147"/>
        <v>-4527427839.9971981</v>
      </c>
      <c r="M2454" s="471">
        <f t="shared" si="149"/>
        <v>0.05</v>
      </c>
      <c r="N2454" s="475">
        <f t="shared" si="150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48"/>
        <v>-4527427839.9971981</v>
      </c>
      <c r="J2455" s="455">
        <f t="array" ref="J2455">IFERROR(INDEX('Retirement Calculator'!J:J,MATCH('Isaac 401k'!N2455,'Retirement Calculator'!A:A,0),0),0)</f>
        <v>0</v>
      </c>
      <c r="K2455" s="455">
        <f t="shared" ca="1" si="146"/>
        <v>-18864282.666654993</v>
      </c>
      <c r="L2455" s="455">
        <f t="shared" ca="1" si="147"/>
        <v>-4546292122.6638527</v>
      </c>
      <c r="M2455" s="471">
        <f t="shared" si="149"/>
        <v>0.05</v>
      </c>
      <c r="N2455" s="475">
        <f t="shared" si="150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48"/>
        <v>-4546292122.6638527</v>
      </c>
      <c r="J2456" s="455">
        <f t="array" ref="J2456">IFERROR(INDEX('Retirement Calculator'!J:J,MATCH('Isaac 401k'!N2456,'Retirement Calculator'!A:A,0),0),0)</f>
        <v>0</v>
      </c>
      <c r="K2456" s="455">
        <f t="shared" ca="1" si="146"/>
        <v>-18942883.844432719</v>
      </c>
      <c r="L2456" s="455">
        <f t="shared" ca="1" si="147"/>
        <v>-4565235006.5082855</v>
      </c>
      <c r="M2456" s="471">
        <f t="shared" si="149"/>
        <v>0.05</v>
      </c>
      <c r="N2456" s="475">
        <f t="shared" si="150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48"/>
        <v>-4565235006.5082855</v>
      </c>
      <c r="J2457" s="455">
        <f t="array" ref="J2457">IFERROR(INDEX('Retirement Calculator'!J:J,MATCH('Isaac 401k'!N2457,'Retirement Calculator'!A:A,0),0),0)</f>
        <v>0</v>
      </c>
      <c r="K2457" s="455">
        <f t="shared" ca="1" si="146"/>
        <v>-19021812.527117856</v>
      </c>
      <c r="L2457" s="455">
        <f t="shared" ca="1" si="147"/>
        <v>-4584256819.0354033</v>
      </c>
      <c r="M2457" s="471">
        <f t="shared" si="149"/>
        <v>0.05</v>
      </c>
      <c r="N2457" s="475">
        <f t="shared" si="150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48"/>
        <v>-4584256819.0354033</v>
      </c>
      <c r="J2458" s="455">
        <f t="array" ref="J2458">IFERROR(INDEX('Retirement Calculator'!J:J,MATCH('Isaac 401k'!N2458,'Retirement Calculator'!A:A,0),0),0)</f>
        <v>0</v>
      </c>
      <c r="K2458" s="455">
        <f t="shared" ca="1" si="146"/>
        <v>-19101070.07931418</v>
      </c>
      <c r="L2458" s="455">
        <f t="shared" ca="1" si="147"/>
        <v>-4603357889.1147175</v>
      </c>
      <c r="M2458" s="471">
        <f t="shared" si="149"/>
        <v>0.05</v>
      </c>
      <c r="N2458" s="475">
        <f t="shared" si="150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48"/>
        <v>-4603357889.1147175</v>
      </c>
      <c r="J2459" s="455">
        <f t="array" ref="J2459">IFERROR(INDEX('Retirement Calculator'!J:J,MATCH('Isaac 401k'!N2459,'Retirement Calculator'!A:A,0),0),0)</f>
        <v>0</v>
      </c>
      <c r="K2459" s="455">
        <f t="shared" ca="1" si="146"/>
        <v>-19180657.871311322</v>
      </c>
      <c r="L2459" s="455">
        <f t="shared" ca="1" si="147"/>
        <v>-4622538546.9860287</v>
      </c>
      <c r="M2459" s="471">
        <f t="shared" si="149"/>
        <v>0.05</v>
      </c>
      <c r="N2459" s="475">
        <f t="shared" si="150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48"/>
        <v>-4622538546.9860287</v>
      </c>
      <c r="J2460" s="455">
        <f t="array" ref="J2460">IFERROR(INDEX('Retirement Calculator'!J:J,MATCH('Isaac 401k'!N2460,'Retirement Calculator'!A:A,0),0),0)</f>
        <v>0</v>
      </c>
      <c r="K2460" s="455">
        <f t="shared" ca="1" si="146"/>
        <v>-19260577.279108454</v>
      </c>
      <c r="L2460" s="455">
        <f t="shared" ca="1" si="147"/>
        <v>-4641799124.2651367</v>
      </c>
      <c r="M2460" s="471">
        <f t="shared" si="149"/>
        <v>0.05</v>
      </c>
      <c r="N2460" s="475">
        <f t="shared" si="150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48"/>
        <v>-4641799124.2651367</v>
      </c>
      <c r="J2461" s="455">
        <f t="array" ref="J2461">IFERROR(INDEX('Retirement Calculator'!J:J,MATCH('Isaac 401k'!N2461,'Retirement Calculator'!A:A,0),0),0)</f>
        <v>0</v>
      </c>
      <c r="K2461" s="455">
        <f t="shared" ca="1" si="146"/>
        <v>-19340829.684438068</v>
      </c>
      <c r="L2461" s="455">
        <f t="shared" ca="1" si="147"/>
        <v>-4661139953.9495745</v>
      </c>
      <c r="M2461" s="471">
        <f t="shared" si="149"/>
        <v>0.05</v>
      </c>
      <c r="N2461" s="475">
        <f t="shared" si="150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48"/>
        <v>-4661139953.9495745</v>
      </c>
      <c r="J2462" s="455">
        <f t="array" ref="J2462">IFERROR(INDEX('Retirement Calculator'!J:J,MATCH('Isaac 401k'!N2462,'Retirement Calculator'!A:A,0),0),0)</f>
        <v>0</v>
      </c>
      <c r="K2462" s="455">
        <f t="shared" ca="1" si="146"/>
        <v>-19421416.474789895</v>
      </c>
      <c r="L2462" s="455">
        <f t="shared" ca="1" si="147"/>
        <v>-4680561370.4243641</v>
      </c>
      <c r="M2462" s="471">
        <f t="shared" si="149"/>
        <v>0.05</v>
      </c>
      <c r="N2462" s="475">
        <f t="shared" si="150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48"/>
        <v>-4680561370.4243641</v>
      </c>
      <c r="J2463" s="455">
        <f t="array" ref="J2463">IFERROR(INDEX('Retirement Calculator'!J:J,MATCH('Isaac 401k'!N2463,'Retirement Calculator'!A:A,0),0),0)</f>
        <v>0</v>
      </c>
      <c r="K2463" s="455">
        <f t="shared" ca="1" si="146"/>
        <v>-19502339.043434851</v>
      </c>
      <c r="L2463" s="455">
        <f t="shared" ca="1" si="147"/>
        <v>-4700063709.4677992</v>
      </c>
      <c r="M2463" s="471">
        <f t="shared" si="149"/>
        <v>0.05</v>
      </c>
      <c r="N2463" s="475">
        <f t="shared" si="150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48"/>
        <v>-4700063709.4677992</v>
      </c>
      <c r="J2464" s="455">
        <f t="array" ref="J2464">IFERROR(INDEX('Retirement Calculator'!J:J,MATCH('Isaac 401k'!N2464,'Retirement Calculator'!A:A,0),0),0)</f>
        <v>0</v>
      </c>
      <c r="K2464" s="455">
        <f t="shared" ca="1" si="146"/>
        <v>-19583598.789449163</v>
      </c>
      <c r="L2464" s="455">
        <f t="shared" ca="1" si="147"/>
        <v>-4719647308.2572479</v>
      </c>
      <c r="M2464" s="471">
        <f t="shared" si="149"/>
        <v>0.05</v>
      </c>
      <c r="N2464" s="475">
        <f t="shared" si="150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48"/>
        <v>-4719647308.2572479</v>
      </c>
      <c r="J2465" s="455">
        <f t="array" ref="J2465">IFERROR(INDEX('Retirement Calculator'!J:J,MATCH('Isaac 401k'!N2465,'Retirement Calculator'!A:A,0),0),0)</f>
        <v>0</v>
      </c>
      <c r="K2465" s="455">
        <f t="shared" ca="1" si="146"/>
        <v>-19665197.117738534</v>
      </c>
      <c r="L2465" s="455">
        <f t="shared" ca="1" si="147"/>
        <v>-4739312505.3749866</v>
      </c>
      <c r="M2465" s="471">
        <f t="shared" si="149"/>
        <v>0.05</v>
      </c>
      <c r="N2465" s="475">
        <f t="shared" si="150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48"/>
        <v>-4739312505.3749866</v>
      </c>
      <c r="J2466" s="455">
        <f t="array" ref="J2466">IFERROR(INDEX('Retirement Calculator'!J:J,MATCH('Isaac 401k'!N2466,'Retirement Calculator'!A:A,0),0),0)</f>
        <v>0</v>
      </c>
      <c r="K2466" s="455">
        <f t="shared" ca="1" si="146"/>
        <v>-19747135.439062443</v>
      </c>
      <c r="L2466" s="455">
        <f t="shared" ca="1" si="147"/>
        <v>-4759059640.8140488</v>
      </c>
      <c r="M2466" s="471">
        <f t="shared" si="149"/>
        <v>0.05</v>
      </c>
      <c r="N2466" s="475">
        <f t="shared" si="150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48"/>
        <v>-4759059640.8140488</v>
      </c>
      <c r="J2467" s="455">
        <f t="array" ref="J2467">IFERROR(INDEX('Retirement Calculator'!J:J,MATCH('Isaac 401k'!N2467,'Retirement Calculator'!A:A,0),0),0)</f>
        <v>0</v>
      </c>
      <c r="K2467" s="455">
        <f t="shared" ca="1" si="146"/>
        <v>-19829415.170058537</v>
      </c>
      <c r="L2467" s="455">
        <f t="shared" ca="1" si="147"/>
        <v>-4778889055.984107</v>
      </c>
      <c r="M2467" s="471">
        <f t="shared" si="149"/>
        <v>0.05</v>
      </c>
      <c r="N2467" s="475">
        <f t="shared" si="150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48"/>
        <v>-4778889055.984107</v>
      </c>
      <c r="J2468" s="455">
        <f t="array" ref="J2468">IFERROR(INDEX('Retirement Calculator'!J:J,MATCH('Isaac 401k'!N2468,'Retirement Calculator'!A:A,0),0),0)</f>
        <v>0</v>
      </c>
      <c r="K2468" s="455">
        <f t="shared" ca="1" si="146"/>
        <v>-19912037.733267114</v>
      </c>
      <c r="L2468" s="455">
        <f t="shared" ca="1" si="147"/>
        <v>-4798801093.7173738</v>
      </c>
      <c r="M2468" s="471">
        <f t="shared" si="149"/>
        <v>0.05</v>
      </c>
      <c r="N2468" s="475">
        <f t="shared" si="150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48"/>
        <v>-4798801093.7173738</v>
      </c>
      <c r="J2469" s="455">
        <f t="array" ref="J2469">IFERROR(INDEX('Retirement Calculator'!J:J,MATCH('Isaac 401k'!N2469,'Retirement Calculator'!A:A,0),0),0)</f>
        <v>0</v>
      </c>
      <c r="K2469" s="455">
        <f t="shared" ca="1" si="146"/>
        <v>-19995004.557155725</v>
      </c>
      <c r="L2469" s="455">
        <f t="shared" ca="1" si="147"/>
        <v>-4818796098.2745295</v>
      </c>
      <c r="M2469" s="471">
        <f t="shared" si="149"/>
        <v>0.05</v>
      </c>
      <c r="N2469" s="475">
        <f t="shared" si="150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48"/>
        <v>-4818796098.2745295</v>
      </c>
      <c r="J2470" s="455">
        <f t="array" ref="J2470">IFERROR(INDEX('Retirement Calculator'!J:J,MATCH('Isaac 401k'!N2470,'Retirement Calculator'!A:A,0),0),0)</f>
        <v>0</v>
      </c>
      <c r="K2470" s="455">
        <f t="shared" ca="1" si="146"/>
        <v>-20078317.076143872</v>
      </c>
      <c r="L2470" s="455">
        <f t="shared" ca="1" si="147"/>
        <v>-4838874415.3506737</v>
      </c>
      <c r="M2470" s="471">
        <f t="shared" si="149"/>
        <v>0.05</v>
      </c>
      <c r="N2470" s="475">
        <f t="shared" si="150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48"/>
        <v>-4838874415.3506737</v>
      </c>
      <c r="J2471" s="455">
        <f t="array" ref="J2471">IFERROR(INDEX('Retirement Calculator'!J:J,MATCH('Isaac 401k'!N2471,'Retirement Calculator'!A:A,0),0),0)</f>
        <v>0</v>
      </c>
      <c r="K2471" s="455">
        <f t="shared" ca="1" si="146"/>
        <v>-20161976.730627805</v>
      </c>
      <c r="L2471" s="455">
        <f t="shared" ca="1" si="147"/>
        <v>-4859036392.0813017</v>
      </c>
      <c r="M2471" s="471">
        <f t="shared" si="149"/>
        <v>0.05</v>
      </c>
      <c r="N2471" s="475">
        <f t="shared" si="150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48"/>
        <v>-4859036392.0813017</v>
      </c>
      <c r="J2472" s="455">
        <f t="array" ref="J2472">IFERROR(INDEX('Retirement Calculator'!J:J,MATCH('Isaac 401k'!N2472,'Retirement Calculator'!A:A,0),0),0)</f>
        <v>0</v>
      </c>
      <c r="K2472" s="455">
        <f t="shared" ca="1" si="146"/>
        <v>-20245984.967005424</v>
      </c>
      <c r="L2472" s="455">
        <f t="shared" ca="1" si="147"/>
        <v>-4879282377.0483074</v>
      </c>
      <c r="M2472" s="471">
        <f t="shared" si="149"/>
        <v>0.05</v>
      </c>
      <c r="N2472" s="475">
        <f t="shared" si="150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48"/>
        <v>-4879282377.0483074</v>
      </c>
      <c r="J2473" s="455">
        <f t="array" ref="J2473">IFERROR(INDEX('Retirement Calculator'!J:J,MATCH('Isaac 401k'!N2473,'Retirement Calculator'!A:A,0),0),0)</f>
        <v>0</v>
      </c>
      <c r="K2473" s="455">
        <f t="shared" ca="1" si="146"/>
        <v>-20330343.237701282</v>
      </c>
      <c r="L2473" s="455">
        <f t="shared" ca="1" si="147"/>
        <v>-4899612720.2860088</v>
      </c>
      <c r="M2473" s="471">
        <f t="shared" si="149"/>
        <v>0.05</v>
      </c>
      <c r="N2473" s="475">
        <f t="shared" si="150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48"/>
        <v>-4899612720.2860088</v>
      </c>
      <c r="J2474" s="455">
        <f t="array" ref="J2474">IFERROR(INDEX('Retirement Calculator'!J:J,MATCH('Isaac 401k'!N2474,'Retirement Calculator'!A:A,0),0),0)</f>
        <v>0</v>
      </c>
      <c r="K2474" s="455">
        <f t="shared" ca="1" si="146"/>
        <v>-20415053.001191702</v>
      </c>
      <c r="L2474" s="455">
        <f t="shared" ca="1" si="147"/>
        <v>-4920027773.2872009</v>
      </c>
      <c r="M2474" s="471">
        <f t="shared" si="149"/>
        <v>0.05</v>
      </c>
      <c r="N2474" s="475">
        <f t="shared" si="150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48"/>
        <v>-4920027773.2872009</v>
      </c>
      <c r="J2475" s="455">
        <f t="array" ref="J2475">IFERROR(INDEX('Retirement Calculator'!J:J,MATCH('Isaac 401k'!N2475,'Retirement Calculator'!A:A,0),0),0)</f>
        <v>0</v>
      </c>
      <c r="K2475" s="455">
        <f t="shared" ca="1" si="146"/>
        <v>-20500115.722030003</v>
      </c>
      <c r="L2475" s="455">
        <f t="shared" ca="1" si="147"/>
        <v>-4940527889.0092306</v>
      </c>
      <c r="M2475" s="471">
        <f t="shared" si="149"/>
        <v>0.05</v>
      </c>
      <c r="N2475" s="475">
        <f t="shared" si="150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48"/>
        <v>-4940527889.0092306</v>
      </c>
      <c r="J2476" s="455">
        <f t="array" ref="J2476">IFERROR(INDEX('Retirement Calculator'!J:J,MATCH('Isaac 401k'!N2476,'Retirement Calculator'!A:A,0),0),0)</f>
        <v>0</v>
      </c>
      <c r="K2476" s="455">
        <f t="shared" ca="1" si="146"/>
        <v>-20585532.870871793</v>
      </c>
      <c r="L2476" s="455">
        <f t="shared" ca="1" si="147"/>
        <v>-4961113421.8801022</v>
      </c>
      <c r="M2476" s="471">
        <f t="shared" si="149"/>
        <v>0.05</v>
      </c>
      <c r="N2476" s="475">
        <f t="shared" si="150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48"/>
        <v>-4961113421.8801022</v>
      </c>
      <c r="J2477" s="455">
        <f t="array" ref="J2477">IFERROR(INDEX('Retirement Calculator'!J:J,MATCH('Isaac 401k'!N2477,'Retirement Calculator'!A:A,0),0),0)</f>
        <v>0</v>
      </c>
      <c r="K2477" s="455">
        <f t="shared" ca="1" si="146"/>
        <v>-20671305.924500424</v>
      </c>
      <c r="L2477" s="455">
        <f t="shared" ca="1" si="147"/>
        <v>-4981784727.8046026</v>
      </c>
      <c r="M2477" s="471">
        <f t="shared" si="149"/>
        <v>0.05</v>
      </c>
      <c r="N2477" s="475">
        <f t="shared" si="150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48"/>
        <v>-4981784727.8046026</v>
      </c>
      <c r="J2478" s="455">
        <f t="array" ref="J2478">IFERROR(INDEX('Retirement Calculator'!J:J,MATCH('Isaac 401k'!N2478,'Retirement Calculator'!A:A,0),0),0)</f>
        <v>0</v>
      </c>
      <c r="K2478" s="455">
        <f t="shared" ca="1" si="146"/>
        <v>-20757436.365852512</v>
      </c>
      <c r="L2478" s="455">
        <f t="shared" ca="1" si="147"/>
        <v>-5002542164.170455</v>
      </c>
      <c r="M2478" s="471">
        <f t="shared" si="149"/>
        <v>0.05</v>
      </c>
      <c r="N2478" s="475">
        <f t="shared" si="150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48"/>
        <v>-5002542164.170455</v>
      </c>
      <c r="J2479" s="455">
        <f t="array" ref="J2479">IFERROR(INDEX('Retirement Calculator'!J:J,MATCH('Isaac 401k'!N2479,'Retirement Calculator'!A:A,0),0),0)</f>
        <v>0</v>
      </c>
      <c r="K2479" s="455">
        <f t="shared" ca="1" si="146"/>
        <v>-20843925.684043564</v>
      </c>
      <c r="L2479" s="455">
        <f t="shared" ca="1" si="147"/>
        <v>-5023386089.8544989</v>
      </c>
      <c r="M2479" s="471">
        <f t="shared" si="149"/>
        <v>0.05</v>
      </c>
      <c r="N2479" s="475">
        <f t="shared" si="150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48"/>
        <v>-5023386089.8544989</v>
      </c>
      <c r="J2480" s="455">
        <f t="array" ref="J2480">IFERROR(INDEX('Retirement Calculator'!J:J,MATCH('Isaac 401k'!N2480,'Retirement Calculator'!A:A,0),0),0)</f>
        <v>0</v>
      </c>
      <c r="K2480" s="455">
        <f t="shared" ca="1" si="146"/>
        <v>-20930775.374393746</v>
      </c>
      <c r="L2480" s="455">
        <f t="shared" ca="1" si="147"/>
        <v>-5044316865.2288923</v>
      </c>
      <c r="M2480" s="471">
        <f t="shared" si="149"/>
        <v>0.05</v>
      </c>
      <c r="N2480" s="475">
        <f t="shared" si="150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48"/>
        <v>-5044316865.2288923</v>
      </c>
      <c r="J2481" s="455">
        <f t="array" ref="J2481">IFERROR(INDEX('Retirement Calculator'!J:J,MATCH('Isaac 401k'!N2481,'Retirement Calculator'!A:A,0),0),0)</f>
        <v>0</v>
      </c>
      <c r="K2481" s="455">
        <f t="shared" ca="1" si="146"/>
        <v>-21017986.938453719</v>
      </c>
      <c r="L2481" s="455">
        <f t="shared" ca="1" si="147"/>
        <v>-5065334852.167346</v>
      </c>
      <c r="M2481" s="471">
        <f t="shared" si="149"/>
        <v>0.05</v>
      </c>
      <c r="N2481" s="475">
        <f t="shared" si="150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48"/>
        <v>-5065334852.167346</v>
      </c>
      <c r="J2482" s="455">
        <f t="array" ref="J2482">IFERROR(INDEX('Retirement Calculator'!J:J,MATCH('Isaac 401k'!N2482,'Retirement Calculator'!A:A,0),0),0)</f>
        <v>0</v>
      </c>
      <c r="K2482" s="455">
        <f t="shared" ca="1" si="146"/>
        <v>-21105561.884030607</v>
      </c>
      <c r="L2482" s="455">
        <f t="shared" ca="1" si="147"/>
        <v>-5086440414.0513763</v>
      </c>
      <c r="M2482" s="471">
        <f t="shared" si="149"/>
        <v>0.05</v>
      </c>
      <c r="N2482" s="475">
        <f t="shared" si="150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48"/>
        <v>-5086440414.0513763</v>
      </c>
      <c r="J2483" s="455">
        <f t="array" ref="J2483">IFERROR(INDEX('Retirement Calculator'!J:J,MATCH('Isaac 401k'!N2483,'Retirement Calculator'!A:A,0),0),0)</f>
        <v>0</v>
      </c>
      <c r="K2483" s="455">
        <f t="shared" ca="1" si="146"/>
        <v>-21193501.725214068</v>
      </c>
      <c r="L2483" s="455">
        <f t="shared" ca="1" si="147"/>
        <v>-5107633915.7765903</v>
      </c>
      <c r="M2483" s="471">
        <f t="shared" si="149"/>
        <v>0.05</v>
      </c>
      <c r="N2483" s="475">
        <f t="shared" si="150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48"/>
        <v>-5107633915.7765903</v>
      </c>
      <c r="J2484" s="455">
        <f t="array" ref="J2484">IFERROR(INDEX('Retirement Calculator'!J:J,MATCH('Isaac 401k'!N2484,'Retirement Calculator'!A:A,0),0),0)</f>
        <v>0</v>
      </c>
      <c r="K2484" s="455">
        <f t="shared" ca="1" si="146"/>
        <v>-21281807.982402459</v>
      </c>
      <c r="L2484" s="455">
        <f t="shared" ca="1" si="147"/>
        <v>-5128915723.7589931</v>
      </c>
      <c r="M2484" s="471">
        <f t="shared" si="149"/>
        <v>0.05</v>
      </c>
      <c r="N2484" s="475">
        <f t="shared" si="150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48"/>
        <v>-5128915723.7589931</v>
      </c>
      <c r="J2485" s="455">
        <f t="array" ref="J2485">IFERROR(INDEX('Retirement Calculator'!J:J,MATCH('Isaac 401k'!N2485,'Retirement Calculator'!A:A,0),0),0)</f>
        <v>0</v>
      </c>
      <c r="K2485" s="455">
        <f t="shared" ca="1" si="146"/>
        <v>-21370482.182329137</v>
      </c>
      <c r="L2485" s="455">
        <f t="shared" ca="1" si="147"/>
        <v>-5150286205.9413223</v>
      </c>
      <c r="M2485" s="471">
        <f t="shared" si="149"/>
        <v>0.05</v>
      </c>
      <c r="N2485" s="475">
        <f t="shared" si="150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48"/>
        <v>-5150286205.9413223</v>
      </c>
      <c r="J2486" s="455">
        <f t="array" ref="J2486">IFERROR(INDEX('Retirement Calculator'!J:J,MATCH('Isaac 401k'!N2486,'Retirement Calculator'!A:A,0),0),0)</f>
        <v>0</v>
      </c>
      <c r="K2486" s="455">
        <f t="shared" ca="1" si="146"/>
        <v>-21459525.858088844</v>
      </c>
      <c r="L2486" s="455">
        <f t="shared" ca="1" si="147"/>
        <v>-5171745731.7994108</v>
      </c>
      <c r="M2486" s="471">
        <f t="shared" si="149"/>
        <v>0.05</v>
      </c>
      <c r="N2486" s="475">
        <f t="shared" si="150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48"/>
        <v>-5171745731.7994108</v>
      </c>
      <c r="J2487" s="455">
        <f t="array" ref="J2487">IFERROR(INDEX('Retirement Calculator'!J:J,MATCH('Isaac 401k'!N2487,'Retirement Calculator'!A:A,0),0),0)</f>
        <v>0</v>
      </c>
      <c r="K2487" s="455">
        <f t="shared" ca="1" si="146"/>
        <v>-21548940.549164213</v>
      </c>
      <c r="L2487" s="455">
        <f t="shared" ca="1" si="147"/>
        <v>-5193294672.3485746</v>
      </c>
      <c r="M2487" s="471">
        <f t="shared" si="149"/>
        <v>0.05</v>
      </c>
      <c r="N2487" s="475">
        <f t="shared" si="150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48"/>
        <v>-5193294672.3485746</v>
      </c>
      <c r="J2488" s="455">
        <f t="array" ref="J2488">IFERROR(INDEX('Retirement Calculator'!J:J,MATCH('Isaac 401k'!N2488,'Retirement Calculator'!A:A,0),0),0)</f>
        <v>0</v>
      </c>
      <c r="K2488" s="455">
        <f t="shared" ca="1" si="146"/>
        <v>-21638727.801452395</v>
      </c>
      <c r="L2488" s="455">
        <f t="shared" ca="1" si="147"/>
        <v>-5214933400.1500273</v>
      </c>
      <c r="M2488" s="471">
        <f t="shared" si="149"/>
        <v>0.05</v>
      </c>
      <c r="N2488" s="475">
        <f t="shared" si="150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48"/>
        <v>-5214933400.1500273</v>
      </c>
      <c r="J2489" s="455">
        <f t="array" ref="J2489">IFERROR(INDEX('Retirement Calculator'!J:J,MATCH('Isaac 401k'!N2489,'Retirement Calculator'!A:A,0),0),0)</f>
        <v>0</v>
      </c>
      <c r="K2489" s="455">
        <f t="shared" ca="1" si="146"/>
        <v>-21728889.167291779</v>
      </c>
      <c r="L2489" s="455">
        <f t="shared" ca="1" si="147"/>
        <v>-5236662289.3173189</v>
      </c>
      <c r="M2489" s="471">
        <f t="shared" si="149"/>
        <v>0.05</v>
      </c>
      <c r="N2489" s="475">
        <f t="shared" si="150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48"/>
        <v>-5236662289.3173189</v>
      </c>
      <c r="J2490" s="455">
        <f t="array" ref="J2490">IFERROR(INDEX('Retirement Calculator'!J:J,MATCH('Isaac 401k'!N2490,'Retirement Calculator'!A:A,0),0),0)</f>
        <v>0</v>
      </c>
      <c r="K2490" s="455">
        <f t="shared" ca="1" si="146"/>
        <v>-21819426.205488827</v>
      </c>
      <c r="L2490" s="455">
        <f t="shared" ca="1" si="147"/>
        <v>-5258481715.5228081</v>
      </c>
      <c r="M2490" s="471">
        <f t="shared" si="149"/>
        <v>0.05</v>
      </c>
      <c r="N2490" s="475">
        <f t="shared" si="150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48"/>
        <v>-5258481715.5228081</v>
      </c>
      <c r="J2491" s="455">
        <f t="array" ref="J2491">IFERROR(INDEX('Retirement Calculator'!J:J,MATCH('Isaac 401k'!N2491,'Retirement Calculator'!A:A,0),0),0)</f>
        <v>0</v>
      </c>
      <c r="K2491" s="455">
        <f t="shared" ca="1" si="146"/>
        <v>-21910340.481345035</v>
      </c>
      <c r="L2491" s="455">
        <f t="shared" ca="1" si="147"/>
        <v>-5280392056.0041533</v>
      </c>
      <c r="M2491" s="471">
        <f t="shared" si="149"/>
        <v>0.05</v>
      </c>
      <c r="N2491" s="475">
        <f t="shared" si="150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48"/>
        <v>-5280392056.0041533</v>
      </c>
      <c r="J2492" s="455">
        <f t="array" ref="J2492">IFERROR(INDEX('Retirement Calculator'!J:J,MATCH('Isaac 401k'!N2492,'Retirement Calculator'!A:A,0),0),0)</f>
        <v>0</v>
      </c>
      <c r="K2492" s="455">
        <f t="shared" ca="1" si="146"/>
        <v>-22001633.56668397</v>
      </c>
      <c r="L2492" s="455">
        <f t="shared" ca="1" si="147"/>
        <v>-5302393689.570837</v>
      </c>
      <c r="M2492" s="471">
        <f t="shared" si="149"/>
        <v>0.05</v>
      </c>
      <c r="N2492" s="475">
        <f t="shared" si="150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48"/>
        <v>-5302393689.570837</v>
      </c>
      <c r="J2493" s="455">
        <f t="array" ref="J2493">IFERROR(INDEX('Retirement Calculator'!J:J,MATCH('Isaac 401k'!N2493,'Retirement Calculator'!A:A,0),0),0)</f>
        <v>0</v>
      </c>
      <c r="K2493" s="455">
        <f t="shared" ca="1" si="146"/>
        <v>-22093307.039878488</v>
      </c>
      <c r="L2493" s="455">
        <f t="shared" ca="1" si="147"/>
        <v>-5324486996.6107159</v>
      </c>
      <c r="M2493" s="471">
        <f t="shared" si="149"/>
        <v>0.05</v>
      </c>
      <c r="N2493" s="475">
        <f t="shared" si="150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48"/>
        <v>-5324486996.6107159</v>
      </c>
      <c r="J2494" s="455">
        <f t="array" ref="J2494">IFERROR(INDEX('Retirement Calculator'!J:J,MATCH('Isaac 401k'!N2494,'Retirement Calculator'!A:A,0),0),0)</f>
        <v>0</v>
      </c>
      <c r="K2494" s="455">
        <f t="shared" ca="1" si="146"/>
        <v>-22185362.485877983</v>
      </c>
      <c r="L2494" s="455">
        <f t="shared" ca="1" si="147"/>
        <v>-5346672359.0965939</v>
      </c>
      <c r="M2494" s="471">
        <f t="shared" si="149"/>
        <v>0.05</v>
      </c>
      <c r="N2494" s="475">
        <f t="shared" si="150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48"/>
        <v>-5346672359.0965939</v>
      </c>
      <c r="J2495" s="455">
        <f t="array" ref="J2495">IFERROR(INDEX('Retirement Calculator'!J:J,MATCH('Isaac 401k'!N2495,'Retirement Calculator'!A:A,0),0),0)</f>
        <v>0</v>
      </c>
      <c r="K2495" s="455">
        <f t="shared" ca="1" si="146"/>
        <v>-22277801.496235806</v>
      </c>
      <c r="L2495" s="455">
        <f t="shared" ca="1" si="147"/>
        <v>-5368950160.5928297</v>
      </c>
      <c r="M2495" s="471">
        <f t="shared" si="149"/>
        <v>0.05</v>
      </c>
      <c r="N2495" s="475">
        <f t="shared" si="150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48"/>
        <v>-5368950160.5928297</v>
      </c>
      <c r="J2496" s="455">
        <f t="array" ref="J2496">IFERROR(INDEX('Retirement Calculator'!J:J,MATCH('Isaac 401k'!N2496,'Retirement Calculator'!A:A,0),0),0)</f>
        <v>0</v>
      </c>
      <c r="K2496" s="455">
        <f t="shared" ca="1" si="146"/>
        <v>-22370625.669136789</v>
      </c>
      <c r="L2496" s="455">
        <f t="shared" ca="1" si="147"/>
        <v>-5391320786.2619667</v>
      </c>
      <c r="M2496" s="471">
        <f t="shared" si="149"/>
        <v>0.05</v>
      </c>
      <c r="N2496" s="475">
        <f t="shared" si="150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48"/>
        <v>-5391320786.2619667</v>
      </c>
      <c r="J2497" s="455">
        <f t="array" ref="J2497">IFERROR(INDEX('Retirement Calculator'!J:J,MATCH('Isaac 401k'!N2497,'Retirement Calculator'!A:A,0),0),0)</f>
        <v>0</v>
      </c>
      <c r="K2497" s="455">
        <f t="shared" ca="1" si="146"/>
        <v>-22463836.609424859</v>
      </c>
      <c r="L2497" s="455">
        <f t="shared" ca="1" si="147"/>
        <v>-5413784622.8713913</v>
      </c>
      <c r="M2497" s="471">
        <f t="shared" si="149"/>
        <v>0.05</v>
      </c>
      <c r="N2497" s="475">
        <f t="shared" si="150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48"/>
        <v>-5413784622.8713913</v>
      </c>
      <c r="J2498" s="455">
        <f t="array" ref="J2498">IFERROR(INDEX('Retirement Calculator'!J:J,MATCH('Isaac 401k'!N2498,'Retirement Calculator'!A:A,0),0),0)</f>
        <v>0</v>
      </c>
      <c r="K2498" s="455">
        <f t="shared" ca="1" si="146"/>
        <v>-22557435.928630795</v>
      </c>
      <c r="L2498" s="455">
        <f t="shared" ca="1" si="147"/>
        <v>-5436342058.8000221</v>
      </c>
      <c r="M2498" s="471">
        <f t="shared" si="149"/>
        <v>0.05</v>
      </c>
      <c r="N2498" s="475">
        <f t="shared" si="150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48"/>
        <v>-5436342058.8000221</v>
      </c>
      <c r="J2499" s="455">
        <f t="array" ref="J2499">IFERROR(INDEX('Retirement Calculator'!J:J,MATCH('Isaac 401k'!N2499,'Retirement Calculator'!A:A,0),0),0)</f>
        <v>0</v>
      </c>
      <c r="K2499" s="455">
        <f t="shared" ca="1" si="146"/>
        <v>-22651425.24500009</v>
      </c>
      <c r="L2499" s="455">
        <f t="shared" ca="1" si="147"/>
        <v>-5458993484.045022</v>
      </c>
      <c r="M2499" s="471">
        <f t="shared" si="149"/>
        <v>0.05</v>
      </c>
      <c r="N2499" s="475">
        <f t="shared" si="150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48"/>
        <v>-5458993484.045022</v>
      </c>
      <c r="J2500" s="455">
        <f t="array" ref="J2500">IFERROR(INDEX('Retirement Calculator'!J:J,MATCH('Isaac 401k'!N2500,'Retirement Calculator'!A:A,0),0),0)</f>
        <v>0</v>
      </c>
      <c r="K2500" s="455">
        <f t="shared" ca="1" si="146"/>
        <v>-22745806.183520924</v>
      </c>
      <c r="L2500" s="455">
        <f t="shared" ca="1" si="147"/>
        <v>-5481739290.2285433</v>
      </c>
      <c r="M2500" s="471">
        <f t="shared" si="149"/>
        <v>0.05</v>
      </c>
      <c r="N2500" s="475">
        <f t="shared" si="150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48"/>
        <v>-5481739290.2285433</v>
      </c>
      <c r="J2501" s="455">
        <f t="array" ref="J2501">IFERROR(INDEX('Retirement Calculator'!J:J,MATCH('Isaac 401k'!N2501,'Retirement Calculator'!A:A,0),0),0)</f>
        <v>0</v>
      </c>
      <c r="K2501" s="455">
        <f t="shared" ca="1" si="146"/>
        <v>-22840580.375952262</v>
      </c>
      <c r="L2501" s="455">
        <f t="shared" ca="1" si="147"/>
        <v>-5504579870.604496</v>
      </c>
      <c r="M2501" s="471">
        <f t="shared" si="149"/>
        <v>0.05</v>
      </c>
      <c r="N2501" s="475">
        <f t="shared" si="150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48"/>
        <v>-5504579870.604496</v>
      </c>
      <c r="J2502" s="455">
        <f t="array" ref="J2502">IFERROR(INDEX('Retirement Calculator'!J:J,MATCH('Isaac 401k'!N2502,'Retirement Calculator'!A:A,0),0),0)</f>
        <v>0</v>
      </c>
      <c r="K2502" s="455">
        <f t="shared" ca="1" si="146"/>
        <v>-22935749.460852068</v>
      </c>
      <c r="L2502" s="455">
        <f t="shared" ca="1" si="147"/>
        <v>-5527515620.0653477</v>
      </c>
      <c r="M2502" s="471">
        <f t="shared" si="149"/>
        <v>0.05</v>
      </c>
      <c r="N2502" s="475">
        <f t="shared" si="150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48"/>
        <v>-5527515620.0653477</v>
      </c>
      <c r="J2503" s="455">
        <f t="array" ref="J2503">IFERROR(INDEX('Retirement Calculator'!J:J,MATCH('Isaac 401k'!N2503,'Retirement Calculator'!A:A,0),0),0)</f>
        <v>0</v>
      </c>
      <c r="K2503" s="455">
        <f t="shared" ca="1" si="146"/>
        <v>-23031315.083605614</v>
      </c>
      <c r="L2503" s="455">
        <f t="shared" ca="1" si="147"/>
        <v>-5550546935.1489534</v>
      </c>
      <c r="M2503" s="471">
        <f t="shared" si="149"/>
        <v>0.05</v>
      </c>
      <c r="N2503" s="475">
        <f t="shared" si="150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48"/>
        <v>-5550546935.1489534</v>
      </c>
      <c r="J2504" s="455">
        <f t="array" ref="J2504">IFERROR(INDEX('Retirement Calculator'!J:J,MATCH('Isaac 401k'!N2504,'Retirement Calculator'!A:A,0),0),0)</f>
        <v>0</v>
      </c>
      <c r="K2504" s="455">
        <f t="shared" ca="1" si="146"/>
        <v>-23127278.896453973</v>
      </c>
      <c r="L2504" s="455">
        <f t="shared" ca="1" si="147"/>
        <v>-5573674214.0454073</v>
      </c>
      <c r="M2504" s="471">
        <f t="shared" si="149"/>
        <v>0.05</v>
      </c>
      <c r="N2504" s="475">
        <f t="shared" si="150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48"/>
        <v>-5573674214.0454073</v>
      </c>
      <c r="J2505" s="455">
        <f t="array" ref="J2505">IFERROR(INDEX('Retirement Calculator'!J:J,MATCH('Isaac 401k'!N2505,'Retirement Calculator'!A:A,0),0),0)</f>
        <v>0</v>
      </c>
      <c r="K2505" s="455">
        <f t="shared" ca="1" si="146"/>
        <v>-23223642.55852253</v>
      </c>
      <c r="L2505" s="455">
        <f t="shared" ca="1" si="147"/>
        <v>-5596897856.6039295</v>
      </c>
      <c r="M2505" s="471">
        <f t="shared" si="149"/>
        <v>0.05</v>
      </c>
      <c r="N2505" s="475">
        <f t="shared" si="150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48"/>
        <v>-5596897856.6039295</v>
      </c>
      <c r="J2506" s="455">
        <f t="array" ref="J2506">IFERROR(INDEX('Retirement Calculator'!J:J,MATCH('Isaac 401k'!N2506,'Retirement Calculator'!A:A,0),0),0)</f>
        <v>0</v>
      </c>
      <c r="K2506" s="455">
        <f t="shared" ca="1" si="146"/>
        <v>-23320407.735849705</v>
      </c>
      <c r="L2506" s="455">
        <f t="shared" ca="1" si="147"/>
        <v>-5620218264.3397789</v>
      </c>
      <c r="M2506" s="471">
        <f t="shared" si="149"/>
        <v>0.05</v>
      </c>
      <c r="N2506" s="475">
        <f t="shared" si="150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48"/>
        <v>-5620218264.3397789</v>
      </c>
      <c r="J2507" s="455">
        <f t="array" ref="J2507">IFERROR(INDEX('Retirement Calculator'!J:J,MATCH('Isaac 401k'!N2507,'Retirement Calculator'!A:A,0),0),0)</f>
        <v>0</v>
      </c>
      <c r="K2507" s="455">
        <f t="shared" ca="1" si="146"/>
        <v>-23417576.101415746</v>
      </c>
      <c r="L2507" s="455">
        <f t="shared" ca="1" si="147"/>
        <v>-5643635840.4411945</v>
      </c>
      <c r="M2507" s="471">
        <f t="shared" si="149"/>
        <v>0.05</v>
      </c>
      <c r="N2507" s="475">
        <f t="shared" si="150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48"/>
        <v>-5643635840.4411945</v>
      </c>
      <c r="J2508" s="455">
        <f t="array" ref="J2508">IFERROR(INDEX('Retirement Calculator'!J:J,MATCH('Isaac 401k'!N2508,'Retirement Calculator'!A:A,0),0),0)</f>
        <v>0</v>
      </c>
      <c r="K2508" s="455">
        <f t="shared" ca="1" si="146"/>
        <v>-23515149.335171644</v>
      </c>
      <c r="L2508" s="455">
        <f t="shared" ca="1" si="147"/>
        <v>-5667150989.7763662</v>
      </c>
      <c r="M2508" s="471">
        <f t="shared" si="149"/>
        <v>0.05</v>
      </c>
      <c r="N2508" s="475">
        <f t="shared" si="150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48"/>
        <v>-5667150989.7763662</v>
      </c>
      <c r="J2509" s="455">
        <f t="array" ref="J2509">IFERROR(INDEX('Retirement Calculator'!J:J,MATCH('Isaac 401k'!N2509,'Retirement Calculator'!A:A,0),0),0)</f>
        <v>0</v>
      </c>
      <c r="K2509" s="455">
        <f t="shared" ca="1" si="146"/>
        <v>-23613129.124068193</v>
      </c>
      <c r="L2509" s="455">
        <f t="shared" ca="1" si="147"/>
        <v>-5690764118.9004345</v>
      </c>
      <c r="M2509" s="471">
        <f t="shared" si="149"/>
        <v>0.05</v>
      </c>
      <c r="N2509" s="475">
        <f t="shared" si="150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48"/>
        <v>-5690764118.9004345</v>
      </c>
      <c r="J2510" s="455">
        <f t="array" ref="J2510">IFERROR(INDEX('Retirement Calculator'!J:J,MATCH('Isaac 401k'!N2510,'Retirement Calculator'!A:A,0),0),0)</f>
        <v>0</v>
      </c>
      <c r="K2510" s="455">
        <f t="shared" ca="1" si="146"/>
        <v>-23711517.162085142</v>
      </c>
      <c r="L2510" s="455">
        <f t="shared" ca="1" si="147"/>
        <v>-5714475636.06252</v>
      </c>
      <c r="M2510" s="471">
        <f t="shared" si="149"/>
        <v>0.05</v>
      </c>
      <c r="N2510" s="475">
        <f t="shared" si="150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48"/>
        <v>-5714475636.06252</v>
      </c>
      <c r="J2511" s="455">
        <f t="array" ref="J2511">IFERROR(INDEX('Retirement Calculator'!J:J,MATCH('Isaac 401k'!N2511,'Retirement Calculator'!A:A,0),0),0)</f>
        <v>0</v>
      </c>
      <c r="K2511" s="455">
        <f t="shared" ca="1" si="146"/>
        <v>-23810315.150260501</v>
      </c>
      <c r="L2511" s="455">
        <f t="shared" ca="1" si="147"/>
        <v>-5738285951.212781</v>
      </c>
      <c r="M2511" s="471">
        <f t="shared" si="149"/>
        <v>0.05</v>
      </c>
      <c r="N2511" s="475">
        <f t="shared" si="150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48"/>
        <v>-5738285951.212781</v>
      </c>
      <c r="J2512" s="455">
        <f t="array" ref="J2512">IFERROR(INDEX('Retirement Calculator'!J:J,MATCH('Isaac 401k'!N2512,'Retirement Calculator'!A:A,0),0),0)</f>
        <v>0</v>
      </c>
      <c r="K2512" s="455">
        <f t="shared" ca="1" si="146"/>
        <v>-23909524.79671992</v>
      </c>
      <c r="L2512" s="455">
        <f t="shared" ca="1" si="147"/>
        <v>-5762195476.0095005</v>
      </c>
      <c r="M2512" s="471">
        <f t="shared" si="149"/>
        <v>0.05</v>
      </c>
      <c r="N2512" s="475">
        <f t="shared" si="150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48"/>
        <v>-5762195476.0095005</v>
      </c>
      <c r="J2513" s="455">
        <f t="array" ref="J2513">IFERROR(INDEX('Retirement Calculator'!J:J,MATCH('Isaac 401k'!N2513,'Retirement Calculator'!A:A,0),0),0)</f>
        <v>0</v>
      </c>
      <c r="K2513" s="455">
        <f t="shared" ca="1" si="146"/>
        <v>-24009147.816706251</v>
      </c>
      <c r="L2513" s="455">
        <f t="shared" ca="1" si="147"/>
        <v>-5786204623.8262072</v>
      </c>
      <c r="M2513" s="471">
        <f t="shared" si="149"/>
        <v>0.05</v>
      </c>
      <c r="N2513" s="475">
        <f t="shared" si="150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48"/>
        <v>-5786204623.8262072</v>
      </c>
      <c r="J2514" s="455">
        <f t="array" ref="J2514">IFERROR(INDEX('Retirement Calculator'!J:J,MATCH('Isaac 401k'!N2514,'Retirement Calculator'!A:A,0),0),0)</f>
        <v>0</v>
      </c>
      <c r="K2514" s="455">
        <f t="shared" ca="1" si="146"/>
        <v>-24109185.932609197</v>
      </c>
      <c r="L2514" s="455">
        <f t="shared" ca="1" si="147"/>
        <v>-5810313809.7588167</v>
      </c>
      <c r="M2514" s="471">
        <f t="shared" si="149"/>
        <v>0.05</v>
      </c>
      <c r="N2514" s="475">
        <f t="shared" si="150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48"/>
        <v>-5810313809.7588167</v>
      </c>
      <c r="J2515" s="455">
        <f t="array" ref="J2515">IFERROR(INDEX('Retirement Calculator'!J:J,MATCH('Isaac 401k'!N2515,'Retirement Calculator'!A:A,0),0),0)</f>
        <v>0</v>
      </c>
      <c r="K2515" s="455">
        <f t="shared" ca="1" si="146"/>
        <v>-24209640.873995069</v>
      </c>
      <c r="L2515" s="455">
        <f t="shared" ca="1" si="147"/>
        <v>-5834523450.6328115</v>
      </c>
      <c r="M2515" s="471">
        <f t="shared" si="149"/>
        <v>0.05</v>
      </c>
      <c r="N2515" s="475">
        <f t="shared" si="150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48"/>
        <v>-5834523450.6328115</v>
      </c>
      <c r="J2516" s="455">
        <f t="array" ref="J2516">IFERROR(INDEX('Retirement Calculator'!J:J,MATCH('Isaac 401k'!N2516,'Retirement Calculator'!A:A,0),0),0)</f>
        <v>0</v>
      </c>
      <c r="K2516" s="455">
        <f t="shared" ca="1" si="146"/>
        <v>-24310514.377636716</v>
      </c>
      <c r="L2516" s="455">
        <f t="shared" ca="1" si="147"/>
        <v>-5858833965.0104485</v>
      </c>
      <c r="M2516" s="471">
        <f t="shared" si="149"/>
        <v>0.05</v>
      </c>
      <c r="N2516" s="475">
        <f t="shared" si="150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48"/>
        <v>-5858833965.0104485</v>
      </c>
      <c r="J2517" s="455">
        <f t="array" ref="J2517">IFERROR(INDEX('Retirement Calculator'!J:J,MATCH('Isaac 401k'!N2517,'Retirement Calculator'!A:A,0),0),0)</f>
        <v>0</v>
      </c>
      <c r="K2517" s="455">
        <f t="shared" ca="1" si="146"/>
        <v>-24411808.187543534</v>
      </c>
      <c r="L2517" s="455">
        <f t="shared" ca="1" si="147"/>
        <v>-5883245773.1979923</v>
      </c>
      <c r="M2517" s="471">
        <f t="shared" si="149"/>
        <v>0.05</v>
      </c>
      <c r="N2517" s="475">
        <f t="shared" si="150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48"/>
        <v>-5883245773.1979923</v>
      </c>
      <c r="J2518" s="455">
        <f t="array" ref="J2518">IFERROR(INDEX('Retirement Calculator'!J:J,MATCH('Isaac 401k'!N2518,'Retirement Calculator'!A:A,0),0),0)</f>
        <v>0</v>
      </c>
      <c r="K2518" s="455">
        <f t="shared" ca="1" si="146"/>
        <v>-24513524.054991633</v>
      </c>
      <c r="L2518" s="455">
        <f t="shared" ca="1" si="147"/>
        <v>-5907759297.252984</v>
      </c>
      <c r="M2518" s="471">
        <f t="shared" si="149"/>
        <v>0.05</v>
      </c>
      <c r="N2518" s="475">
        <f t="shared" si="150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48"/>
        <v>-5907759297.252984</v>
      </c>
      <c r="J2519" s="455">
        <f t="array" ref="J2519">IFERROR(INDEX('Retirement Calculator'!J:J,MATCH('Isaac 401k'!N2519,'Retirement Calculator'!A:A,0),0),0)</f>
        <v>0</v>
      </c>
      <c r="K2519" s="455">
        <f t="shared" ca="1" si="146"/>
        <v>-24615663.738554101</v>
      </c>
      <c r="L2519" s="455">
        <f t="shared" ca="1" si="147"/>
        <v>-5932374960.991538</v>
      </c>
      <c r="M2519" s="471">
        <f t="shared" si="149"/>
        <v>0.05</v>
      </c>
      <c r="N2519" s="475">
        <f t="shared" si="150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48"/>
        <v>-5932374960.991538</v>
      </c>
      <c r="J2520" s="455">
        <f t="array" ref="J2520">IFERROR(INDEX('Retirement Calculator'!J:J,MATCH('Isaac 401k'!N2520,'Retirement Calculator'!A:A,0),0),0)</f>
        <v>0</v>
      </c>
      <c r="K2520" s="455">
        <f t="shared" ca="1" si="146"/>
        <v>-24718229.004131407</v>
      </c>
      <c r="L2520" s="455">
        <f t="shared" ca="1" si="147"/>
        <v>-5957093189.9956694</v>
      </c>
      <c r="M2520" s="471">
        <f t="shared" si="149"/>
        <v>0.05</v>
      </c>
      <c r="N2520" s="475">
        <f t="shared" si="150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48"/>
        <v>-5957093189.9956694</v>
      </c>
      <c r="J2521" s="455">
        <f t="array" ref="J2521">IFERROR(INDEX('Retirement Calculator'!J:J,MATCH('Isaac 401k'!N2521,'Retirement Calculator'!A:A,0),0),0)</f>
        <v>0</v>
      </c>
      <c r="K2521" s="455">
        <f t="shared" ca="1" si="146"/>
        <v>-24821221.624981955</v>
      </c>
      <c r="L2521" s="455">
        <f t="shared" ca="1" si="147"/>
        <v>-5981914411.6206512</v>
      </c>
      <c r="M2521" s="471">
        <f t="shared" si="149"/>
        <v>0.05</v>
      </c>
      <c r="N2521" s="475">
        <f t="shared" si="150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48"/>
        <v>-5981914411.6206512</v>
      </c>
      <c r="J2522" s="455">
        <f t="array" ref="J2522">IFERROR(INDEX('Retirement Calculator'!J:J,MATCH('Isaac 401k'!N2522,'Retirement Calculator'!A:A,0),0),0)</f>
        <v>0</v>
      </c>
      <c r="K2522" s="455">
        <f t="shared" ca="1" si="146"/>
        <v>-24924643.381752715</v>
      </c>
      <c r="L2522" s="455">
        <f t="shared" ca="1" si="147"/>
        <v>-6006839055.0024042</v>
      </c>
      <c r="M2522" s="471">
        <f t="shared" si="149"/>
        <v>0.05</v>
      </c>
      <c r="N2522" s="475">
        <f t="shared" si="150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48"/>
        <v>-6006839055.0024042</v>
      </c>
      <c r="J2523" s="455">
        <f t="array" ref="J2523">IFERROR(INDEX('Retirement Calculator'!J:J,MATCH('Isaac 401k'!N2523,'Retirement Calculator'!A:A,0),0),0)</f>
        <v>0</v>
      </c>
      <c r="K2523" s="455">
        <f t="shared" ca="1" si="146"/>
        <v>-25028496.062510017</v>
      </c>
      <c r="L2523" s="455">
        <f t="shared" ca="1" si="147"/>
        <v>-6031867551.0649147</v>
      </c>
      <c r="M2523" s="471">
        <f t="shared" si="149"/>
        <v>0.05</v>
      </c>
      <c r="N2523" s="475">
        <f t="shared" si="150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48"/>
        <v>-6031867551.0649147</v>
      </c>
      <c r="J2524" s="455">
        <f t="array" ref="J2524">IFERROR(INDEX('Retirement Calculator'!J:J,MATCH('Isaac 401k'!N2524,'Retirement Calculator'!A:A,0),0),0)</f>
        <v>0</v>
      </c>
      <c r="K2524" s="455">
        <f t="shared" ca="1" si="146"/>
        <v>-25132781.462770477</v>
      </c>
      <c r="L2524" s="455">
        <f t="shared" ca="1" si="147"/>
        <v>-6057000332.5276852</v>
      </c>
      <c r="M2524" s="471">
        <f t="shared" si="149"/>
        <v>0.05</v>
      </c>
      <c r="N2524" s="475">
        <f t="shared" si="150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48"/>
        <v>-6057000332.5276852</v>
      </c>
      <c r="J2525" s="455">
        <f t="array" ref="J2525">IFERROR(INDEX('Retirement Calculator'!J:J,MATCH('Isaac 401k'!N2525,'Retirement Calculator'!A:A,0),0),0)</f>
        <v>0</v>
      </c>
      <c r="K2525" s="455">
        <f t="shared" ca="1" si="146"/>
        <v>-25237501.385532022</v>
      </c>
      <c r="L2525" s="455">
        <f t="shared" ca="1" si="147"/>
        <v>-6082237833.9132175</v>
      </c>
      <c r="M2525" s="471">
        <f t="shared" si="149"/>
        <v>0.05</v>
      </c>
      <c r="N2525" s="475">
        <f t="shared" si="150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48"/>
        <v>-6082237833.9132175</v>
      </c>
      <c r="J2526" s="455">
        <f t="array" ref="J2526">IFERROR(INDEX('Retirement Calculator'!J:J,MATCH('Isaac 401k'!N2526,'Retirement Calculator'!A:A,0),0),0)</f>
        <v>0</v>
      </c>
      <c r="K2526" s="455">
        <f t="shared" ca="1" si="146"/>
        <v>-25342657.641305074</v>
      </c>
      <c r="L2526" s="455">
        <f t="shared" ca="1" si="147"/>
        <v>-6107580491.5545225</v>
      </c>
      <c r="M2526" s="471">
        <f t="shared" si="149"/>
        <v>0.05</v>
      </c>
      <c r="N2526" s="475">
        <f t="shared" si="150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48"/>
        <v>-6107580491.5545225</v>
      </c>
      <c r="J2527" s="455">
        <f t="array" ref="J2527">IFERROR(INDEX('Retirement Calculator'!J:J,MATCH('Isaac 401k'!N2527,'Retirement Calculator'!A:A,0),0),0)</f>
        <v>0</v>
      </c>
      <c r="K2527" s="455">
        <f t="shared" ca="1" si="146"/>
        <v>-25448252.048143845</v>
      </c>
      <c r="L2527" s="455">
        <f t="shared" ca="1" si="147"/>
        <v>-6133028743.6026659</v>
      </c>
      <c r="M2527" s="471">
        <f t="shared" si="149"/>
        <v>0.05</v>
      </c>
      <c r="N2527" s="475">
        <f t="shared" si="150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48"/>
        <v>-6133028743.6026659</v>
      </c>
      <c r="J2528" s="455">
        <f t="array" ref="J2528">IFERROR(INDEX('Retirement Calculator'!J:J,MATCH('Isaac 401k'!N2528,'Retirement Calculator'!A:A,0),0),0)</f>
        <v>0</v>
      </c>
      <c r="K2528" s="455">
        <f t="shared" ca="1" si="146"/>
        <v>-25554286.431677774</v>
      </c>
      <c r="L2528" s="455">
        <f t="shared" ca="1" si="147"/>
        <v>-6158583030.0343437</v>
      </c>
      <c r="M2528" s="471">
        <f t="shared" si="149"/>
        <v>0.05</v>
      </c>
      <c r="N2528" s="475">
        <f t="shared" si="150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48"/>
        <v>-6158583030.0343437</v>
      </c>
      <c r="J2529" s="455">
        <f t="array" ref="J2529">IFERROR(INDEX('Retirement Calculator'!J:J,MATCH('Isaac 401k'!N2529,'Retirement Calculator'!A:A,0),0),0)</f>
        <v>0</v>
      </c>
      <c r="K2529" s="455">
        <f t="shared" ca="1" si="146"/>
        <v>-25660762.6251431</v>
      </c>
      <c r="L2529" s="455">
        <f t="shared" ca="1" si="147"/>
        <v>-6184243792.6594868</v>
      </c>
      <c r="M2529" s="471">
        <f t="shared" si="149"/>
        <v>0.05</v>
      </c>
      <c r="N2529" s="475">
        <f t="shared" si="150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48"/>
        <v>-6184243792.6594868</v>
      </c>
      <c r="J2530" s="455">
        <f t="array" ref="J2530">IFERROR(INDEX('Retirement Calculator'!J:J,MATCH('Isaac 401k'!N2530,'Retirement Calculator'!A:A,0),0),0)</f>
        <v>0</v>
      </c>
      <c r="K2530" s="455">
        <f t="shared" ca="1" si="146"/>
        <v>-25767682.469414528</v>
      </c>
      <c r="L2530" s="455">
        <f t="shared" ca="1" si="147"/>
        <v>-6210011475.1289015</v>
      </c>
      <c r="M2530" s="471">
        <f t="shared" si="149"/>
        <v>0.05</v>
      </c>
      <c r="N2530" s="475">
        <f t="shared" si="150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48"/>
        <v>-6210011475.1289015</v>
      </c>
      <c r="J2531" s="455">
        <f t="array" ref="J2531">IFERROR(INDEX('Retirement Calculator'!J:J,MATCH('Isaac 401k'!N2531,'Retirement Calculator'!A:A,0),0),0)</f>
        <v>0</v>
      </c>
      <c r="K2531" s="455">
        <f t="shared" ca="1" si="146"/>
        <v>-25875047.81303709</v>
      </c>
      <c r="L2531" s="455">
        <f t="shared" ca="1" si="147"/>
        <v>-6235886522.9419384</v>
      </c>
      <c r="M2531" s="471">
        <f t="shared" si="149"/>
        <v>0.05</v>
      </c>
      <c r="N2531" s="475">
        <f t="shared" si="150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48"/>
        <v>-6235886522.9419384</v>
      </c>
      <c r="J2532" s="455">
        <f t="array" ref="J2532">IFERROR(INDEX('Retirement Calculator'!J:J,MATCH('Isaac 401k'!N2532,'Retirement Calculator'!A:A,0),0),0)</f>
        <v>0</v>
      </c>
      <c r="K2532" s="455">
        <f t="shared" ca="1" si="146"/>
        <v>-25982860.512258075</v>
      </c>
      <c r="L2532" s="455">
        <f t="shared" ca="1" si="147"/>
        <v>-6261869383.4541969</v>
      </c>
      <c r="M2532" s="471">
        <f t="shared" si="149"/>
        <v>0.05</v>
      </c>
      <c r="N2532" s="475">
        <f t="shared" si="150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48"/>
        <v>-6261869383.4541969</v>
      </c>
      <c r="J2533" s="455">
        <f t="array" ref="J2533">IFERROR(INDEX('Retirement Calculator'!J:J,MATCH('Isaac 401k'!N2533,'Retirement Calculator'!A:A,0),0),0)</f>
        <v>0</v>
      </c>
      <c r="K2533" s="455">
        <f t="shared" ca="1" si="146"/>
        <v>-26091122.431059152</v>
      </c>
      <c r="L2533" s="455">
        <f t="shared" ca="1" si="147"/>
        <v>-6287960505.8852558</v>
      </c>
      <c r="M2533" s="471">
        <f t="shared" si="149"/>
        <v>0.05</v>
      </c>
      <c r="N2533" s="475">
        <f t="shared" si="150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48"/>
        <v>-6287960505.8852558</v>
      </c>
      <c r="J2534" s="455">
        <f t="array" ref="J2534">IFERROR(INDEX('Retirement Calculator'!J:J,MATCH('Isaac 401k'!N2534,'Retirement Calculator'!A:A,0),0),0)</f>
        <v>0</v>
      </c>
      <c r="K2534" s="455">
        <f t="shared" ca="1" si="146"/>
        <v>-26199835.441188566</v>
      </c>
      <c r="L2534" s="455">
        <f t="shared" ca="1" si="147"/>
        <v>-6314160341.3264446</v>
      </c>
      <c r="M2534" s="471">
        <f t="shared" si="149"/>
        <v>0.05</v>
      </c>
      <c r="N2534" s="475">
        <f t="shared" si="150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48"/>
        <v>-6314160341.3264446</v>
      </c>
      <c r="J2535" s="455">
        <f t="array" ref="J2535">IFERROR(INDEX('Retirement Calculator'!J:J,MATCH('Isaac 401k'!N2535,'Retirement Calculator'!A:A,0),0),0)</f>
        <v>0</v>
      </c>
      <c r="K2535" s="455">
        <f t="shared" ca="1" si="146"/>
        <v>-26309001.42219352</v>
      </c>
      <c r="L2535" s="455">
        <f t="shared" ca="1" si="147"/>
        <v>-6340469342.7486382</v>
      </c>
      <c r="M2535" s="471">
        <f t="shared" si="149"/>
        <v>0.05</v>
      </c>
      <c r="N2535" s="475">
        <f t="shared" si="150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48"/>
        <v>-6340469342.7486382</v>
      </c>
      <c r="J2536" s="455">
        <f t="array" ref="J2536">IFERROR(INDEX('Retirement Calculator'!J:J,MATCH('Isaac 401k'!N2536,'Retirement Calculator'!A:A,0),0),0)</f>
        <v>0</v>
      </c>
      <c r="K2536" s="455">
        <f t="shared" ca="1" si="146"/>
        <v>-26418622.26145266</v>
      </c>
      <c r="L2536" s="455">
        <f t="shared" ca="1" si="147"/>
        <v>-6366887965.0100908</v>
      </c>
      <c r="M2536" s="471">
        <f t="shared" si="149"/>
        <v>0.05</v>
      </c>
      <c r="N2536" s="475">
        <f t="shared" si="150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48"/>
        <v>-6366887965.0100908</v>
      </c>
      <c r="J2537" s="455">
        <f t="array" ref="J2537">IFERROR(INDEX('Retirement Calculator'!J:J,MATCH('Isaac 401k'!N2537,'Retirement Calculator'!A:A,0),0),0)</f>
        <v>0</v>
      </c>
      <c r="K2537" s="455">
        <f t="shared" ca="1" si="146"/>
        <v>-26528699.854208712</v>
      </c>
      <c r="L2537" s="455">
        <f t="shared" ca="1" si="147"/>
        <v>-6393416664.8642998</v>
      </c>
      <c r="M2537" s="471">
        <f t="shared" si="149"/>
        <v>0.05</v>
      </c>
      <c r="N2537" s="475">
        <f t="shared" si="150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48"/>
        <v>-6393416664.8642998</v>
      </c>
      <c r="J2538" s="455">
        <f t="array" ref="J2538">IFERROR(INDEX('Retirement Calculator'!J:J,MATCH('Isaac 401k'!N2538,'Retirement Calculator'!A:A,0),0),0)</f>
        <v>0</v>
      </c>
      <c r="K2538" s="455">
        <f t="shared" ca="1" si="146"/>
        <v>-26639236.103601247</v>
      </c>
      <c r="L2538" s="455">
        <f t="shared" ca="1" si="147"/>
        <v>-6420055900.9679012</v>
      </c>
      <c r="M2538" s="471">
        <f t="shared" si="149"/>
        <v>0.05</v>
      </c>
      <c r="N2538" s="475">
        <f t="shared" si="150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48"/>
        <v>-6420055900.9679012</v>
      </c>
      <c r="J2539" s="455">
        <f t="array" ref="J2539">IFERROR(INDEX('Retirement Calculator'!J:J,MATCH('Isaac 401k'!N2539,'Retirement Calculator'!A:A,0),0),0)</f>
        <v>0</v>
      </c>
      <c r="K2539" s="455">
        <f t="shared" ca="1" si="146"/>
        <v>-26750232.920699589</v>
      </c>
      <c r="L2539" s="455">
        <f t="shared" ca="1" si="147"/>
        <v>-6446806133.8886003</v>
      </c>
      <c r="M2539" s="471">
        <f t="shared" si="149"/>
        <v>0.05</v>
      </c>
      <c r="N2539" s="475">
        <f t="shared" si="150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48"/>
        <v>-6446806133.8886003</v>
      </c>
      <c r="J2540" s="455">
        <f t="array" ref="J2540">IFERROR(INDEX('Retirement Calculator'!J:J,MATCH('Isaac 401k'!N2540,'Retirement Calculator'!A:A,0),0),0)</f>
        <v>0</v>
      </c>
      <c r="K2540" s="455">
        <f t="shared" ca="1" si="146"/>
        <v>-26861692.224535834</v>
      </c>
      <c r="L2540" s="455">
        <f t="shared" ca="1" si="147"/>
        <v>-6473667826.1131363</v>
      </c>
      <c r="M2540" s="471">
        <f t="shared" si="149"/>
        <v>0.05</v>
      </c>
      <c r="N2540" s="475">
        <f t="shared" si="150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48"/>
        <v>-6473667826.1131363</v>
      </c>
      <c r="J2541" s="455">
        <f t="array" ref="J2541">IFERROR(INDEX('Retirement Calculator'!J:J,MATCH('Isaac 401k'!N2541,'Retirement Calculator'!A:A,0),0),0)</f>
        <v>0</v>
      </c>
      <c r="K2541" s="455">
        <f t="shared" ca="1" si="146"/>
        <v>-26973615.942138068</v>
      </c>
      <c r="L2541" s="455">
        <f t="shared" ca="1" si="147"/>
        <v>-6500641442.055274</v>
      </c>
      <c r="M2541" s="471">
        <f t="shared" si="149"/>
        <v>0.05</v>
      </c>
      <c r="N2541" s="475">
        <f t="shared" si="150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48"/>
        <v>-6500641442.055274</v>
      </c>
      <c r="J2542" s="455">
        <f t="array" ref="J2542">IFERROR(INDEX('Retirement Calculator'!J:J,MATCH('Isaac 401k'!N2542,'Retirement Calculator'!A:A,0),0),0)</f>
        <v>0</v>
      </c>
      <c r="K2542" s="455">
        <f t="shared" ca="1" si="146"/>
        <v>-27086006.008563641</v>
      </c>
      <c r="L2542" s="455">
        <f t="shared" ca="1" si="147"/>
        <v>-6527727448.063838</v>
      </c>
      <c r="M2542" s="471">
        <f t="shared" si="149"/>
        <v>0.05</v>
      </c>
      <c r="N2542" s="475">
        <f t="shared" si="150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48"/>
        <v>-6527727448.063838</v>
      </c>
      <c r="J2543" s="455">
        <f t="array" ref="J2543">IFERROR(INDEX('Retirement Calculator'!J:J,MATCH('Isaac 401k'!N2543,'Retirement Calculator'!A:A,0),0),0)</f>
        <v>0</v>
      </c>
      <c r="K2543" s="455">
        <f t="shared" ca="1" si="146"/>
        <v>-27198864.366932657</v>
      </c>
      <c r="L2543" s="455">
        <f t="shared" ca="1" si="147"/>
        <v>-6554926312.4307709</v>
      </c>
      <c r="M2543" s="471">
        <f t="shared" si="149"/>
        <v>0.05</v>
      </c>
      <c r="N2543" s="475">
        <f t="shared" si="150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48"/>
        <v>-6554926312.4307709</v>
      </c>
      <c r="J2544" s="455">
        <f t="array" ref="J2544">IFERROR(INDEX('Retirement Calculator'!J:J,MATCH('Isaac 401k'!N2544,'Retirement Calculator'!A:A,0),0),0)</f>
        <v>0</v>
      </c>
      <c r="K2544" s="455">
        <f t="shared" ca="1" si="146"/>
        <v>-27312192.968461543</v>
      </c>
      <c r="L2544" s="455">
        <f t="shared" ca="1" si="147"/>
        <v>-6582238505.3992329</v>
      </c>
      <c r="M2544" s="471">
        <f t="shared" si="149"/>
        <v>0.05</v>
      </c>
      <c r="N2544" s="475">
        <f t="shared" si="150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48"/>
        <v>-6582238505.3992329</v>
      </c>
      <c r="J2545" s="455">
        <f t="array" ref="J2545">IFERROR(INDEX('Retirement Calculator'!J:J,MATCH('Isaac 401k'!N2545,'Retirement Calculator'!A:A,0),0),0)</f>
        <v>0</v>
      </c>
      <c r="K2545" s="455">
        <f t="shared" ca="1" si="146"/>
        <v>-27425993.772496805</v>
      </c>
      <c r="L2545" s="455">
        <f t="shared" ca="1" si="147"/>
        <v>-6609664499.17173</v>
      </c>
      <c r="M2545" s="471">
        <f t="shared" si="149"/>
        <v>0.05</v>
      </c>
      <c r="N2545" s="475">
        <f t="shared" si="150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48"/>
        <v>-6609664499.17173</v>
      </c>
      <c r="J2546" s="455">
        <f t="array" ref="J2546">IFERROR(INDEX('Retirement Calculator'!J:J,MATCH('Isaac 401k'!N2546,'Retirement Calculator'!A:A,0),0),0)</f>
        <v>0</v>
      </c>
      <c r="K2546" s="455">
        <f t="shared" ca="1" si="146"/>
        <v>-27540268.746548876</v>
      </c>
      <c r="L2546" s="455">
        <f t="shared" ca="1" si="147"/>
        <v>-6637204767.9182787</v>
      </c>
      <c r="M2546" s="471">
        <f t="shared" si="149"/>
        <v>0.05</v>
      </c>
      <c r="N2546" s="475">
        <f t="shared" si="150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48"/>
        <v>-6637204767.9182787</v>
      </c>
      <c r="J2547" s="455">
        <f t="array" ref="J2547">IFERROR(INDEX('Retirement Calculator'!J:J,MATCH('Isaac 401k'!N2547,'Retirement Calculator'!A:A,0),0),0)</f>
        <v>0</v>
      </c>
      <c r="K2547" s="455">
        <f t="shared" ca="1" si="146"/>
        <v>-27655019.866326161</v>
      </c>
      <c r="L2547" s="455">
        <f t="shared" ca="1" si="147"/>
        <v>-6664859787.784605</v>
      </c>
      <c r="M2547" s="471">
        <f t="shared" si="149"/>
        <v>0.05</v>
      </c>
      <c r="N2547" s="475">
        <f t="shared" si="150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48"/>
        <v>-6664859787.784605</v>
      </c>
      <c r="J2548" s="455">
        <f t="array" ref="J2548">IFERROR(INDEX('Retirement Calculator'!J:J,MATCH('Isaac 401k'!N2548,'Retirement Calculator'!A:A,0),0),0)</f>
        <v>0</v>
      </c>
      <c r="K2548" s="455">
        <f t="shared" ca="1" si="146"/>
        <v>-27770249.115769189</v>
      </c>
      <c r="L2548" s="455">
        <f t="shared" ca="1" si="147"/>
        <v>-6692630036.9003744</v>
      </c>
      <c r="M2548" s="471">
        <f t="shared" si="149"/>
        <v>0.05</v>
      </c>
      <c r="N2548" s="475">
        <f t="shared" si="150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48"/>
        <v>-6692630036.9003744</v>
      </c>
      <c r="J2549" s="455">
        <f t="array" ref="J2549">IFERROR(INDEX('Retirement Calculator'!J:J,MATCH('Isaac 401k'!N2549,'Retirement Calculator'!A:A,0),0),0)</f>
        <v>0</v>
      </c>
      <c r="K2549" s="455">
        <f t="shared" ca="1" si="146"/>
        <v>-27885958.487084888</v>
      </c>
      <c r="L2549" s="455">
        <f t="shared" ca="1" si="147"/>
        <v>-6720515995.3874598</v>
      </c>
      <c r="M2549" s="471">
        <f t="shared" si="149"/>
        <v>0.05</v>
      </c>
      <c r="N2549" s="475">
        <f t="shared" si="150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48"/>
        <v>-6720515995.3874598</v>
      </c>
      <c r="J2550" s="455">
        <f t="array" ref="J2550">IFERROR(INDEX('Retirement Calculator'!J:J,MATCH('Isaac 401k'!N2550,'Retirement Calculator'!A:A,0),0),0)</f>
        <v>0</v>
      </c>
      <c r="K2550" s="455">
        <f t="shared" ca="1" si="146"/>
        <v>-28002149.980781082</v>
      </c>
      <c r="L2550" s="455">
        <f t="shared" ca="1" si="147"/>
        <v>-6748518145.3682413</v>
      </c>
      <c r="M2550" s="471">
        <f t="shared" si="149"/>
        <v>0.05</v>
      </c>
      <c r="N2550" s="475">
        <f t="shared" si="150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48"/>
        <v>-6748518145.3682413</v>
      </c>
      <c r="J2551" s="455">
        <f t="array" ref="J2551">IFERROR(INDEX('Retirement Calculator'!J:J,MATCH('Isaac 401k'!N2551,'Retirement Calculator'!A:A,0),0),0)</f>
        <v>0</v>
      </c>
      <c r="K2551" s="455">
        <f t="shared" ca="1" si="146"/>
        <v>-28118825.605700999</v>
      </c>
      <c r="L2551" s="455">
        <f t="shared" ca="1" si="147"/>
        <v>-6776636970.9739428</v>
      </c>
      <c r="M2551" s="471">
        <f t="shared" si="149"/>
        <v>0.05</v>
      </c>
      <c r="N2551" s="475">
        <f t="shared" si="150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48"/>
        <v>-6776636970.9739428</v>
      </c>
      <c r="J2552" s="455">
        <f t="array" ref="J2552">IFERROR(INDEX('Retirement Calculator'!J:J,MATCH('Isaac 401k'!N2552,'Retirement Calculator'!A:A,0),0),0)</f>
        <v>0</v>
      </c>
      <c r="K2552" s="455">
        <f t="shared" ca="1" si="146"/>
        <v>-28235987.379058089</v>
      </c>
      <c r="L2552" s="455">
        <f t="shared" ca="1" si="147"/>
        <v>-6804872958.3530006</v>
      </c>
      <c r="M2552" s="471">
        <f t="shared" si="149"/>
        <v>0.05</v>
      </c>
      <c r="N2552" s="475">
        <f t="shared" si="150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48"/>
        <v>-6804872958.3530006</v>
      </c>
      <c r="J2553" s="455">
        <f t="array" ref="J2553">IFERROR(INDEX('Retirement Calculator'!J:J,MATCH('Isaac 401k'!N2553,'Retirement Calculator'!A:A,0),0),0)</f>
        <v>0</v>
      </c>
      <c r="K2553" s="455">
        <f t="shared" ca="1" si="146"/>
        <v>-28353637.326470837</v>
      </c>
      <c r="L2553" s="455">
        <f t="shared" ca="1" si="147"/>
        <v>-6833226595.679471</v>
      </c>
      <c r="M2553" s="471">
        <f t="shared" si="149"/>
        <v>0.05</v>
      </c>
      <c r="N2553" s="475">
        <f t="shared" si="150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48"/>
        <v>-6833226595.679471</v>
      </c>
      <c r="J2554" s="455">
        <f t="array" ref="J2554">IFERROR(INDEX('Retirement Calculator'!J:J,MATCH('Isaac 401k'!N2554,'Retirement Calculator'!A:A,0),0),0)</f>
        <v>0</v>
      </c>
      <c r="K2554" s="455">
        <f t="shared" ca="1" si="146"/>
        <v>-28471777.481997799</v>
      </c>
      <c r="L2554" s="455">
        <f t="shared" ca="1" si="147"/>
        <v>-6861698373.1614685</v>
      </c>
      <c r="M2554" s="471">
        <f t="shared" si="149"/>
        <v>0.05</v>
      </c>
      <c r="N2554" s="475">
        <f t="shared" si="150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48"/>
        <v>-6861698373.1614685</v>
      </c>
      <c r="J2555" s="455">
        <f t="array" ref="J2555">IFERROR(INDEX('Retirement Calculator'!J:J,MATCH('Isaac 401k'!N2555,'Retirement Calculator'!A:A,0),0),0)</f>
        <v>0</v>
      </c>
      <c r="K2555" s="455">
        <f t="shared" ca="1" si="146"/>
        <v>-28590409.888172779</v>
      </c>
      <c r="L2555" s="455">
        <f t="shared" ca="1" si="147"/>
        <v>-6890288783.0496416</v>
      </c>
      <c r="M2555" s="471">
        <f t="shared" si="149"/>
        <v>0.05</v>
      </c>
      <c r="N2555" s="475">
        <f t="shared" si="150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48"/>
        <v>-6890288783.0496416</v>
      </c>
      <c r="J2556" s="455">
        <f t="array" ref="J2556">IFERROR(INDEX('Retirement Calculator'!J:J,MATCH('Isaac 401k'!N2556,'Retirement Calculator'!A:A,0),0),0)</f>
        <v>0</v>
      </c>
      <c r="K2556" s="455">
        <f t="shared" ca="1" si="146"/>
        <v>-28709536.596040174</v>
      </c>
      <c r="L2556" s="455">
        <f t="shared" ca="1" si="147"/>
        <v>-6918998319.6456814</v>
      </c>
      <c r="M2556" s="471">
        <f t="shared" si="149"/>
        <v>0.05</v>
      </c>
      <c r="N2556" s="475">
        <f t="shared" si="150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48"/>
        <v>-6918998319.6456814</v>
      </c>
      <c r="J2557" s="455">
        <f t="array" ref="J2557">IFERROR(INDEX('Retirement Calculator'!J:J,MATCH('Isaac 401k'!N2557,'Retirement Calculator'!A:A,0),0),0)</f>
        <v>0</v>
      </c>
      <c r="K2557" s="455">
        <f t="shared" ca="1" si="146"/>
        <v>-28829159.665190339</v>
      </c>
      <c r="L2557" s="455">
        <f t="shared" ca="1" si="147"/>
        <v>-6947827479.3108721</v>
      </c>
      <c r="M2557" s="471">
        <f t="shared" si="149"/>
        <v>0.05</v>
      </c>
      <c r="N2557" s="475">
        <f t="shared" si="150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48"/>
        <v>-6947827479.3108721</v>
      </c>
      <c r="J2558" s="455">
        <f t="array" ref="J2558">IFERROR(INDEX('Retirement Calculator'!J:J,MATCH('Isaac 401k'!N2558,'Retirement Calculator'!A:A,0),0),0)</f>
        <v>0</v>
      </c>
      <c r="K2558" s="455">
        <f t="shared" ref="K2558:K2812" ca="1" si="151">IPMT(M2558/12,1,12,-I2558+J2558,,0)</f>
        <v>-28949281.1637953</v>
      </c>
      <c r="L2558" s="455">
        <f t="shared" ref="L2558:L2812" ca="1" si="152">I2558-J2558+K2558</f>
        <v>-6976776760.4746675</v>
      </c>
      <c r="M2558" s="471">
        <f t="shared" si="149"/>
        <v>0.05</v>
      </c>
      <c r="N2558" s="475">
        <f t="shared" si="150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53">L2558</f>
        <v>-6976776760.4746675</v>
      </c>
      <c r="J2559" s="455">
        <f t="array" ref="J2559">IFERROR(INDEX('Retirement Calculator'!J:J,MATCH('Isaac 401k'!N2559,'Retirement Calculator'!A:A,0),0),0)</f>
        <v>0</v>
      </c>
      <c r="K2559" s="455">
        <f t="shared" ca="1" si="151"/>
        <v>-29069903.168644447</v>
      </c>
      <c r="L2559" s="455">
        <f t="shared" ca="1" si="152"/>
        <v>-7005846663.6433125</v>
      </c>
      <c r="M2559" s="471">
        <f t="shared" ref="M2559:M2813" si="154">M2558</f>
        <v>0.05</v>
      </c>
      <c r="N2559" s="475">
        <f t="shared" ref="N2559:N2813" si="155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53"/>
        <v>-7005846663.6433125</v>
      </c>
      <c r="J2560" s="455">
        <f t="array" ref="J2560">IFERROR(INDEX('Retirement Calculator'!J:J,MATCH('Isaac 401k'!N2560,'Retirement Calculator'!A:A,0),0),0)</f>
        <v>0</v>
      </c>
      <c r="K2560" s="455">
        <f t="shared" ca="1" si="151"/>
        <v>-29191027.765180465</v>
      </c>
      <c r="L2560" s="455">
        <f t="shared" ca="1" si="152"/>
        <v>-7035037691.408493</v>
      </c>
      <c r="M2560" s="471">
        <f t="shared" si="154"/>
        <v>0.05</v>
      </c>
      <c r="N2560" s="475">
        <f t="shared" si="155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53"/>
        <v>-7035037691.408493</v>
      </c>
      <c r="J2561" s="455">
        <f t="array" ref="J2561">IFERROR(INDEX('Retirement Calculator'!J:J,MATCH('Isaac 401k'!N2561,'Retirement Calculator'!A:A,0),0),0)</f>
        <v>0</v>
      </c>
      <c r="K2561" s="455">
        <f t="shared" ca="1" si="151"/>
        <v>-29312657.047535386</v>
      </c>
      <c r="L2561" s="455">
        <f t="shared" ca="1" si="152"/>
        <v>-7064350348.456028</v>
      </c>
      <c r="M2561" s="471">
        <f t="shared" si="154"/>
        <v>0.05</v>
      </c>
      <c r="N2561" s="475">
        <f t="shared" si="155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53"/>
        <v>-7064350348.456028</v>
      </c>
      <c r="J2562" s="455">
        <f t="array" ref="J2562">IFERROR(INDEX('Retirement Calculator'!J:J,MATCH('Isaac 401k'!N2562,'Retirement Calculator'!A:A,0),0),0)</f>
        <v>0</v>
      </c>
      <c r="K2562" s="455">
        <f t="shared" ca="1" si="151"/>
        <v>-29434793.118566785</v>
      </c>
      <c r="L2562" s="455">
        <f t="shared" ca="1" si="152"/>
        <v>-7093785141.5745945</v>
      </c>
      <c r="M2562" s="471">
        <f t="shared" si="154"/>
        <v>0.05</v>
      </c>
      <c r="N2562" s="475">
        <f t="shared" si="155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53"/>
        <v>-7093785141.5745945</v>
      </c>
      <c r="J2563" s="455">
        <f t="array" ref="J2563">IFERROR(INDEX('Retirement Calculator'!J:J,MATCH('Isaac 401k'!N2563,'Retirement Calculator'!A:A,0),0),0)</f>
        <v>0</v>
      </c>
      <c r="K2563" s="455">
        <f t="shared" ca="1" si="151"/>
        <v>-29557438.089894146</v>
      </c>
      <c r="L2563" s="455">
        <f t="shared" ca="1" si="152"/>
        <v>-7123342579.6644888</v>
      </c>
      <c r="M2563" s="471">
        <f t="shared" si="154"/>
        <v>0.05</v>
      </c>
      <c r="N2563" s="475">
        <f t="shared" si="155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53"/>
        <v>-7123342579.6644888</v>
      </c>
      <c r="J2564" s="455">
        <f t="array" ref="J2564">IFERROR(INDEX('Retirement Calculator'!J:J,MATCH('Isaac 401k'!N2564,'Retirement Calculator'!A:A,0),0),0)</f>
        <v>0</v>
      </c>
      <c r="K2564" s="455">
        <f t="shared" ca="1" si="151"/>
        <v>-29680594.081935368</v>
      </c>
      <c r="L2564" s="455">
        <f t="shared" ca="1" si="152"/>
        <v>-7153023173.7464237</v>
      </c>
      <c r="M2564" s="471">
        <f t="shared" si="154"/>
        <v>0.05</v>
      </c>
      <c r="N2564" s="475">
        <f t="shared" si="155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53"/>
        <v>-7153023173.7464237</v>
      </c>
      <c r="J2565" s="455">
        <f t="array" ref="J2565">IFERROR(INDEX('Retirement Calculator'!J:J,MATCH('Isaac 401k'!N2565,'Retirement Calculator'!A:A,0),0),0)</f>
        <v>0</v>
      </c>
      <c r="K2565" s="455">
        <f t="shared" ca="1" si="151"/>
        <v>-29804263.223943427</v>
      </c>
      <c r="L2565" s="455">
        <f t="shared" ca="1" si="152"/>
        <v>-7182827436.9703674</v>
      </c>
      <c r="M2565" s="471">
        <f t="shared" si="154"/>
        <v>0.05</v>
      </c>
      <c r="N2565" s="475">
        <f t="shared" si="155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53"/>
        <v>-7182827436.9703674</v>
      </c>
      <c r="J2566" s="455">
        <f t="array" ref="J2566">IFERROR(INDEX('Retirement Calculator'!J:J,MATCH('Isaac 401k'!N2566,'Retirement Calculator'!A:A,0),0),0)</f>
        <v>0</v>
      </c>
      <c r="K2566" s="455">
        <f t="shared" ca="1" si="151"/>
        <v>-29928447.654043198</v>
      </c>
      <c r="L2566" s="455">
        <f t="shared" ca="1" si="152"/>
        <v>-7212755884.6244106</v>
      </c>
      <c r="M2566" s="471">
        <f t="shared" si="154"/>
        <v>0.05</v>
      </c>
      <c r="N2566" s="475">
        <f t="shared" si="155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53"/>
        <v>-7212755884.6244106</v>
      </c>
      <c r="J2567" s="455">
        <f t="array" ref="J2567">IFERROR(INDEX('Retirement Calculator'!J:J,MATCH('Isaac 401k'!N2567,'Retirement Calculator'!A:A,0),0),0)</f>
        <v>0</v>
      </c>
      <c r="K2567" s="455">
        <f t="shared" ca="1" si="151"/>
        <v>-30053149.519268375</v>
      </c>
      <c r="L2567" s="455">
        <f t="shared" ca="1" si="152"/>
        <v>-7242809034.1436787</v>
      </c>
      <c r="M2567" s="471">
        <f t="shared" si="154"/>
        <v>0.05</v>
      </c>
      <c r="N2567" s="475">
        <f t="shared" si="155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53"/>
        <v>-7242809034.1436787</v>
      </c>
      <c r="J2568" s="455">
        <f t="array" ref="J2568">IFERROR(INDEX('Retirement Calculator'!J:J,MATCH('Isaac 401k'!N2568,'Retirement Calculator'!A:A,0),0),0)</f>
        <v>0</v>
      </c>
      <c r="K2568" s="455">
        <f t="shared" ca="1" si="151"/>
        <v>-30178370.975598663</v>
      </c>
      <c r="L2568" s="455">
        <f t="shared" ca="1" si="152"/>
        <v>-7272987405.119277</v>
      </c>
      <c r="M2568" s="471">
        <f t="shared" si="154"/>
        <v>0.05</v>
      </c>
      <c r="N2568" s="475">
        <f t="shared" si="155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53"/>
        <v>-7272987405.119277</v>
      </c>
      <c r="J2569" s="455">
        <f t="array" ref="J2569">IFERROR(INDEX('Retirement Calculator'!J:J,MATCH('Isaac 401k'!N2569,'Retirement Calculator'!A:A,0),0),0)</f>
        <v>0</v>
      </c>
      <c r="K2569" s="455">
        <f t="shared" ca="1" si="151"/>
        <v>-30304114.187996991</v>
      </c>
      <c r="L2569" s="455">
        <f t="shared" ca="1" si="152"/>
        <v>-7303291519.3072739</v>
      </c>
      <c r="M2569" s="471">
        <f t="shared" si="154"/>
        <v>0.05</v>
      </c>
      <c r="N2569" s="475">
        <f t="shared" si="155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53"/>
        <v>-7303291519.3072739</v>
      </c>
      <c r="J2570" s="455">
        <f t="array" ref="J2570">IFERROR(INDEX('Retirement Calculator'!J:J,MATCH('Isaac 401k'!N2570,'Retirement Calculator'!A:A,0),0),0)</f>
        <v>0</v>
      </c>
      <c r="K2570" s="455">
        <f t="shared" ca="1" si="151"/>
        <v>-30430381.330446973</v>
      </c>
      <c r="L2570" s="455">
        <f t="shared" ca="1" si="152"/>
        <v>-7333721900.6377211</v>
      </c>
      <c r="M2570" s="471">
        <f t="shared" si="154"/>
        <v>0.05</v>
      </c>
      <c r="N2570" s="475">
        <f t="shared" si="155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53"/>
        <v>-7333721900.6377211</v>
      </c>
      <c r="J2571" s="455">
        <f t="array" ref="J2571">IFERROR(INDEX('Retirement Calculator'!J:J,MATCH('Isaac 401k'!N2571,'Retirement Calculator'!A:A,0),0),0)</f>
        <v>0</v>
      </c>
      <c r="K2571" s="455">
        <f t="shared" ca="1" si="151"/>
        <v>-30557174.585990507</v>
      </c>
      <c r="L2571" s="455">
        <f t="shared" ca="1" si="152"/>
        <v>-7364279075.223712</v>
      </c>
      <c r="M2571" s="471">
        <f t="shared" si="154"/>
        <v>0.05</v>
      </c>
      <c r="N2571" s="475">
        <f t="shared" si="155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53"/>
        <v>-7364279075.223712</v>
      </c>
      <c r="J2572" s="455">
        <f t="array" ref="J2572">IFERROR(INDEX('Retirement Calculator'!J:J,MATCH('Isaac 401k'!N2572,'Retirement Calculator'!A:A,0),0),0)</f>
        <v>0</v>
      </c>
      <c r="K2572" s="455">
        <f t="shared" ca="1" si="151"/>
        <v>-30684496.146765471</v>
      </c>
      <c r="L2572" s="455">
        <f t="shared" ca="1" si="152"/>
        <v>-7394963571.3704777</v>
      </c>
      <c r="M2572" s="471">
        <f t="shared" si="154"/>
        <v>0.05</v>
      </c>
      <c r="N2572" s="475">
        <f t="shared" si="155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53"/>
        <v>-7394963571.3704777</v>
      </c>
      <c r="J2573" s="455">
        <f t="array" ref="J2573">IFERROR(INDEX('Retirement Calculator'!J:J,MATCH('Isaac 401k'!N2573,'Retirement Calculator'!A:A,0),0),0)</f>
        <v>0</v>
      </c>
      <c r="K2573" s="455">
        <f t="shared" ca="1" si="151"/>
        <v>-30812348.214043651</v>
      </c>
      <c r="L2573" s="455">
        <f t="shared" ca="1" si="152"/>
        <v>-7425775919.5845213</v>
      </c>
      <c r="M2573" s="471">
        <f t="shared" si="154"/>
        <v>0.05</v>
      </c>
      <c r="N2573" s="475">
        <f t="shared" si="155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53"/>
        <v>-7425775919.5845213</v>
      </c>
      <c r="J2574" s="455">
        <f t="array" ref="J2574">IFERROR(INDEX('Retirement Calculator'!J:J,MATCH('Isaac 401k'!N2574,'Retirement Calculator'!A:A,0),0),0)</f>
        <v>0</v>
      </c>
      <c r="K2574" s="455">
        <f t="shared" ca="1" si="151"/>
        <v>-30940732.998268839</v>
      </c>
      <c r="L2574" s="455">
        <f t="shared" ca="1" si="152"/>
        <v>-7456716652.5827904</v>
      </c>
      <c r="M2574" s="471">
        <f t="shared" si="154"/>
        <v>0.05</v>
      </c>
      <c r="N2574" s="475">
        <f t="shared" si="155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53"/>
        <v>-7456716652.5827904</v>
      </c>
      <c r="J2575" s="455">
        <f t="array" ref="J2575">IFERROR(INDEX('Retirement Calculator'!J:J,MATCH('Isaac 401k'!N2575,'Retirement Calculator'!A:A,0),0),0)</f>
        <v>0</v>
      </c>
      <c r="K2575" s="455">
        <f t="shared" ca="1" si="151"/>
        <v>-31069652.719094958</v>
      </c>
      <c r="L2575" s="455">
        <f t="shared" ca="1" si="152"/>
        <v>-7487786305.3018856</v>
      </c>
      <c r="M2575" s="471">
        <f t="shared" si="154"/>
        <v>0.05</v>
      </c>
      <c r="N2575" s="475">
        <f t="shared" si="155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53"/>
        <v>-7487786305.3018856</v>
      </c>
      <c r="J2576" s="455">
        <f t="array" ref="J2576">IFERROR(INDEX('Retirement Calculator'!J:J,MATCH('Isaac 401k'!N2576,'Retirement Calculator'!A:A,0),0),0)</f>
        <v>0</v>
      </c>
      <c r="K2576" s="455">
        <f t="shared" ca="1" si="151"/>
        <v>-31199109.605424527</v>
      </c>
      <c r="L2576" s="455">
        <f t="shared" ca="1" si="152"/>
        <v>-7518985414.9073105</v>
      </c>
      <c r="M2576" s="471">
        <f t="shared" si="154"/>
        <v>0.05</v>
      </c>
      <c r="N2576" s="475">
        <f t="shared" si="155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53"/>
        <v>-7518985414.9073105</v>
      </c>
      <c r="J2577" s="455">
        <f t="array" ref="J2577">IFERROR(INDEX('Retirement Calculator'!J:J,MATCH('Isaac 401k'!N2577,'Retirement Calculator'!A:A,0),0),0)</f>
        <v>0</v>
      </c>
      <c r="K2577" s="455">
        <f t="shared" ca="1" si="151"/>
        <v>-31329105.895447128</v>
      </c>
      <c r="L2577" s="455">
        <f t="shared" ca="1" si="152"/>
        <v>-7550314520.8027573</v>
      </c>
      <c r="M2577" s="471">
        <f t="shared" si="154"/>
        <v>0.05</v>
      </c>
      <c r="N2577" s="475">
        <f t="shared" si="155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53"/>
        <v>-7550314520.8027573</v>
      </c>
      <c r="J2578" s="455">
        <f t="array" ref="J2578">IFERROR(INDEX('Retirement Calculator'!J:J,MATCH('Isaac 401k'!N2578,'Retirement Calculator'!A:A,0),0),0)</f>
        <v>0</v>
      </c>
      <c r="K2578" s="455">
        <f t="shared" ca="1" si="151"/>
        <v>-31459643.836678155</v>
      </c>
      <c r="L2578" s="455">
        <f t="shared" ca="1" si="152"/>
        <v>-7581774164.6394358</v>
      </c>
      <c r="M2578" s="471">
        <f t="shared" si="154"/>
        <v>0.05</v>
      </c>
      <c r="N2578" s="475">
        <f t="shared" si="155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53"/>
        <v>-7581774164.6394358</v>
      </c>
      <c r="J2579" s="455">
        <f t="array" ref="J2579">IFERROR(INDEX('Retirement Calculator'!J:J,MATCH('Isaac 401k'!N2579,'Retirement Calculator'!A:A,0),0),0)</f>
        <v>0</v>
      </c>
      <c r="K2579" s="455">
        <f t="shared" ca="1" si="151"/>
        <v>-31590725.68599765</v>
      </c>
      <c r="L2579" s="455">
        <f t="shared" ca="1" si="152"/>
        <v>-7613364890.3254337</v>
      </c>
      <c r="M2579" s="471">
        <f t="shared" si="154"/>
        <v>0.05</v>
      </c>
      <c r="N2579" s="475">
        <f t="shared" si="155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53"/>
        <v>-7613364890.3254337</v>
      </c>
      <c r="J2580" s="455">
        <f t="array" ref="J2580">IFERROR(INDEX('Retirement Calculator'!J:J,MATCH('Isaac 401k'!N2580,'Retirement Calculator'!A:A,0),0),0)</f>
        <v>0</v>
      </c>
      <c r="K2580" s="455">
        <f t="shared" ca="1" si="151"/>
        <v>-31722353.709689312</v>
      </c>
      <c r="L2580" s="455">
        <f t="shared" ca="1" si="152"/>
        <v>-7645087244.0351229</v>
      </c>
      <c r="M2580" s="471">
        <f t="shared" si="154"/>
        <v>0.05</v>
      </c>
      <c r="N2580" s="475">
        <f t="shared" si="155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53"/>
        <v>-7645087244.0351229</v>
      </c>
      <c r="J2581" s="455">
        <f t="array" ref="J2581">IFERROR(INDEX('Retirement Calculator'!J:J,MATCH('Isaac 401k'!N2581,'Retirement Calculator'!A:A,0),0),0)</f>
        <v>0</v>
      </c>
      <c r="K2581" s="455">
        <f t="shared" ca="1" si="151"/>
        <v>-31854530.183479678</v>
      </c>
      <c r="L2581" s="455">
        <f t="shared" ca="1" si="152"/>
        <v>-7676941774.2186022</v>
      </c>
      <c r="M2581" s="471">
        <f t="shared" si="154"/>
        <v>0.05</v>
      </c>
      <c r="N2581" s="475">
        <f t="shared" si="155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53"/>
        <v>-7676941774.2186022</v>
      </c>
      <c r="J2582" s="455">
        <f t="array" ref="J2582">IFERROR(INDEX('Retirement Calculator'!J:J,MATCH('Isaac 401k'!N2582,'Retirement Calculator'!A:A,0),0),0)</f>
        <v>0</v>
      </c>
      <c r="K2582" s="455">
        <f t="shared" ca="1" si="151"/>
        <v>-31987257.392577503</v>
      </c>
      <c r="L2582" s="455">
        <f t="shared" ca="1" si="152"/>
        <v>-7708929031.6111794</v>
      </c>
      <c r="M2582" s="471">
        <f t="shared" si="154"/>
        <v>0.05</v>
      </c>
      <c r="N2582" s="475">
        <f t="shared" si="155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53"/>
        <v>-7708929031.6111794</v>
      </c>
      <c r="J2583" s="455">
        <f t="array" ref="J2583">IFERROR(INDEX('Retirement Calculator'!J:J,MATCH('Isaac 401k'!N2583,'Retirement Calculator'!A:A,0),0),0)</f>
        <v>0</v>
      </c>
      <c r="K2583" s="455">
        <f t="shared" ca="1" si="151"/>
        <v>-32120537.631713241</v>
      </c>
      <c r="L2583" s="455">
        <f t="shared" ca="1" si="152"/>
        <v>-7741049569.2428923</v>
      </c>
      <c r="M2583" s="471">
        <f t="shared" si="154"/>
        <v>0.05</v>
      </c>
      <c r="N2583" s="475">
        <f t="shared" si="155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53"/>
        <v>-7741049569.2428923</v>
      </c>
      <c r="J2584" s="455">
        <f t="array" ref="J2584">IFERROR(INDEX('Retirement Calculator'!J:J,MATCH('Isaac 401k'!N2584,'Retirement Calculator'!A:A,0),0),0)</f>
        <v>0</v>
      </c>
      <c r="K2584" s="455">
        <f t="shared" ca="1" si="151"/>
        <v>-32254373.205178719</v>
      </c>
      <c r="L2584" s="455">
        <f t="shared" ca="1" si="152"/>
        <v>-7773303942.4480705</v>
      </c>
      <c r="M2584" s="471">
        <f t="shared" si="154"/>
        <v>0.05</v>
      </c>
      <c r="N2584" s="475">
        <f t="shared" si="155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53"/>
        <v>-7773303942.4480705</v>
      </c>
      <c r="J2585" s="455">
        <f t="array" ref="J2585">IFERROR(INDEX('Retirement Calculator'!J:J,MATCH('Isaac 401k'!N2585,'Retirement Calculator'!A:A,0),0),0)</f>
        <v>0</v>
      </c>
      <c r="K2585" s="455">
        <f t="shared" ca="1" si="151"/>
        <v>-32388766.426866956</v>
      </c>
      <c r="L2585" s="455">
        <f t="shared" ca="1" si="152"/>
        <v>-7805692708.8749371</v>
      </c>
      <c r="M2585" s="471">
        <f t="shared" si="154"/>
        <v>0.05</v>
      </c>
      <c r="N2585" s="475">
        <f t="shared" si="155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53"/>
        <v>-7805692708.8749371</v>
      </c>
      <c r="J2586" s="455">
        <f t="array" ref="J2586">IFERROR(INDEX('Retirement Calculator'!J:J,MATCH('Isaac 401k'!N2586,'Retirement Calculator'!A:A,0),0),0)</f>
        <v>0</v>
      </c>
      <c r="K2586" s="455">
        <f t="shared" ca="1" si="151"/>
        <v>-32523719.62031224</v>
      </c>
      <c r="L2586" s="455">
        <f t="shared" ca="1" si="152"/>
        <v>-7838216428.4952497</v>
      </c>
      <c r="M2586" s="471">
        <f t="shared" si="154"/>
        <v>0.05</v>
      </c>
      <c r="N2586" s="475">
        <f t="shared" si="155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53"/>
        <v>-7838216428.4952497</v>
      </c>
      <c r="J2587" s="455">
        <f t="array" ref="J2587">IFERROR(INDEX('Retirement Calculator'!J:J,MATCH('Isaac 401k'!N2587,'Retirement Calculator'!A:A,0),0),0)</f>
        <v>0</v>
      </c>
      <c r="K2587" s="455">
        <f t="shared" ca="1" si="151"/>
        <v>-32659235.118730206</v>
      </c>
      <c r="L2587" s="455">
        <f t="shared" ca="1" si="152"/>
        <v>-7870875663.6139803</v>
      </c>
      <c r="M2587" s="471">
        <f t="shared" si="154"/>
        <v>0.05</v>
      </c>
      <c r="N2587" s="475">
        <f t="shared" si="155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53"/>
        <v>-7870875663.6139803</v>
      </c>
      <c r="J2588" s="455">
        <f t="array" ref="J2588">IFERROR(INDEX('Retirement Calculator'!J:J,MATCH('Isaac 401k'!N2588,'Retirement Calculator'!A:A,0),0),0)</f>
        <v>0</v>
      </c>
      <c r="K2588" s="455">
        <f t="shared" ca="1" si="151"/>
        <v>-32795315.265058249</v>
      </c>
      <c r="L2588" s="455">
        <f t="shared" ca="1" si="152"/>
        <v>-7903670978.8790388</v>
      </c>
      <c r="M2588" s="471">
        <f t="shared" si="154"/>
        <v>0.05</v>
      </c>
      <c r="N2588" s="475">
        <f t="shared" si="155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53"/>
        <v>-7903670978.8790388</v>
      </c>
      <c r="J2589" s="455">
        <f t="array" ref="J2589">IFERROR(INDEX('Retirement Calculator'!J:J,MATCH('Isaac 401k'!N2589,'Retirement Calculator'!A:A,0),0),0)</f>
        <v>0</v>
      </c>
      <c r="K2589" s="455">
        <f t="shared" ca="1" si="151"/>
        <v>-32931962.411995996</v>
      </c>
      <c r="L2589" s="455">
        <f t="shared" ca="1" si="152"/>
        <v>-7936602941.2910347</v>
      </c>
      <c r="M2589" s="471">
        <f t="shared" si="154"/>
        <v>0.05</v>
      </c>
      <c r="N2589" s="475">
        <f t="shared" si="155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53"/>
        <v>-7936602941.2910347</v>
      </c>
      <c r="J2590" s="455">
        <f t="array" ref="J2590">IFERROR(INDEX('Retirement Calculator'!J:J,MATCH('Isaac 401k'!N2590,'Retirement Calculator'!A:A,0),0),0)</f>
        <v>0</v>
      </c>
      <c r="K2590" s="455">
        <f t="shared" ca="1" si="151"/>
        <v>-33069178.922045976</v>
      </c>
      <c r="L2590" s="455">
        <f t="shared" ca="1" si="152"/>
        <v>-7969672120.2130804</v>
      </c>
      <c r="M2590" s="471">
        <f t="shared" si="154"/>
        <v>0.05</v>
      </c>
      <c r="N2590" s="475">
        <f t="shared" si="155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53"/>
        <v>-7969672120.2130804</v>
      </c>
      <c r="J2591" s="455">
        <f t="array" ref="J2591">IFERROR(INDEX('Retirement Calculator'!J:J,MATCH('Isaac 401k'!N2591,'Retirement Calculator'!A:A,0),0),0)</f>
        <v>0</v>
      </c>
      <c r="K2591" s="455">
        <f t="shared" ca="1" si="151"/>
        <v>-33206967.167554505</v>
      </c>
      <c r="L2591" s="455">
        <f t="shared" ca="1" si="152"/>
        <v>-8002879087.3806353</v>
      </c>
      <c r="M2591" s="471">
        <f t="shared" si="154"/>
        <v>0.05</v>
      </c>
      <c r="N2591" s="475">
        <f t="shared" si="155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53"/>
        <v>-8002879087.3806353</v>
      </c>
      <c r="J2592" s="455">
        <f t="array" ref="J2592">IFERROR(INDEX('Retirement Calculator'!J:J,MATCH('Isaac 401k'!N2592,'Retirement Calculator'!A:A,0),0),0)</f>
        <v>0</v>
      </c>
      <c r="K2592" s="455">
        <f t="shared" ca="1" si="151"/>
        <v>-33345329.530752644</v>
      </c>
      <c r="L2592" s="455">
        <f t="shared" ca="1" si="152"/>
        <v>-8036224416.9113874</v>
      </c>
      <c r="M2592" s="471">
        <f t="shared" si="154"/>
        <v>0.05</v>
      </c>
      <c r="N2592" s="475">
        <f t="shared" si="155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53"/>
        <v>-8036224416.9113874</v>
      </c>
      <c r="J2593" s="455">
        <f t="array" ref="J2593">IFERROR(INDEX('Retirement Calculator'!J:J,MATCH('Isaac 401k'!N2593,'Retirement Calculator'!A:A,0),0),0)</f>
        <v>0</v>
      </c>
      <c r="K2593" s="455">
        <f t="shared" ca="1" si="151"/>
        <v>-33484268.403797448</v>
      </c>
      <c r="L2593" s="455">
        <f t="shared" ca="1" si="152"/>
        <v>-8069708685.3151846</v>
      </c>
      <c r="M2593" s="471">
        <f t="shared" si="154"/>
        <v>0.05</v>
      </c>
      <c r="N2593" s="475">
        <f t="shared" si="155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53"/>
        <v>-8069708685.3151846</v>
      </c>
      <c r="J2594" s="455">
        <f t="array" ref="J2594">IFERROR(INDEX('Retirement Calculator'!J:J,MATCH('Isaac 401k'!N2594,'Retirement Calculator'!A:A,0),0),0)</f>
        <v>0</v>
      </c>
      <c r="K2594" s="455">
        <f t="shared" ca="1" si="151"/>
        <v>-33623786.188813262</v>
      </c>
      <c r="L2594" s="455">
        <f t="shared" ca="1" si="152"/>
        <v>-8103332471.5039978</v>
      </c>
      <c r="M2594" s="471">
        <f t="shared" si="154"/>
        <v>0.05</v>
      </c>
      <c r="N2594" s="475">
        <f t="shared" si="155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53"/>
        <v>-8103332471.5039978</v>
      </c>
      <c r="J2595" s="455">
        <f t="array" ref="J2595">IFERROR(INDEX('Retirement Calculator'!J:J,MATCH('Isaac 401k'!N2595,'Retirement Calculator'!A:A,0),0),0)</f>
        <v>0</v>
      </c>
      <c r="K2595" s="455">
        <f t="shared" ca="1" si="151"/>
        <v>-33763885.297933325</v>
      </c>
      <c r="L2595" s="455">
        <f t="shared" ca="1" si="152"/>
        <v>-8137096356.8019314</v>
      </c>
      <c r="M2595" s="471">
        <f t="shared" si="154"/>
        <v>0.05</v>
      </c>
      <c r="N2595" s="475">
        <f t="shared" si="155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53"/>
        <v>-8137096356.8019314</v>
      </c>
      <c r="J2596" s="455">
        <f t="array" ref="J2596">IFERROR(INDEX('Retirement Calculator'!J:J,MATCH('Isaac 401k'!N2596,'Retirement Calculator'!A:A,0),0),0)</f>
        <v>0</v>
      </c>
      <c r="K2596" s="455">
        <f t="shared" ca="1" si="151"/>
        <v>-33904568.153341383</v>
      </c>
      <c r="L2596" s="455">
        <f t="shared" ca="1" si="152"/>
        <v>-8171000924.9552727</v>
      </c>
      <c r="M2596" s="471">
        <f t="shared" si="154"/>
        <v>0.05</v>
      </c>
      <c r="N2596" s="475">
        <f t="shared" si="155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53"/>
        <v>-8171000924.9552727</v>
      </c>
      <c r="J2597" s="455">
        <f t="array" ref="J2597">IFERROR(INDEX('Retirement Calculator'!J:J,MATCH('Isaac 401k'!N2597,'Retirement Calculator'!A:A,0),0),0)</f>
        <v>0</v>
      </c>
      <c r="K2597" s="455">
        <f t="shared" ca="1" si="151"/>
        <v>-34045837.187313639</v>
      </c>
      <c r="L2597" s="455">
        <f t="shared" ca="1" si="152"/>
        <v>-8205046762.1425867</v>
      </c>
      <c r="M2597" s="471">
        <f t="shared" si="154"/>
        <v>0.05</v>
      </c>
      <c r="N2597" s="475">
        <f t="shared" si="155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53"/>
        <v>-8205046762.1425867</v>
      </c>
      <c r="J2598" s="455">
        <f t="array" ref="J2598">IFERROR(INDEX('Retirement Calculator'!J:J,MATCH('Isaac 401k'!N2598,'Retirement Calculator'!A:A,0),0),0)</f>
        <v>0</v>
      </c>
      <c r="K2598" s="455">
        <f t="shared" ca="1" si="151"/>
        <v>-34187694.84226077</v>
      </c>
      <c r="L2598" s="455">
        <f t="shared" ca="1" si="152"/>
        <v>-8239234456.9848471</v>
      </c>
      <c r="M2598" s="471">
        <f t="shared" si="154"/>
        <v>0.05</v>
      </c>
      <c r="N2598" s="475">
        <f t="shared" si="155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53"/>
        <v>-8239234456.9848471</v>
      </c>
      <c r="J2599" s="455">
        <f t="array" ref="J2599">IFERROR(INDEX('Retirement Calculator'!J:J,MATCH('Isaac 401k'!N2599,'Retirement Calculator'!A:A,0),0),0)</f>
        <v>0</v>
      </c>
      <c r="K2599" s="455">
        <f t="shared" ca="1" si="151"/>
        <v>-34330143.570770197</v>
      </c>
      <c r="L2599" s="455">
        <f t="shared" ca="1" si="152"/>
        <v>-8273564600.5556173</v>
      </c>
      <c r="M2599" s="471">
        <f t="shared" si="154"/>
        <v>0.05</v>
      </c>
      <c r="N2599" s="475">
        <f t="shared" si="155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53"/>
        <v>-8273564600.5556173</v>
      </c>
      <c r="J2600" s="455">
        <f t="array" ref="J2600">IFERROR(INDEX('Retirement Calculator'!J:J,MATCH('Isaac 401k'!N2600,'Retirement Calculator'!A:A,0),0),0)</f>
        <v>0</v>
      </c>
      <c r="K2600" s="455">
        <f t="shared" ca="1" si="151"/>
        <v>-34473185.835648403</v>
      </c>
      <c r="L2600" s="455">
        <f t="shared" ca="1" si="152"/>
        <v>-8308037786.3912659</v>
      </c>
      <c r="M2600" s="471">
        <f t="shared" si="154"/>
        <v>0.05</v>
      </c>
      <c r="N2600" s="475">
        <f t="shared" si="155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53"/>
        <v>-8308037786.3912659</v>
      </c>
      <c r="J2601" s="455">
        <f t="array" ref="J2601">IFERROR(INDEX('Retirement Calculator'!J:J,MATCH('Isaac 401k'!N2601,'Retirement Calculator'!A:A,0),0),0)</f>
        <v>0</v>
      </c>
      <c r="K2601" s="455">
        <f t="shared" ca="1" si="151"/>
        <v>-34616824.109963611</v>
      </c>
      <c r="L2601" s="455">
        <f t="shared" ca="1" si="152"/>
        <v>-8342654610.5012293</v>
      </c>
      <c r="M2601" s="471">
        <f t="shared" si="154"/>
        <v>0.05</v>
      </c>
      <c r="N2601" s="475">
        <f t="shared" si="155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53"/>
        <v>-8342654610.5012293</v>
      </c>
      <c r="J2602" s="455">
        <f t="array" ref="J2602">IFERROR(INDEX('Retirement Calculator'!J:J,MATCH('Isaac 401k'!N2602,'Retirement Calculator'!A:A,0),0),0)</f>
        <v>0</v>
      </c>
      <c r="K2602" s="455">
        <f t="shared" ca="1" si="151"/>
        <v>-34761060.877088457</v>
      </c>
      <c r="L2602" s="455">
        <f t="shared" ca="1" si="152"/>
        <v>-8377415671.3783178</v>
      </c>
      <c r="M2602" s="471">
        <f t="shared" si="154"/>
        <v>0.05</v>
      </c>
      <c r="N2602" s="475">
        <f t="shared" si="155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53"/>
        <v>-8377415671.3783178</v>
      </c>
      <c r="J2603" s="455">
        <f t="array" ref="J2603">IFERROR(INDEX('Retirement Calculator'!J:J,MATCH('Isaac 401k'!N2603,'Retirement Calculator'!A:A,0),0),0)</f>
        <v>0</v>
      </c>
      <c r="K2603" s="455">
        <f t="shared" ca="1" si="151"/>
        <v>-34905898.630742989</v>
      </c>
      <c r="L2603" s="455">
        <f t="shared" ca="1" si="152"/>
        <v>-8412321570.0090609</v>
      </c>
      <c r="M2603" s="471">
        <f t="shared" si="154"/>
        <v>0.05</v>
      </c>
      <c r="N2603" s="475">
        <f t="shared" si="155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53"/>
        <v>-8412321570.0090609</v>
      </c>
      <c r="J2604" s="455">
        <f t="array" ref="J2604">IFERROR(INDEX('Retirement Calculator'!J:J,MATCH('Isaac 401k'!N2604,'Retirement Calculator'!A:A,0),0),0)</f>
        <v>0</v>
      </c>
      <c r="K2604" s="455">
        <f t="shared" ca="1" si="151"/>
        <v>-35051339.875037752</v>
      </c>
      <c r="L2604" s="455">
        <f t="shared" ca="1" si="152"/>
        <v>-8447372909.884099</v>
      </c>
      <c r="M2604" s="471">
        <f t="shared" si="154"/>
        <v>0.05</v>
      </c>
      <c r="N2604" s="475">
        <f t="shared" si="155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53"/>
        <v>-8447372909.884099</v>
      </c>
      <c r="J2605" s="455">
        <f t="array" ref="J2605">IFERROR(INDEX('Retirement Calculator'!J:J,MATCH('Isaac 401k'!N2605,'Retirement Calculator'!A:A,0),0),0)</f>
        <v>0</v>
      </c>
      <c r="K2605" s="455">
        <f t="shared" ca="1" si="151"/>
        <v>-35197387.124517083</v>
      </c>
      <c r="L2605" s="455">
        <f t="shared" ca="1" si="152"/>
        <v>-8482570297.0086164</v>
      </c>
      <c r="M2605" s="471">
        <f t="shared" si="154"/>
        <v>0.05</v>
      </c>
      <c r="N2605" s="475">
        <f t="shared" si="155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53"/>
        <v>-8482570297.0086164</v>
      </c>
      <c r="J2606" s="455">
        <f t="array" ref="J2606">IFERROR(INDEX('Retirement Calculator'!J:J,MATCH('Isaac 401k'!N2606,'Retirement Calculator'!A:A,0),0),0)</f>
        <v>0</v>
      </c>
      <c r="K2606" s="455">
        <f t="shared" ca="1" si="151"/>
        <v>-35344042.904202573</v>
      </c>
      <c r="L2606" s="455">
        <f t="shared" ca="1" si="152"/>
        <v>-8517914339.9128189</v>
      </c>
      <c r="M2606" s="471">
        <f t="shared" si="154"/>
        <v>0.05</v>
      </c>
      <c r="N2606" s="475">
        <f t="shared" si="155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53"/>
        <v>-8517914339.9128189</v>
      </c>
      <c r="J2607" s="455">
        <f t="array" ref="J2607">IFERROR(INDEX('Retirement Calculator'!J:J,MATCH('Isaac 401k'!N2607,'Retirement Calculator'!A:A,0),0),0)</f>
        <v>0</v>
      </c>
      <c r="K2607" s="455">
        <f t="shared" ca="1" si="151"/>
        <v>-35491309.749636747</v>
      </c>
      <c r="L2607" s="455">
        <f t="shared" ca="1" si="152"/>
        <v>-8553405649.6624556</v>
      </c>
      <c r="M2607" s="471">
        <f t="shared" si="154"/>
        <v>0.05</v>
      </c>
      <c r="N2607" s="475">
        <f t="shared" si="155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53"/>
        <v>-8553405649.6624556</v>
      </c>
      <c r="J2608" s="455">
        <f t="array" ref="J2608">IFERROR(INDEX('Retirement Calculator'!J:J,MATCH('Isaac 401k'!N2608,'Retirement Calculator'!A:A,0),0),0)</f>
        <v>0</v>
      </c>
      <c r="K2608" s="455">
        <f t="shared" ca="1" si="151"/>
        <v>-35639190.206926897</v>
      </c>
      <c r="L2608" s="455">
        <f t="shared" ca="1" si="152"/>
        <v>-8589044839.8693829</v>
      </c>
      <c r="M2608" s="471">
        <f t="shared" si="154"/>
        <v>0.05</v>
      </c>
      <c r="N2608" s="475">
        <f t="shared" si="155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53"/>
        <v>-8589044839.8693829</v>
      </c>
      <c r="J2609" s="455">
        <f t="array" ref="J2609">IFERROR(INDEX('Retirement Calculator'!J:J,MATCH('Isaac 401k'!N2609,'Retirement Calculator'!A:A,0),0),0)</f>
        <v>0</v>
      </c>
      <c r="K2609" s="455">
        <f t="shared" ca="1" si="151"/>
        <v>-35787686.832789101</v>
      </c>
      <c r="L2609" s="455">
        <f t="shared" ca="1" si="152"/>
        <v>-8624832526.7021713</v>
      </c>
      <c r="M2609" s="471">
        <f t="shared" si="154"/>
        <v>0.05</v>
      </c>
      <c r="N2609" s="475">
        <f t="shared" si="155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53"/>
        <v>-8624832526.7021713</v>
      </c>
      <c r="J2610" s="455">
        <f t="array" ref="J2610">IFERROR(INDEX('Retirement Calculator'!J:J,MATCH('Isaac 401k'!N2610,'Retirement Calculator'!A:A,0),0),0)</f>
        <v>0</v>
      </c>
      <c r="K2610" s="455">
        <f t="shared" ca="1" si="151"/>
        <v>-35936802.194592379</v>
      </c>
      <c r="L2610" s="455">
        <f t="shared" ca="1" si="152"/>
        <v>-8660769328.8967628</v>
      </c>
      <c r="M2610" s="471">
        <f t="shared" si="154"/>
        <v>0.05</v>
      </c>
      <c r="N2610" s="475">
        <f t="shared" si="155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53"/>
        <v>-8660769328.8967628</v>
      </c>
      <c r="J2611" s="455">
        <f t="array" ref="J2611">IFERROR(INDEX('Retirement Calculator'!J:J,MATCH('Isaac 401k'!N2611,'Retirement Calculator'!A:A,0),0),0)</f>
        <v>0</v>
      </c>
      <c r="K2611" s="455">
        <f t="shared" ca="1" si="151"/>
        <v>-36086538.870403178</v>
      </c>
      <c r="L2611" s="455">
        <f t="shared" ca="1" si="152"/>
        <v>-8696855867.7671661</v>
      </c>
      <c r="M2611" s="471">
        <f t="shared" si="154"/>
        <v>0.05</v>
      </c>
      <c r="N2611" s="475">
        <f t="shared" si="155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53"/>
        <v>-8696855867.7671661</v>
      </c>
      <c r="J2612" s="455">
        <f t="array" ref="J2612">IFERROR(INDEX('Retirement Calculator'!J:J,MATCH('Isaac 401k'!N2612,'Retirement Calculator'!A:A,0),0),0)</f>
        <v>0</v>
      </c>
      <c r="K2612" s="455">
        <f t="shared" ca="1" si="151"/>
        <v>-36236899.449029855</v>
      </c>
      <c r="L2612" s="455">
        <f t="shared" ca="1" si="152"/>
        <v>-8733092767.2161961</v>
      </c>
      <c r="M2612" s="471">
        <f t="shared" si="154"/>
        <v>0.05</v>
      </c>
      <c r="N2612" s="475">
        <f t="shared" si="155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53"/>
        <v>-8733092767.2161961</v>
      </c>
      <c r="J2613" s="455">
        <f t="array" ref="J2613">IFERROR(INDEX('Retirement Calculator'!J:J,MATCH('Isaac 401k'!N2613,'Retirement Calculator'!A:A,0),0),0)</f>
        <v>0</v>
      </c>
      <c r="K2613" s="455">
        <f t="shared" ca="1" si="151"/>
        <v>-36387886.530067481</v>
      </c>
      <c r="L2613" s="455">
        <f t="shared" ca="1" si="152"/>
        <v>-8769480653.7462635</v>
      </c>
      <c r="M2613" s="471">
        <f t="shared" si="154"/>
        <v>0.05</v>
      </c>
      <c r="N2613" s="475">
        <f t="shared" si="155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53"/>
        <v>-8769480653.7462635</v>
      </c>
      <c r="J2614" s="455">
        <f t="array" ref="J2614">IFERROR(INDEX('Retirement Calculator'!J:J,MATCH('Isaac 401k'!N2614,'Retirement Calculator'!A:A,0),0),0)</f>
        <v>0</v>
      </c>
      <c r="K2614" s="455">
        <f t="shared" ca="1" si="151"/>
        <v>-36539502.723942764</v>
      </c>
      <c r="L2614" s="455">
        <f t="shared" ca="1" si="152"/>
        <v>-8806020156.4702072</v>
      </c>
      <c r="M2614" s="471">
        <f t="shared" si="154"/>
        <v>0.05</v>
      </c>
      <c r="N2614" s="475">
        <f t="shared" si="155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53"/>
        <v>-8806020156.4702072</v>
      </c>
      <c r="J2615" s="455">
        <f t="array" ref="J2615">IFERROR(INDEX('Retirement Calculator'!J:J,MATCH('Isaac 401k'!N2615,'Retirement Calculator'!A:A,0),0),0)</f>
        <v>0</v>
      </c>
      <c r="K2615" s="455">
        <f t="shared" ca="1" si="151"/>
        <v>-36691750.651959196</v>
      </c>
      <c r="L2615" s="455">
        <f t="shared" ca="1" si="152"/>
        <v>-8842711907.1221657</v>
      </c>
      <c r="M2615" s="471">
        <f t="shared" si="154"/>
        <v>0.05</v>
      </c>
      <c r="N2615" s="475">
        <f t="shared" si="155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53"/>
        <v>-8842711907.1221657</v>
      </c>
      <c r="J2616" s="455">
        <f t="array" ref="J2616">IFERROR(INDEX('Retirement Calculator'!J:J,MATCH('Isaac 401k'!N2616,'Retirement Calculator'!A:A,0),0),0)</f>
        <v>0</v>
      </c>
      <c r="K2616" s="455">
        <f t="shared" ca="1" si="151"/>
        <v>-36844632.946342357</v>
      </c>
      <c r="L2616" s="455">
        <f t="shared" ca="1" si="152"/>
        <v>-8879556540.0685081</v>
      </c>
      <c r="M2616" s="471">
        <f t="shared" si="154"/>
        <v>0.05</v>
      </c>
      <c r="N2616" s="475">
        <f t="shared" si="155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53"/>
        <v>-8879556540.0685081</v>
      </c>
      <c r="J2617" s="455">
        <f t="array" ref="J2617">IFERROR(INDEX('Retirement Calculator'!J:J,MATCH('Isaac 401k'!N2617,'Retirement Calculator'!A:A,0),0),0)</f>
        <v>0</v>
      </c>
      <c r="K2617" s="455">
        <f t="shared" ca="1" si="151"/>
        <v>-36998152.250285447</v>
      </c>
      <c r="L2617" s="455">
        <f t="shared" ca="1" si="152"/>
        <v>-8916554692.3187943</v>
      </c>
      <c r="M2617" s="471">
        <f t="shared" si="154"/>
        <v>0.05</v>
      </c>
      <c r="N2617" s="475">
        <f t="shared" si="155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53"/>
        <v>-8916554692.3187943</v>
      </c>
      <c r="J2618" s="455">
        <f t="array" ref="J2618">IFERROR(INDEX('Retirement Calculator'!J:J,MATCH('Isaac 401k'!N2618,'Retirement Calculator'!A:A,0),0),0)</f>
        <v>0</v>
      </c>
      <c r="K2618" s="455">
        <f t="shared" ca="1" si="151"/>
        <v>-37152311.217994973</v>
      </c>
      <c r="L2618" s="455">
        <f t="shared" ca="1" si="152"/>
        <v>-8953707003.5367889</v>
      </c>
      <c r="M2618" s="471">
        <f t="shared" si="154"/>
        <v>0.05</v>
      </c>
      <c r="N2618" s="475">
        <f t="shared" si="155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53"/>
        <v>-8953707003.5367889</v>
      </c>
      <c r="J2619" s="455">
        <f t="array" ref="J2619">IFERROR(INDEX('Retirement Calculator'!J:J,MATCH('Isaac 401k'!N2619,'Retirement Calculator'!A:A,0),0),0)</f>
        <v>0</v>
      </c>
      <c r="K2619" s="455">
        <f t="shared" ca="1" si="151"/>
        <v>-37307112.514736623</v>
      </c>
      <c r="L2619" s="455">
        <f t="shared" ca="1" si="152"/>
        <v>-8991014116.0515251</v>
      </c>
      <c r="M2619" s="471">
        <f t="shared" si="154"/>
        <v>0.05</v>
      </c>
      <c r="N2619" s="475">
        <f t="shared" si="155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53"/>
        <v>-8991014116.0515251</v>
      </c>
      <c r="J2620" s="455">
        <f t="array" ref="J2620">IFERROR(INDEX('Retirement Calculator'!J:J,MATCH('Isaac 401k'!N2620,'Retirement Calculator'!A:A,0),0),0)</f>
        <v>0</v>
      </c>
      <c r="K2620" s="455">
        <f t="shared" ca="1" si="151"/>
        <v>-37462558.816881351</v>
      </c>
      <c r="L2620" s="455">
        <f t="shared" ca="1" si="152"/>
        <v>-9028476674.8684063</v>
      </c>
      <c r="M2620" s="471">
        <f t="shared" si="154"/>
        <v>0.05</v>
      </c>
      <c r="N2620" s="475">
        <f t="shared" si="155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53"/>
        <v>-9028476674.8684063</v>
      </c>
      <c r="J2621" s="455">
        <f t="array" ref="J2621">IFERROR(INDEX('Retirement Calculator'!J:J,MATCH('Isaac 401k'!N2621,'Retirement Calculator'!A:A,0),0),0)</f>
        <v>0</v>
      </c>
      <c r="K2621" s="455">
        <f t="shared" ca="1" si="151"/>
        <v>-37618652.811951689</v>
      </c>
      <c r="L2621" s="455">
        <f t="shared" ca="1" si="152"/>
        <v>-9066095327.6803589</v>
      </c>
      <c r="M2621" s="471">
        <f t="shared" si="154"/>
        <v>0.05</v>
      </c>
      <c r="N2621" s="475">
        <f t="shared" si="155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53"/>
        <v>-9066095327.6803589</v>
      </c>
      <c r="J2622" s="455">
        <f t="array" ref="J2622">IFERROR(INDEX('Retirement Calculator'!J:J,MATCH('Isaac 401k'!N2622,'Retirement Calculator'!A:A,0),0),0)</f>
        <v>0</v>
      </c>
      <c r="K2622" s="455">
        <f t="shared" ca="1" si="151"/>
        <v>-37775397.19866816</v>
      </c>
      <c r="L2622" s="455">
        <f t="shared" ca="1" si="152"/>
        <v>-9103870724.8790264</v>
      </c>
      <c r="M2622" s="471">
        <f t="shared" si="154"/>
        <v>0.05</v>
      </c>
      <c r="N2622" s="475">
        <f t="shared" si="155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53"/>
        <v>-9103870724.8790264</v>
      </c>
      <c r="J2623" s="455">
        <f t="array" ref="J2623">IFERROR(INDEX('Retirement Calculator'!J:J,MATCH('Isaac 401k'!N2623,'Retirement Calculator'!A:A,0),0),0)</f>
        <v>0</v>
      </c>
      <c r="K2623" s="455">
        <f t="shared" ca="1" si="151"/>
        <v>-37932794.686995946</v>
      </c>
      <c r="L2623" s="455">
        <f t="shared" ca="1" si="152"/>
        <v>-9141803519.5660229</v>
      </c>
      <c r="M2623" s="471">
        <f t="shared" si="154"/>
        <v>0.05</v>
      </c>
      <c r="N2623" s="475">
        <f t="shared" si="155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53"/>
        <v>-9141803519.5660229</v>
      </c>
      <c r="J2624" s="455">
        <f t="array" ref="J2624">IFERROR(INDEX('Retirement Calculator'!J:J,MATCH('Isaac 401k'!N2624,'Retirement Calculator'!A:A,0),0),0)</f>
        <v>0</v>
      </c>
      <c r="K2624" s="455">
        <f t="shared" ca="1" si="151"/>
        <v>-38090847.998191759</v>
      </c>
      <c r="L2624" s="455">
        <f t="shared" ca="1" si="152"/>
        <v>-9179894367.5642147</v>
      </c>
      <c r="M2624" s="471">
        <f t="shared" si="154"/>
        <v>0.05</v>
      </c>
      <c r="N2624" s="475">
        <f t="shared" si="155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53"/>
        <v>-9179894367.5642147</v>
      </c>
      <c r="J2625" s="455">
        <f t="array" ref="J2625">IFERROR(INDEX('Retirement Calculator'!J:J,MATCH('Isaac 401k'!N2625,'Retirement Calculator'!A:A,0),0),0)</f>
        <v>0</v>
      </c>
      <c r="K2625" s="455">
        <f t="shared" ca="1" si="151"/>
        <v>-38249559.864850894</v>
      </c>
      <c r="L2625" s="455">
        <f t="shared" ca="1" si="152"/>
        <v>-9218143927.4290657</v>
      </c>
      <c r="M2625" s="471">
        <f t="shared" si="154"/>
        <v>0.05</v>
      </c>
      <c r="N2625" s="475">
        <f t="shared" si="155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53"/>
        <v>-9218143927.4290657</v>
      </c>
      <c r="J2626" s="455">
        <f t="array" ref="J2626">IFERROR(INDEX('Retirement Calculator'!J:J,MATCH('Isaac 401k'!N2626,'Retirement Calculator'!A:A,0),0),0)</f>
        <v>0</v>
      </c>
      <c r="K2626" s="455">
        <f t="shared" ca="1" si="151"/>
        <v>-38408933.030954443</v>
      </c>
      <c r="L2626" s="455">
        <f t="shared" ca="1" si="152"/>
        <v>-9256552860.4600201</v>
      </c>
      <c r="M2626" s="471">
        <f t="shared" si="154"/>
        <v>0.05</v>
      </c>
      <c r="N2626" s="475">
        <f t="shared" si="155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53"/>
        <v>-9256552860.4600201</v>
      </c>
      <c r="J2627" s="455">
        <f t="array" ref="J2627">IFERROR(INDEX('Retirement Calculator'!J:J,MATCH('Isaac 401k'!N2627,'Retirement Calculator'!A:A,0),0),0)</f>
        <v>0</v>
      </c>
      <c r="K2627" s="455">
        <f t="shared" ca="1" si="151"/>
        <v>-38568970.251916751</v>
      </c>
      <c r="L2627" s="455">
        <f t="shared" ca="1" si="152"/>
        <v>-9295121830.711937</v>
      </c>
      <c r="M2627" s="471">
        <f t="shared" si="154"/>
        <v>0.05</v>
      </c>
      <c r="N2627" s="475">
        <f t="shared" si="155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53"/>
        <v>-9295121830.711937</v>
      </c>
      <c r="J2628" s="455">
        <f t="array" ref="J2628">IFERROR(INDEX('Retirement Calculator'!J:J,MATCH('Isaac 401k'!N2628,'Retirement Calculator'!A:A,0),0),0)</f>
        <v>0</v>
      </c>
      <c r="K2628" s="455">
        <f t="shared" ca="1" si="151"/>
        <v>-38729674.294633068</v>
      </c>
      <c r="L2628" s="455">
        <f t="shared" ca="1" si="152"/>
        <v>-9333851505.0065708</v>
      </c>
      <c r="M2628" s="471">
        <f t="shared" si="154"/>
        <v>0.05</v>
      </c>
      <c r="N2628" s="475">
        <f t="shared" si="155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53"/>
        <v>-9333851505.0065708</v>
      </c>
      <c r="J2629" s="455">
        <f t="array" ref="J2629">IFERROR(INDEX('Retirement Calculator'!J:J,MATCH('Isaac 401k'!N2629,'Retirement Calculator'!A:A,0),0),0)</f>
        <v>0</v>
      </c>
      <c r="K2629" s="455">
        <f t="shared" ca="1" si="151"/>
        <v>-38891047.937527381</v>
      </c>
      <c r="L2629" s="455">
        <f t="shared" ca="1" si="152"/>
        <v>-9372742552.9440975</v>
      </c>
      <c r="M2629" s="471">
        <f t="shared" si="154"/>
        <v>0.05</v>
      </c>
      <c r="N2629" s="475">
        <f t="shared" si="155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53"/>
        <v>-9372742552.9440975</v>
      </c>
      <c r="J2630" s="455">
        <f t="array" ref="J2630">IFERROR(INDEX('Retirement Calculator'!J:J,MATCH('Isaac 401k'!N2630,'Retirement Calculator'!A:A,0),0),0)</f>
        <v>0</v>
      </c>
      <c r="K2630" s="455">
        <f t="shared" ca="1" si="151"/>
        <v>-39053093.970600404</v>
      </c>
      <c r="L2630" s="455">
        <f t="shared" ca="1" si="152"/>
        <v>-9411795646.9146976</v>
      </c>
      <c r="M2630" s="471">
        <f t="shared" si="154"/>
        <v>0.05</v>
      </c>
      <c r="N2630" s="475">
        <f t="shared" si="155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53"/>
        <v>-9411795646.9146976</v>
      </c>
      <c r="J2631" s="455">
        <f t="array" ref="J2631">IFERROR(INDEX('Retirement Calculator'!J:J,MATCH('Isaac 401k'!N2631,'Retirement Calculator'!A:A,0),0),0)</f>
        <v>0</v>
      </c>
      <c r="K2631" s="455">
        <f t="shared" ca="1" si="151"/>
        <v>-39215815.195477903</v>
      </c>
      <c r="L2631" s="455">
        <f t="shared" ca="1" si="152"/>
        <v>-9451011462.1101761</v>
      </c>
      <c r="M2631" s="471">
        <f t="shared" si="154"/>
        <v>0.05</v>
      </c>
      <c r="N2631" s="475">
        <f t="shared" si="155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53"/>
        <v>-9451011462.1101761</v>
      </c>
      <c r="J2632" s="455">
        <f t="array" ref="J2632">IFERROR(INDEX('Retirement Calculator'!J:J,MATCH('Isaac 401k'!N2632,'Retirement Calculator'!A:A,0),0),0)</f>
        <v>0</v>
      </c>
      <c r="K2632" s="455">
        <f t="shared" ca="1" si="151"/>
        <v>-39379214.425459065</v>
      </c>
      <c r="L2632" s="455">
        <f t="shared" ca="1" si="152"/>
        <v>-9490390676.535635</v>
      </c>
      <c r="M2632" s="471">
        <f t="shared" si="154"/>
        <v>0.05</v>
      </c>
      <c r="N2632" s="475">
        <f t="shared" si="155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53"/>
        <v>-9490390676.535635</v>
      </c>
      <c r="J2633" s="455">
        <f t="array" ref="J2633">IFERROR(INDEX('Retirement Calculator'!J:J,MATCH('Isaac 401k'!N2633,'Retirement Calculator'!A:A,0),0),0)</f>
        <v>0</v>
      </c>
      <c r="K2633" s="455">
        <f t="shared" ca="1" si="151"/>
        <v>-39543294.485565148</v>
      </c>
      <c r="L2633" s="455">
        <f t="shared" ca="1" si="152"/>
        <v>-9529933971.0212002</v>
      </c>
      <c r="M2633" s="471">
        <f t="shared" si="154"/>
        <v>0.05</v>
      </c>
      <c r="N2633" s="475">
        <f t="shared" si="155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53"/>
        <v>-9529933971.0212002</v>
      </c>
      <c r="J2634" s="455">
        <f t="array" ref="J2634">IFERROR(INDEX('Retirement Calculator'!J:J,MATCH('Isaac 401k'!N2634,'Retirement Calculator'!A:A,0),0),0)</f>
        <v>0</v>
      </c>
      <c r="K2634" s="455">
        <f t="shared" ca="1" si="151"/>
        <v>-39708058.212588333</v>
      </c>
      <c r="L2634" s="455">
        <f t="shared" ca="1" si="152"/>
        <v>-9569642029.2337894</v>
      </c>
      <c r="M2634" s="471">
        <f t="shared" si="154"/>
        <v>0.05</v>
      </c>
      <c r="N2634" s="475">
        <f t="shared" si="155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53"/>
        <v>-9569642029.2337894</v>
      </c>
      <c r="J2635" s="455">
        <f t="array" ref="J2635">IFERROR(INDEX('Retirement Calculator'!J:J,MATCH('Isaac 401k'!N2635,'Retirement Calculator'!A:A,0),0),0)</f>
        <v>0</v>
      </c>
      <c r="K2635" s="455">
        <f t="shared" ca="1" si="151"/>
        <v>-39873508.455140792</v>
      </c>
      <c r="L2635" s="455">
        <f t="shared" ca="1" si="152"/>
        <v>-9609515537.6889305</v>
      </c>
      <c r="M2635" s="471">
        <f t="shared" si="154"/>
        <v>0.05</v>
      </c>
      <c r="N2635" s="475">
        <f t="shared" si="155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53"/>
        <v>-9609515537.6889305</v>
      </c>
      <c r="J2636" s="455">
        <f t="array" ref="J2636">IFERROR(INDEX('Retirement Calculator'!J:J,MATCH('Isaac 401k'!N2636,'Retirement Calculator'!A:A,0),0),0)</f>
        <v>0</v>
      </c>
      <c r="K2636" s="455">
        <f t="shared" ca="1" si="151"/>
        <v>-40039648.073703878</v>
      </c>
      <c r="L2636" s="455">
        <f t="shared" ca="1" si="152"/>
        <v>-9649555185.7626343</v>
      </c>
      <c r="M2636" s="471">
        <f t="shared" si="154"/>
        <v>0.05</v>
      </c>
      <c r="N2636" s="475">
        <f t="shared" si="155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53"/>
        <v>-9649555185.7626343</v>
      </c>
      <c r="J2637" s="455">
        <f t="array" ref="J2637">IFERROR(INDEX('Retirement Calculator'!J:J,MATCH('Isaac 401k'!N2637,'Retirement Calculator'!A:A,0),0),0)</f>
        <v>0</v>
      </c>
      <c r="K2637" s="455">
        <f t="shared" ca="1" si="151"/>
        <v>-40206479.940677643</v>
      </c>
      <c r="L2637" s="455">
        <f t="shared" ca="1" si="152"/>
        <v>-9689761665.7033119</v>
      </c>
      <c r="M2637" s="471">
        <f t="shared" si="154"/>
        <v>0.05</v>
      </c>
      <c r="N2637" s="475">
        <f t="shared" si="155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53"/>
        <v>-9689761665.7033119</v>
      </c>
      <c r="J2638" s="455">
        <f t="array" ref="J2638">IFERROR(INDEX('Retirement Calculator'!J:J,MATCH('Isaac 401k'!N2638,'Retirement Calculator'!A:A,0),0),0)</f>
        <v>0</v>
      </c>
      <c r="K2638" s="455">
        <f t="shared" ca="1" si="151"/>
        <v>-40374006.940430462</v>
      </c>
      <c r="L2638" s="455">
        <f t="shared" ca="1" si="152"/>
        <v>-9730135672.6437416</v>
      </c>
      <c r="M2638" s="471">
        <f t="shared" si="154"/>
        <v>0.05</v>
      </c>
      <c r="N2638" s="475">
        <f t="shared" si="155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53"/>
        <v>-9730135672.6437416</v>
      </c>
      <c r="J2639" s="455">
        <f t="array" ref="J2639">IFERROR(INDEX('Retirement Calculator'!J:J,MATCH('Isaac 401k'!N2639,'Retirement Calculator'!A:A,0),0),0)</f>
        <v>0</v>
      </c>
      <c r="K2639" s="455">
        <f t="shared" ca="1" si="151"/>
        <v>-40542231.969348922</v>
      </c>
      <c r="L2639" s="455">
        <f t="shared" ca="1" si="152"/>
        <v>-9770677904.6130905</v>
      </c>
      <c r="M2639" s="471">
        <f t="shared" si="154"/>
        <v>0.05</v>
      </c>
      <c r="N2639" s="475">
        <f t="shared" si="155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53"/>
        <v>-9770677904.6130905</v>
      </c>
      <c r="J2640" s="455">
        <f t="array" ref="J2640">IFERROR(INDEX('Retirement Calculator'!J:J,MATCH('Isaac 401k'!N2640,'Retirement Calculator'!A:A,0),0),0)</f>
        <v>0</v>
      </c>
      <c r="K2640" s="455">
        <f t="shared" ca="1" si="151"/>
        <v>-40711157.935887873</v>
      </c>
      <c r="L2640" s="455">
        <f t="shared" ca="1" si="152"/>
        <v>-9811389062.5489788</v>
      </c>
      <c r="M2640" s="471">
        <f t="shared" si="154"/>
        <v>0.05</v>
      </c>
      <c r="N2640" s="475">
        <f t="shared" si="155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53"/>
        <v>-9811389062.5489788</v>
      </c>
      <c r="J2641" s="455">
        <f t="array" ref="J2641">IFERROR(INDEX('Retirement Calculator'!J:J,MATCH('Isaac 401k'!N2641,'Retirement Calculator'!A:A,0),0),0)</f>
        <v>0</v>
      </c>
      <c r="K2641" s="455">
        <f t="shared" ca="1" si="151"/>
        <v>-40880787.760620743</v>
      </c>
      <c r="L2641" s="455">
        <f t="shared" ca="1" si="152"/>
        <v>-9852269850.3095989</v>
      </c>
      <c r="M2641" s="471">
        <f t="shared" si="154"/>
        <v>0.05</v>
      </c>
      <c r="N2641" s="475">
        <f t="shared" si="155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53"/>
        <v>-9852269850.3095989</v>
      </c>
      <c r="J2642" s="455">
        <f t="array" ref="J2642">IFERROR(INDEX('Retirement Calculator'!J:J,MATCH('Isaac 401k'!N2642,'Retirement Calculator'!A:A,0),0),0)</f>
        <v>0</v>
      </c>
      <c r="K2642" s="455">
        <f t="shared" ca="1" si="151"/>
        <v>-41051124.376289994</v>
      </c>
      <c r="L2642" s="455">
        <f t="shared" ca="1" si="152"/>
        <v>-9893320974.6858883</v>
      </c>
      <c r="M2642" s="471">
        <f t="shared" si="154"/>
        <v>0.05</v>
      </c>
      <c r="N2642" s="475">
        <f t="shared" si="155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53"/>
        <v>-9893320974.6858883</v>
      </c>
      <c r="J2643" s="455">
        <f t="array" ref="J2643">IFERROR(INDEX('Retirement Calculator'!J:J,MATCH('Isaac 401k'!N2643,'Retirement Calculator'!A:A,0),0),0)</f>
        <v>0</v>
      </c>
      <c r="K2643" s="455">
        <f t="shared" ca="1" si="151"/>
        <v>-41222170.727857865</v>
      </c>
      <c r="L2643" s="455">
        <f t="shared" ca="1" si="152"/>
        <v>-9934543145.4137459</v>
      </c>
      <c r="M2643" s="471">
        <f t="shared" si="154"/>
        <v>0.05</v>
      </c>
      <c r="N2643" s="475">
        <f t="shared" si="155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53"/>
        <v>-9934543145.4137459</v>
      </c>
      <c r="J2644" s="455">
        <f t="array" ref="J2644">IFERROR(INDEX('Retirement Calculator'!J:J,MATCH('Isaac 401k'!N2644,'Retirement Calculator'!A:A,0),0),0)</f>
        <v>0</v>
      </c>
      <c r="K2644" s="455">
        <f t="shared" ca="1" si="151"/>
        <v>-41393929.772557274</v>
      </c>
      <c r="L2644" s="455">
        <f t="shared" ca="1" si="152"/>
        <v>-9975937075.1863041</v>
      </c>
      <c r="M2644" s="471">
        <f t="shared" si="154"/>
        <v>0.05</v>
      </c>
      <c r="N2644" s="475">
        <f t="shared" si="155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53"/>
        <v>-9975937075.1863041</v>
      </c>
      <c r="J2645" s="455">
        <f t="array" ref="J2645">IFERROR(INDEX('Retirement Calculator'!J:J,MATCH('Isaac 401k'!N2645,'Retirement Calculator'!A:A,0),0),0)</f>
        <v>0</v>
      </c>
      <c r="K2645" s="455">
        <f t="shared" ca="1" si="151"/>
        <v>-41566404.479942933</v>
      </c>
      <c r="L2645" s="455">
        <f t="shared" ca="1" si="152"/>
        <v>-10017503479.666246</v>
      </c>
      <c r="M2645" s="471">
        <f t="shared" si="154"/>
        <v>0.05</v>
      </c>
      <c r="N2645" s="475">
        <f t="shared" si="155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53"/>
        <v>-10017503479.666246</v>
      </c>
      <c r="J2646" s="455">
        <f t="array" ref="J2646">IFERROR(INDEX('Retirement Calculator'!J:J,MATCH('Isaac 401k'!N2646,'Retirement Calculator'!A:A,0),0),0)</f>
        <v>0</v>
      </c>
      <c r="K2646" s="455">
        <f t="shared" ca="1" si="151"/>
        <v>-41739597.831942692</v>
      </c>
      <c r="L2646" s="455">
        <f t="shared" ca="1" si="152"/>
        <v>-10059243077.49819</v>
      </c>
      <c r="M2646" s="471">
        <f t="shared" si="154"/>
        <v>0.05</v>
      </c>
      <c r="N2646" s="475">
        <f t="shared" si="155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53"/>
        <v>-10059243077.49819</v>
      </c>
      <c r="J2647" s="455">
        <f t="array" ref="J2647">IFERROR(INDEX('Retirement Calculator'!J:J,MATCH('Isaac 401k'!N2647,'Retirement Calculator'!A:A,0),0),0)</f>
        <v>0</v>
      </c>
      <c r="K2647" s="455">
        <f t="shared" ca="1" si="151"/>
        <v>-41913512.822909124</v>
      </c>
      <c r="L2647" s="455">
        <f t="shared" ca="1" si="152"/>
        <v>-10101156590.321098</v>
      </c>
      <c r="M2647" s="471">
        <f t="shared" si="154"/>
        <v>0.05</v>
      </c>
      <c r="N2647" s="475">
        <f t="shared" si="155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53"/>
        <v>-10101156590.321098</v>
      </c>
      <c r="J2648" s="455">
        <f t="array" ref="J2648">IFERROR(INDEX('Retirement Calculator'!J:J,MATCH('Isaac 401k'!N2648,'Retirement Calculator'!A:A,0),0),0)</f>
        <v>0</v>
      </c>
      <c r="K2648" s="455">
        <f t="shared" ca="1" si="151"/>
        <v>-42088152.459671244</v>
      </c>
      <c r="L2648" s="455">
        <f t="shared" ca="1" si="152"/>
        <v>-10143244742.780769</v>
      </c>
      <c r="M2648" s="471">
        <f t="shared" si="154"/>
        <v>0.05</v>
      </c>
      <c r="N2648" s="475">
        <f t="shared" si="155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53"/>
        <v>-10143244742.780769</v>
      </c>
      <c r="J2649" s="455">
        <f t="array" ref="J2649">IFERROR(INDEX('Retirement Calculator'!J:J,MATCH('Isaac 401k'!N2649,'Retirement Calculator'!A:A,0),0),0)</f>
        <v>0</v>
      </c>
      <c r="K2649" s="455">
        <f t="shared" ca="1" si="151"/>
        <v>-42263519.761586539</v>
      </c>
      <c r="L2649" s="455">
        <f t="shared" ca="1" si="152"/>
        <v>-10185508262.542356</v>
      </c>
      <c r="M2649" s="471">
        <f t="shared" si="154"/>
        <v>0.05</v>
      </c>
      <c r="N2649" s="475">
        <f t="shared" si="155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53"/>
        <v>-10185508262.542356</v>
      </c>
      <c r="J2650" s="455">
        <f t="array" ref="J2650">IFERROR(INDEX('Retirement Calculator'!J:J,MATCH('Isaac 401k'!N2650,'Retirement Calculator'!A:A,0),0),0)</f>
        <v>0</v>
      </c>
      <c r="K2650" s="455">
        <f t="shared" ca="1" si="151"/>
        <v>-42439617.760593154</v>
      </c>
      <c r="L2650" s="455">
        <f t="shared" ca="1" si="152"/>
        <v>-10227947880.30295</v>
      </c>
      <c r="M2650" s="471">
        <f t="shared" si="154"/>
        <v>0.05</v>
      </c>
      <c r="N2650" s="475">
        <f t="shared" si="155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53"/>
        <v>-10227947880.30295</v>
      </c>
      <c r="J2651" s="455">
        <f t="array" ref="J2651">IFERROR(INDEX('Retirement Calculator'!J:J,MATCH('Isaac 401k'!N2651,'Retirement Calculator'!A:A,0),0),0)</f>
        <v>0</v>
      </c>
      <c r="K2651" s="455">
        <f t="shared" ca="1" si="151"/>
        <v>-42616449.501262292</v>
      </c>
      <c r="L2651" s="455">
        <f t="shared" ca="1" si="152"/>
        <v>-10270564329.804213</v>
      </c>
      <c r="M2651" s="471">
        <f t="shared" si="154"/>
        <v>0.05</v>
      </c>
      <c r="N2651" s="475">
        <f t="shared" si="155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53"/>
        <v>-10270564329.804213</v>
      </c>
      <c r="J2652" s="455">
        <f t="array" ref="J2652">IFERROR(INDEX('Retirement Calculator'!J:J,MATCH('Isaac 401k'!N2652,'Retirement Calculator'!A:A,0),0),0)</f>
        <v>0</v>
      </c>
      <c r="K2652" s="455">
        <f t="shared" ca="1" si="151"/>
        <v>-42794018.040850885</v>
      </c>
      <c r="L2652" s="455">
        <f t="shared" ca="1" si="152"/>
        <v>-10313358347.845064</v>
      </c>
      <c r="M2652" s="471">
        <f t="shared" si="154"/>
        <v>0.05</v>
      </c>
      <c r="N2652" s="475">
        <f t="shared" si="155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53"/>
        <v>-10313358347.845064</v>
      </c>
      <c r="J2653" s="455">
        <f t="array" ref="J2653">IFERROR(INDEX('Retirement Calculator'!J:J,MATCH('Isaac 401k'!N2653,'Retirement Calculator'!A:A,0),0),0)</f>
        <v>0</v>
      </c>
      <c r="K2653" s="455">
        <f t="shared" ca="1" si="151"/>
        <v>-42972326.449354433</v>
      </c>
      <c r="L2653" s="455">
        <f t="shared" ca="1" si="152"/>
        <v>-10356330674.294418</v>
      </c>
      <c r="M2653" s="471">
        <f t="shared" si="154"/>
        <v>0.05</v>
      </c>
      <c r="N2653" s="475">
        <f t="shared" si="155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53"/>
        <v>-10356330674.294418</v>
      </c>
      <c r="J2654" s="455">
        <f t="array" ref="J2654">IFERROR(INDEX('Retirement Calculator'!J:J,MATCH('Isaac 401k'!N2654,'Retirement Calculator'!A:A,0),0),0)</f>
        <v>0</v>
      </c>
      <c r="K2654" s="455">
        <f t="shared" ca="1" si="151"/>
        <v>-43151377.809560075</v>
      </c>
      <c r="L2654" s="455">
        <f t="shared" ca="1" si="152"/>
        <v>-10399482052.103979</v>
      </c>
      <c r="M2654" s="471">
        <f t="shared" si="154"/>
        <v>0.05</v>
      </c>
      <c r="N2654" s="475">
        <f t="shared" si="155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53"/>
        <v>-10399482052.103979</v>
      </c>
      <c r="J2655" s="455">
        <f t="array" ref="J2655">IFERROR(INDEX('Retirement Calculator'!J:J,MATCH('Isaac 401k'!N2655,'Retirement Calculator'!A:A,0),0),0)</f>
        <v>0</v>
      </c>
      <c r="K2655" s="455">
        <f t="shared" ca="1" si="151"/>
        <v>-43331175.217099912</v>
      </c>
      <c r="L2655" s="455">
        <f t="shared" ca="1" si="152"/>
        <v>-10442813227.321079</v>
      </c>
      <c r="M2655" s="471">
        <f t="shared" si="154"/>
        <v>0.05</v>
      </c>
      <c r="N2655" s="475">
        <f t="shared" si="155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53"/>
        <v>-10442813227.321079</v>
      </c>
      <c r="J2656" s="455">
        <f t="array" ref="J2656">IFERROR(INDEX('Retirement Calculator'!J:J,MATCH('Isaac 401k'!N2656,'Retirement Calculator'!A:A,0),0),0)</f>
        <v>0</v>
      </c>
      <c r="K2656" s="455">
        <f t="shared" ca="1" si="151"/>
        <v>-43511721.780504495</v>
      </c>
      <c r="L2656" s="455">
        <f t="shared" ca="1" si="152"/>
        <v>-10486324949.101583</v>
      </c>
      <c r="M2656" s="471">
        <f t="shared" si="154"/>
        <v>0.05</v>
      </c>
      <c r="N2656" s="475">
        <f t="shared" si="155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53"/>
        <v>-10486324949.101583</v>
      </c>
      <c r="J2657" s="455">
        <f t="array" ref="J2657">IFERROR(INDEX('Retirement Calculator'!J:J,MATCH('Isaac 401k'!N2657,'Retirement Calculator'!A:A,0),0),0)</f>
        <v>0</v>
      </c>
      <c r="K2657" s="455">
        <f t="shared" ca="1" si="151"/>
        <v>-43693020.621256597</v>
      </c>
      <c r="L2657" s="455">
        <f t="shared" ca="1" si="152"/>
        <v>-10530017969.722839</v>
      </c>
      <c r="M2657" s="471">
        <f t="shared" si="154"/>
        <v>0.05</v>
      </c>
      <c r="N2657" s="475">
        <f t="shared" si="155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53"/>
        <v>-10530017969.722839</v>
      </c>
      <c r="J2658" s="455">
        <f t="array" ref="J2658">IFERROR(INDEX('Retirement Calculator'!J:J,MATCH('Isaac 401k'!N2658,'Retirement Calculator'!A:A,0),0),0)</f>
        <v>0</v>
      </c>
      <c r="K2658" s="455">
        <f t="shared" ca="1" si="151"/>
        <v>-43875074.87384516</v>
      </c>
      <c r="L2658" s="455">
        <f t="shared" ca="1" si="152"/>
        <v>-10573893044.596685</v>
      </c>
      <c r="M2658" s="471">
        <f t="shared" si="154"/>
        <v>0.05</v>
      </c>
      <c r="N2658" s="475">
        <f t="shared" si="155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53"/>
        <v>-10573893044.596685</v>
      </c>
      <c r="J2659" s="455">
        <f t="array" ref="J2659">IFERROR(INDEX('Retirement Calculator'!J:J,MATCH('Isaac 401k'!N2659,'Retirement Calculator'!A:A,0),0),0)</f>
        <v>0</v>
      </c>
      <c r="K2659" s="455">
        <f t="shared" ca="1" si="151"/>
        <v>-44057887.685819522</v>
      </c>
      <c r="L2659" s="455">
        <f t="shared" ca="1" si="152"/>
        <v>-10617950932.282505</v>
      </c>
      <c r="M2659" s="471">
        <f t="shared" si="154"/>
        <v>0.05</v>
      </c>
      <c r="N2659" s="475">
        <f t="shared" si="155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53"/>
        <v>-10617950932.282505</v>
      </c>
      <c r="J2660" s="455">
        <f t="array" ref="J2660">IFERROR(INDEX('Retirement Calculator'!J:J,MATCH('Isaac 401k'!N2660,'Retirement Calculator'!A:A,0),0),0)</f>
        <v>0</v>
      </c>
      <c r="K2660" s="455">
        <f t="shared" ca="1" si="151"/>
        <v>-44241462.217843771</v>
      </c>
      <c r="L2660" s="455">
        <f t="shared" ca="1" si="152"/>
        <v>-10662192394.500349</v>
      </c>
      <c r="M2660" s="471">
        <f t="shared" si="154"/>
        <v>0.05</v>
      </c>
      <c r="N2660" s="475">
        <f t="shared" si="155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53"/>
        <v>-10662192394.500349</v>
      </c>
      <c r="J2661" s="455">
        <f t="array" ref="J2661">IFERROR(INDEX('Retirement Calculator'!J:J,MATCH('Isaac 401k'!N2661,'Retirement Calculator'!A:A,0),0),0)</f>
        <v>0</v>
      </c>
      <c r="K2661" s="455">
        <f t="shared" ca="1" si="151"/>
        <v>-44425801.643751457</v>
      </c>
      <c r="L2661" s="455">
        <f t="shared" ca="1" si="152"/>
        <v>-10706618196.1441</v>
      </c>
      <c r="M2661" s="471">
        <f t="shared" si="154"/>
        <v>0.05</v>
      </c>
      <c r="N2661" s="475">
        <f t="shared" si="155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53"/>
        <v>-10706618196.1441</v>
      </c>
      <c r="J2662" s="455">
        <f t="array" ref="J2662">IFERROR(INDEX('Retirement Calculator'!J:J,MATCH('Isaac 401k'!N2662,'Retirement Calculator'!A:A,0),0),0)</f>
        <v>0</v>
      </c>
      <c r="K2662" s="455">
        <f t="shared" ca="1" si="151"/>
        <v>-44610909.150600418</v>
      </c>
      <c r="L2662" s="455">
        <f t="shared" ca="1" si="152"/>
        <v>-10751229105.294701</v>
      </c>
      <c r="M2662" s="471">
        <f t="shared" si="154"/>
        <v>0.05</v>
      </c>
      <c r="N2662" s="475">
        <f t="shared" si="155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53"/>
        <v>-10751229105.294701</v>
      </c>
      <c r="J2663" s="455">
        <f t="array" ref="J2663">IFERROR(INDEX('Retirement Calculator'!J:J,MATCH('Isaac 401k'!N2663,'Retirement Calculator'!A:A,0),0),0)</f>
        <v>0</v>
      </c>
      <c r="K2663" s="455">
        <f t="shared" ca="1" si="151"/>
        <v>-44796787.938727915</v>
      </c>
      <c r="L2663" s="455">
        <f t="shared" ca="1" si="152"/>
        <v>-10796025893.233429</v>
      </c>
      <c r="M2663" s="471">
        <f t="shared" si="154"/>
        <v>0.05</v>
      </c>
      <c r="N2663" s="475">
        <f t="shared" si="155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53"/>
        <v>-10796025893.233429</v>
      </c>
      <c r="J2664" s="455">
        <f t="array" ref="J2664">IFERROR(INDEX('Retirement Calculator'!J:J,MATCH('Isaac 401k'!N2664,'Retirement Calculator'!A:A,0),0),0)</f>
        <v>0</v>
      </c>
      <c r="K2664" s="455">
        <f t="shared" ca="1" si="151"/>
        <v>-44983441.221805952</v>
      </c>
      <c r="L2664" s="455">
        <f t="shared" ca="1" si="152"/>
        <v>-10841009334.455235</v>
      </c>
      <c r="M2664" s="471">
        <f t="shared" si="154"/>
        <v>0.05</v>
      </c>
      <c r="N2664" s="475">
        <f t="shared" si="155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53"/>
        <v>-10841009334.455235</v>
      </c>
      <c r="J2665" s="455">
        <f t="array" ref="J2665">IFERROR(INDEX('Retirement Calculator'!J:J,MATCH('Isaac 401k'!N2665,'Retirement Calculator'!A:A,0),0),0)</f>
        <v>0</v>
      </c>
      <c r="K2665" s="455">
        <f t="shared" ca="1" si="151"/>
        <v>-45170872.226896808</v>
      </c>
      <c r="L2665" s="455">
        <f t="shared" ca="1" si="152"/>
        <v>-10886180206.682131</v>
      </c>
      <c r="M2665" s="471">
        <f t="shared" si="154"/>
        <v>0.05</v>
      </c>
      <c r="N2665" s="475">
        <f t="shared" si="155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53"/>
        <v>-10886180206.682131</v>
      </c>
      <c r="J2666" s="455">
        <f t="array" ref="J2666">IFERROR(INDEX('Retirement Calculator'!J:J,MATCH('Isaac 401k'!N2666,'Retirement Calculator'!A:A,0),0),0)</f>
        <v>0</v>
      </c>
      <c r="K2666" s="455">
        <f t="shared" ca="1" si="151"/>
        <v>-45359084.19450888</v>
      </c>
      <c r="L2666" s="455">
        <f t="shared" ca="1" si="152"/>
        <v>-10931539290.87664</v>
      </c>
      <c r="M2666" s="471">
        <f t="shared" si="154"/>
        <v>0.05</v>
      </c>
      <c r="N2666" s="475">
        <f t="shared" si="155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53"/>
        <v>-10931539290.87664</v>
      </c>
      <c r="J2667" s="455">
        <f t="array" ref="J2667">IFERROR(INDEX('Retirement Calculator'!J:J,MATCH('Isaac 401k'!N2667,'Retirement Calculator'!A:A,0),0),0)</f>
        <v>0</v>
      </c>
      <c r="K2667" s="455">
        <f t="shared" ca="1" si="151"/>
        <v>-45548080.378652669</v>
      </c>
      <c r="L2667" s="455">
        <f t="shared" ca="1" si="152"/>
        <v>-10977087371.255293</v>
      </c>
      <c r="M2667" s="471">
        <f t="shared" si="154"/>
        <v>0.05</v>
      </c>
      <c r="N2667" s="475">
        <f t="shared" si="155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53"/>
        <v>-10977087371.255293</v>
      </c>
      <c r="J2668" s="455">
        <f t="array" ref="J2668">IFERROR(INDEX('Retirement Calculator'!J:J,MATCH('Isaac 401k'!N2668,'Retirement Calculator'!A:A,0),0),0)</f>
        <v>0</v>
      </c>
      <c r="K2668" s="455">
        <f t="shared" ca="1" si="151"/>
        <v>-45737864.046897054</v>
      </c>
      <c r="L2668" s="455">
        <f t="shared" ca="1" si="152"/>
        <v>-11022825235.302191</v>
      </c>
      <c r="M2668" s="471">
        <f t="shared" si="154"/>
        <v>0.05</v>
      </c>
      <c r="N2668" s="475">
        <f t="shared" si="155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53"/>
        <v>-11022825235.302191</v>
      </c>
      <c r="J2669" s="455">
        <f t="array" ref="J2669">IFERROR(INDEX('Retirement Calculator'!J:J,MATCH('Isaac 401k'!N2669,'Retirement Calculator'!A:A,0),0),0)</f>
        <v>0</v>
      </c>
      <c r="K2669" s="455">
        <f t="shared" ca="1" si="151"/>
        <v>-45928438.480425797</v>
      </c>
      <c r="L2669" s="455">
        <f t="shared" ca="1" si="152"/>
        <v>-11068753673.782616</v>
      </c>
      <c r="M2669" s="471">
        <f t="shared" si="154"/>
        <v>0.05</v>
      </c>
      <c r="N2669" s="475">
        <f t="shared" si="155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53"/>
        <v>-11068753673.782616</v>
      </c>
      <c r="J2670" s="455">
        <f t="array" ref="J2670">IFERROR(INDEX('Retirement Calculator'!J:J,MATCH('Isaac 401k'!N2670,'Retirement Calculator'!A:A,0),0),0)</f>
        <v>0</v>
      </c>
      <c r="K2670" s="455">
        <f t="shared" ca="1" si="151"/>
        <v>-46119806.974094234</v>
      </c>
      <c r="L2670" s="455">
        <f t="shared" ca="1" si="152"/>
        <v>-11114873480.75671</v>
      </c>
      <c r="M2670" s="471">
        <f t="shared" si="154"/>
        <v>0.05</v>
      </c>
      <c r="N2670" s="475">
        <f t="shared" si="155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53"/>
        <v>-11114873480.75671</v>
      </c>
      <c r="J2671" s="455">
        <f t="array" ref="J2671">IFERROR(INDEX('Retirement Calculator'!J:J,MATCH('Isaac 401k'!N2671,'Retirement Calculator'!A:A,0),0),0)</f>
        <v>0</v>
      </c>
      <c r="K2671" s="455">
        <f t="shared" ca="1" si="151"/>
        <v>-46311972.836486295</v>
      </c>
      <c r="L2671" s="455">
        <f t="shared" ca="1" si="152"/>
        <v>-11161185453.593197</v>
      </c>
      <c r="M2671" s="471">
        <f t="shared" si="154"/>
        <v>0.05</v>
      </c>
      <c r="N2671" s="475">
        <f t="shared" si="155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53"/>
        <v>-11161185453.593197</v>
      </c>
      <c r="J2672" s="455">
        <f t="array" ref="J2672">IFERROR(INDEX('Retirement Calculator'!J:J,MATCH('Isaac 401k'!N2672,'Retirement Calculator'!A:A,0),0),0)</f>
        <v>0</v>
      </c>
      <c r="K2672" s="455">
        <f t="shared" ca="1" si="151"/>
        <v>-46504939.389971651</v>
      </c>
      <c r="L2672" s="455">
        <f t="shared" ca="1" si="152"/>
        <v>-11207690392.983168</v>
      </c>
      <c r="M2672" s="471">
        <f t="shared" si="154"/>
        <v>0.05</v>
      </c>
      <c r="N2672" s="475">
        <f t="shared" si="155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53"/>
        <v>-11207690392.983168</v>
      </c>
      <c r="J2673" s="455">
        <f t="array" ref="J2673">IFERROR(INDEX('Retirement Calculator'!J:J,MATCH('Isaac 401k'!N2673,'Retirement Calculator'!A:A,0),0),0)</f>
        <v>0</v>
      </c>
      <c r="K2673" s="455">
        <f t="shared" ca="1" si="151"/>
        <v>-46698709.970763199</v>
      </c>
      <c r="L2673" s="455">
        <f t="shared" ca="1" si="152"/>
        <v>-11254389102.95393</v>
      </c>
      <c r="M2673" s="471">
        <f t="shared" si="154"/>
        <v>0.05</v>
      </c>
      <c r="N2673" s="475">
        <f t="shared" si="155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53"/>
        <v>-11254389102.95393</v>
      </c>
      <c r="J2674" s="455">
        <f t="array" ref="J2674">IFERROR(INDEX('Retirement Calculator'!J:J,MATCH('Isaac 401k'!N2674,'Retirement Calculator'!A:A,0),0),0)</f>
        <v>0</v>
      </c>
      <c r="K2674" s="455">
        <f t="shared" ca="1" si="151"/>
        <v>-46893287.92897471</v>
      </c>
      <c r="L2674" s="455">
        <f t="shared" ca="1" si="152"/>
        <v>-11301282390.882904</v>
      </c>
      <c r="M2674" s="471">
        <f t="shared" si="154"/>
        <v>0.05</v>
      </c>
      <c r="N2674" s="475">
        <f t="shared" si="155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53"/>
        <v>-11301282390.882904</v>
      </c>
      <c r="J2675" s="455">
        <f t="array" ref="J2675">IFERROR(INDEX('Retirement Calculator'!J:J,MATCH('Isaac 401k'!N2675,'Retirement Calculator'!A:A,0),0),0)</f>
        <v>0</v>
      </c>
      <c r="K2675" s="455">
        <f t="shared" ca="1" si="151"/>
        <v>-47088676.628678769</v>
      </c>
      <c r="L2675" s="455">
        <f t="shared" ca="1" si="152"/>
        <v>-11348371067.511583</v>
      </c>
      <c r="M2675" s="471">
        <f t="shared" si="154"/>
        <v>0.05</v>
      </c>
      <c r="N2675" s="475">
        <f t="shared" si="155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53"/>
        <v>-11348371067.511583</v>
      </c>
      <c r="J2676" s="455">
        <f t="array" ref="J2676">IFERROR(INDEX('Retirement Calculator'!J:J,MATCH('Isaac 401k'!N2676,'Retirement Calculator'!A:A,0),0),0)</f>
        <v>0</v>
      </c>
      <c r="K2676" s="455">
        <f t="shared" ca="1" si="151"/>
        <v>-47284879.447964929</v>
      </c>
      <c r="L2676" s="455">
        <f t="shared" ca="1" si="152"/>
        <v>-11395655946.959549</v>
      </c>
      <c r="M2676" s="471">
        <f t="shared" si="154"/>
        <v>0.05</v>
      </c>
      <c r="N2676" s="475">
        <f t="shared" si="155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53"/>
        <v>-11395655946.959549</v>
      </c>
      <c r="J2677" s="455">
        <f t="array" ref="J2677">IFERROR(INDEX('Retirement Calculator'!J:J,MATCH('Isaac 401k'!N2677,'Retirement Calculator'!A:A,0),0),0)</f>
        <v>0</v>
      </c>
      <c r="K2677" s="455">
        <f t="shared" ca="1" si="151"/>
        <v>-47481899.778998122</v>
      </c>
      <c r="L2677" s="455">
        <f t="shared" ca="1" si="152"/>
        <v>-11443137846.738546</v>
      </c>
      <c r="M2677" s="471">
        <f t="shared" si="154"/>
        <v>0.05</v>
      </c>
      <c r="N2677" s="475">
        <f t="shared" si="155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53"/>
        <v>-11443137846.738546</v>
      </c>
      <c r="J2678" s="455">
        <f t="array" ref="J2678">IFERROR(INDEX('Retirement Calculator'!J:J,MATCH('Isaac 401k'!N2678,'Retirement Calculator'!A:A,0),0),0)</f>
        <v>0</v>
      </c>
      <c r="K2678" s="455">
        <f t="shared" ca="1" si="151"/>
        <v>-47679741.028077275</v>
      </c>
      <c r="L2678" s="455">
        <f t="shared" ca="1" si="152"/>
        <v>-11490817587.766624</v>
      </c>
      <c r="M2678" s="471">
        <f t="shared" si="154"/>
        <v>0.05</v>
      </c>
      <c r="N2678" s="475">
        <f t="shared" si="155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53"/>
        <v>-11490817587.766624</v>
      </c>
      <c r="J2679" s="455">
        <f t="array" ref="J2679">IFERROR(INDEX('Retirement Calculator'!J:J,MATCH('Isaac 401k'!N2679,'Retirement Calculator'!A:A,0),0),0)</f>
        <v>0</v>
      </c>
      <c r="K2679" s="455">
        <f t="shared" ca="1" si="151"/>
        <v>-47878406.61569427</v>
      </c>
      <c r="L2679" s="455">
        <f t="shared" ca="1" si="152"/>
        <v>-11538695994.382318</v>
      </c>
      <c r="M2679" s="471">
        <f t="shared" si="154"/>
        <v>0.05</v>
      </c>
      <c r="N2679" s="475">
        <f t="shared" si="155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53"/>
        <v>-11538695994.382318</v>
      </c>
      <c r="J2680" s="455">
        <f t="array" ref="J2680">IFERROR(INDEX('Retirement Calculator'!J:J,MATCH('Isaac 401k'!N2680,'Retirement Calculator'!A:A,0),0),0)</f>
        <v>0</v>
      </c>
      <c r="K2680" s="455">
        <f t="shared" ca="1" si="151"/>
        <v>-48077899.976592995</v>
      </c>
      <c r="L2680" s="455">
        <f t="shared" ca="1" si="152"/>
        <v>-11586773894.358912</v>
      </c>
      <c r="M2680" s="471">
        <f t="shared" si="154"/>
        <v>0.05</v>
      </c>
      <c r="N2680" s="475">
        <f t="shared" si="155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53"/>
        <v>-11586773894.358912</v>
      </c>
      <c r="J2681" s="455">
        <f t="array" ref="J2681">IFERROR(INDEX('Retirement Calculator'!J:J,MATCH('Isaac 401k'!N2681,'Retirement Calculator'!A:A,0),0),0)</f>
        <v>0</v>
      </c>
      <c r="K2681" s="455">
        <f t="shared" ca="1" si="151"/>
        <v>-48278224.559828795</v>
      </c>
      <c r="L2681" s="455">
        <f t="shared" ca="1" si="152"/>
        <v>-11635052118.918741</v>
      </c>
      <c r="M2681" s="471">
        <f t="shared" si="154"/>
        <v>0.05</v>
      </c>
      <c r="N2681" s="475">
        <f t="shared" si="155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53"/>
        <v>-11635052118.918741</v>
      </c>
      <c r="J2682" s="455">
        <f t="array" ref="J2682">IFERROR(INDEX('Retirement Calculator'!J:J,MATCH('Isaac 401k'!N2682,'Retirement Calculator'!A:A,0),0),0)</f>
        <v>0</v>
      </c>
      <c r="K2682" s="455">
        <f t="shared" ca="1" si="151"/>
        <v>-48479383.828828089</v>
      </c>
      <c r="L2682" s="455">
        <f t="shared" ca="1" si="152"/>
        <v>-11683531502.74757</v>
      </c>
      <c r="M2682" s="471">
        <f t="shared" si="154"/>
        <v>0.05</v>
      </c>
      <c r="N2682" s="475">
        <f t="shared" si="155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53"/>
        <v>-11683531502.74757</v>
      </c>
      <c r="J2683" s="455">
        <f t="array" ref="J2683">IFERROR(INDEX('Retirement Calculator'!J:J,MATCH('Isaac 401k'!N2683,'Retirement Calculator'!A:A,0),0),0)</f>
        <v>0</v>
      </c>
      <c r="K2683" s="455">
        <f t="shared" ca="1" si="151"/>
        <v>-48681381.261448205</v>
      </c>
      <c r="L2683" s="455">
        <f t="shared" ca="1" si="152"/>
        <v>-11732212884.009018</v>
      </c>
      <c r="M2683" s="471">
        <f t="shared" si="154"/>
        <v>0.05</v>
      </c>
      <c r="N2683" s="475">
        <f t="shared" si="155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53"/>
        <v>-11732212884.009018</v>
      </c>
      <c r="J2684" s="455">
        <f t="array" ref="J2684">IFERROR(INDEX('Retirement Calculator'!J:J,MATCH('Isaac 401k'!N2684,'Retirement Calculator'!A:A,0),0),0)</f>
        <v>0</v>
      </c>
      <c r="K2684" s="455">
        <f t="shared" ca="1" si="151"/>
        <v>-48884220.350037575</v>
      </c>
      <c r="L2684" s="455">
        <f t="shared" ca="1" si="152"/>
        <v>-11781097104.359055</v>
      </c>
      <c r="M2684" s="471">
        <f t="shared" si="154"/>
        <v>0.05</v>
      </c>
      <c r="N2684" s="475">
        <f t="shared" si="155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53"/>
        <v>-11781097104.359055</v>
      </c>
      <c r="J2685" s="455">
        <f t="array" ref="J2685">IFERROR(INDEX('Retirement Calculator'!J:J,MATCH('Isaac 401k'!N2685,'Retirement Calculator'!A:A,0),0),0)</f>
        <v>0</v>
      </c>
      <c r="K2685" s="455">
        <f t="shared" ca="1" si="151"/>
        <v>-49087904.601496063</v>
      </c>
      <c r="L2685" s="455">
        <f t="shared" ca="1" si="152"/>
        <v>-11830185008.96055</v>
      </c>
      <c r="M2685" s="471">
        <f t="shared" si="154"/>
        <v>0.05</v>
      </c>
      <c r="N2685" s="475">
        <f t="shared" si="155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53"/>
        <v>-11830185008.96055</v>
      </c>
      <c r="J2686" s="455">
        <f t="array" ref="J2686">IFERROR(INDEX('Retirement Calculator'!J:J,MATCH('Isaac 401k'!N2686,'Retirement Calculator'!A:A,0),0),0)</f>
        <v>0</v>
      </c>
      <c r="K2686" s="455">
        <f t="shared" ca="1" si="151"/>
        <v>-49292437.537335627</v>
      </c>
      <c r="L2686" s="455">
        <f t="shared" ca="1" si="152"/>
        <v>-11879477446.497887</v>
      </c>
      <c r="M2686" s="471">
        <f t="shared" si="154"/>
        <v>0.05</v>
      </c>
      <c r="N2686" s="475">
        <f t="shared" si="155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53"/>
        <v>-11879477446.497887</v>
      </c>
      <c r="J2687" s="455">
        <f t="array" ref="J2687">IFERROR(INDEX('Retirement Calculator'!J:J,MATCH('Isaac 401k'!N2687,'Retirement Calculator'!A:A,0),0),0)</f>
        <v>0</v>
      </c>
      <c r="K2687" s="455">
        <f t="shared" ca="1" si="151"/>
        <v>-49497822.693741195</v>
      </c>
      <c r="L2687" s="455">
        <f t="shared" ca="1" si="152"/>
        <v>-11928975269.191628</v>
      </c>
      <c r="M2687" s="471">
        <f t="shared" si="154"/>
        <v>0.05</v>
      </c>
      <c r="N2687" s="475">
        <f t="shared" si="155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53"/>
        <v>-11928975269.191628</v>
      </c>
      <c r="J2688" s="455">
        <f t="array" ref="J2688">IFERROR(INDEX('Retirement Calculator'!J:J,MATCH('Isaac 401k'!N2688,'Retirement Calculator'!A:A,0),0),0)</f>
        <v>0</v>
      </c>
      <c r="K2688" s="455">
        <f t="shared" ca="1" si="151"/>
        <v>-49704063.621631779</v>
      </c>
      <c r="L2688" s="455">
        <f t="shared" ca="1" si="152"/>
        <v>-11978679332.813259</v>
      </c>
      <c r="M2688" s="471">
        <f t="shared" si="154"/>
        <v>0.05</v>
      </c>
      <c r="N2688" s="475">
        <f t="shared" si="155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53"/>
        <v>-11978679332.813259</v>
      </c>
      <c r="J2689" s="455">
        <f t="array" ref="J2689">IFERROR(INDEX('Retirement Calculator'!J:J,MATCH('Isaac 401k'!N2689,'Retirement Calculator'!A:A,0),0),0)</f>
        <v>0</v>
      </c>
      <c r="K2689" s="455">
        <f t="shared" ca="1" si="151"/>
        <v>-49911163.886721909</v>
      </c>
      <c r="L2689" s="455">
        <f t="shared" ca="1" si="152"/>
        <v>-12028590496.699982</v>
      </c>
      <c r="M2689" s="471">
        <f t="shared" si="154"/>
        <v>0.05</v>
      </c>
      <c r="N2689" s="475">
        <f t="shared" si="155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53"/>
        <v>-12028590496.699982</v>
      </c>
      <c r="J2690" s="455">
        <f t="array" ref="J2690">IFERROR(INDEX('Retirement Calculator'!J:J,MATCH('Isaac 401k'!N2690,'Retirement Calculator'!A:A,0),0),0)</f>
        <v>0</v>
      </c>
      <c r="K2690" s="455">
        <f t="shared" ca="1" si="151"/>
        <v>-50119127.06958326</v>
      </c>
      <c r="L2690" s="455">
        <f t="shared" ca="1" si="152"/>
        <v>-12078709623.769566</v>
      </c>
      <c r="M2690" s="471">
        <f t="shared" si="154"/>
        <v>0.05</v>
      </c>
      <c r="N2690" s="475">
        <f t="shared" si="155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53"/>
        <v>-12078709623.769566</v>
      </c>
      <c r="J2691" s="455">
        <f t="array" ref="J2691">IFERROR(INDEX('Retirement Calculator'!J:J,MATCH('Isaac 401k'!N2691,'Retirement Calculator'!A:A,0),0),0)</f>
        <v>0</v>
      </c>
      <c r="K2691" s="455">
        <f t="shared" ca="1" si="151"/>
        <v>-50327956.765706524</v>
      </c>
      <c r="L2691" s="455">
        <f t="shared" ca="1" si="152"/>
        <v>-12129037580.535273</v>
      </c>
      <c r="M2691" s="471">
        <f t="shared" si="154"/>
        <v>0.05</v>
      </c>
      <c r="N2691" s="475">
        <f t="shared" si="155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53"/>
        <v>-12129037580.535273</v>
      </c>
      <c r="J2692" s="455">
        <f t="array" ref="J2692">IFERROR(INDEX('Retirement Calculator'!J:J,MATCH('Isaac 401k'!N2692,'Retirement Calculator'!A:A,0),0),0)</f>
        <v>0</v>
      </c>
      <c r="K2692" s="455">
        <f t="shared" ca="1" si="151"/>
        <v>-50537656.585563637</v>
      </c>
      <c r="L2692" s="455">
        <f t="shared" ca="1" si="152"/>
        <v>-12179575237.120836</v>
      </c>
      <c r="M2692" s="471">
        <f t="shared" si="154"/>
        <v>0.05</v>
      </c>
      <c r="N2692" s="475">
        <f t="shared" si="155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53"/>
        <v>-12179575237.120836</v>
      </c>
      <c r="J2693" s="455">
        <f t="array" ref="J2693">IFERROR(INDEX('Retirement Calculator'!J:J,MATCH('Isaac 401k'!N2693,'Retirement Calculator'!A:A,0),0),0)</f>
        <v>0</v>
      </c>
      <c r="K2693" s="455">
        <f t="shared" ca="1" si="151"/>
        <v>-50748230.154670149</v>
      </c>
      <c r="L2693" s="455">
        <f t="shared" ca="1" si="152"/>
        <v>-12230323467.275507</v>
      </c>
      <c r="M2693" s="471">
        <f t="shared" si="154"/>
        <v>0.05</v>
      </c>
      <c r="N2693" s="475">
        <f t="shared" si="155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53"/>
        <v>-12230323467.275507</v>
      </c>
      <c r="J2694" s="455">
        <f t="array" ref="J2694">IFERROR(INDEX('Retirement Calculator'!J:J,MATCH('Isaac 401k'!N2694,'Retirement Calculator'!A:A,0),0),0)</f>
        <v>0</v>
      </c>
      <c r="K2694" s="455">
        <f t="shared" ca="1" si="151"/>
        <v>-50959681.113647945</v>
      </c>
      <c r="L2694" s="455">
        <f t="shared" ca="1" si="152"/>
        <v>-12281283148.389154</v>
      </c>
      <c r="M2694" s="471">
        <f t="shared" si="154"/>
        <v>0.05</v>
      </c>
      <c r="N2694" s="475">
        <f t="shared" si="155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53"/>
        <v>-12281283148.389154</v>
      </c>
      <c r="J2695" s="455">
        <f t="array" ref="J2695">IFERROR(INDEX('Retirement Calculator'!J:J,MATCH('Isaac 401k'!N2695,'Retirement Calculator'!A:A,0),0),0)</f>
        <v>0</v>
      </c>
      <c r="K2695" s="455">
        <f t="shared" ca="1" si="151"/>
        <v>-51172013.118288144</v>
      </c>
      <c r="L2695" s="455">
        <f t="shared" ca="1" si="152"/>
        <v>-12332455161.507442</v>
      </c>
      <c r="M2695" s="471">
        <f t="shared" si="154"/>
        <v>0.05</v>
      </c>
      <c r="N2695" s="475">
        <f t="shared" si="155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53"/>
        <v>-12332455161.507442</v>
      </c>
      <c r="J2696" s="455">
        <f t="array" ref="J2696">IFERROR(INDEX('Retirement Calculator'!J:J,MATCH('Isaac 401k'!N2696,'Retirement Calculator'!A:A,0),0),0)</f>
        <v>0</v>
      </c>
      <c r="K2696" s="455">
        <f t="shared" ca="1" si="151"/>
        <v>-51385229.839614347</v>
      </c>
      <c r="L2696" s="455">
        <f t="shared" ca="1" si="152"/>
        <v>-12383840391.347057</v>
      </c>
      <c r="M2696" s="471">
        <f t="shared" si="154"/>
        <v>0.05</v>
      </c>
      <c r="N2696" s="475">
        <f t="shared" si="155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53"/>
        <v>-12383840391.347057</v>
      </c>
      <c r="J2697" s="455">
        <f t="array" ref="J2697">IFERROR(INDEX('Retirement Calculator'!J:J,MATCH('Isaac 401k'!N2697,'Retirement Calculator'!A:A,0),0),0)</f>
        <v>0</v>
      </c>
      <c r="K2697" s="455">
        <f t="shared" ca="1" si="151"/>
        <v>-51599334.963946074</v>
      </c>
      <c r="L2697" s="455">
        <f t="shared" ca="1" si="152"/>
        <v>-12435439726.311003</v>
      </c>
      <c r="M2697" s="471">
        <f t="shared" si="154"/>
        <v>0.05</v>
      </c>
      <c r="N2697" s="475">
        <f t="shared" si="155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53"/>
        <v>-12435439726.311003</v>
      </c>
      <c r="J2698" s="455">
        <f t="array" ref="J2698">IFERROR(INDEX('Retirement Calculator'!J:J,MATCH('Isaac 401k'!N2698,'Retirement Calculator'!A:A,0),0),0)</f>
        <v>0</v>
      </c>
      <c r="K2698" s="455">
        <f t="shared" ca="1" si="151"/>
        <v>-51814332.192962512</v>
      </c>
      <c r="L2698" s="455">
        <f t="shared" ca="1" si="152"/>
        <v>-12487254058.503965</v>
      </c>
      <c r="M2698" s="471">
        <f t="shared" si="154"/>
        <v>0.05</v>
      </c>
      <c r="N2698" s="475">
        <f t="shared" si="155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53"/>
        <v>-12487254058.503965</v>
      </c>
      <c r="J2699" s="455">
        <f t="array" ref="J2699">IFERROR(INDEX('Retirement Calculator'!J:J,MATCH('Isaac 401k'!N2699,'Retirement Calculator'!A:A,0),0),0)</f>
        <v>0</v>
      </c>
      <c r="K2699" s="455">
        <f t="shared" ca="1" si="151"/>
        <v>-52030225.243766524</v>
      </c>
      <c r="L2699" s="455">
        <f t="shared" ca="1" si="152"/>
        <v>-12539284283.747732</v>
      </c>
      <c r="M2699" s="471">
        <f t="shared" si="154"/>
        <v>0.05</v>
      </c>
      <c r="N2699" s="475">
        <f t="shared" si="155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53"/>
        <v>-12539284283.747732</v>
      </c>
      <c r="J2700" s="455">
        <f t="array" ref="J2700">IFERROR(INDEX('Retirement Calculator'!J:J,MATCH('Isaac 401k'!N2700,'Retirement Calculator'!A:A,0),0),0)</f>
        <v>0</v>
      </c>
      <c r="K2700" s="455">
        <f t="shared" ca="1" si="151"/>
        <v>-52247017.848948881</v>
      </c>
      <c r="L2700" s="455">
        <f t="shared" ca="1" si="152"/>
        <v>-12591531301.596682</v>
      </c>
      <c r="M2700" s="471">
        <f t="shared" si="154"/>
        <v>0.05</v>
      </c>
      <c r="N2700" s="475">
        <f t="shared" si="155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53"/>
        <v>-12591531301.596682</v>
      </c>
      <c r="J2701" s="455">
        <f t="array" ref="J2701">IFERROR(INDEX('Retirement Calculator'!J:J,MATCH('Isaac 401k'!N2701,'Retirement Calculator'!A:A,0),0),0)</f>
        <v>0</v>
      </c>
      <c r="K2701" s="455">
        <f t="shared" ca="1" si="151"/>
        <v>-52464713.756652839</v>
      </c>
      <c r="L2701" s="455">
        <f t="shared" ca="1" si="152"/>
        <v>-12643996015.353334</v>
      </c>
      <c r="M2701" s="471">
        <f t="shared" si="154"/>
        <v>0.05</v>
      </c>
      <c r="N2701" s="475">
        <f t="shared" si="155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53"/>
        <v>-12643996015.353334</v>
      </c>
      <c r="J2702" s="455">
        <f t="array" ref="J2702">IFERROR(INDEX('Retirement Calculator'!J:J,MATCH('Isaac 401k'!N2702,'Retirement Calculator'!A:A,0),0),0)</f>
        <v>0</v>
      </c>
      <c r="K2702" s="455">
        <f t="shared" ca="1" si="151"/>
        <v>-52683316.730638891</v>
      </c>
      <c r="L2702" s="455">
        <f t="shared" ca="1" si="152"/>
        <v>-12696679332.083973</v>
      </c>
      <c r="M2702" s="471">
        <f t="shared" si="154"/>
        <v>0.05</v>
      </c>
      <c r="N2702" s="475">
        <f t="shared" si="155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53"/>
        <v>-12696679332.083973</v>
      </c>
      <c r="J2703" s="455">
        <f t="array" ref="J2703">IFERROR(INDEX('Retirement Calculator'!J:J,MATCH('Isaac 401k'!N2703,'Retirement Calculator'!A:A,0),0),0)</f>
        <v>0</v>
      </c>
      <c r="K2703" s="455">
        <f t="shared" ca="1" si="151"/>
        <v>-52902830.550349884</v>
      </c>
      <c r="L2703" s="455">
        <f t="shared" ca="1" si="152"/>
        <v>-12749582162.634323</v>
      </c>
      <c r="M2703" s="471">
        <f t="shared" si="154"/>
        <v>0.05</v>
      </c>
      <c r="N2703" s="475">
        <f t="shared" si="155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53"/>
        <v>-12749582162.634323</v>
      </c>
      <c r="J2704" s="455">
        <f t="array" ref="J2704">IFERROR(INDEX('Retirement Calculator'!J:J,MATCH('Isaac 401k'!N2704,'Retirement Calculator'!A:A,0),0),0)</f>
        <v>0</v>
      </c>
      <c r="K2704" s="455">
        <f t="shared" ca="1" si="151"/>
        <v>-53123259.010976344</v>
      </c>
      <c r="L2704" s="455">
        <f t="shared" ca="1" si="152"/>
        <v>-12802705421.6453</v>
      </c>
      <c r="M2704" s="471">
        <f t="shared" si="154"/>
        <v>0.05</v>
      </c>
      <c r="N2704" s="475">
        <f t="shared" si="155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53"/>
        <v>-12802705421.6453</v>
      </c>
      <c r="J2705" s="455">
        <f t="array" ref="J2705">IFERROR(INDEX('Retirement Calculator'!J:J,MATCH('Isaac 401k'!N2705,'Retirement Calculator'!A:A,0),0),0)</f>
        <v>0</v>
      </c>
      <c r="K2705" s="455">
        <f t="shared" ca="1" si="151"/>
        <v>-53344605.923522085</v>
      </c>
      <c r="L2705" s="455">
        <f t="shared" ca="1" si="152"/>
        <v>-12856050027.568823</v>
      </c>
      <c r="M2705" s="471">
        <f t="shared" si="154"/>
        <v>0.05</v>
      </c>
      <c r="N2705" s="475">
        <f t="shared" si="155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53"/>
        <v>-12856050027.568823</v>
      </c>
      <c r="J2706" s="455">
        <f t="array" ref="J2706">IFERROR(INDEX('Retirement Calculator'!J:J,MATCH('Isaac 401k'!N2706,'Retirement Calculator'!A:A,0),0),0)</f>
        <v>0</v>
      </c>
      <c r="K2706" s="455">
        <f t="shared" ca="1" si="151"/>
        <v>-53566875.114870094</v>
      </c>
      <c r="L2706" s="455">
        <f t="shared" ca="1" si="152"/>
        <v>-12909616902.683693</v>
      </c>
      <c r="M2706" s="471">
        <f t="shared" si="154"/>
        <v>0.05</v>
      </c>
      <c r="N2706" s="475">
        <f t="shared" si="155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53"/>
        <v>-12909616902.683693</v>
      </c>
      <c r="J2707" s="455">
        <f t="array" ref="J2707">IFERROR(INDEX('Retirement Calculator'!J:J,MATCH('Isaac 401k'!N2707,'Retirement Calculator'!A:A,0),0),0)</f>
        <v>0</v>
      </c>
      <c r="K2707" s="455">
        <f t="shared" ca="1" si="151"/>
        <v>-53790070.427848719</v>
      </c>
      <c r="L2707" s="455">
        <f t="shared" ca="1" si="152"/>
        <v>-12963406973.111542</v>
      </c>
      <c r="M2707" s="471">
        <f t="shared" si="154"/>
        <v>0.05</v>
      </c>
      <c r="N2707" s="475">
        <f t="shared" si="155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53"/>
        <v>-12963406973.111542</v>
      </c>
      <c r="J2708" s="455">
        <f t="array" ref="J2708">IFERROR(INDEX('Retirement Calculator'!J:J,MATCH('Isaac 401k'!N2708,'Retirement Calculator'!A:A,0),0),0)</f>
        <v>0</v>
      </c>
      <c r="K2708" s="455">
        <f t="shared" ca="1" si="151"/>
        <v>-54014195.721298091</v>
      </c>
      <c r="L2708" s="455">
        <f t="shared" ca="1" si="152"/>
        <v>-13017421168.83284</v>
      </c>
      <c r="M2708" s="471">
        <f t="shared" si="154"/>
        <v>0.05</v>
      </c>
      <c r="N2708" s="475">
        <f t="shared" si="155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53"/>
        <v>-13017421168.83284</v>
      </c>
      <c r="J2709" s="455">
        <f t="array" ref="J2709">IFERROR(INDEX('Retirement Calculator'!J:J,MATCH('Isaac 401k'!N2709,'Retirement Calculator'!A:A,0),0),0)</f>
        <v>0</v>
      </c>
      <c r="K2709" s="455">
        <f t="shared" ca="1" si="151"/>
        <v>-54239254.870136835</v>
      </c>
      <c r="L2709" s="455">
        <f t="shared" ca="1" si="152"/>
        <v>-13071660423.702976</v>
      </c>
      <c r="M2709" s="471">
        <f t="shared" si="154"/>
        <v>0.05</v>
      </c>
      <c r="N2709" s="475">
        <f t="shared" si="155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53"/>
        <v>-13071660423.702976</v>
      </c>
      <c r="J2710" s="455">
        <f t="array" ref="J2710">IFERROR(INDEX('Retirement Calculator'!J:J,MATCH('Isaac 401k'!N2710,'Retirement Calculator'!A:A,0),0),0)</f>
        <v>0</v>
      </c>
      <c r="K2710" s="455">
        <f t="shared" ca="1" si="151"/>
        <v>-54465251.765429065</v>
      </c>
      <c r="L2710" s="455">
        <f t="shared" ca="1" si="152"/>
        <v>-13126125675.468405</v>
      </c>
      <c r="M2710" s="471">
        <f t="shared" si="154"/>
        <v>0.05</v>
      </c>
      <c r="N2710" s="475">
        <f t="shared" si="155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53"/>
        <v>-13126125675.468405</v>
      </c>
      <c r="J2711" s="455">
        <f t="array" ref="J2711">IFERROR(INDEX('Retirement Calculator'!J:J,MATCH('Isaac 401k'!N2711,'Retirement Calculator'!A:A,0),0),0)</f>
        <v>0</v>
      </c>
      <c r="K2711" s="455">
        <f t="shared" ca="1" si="151"/>
        <v>-54692190.314451687</v>
      </c>
      <c r="L2711" s="455">
        <f t="shared" ca="1" si="152"/>
        <v>-13180817865.782856</v>
      </c>
      <c r="M2711" s="471">
        <f t="shared" si="154"/>
        <v>0.05</v>
      </c>
      <c r="N2711" s="475">
        <f t="shared" si="155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53"/>
        <v>-13180817865.782856</v>
      </c>
      <c r="J2712" s="455">
        <f t="array" ref="J2712">IFERROR(INDEX('Retirement Calculator'!J:J,MATCH('Isaac 401k'!N2712,'Retirement Calculator'!A:A,0),0),0)</f>
        <v>0</v>
      </c>
      <c r="K2712" s="455">
        <f t="shared" ca="1" si="151"/>
        <v>-54920074.440761901</v>
      </c>
      <c r="L2712" s="455">
        <f t="shared" ca="1" si="152"/>
        <v>-13235737940.223618</v>
      </c>
      <c r="M2712" s="471">
        <f t="shared" si="154"/>
        <v>0.05</v>
      </c>
      <c r="N2712" s="475">
        <f t="shared" si="155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53"/>
        <v>-13235737940.223618</v>
      </c>
      <c r="J2713" s="455">
        <f t="array" ref="J2713">IFERROR(INDEX('Retirement Calculator'!J:J,MATCH('Isaac 401k'!N2713,'Retirement Calculator'!A:A,0),0),0)</f>
        <v>0</v>
      </c>
      <c r="K2713" s="455">
        <f t="shared" ca="1" si="151"/>
        <v>-55148908.084265076</v>
      </c>
      <c r="L2713" s="455">
        <f t="shared" ca="1" si="152"/>
        <v>-13290886848.307882</v>
      </c>
      <c r="M2713" s="471">
        <f t="shared" si="154"/>
        <v>0.05</v>
      </c>
      <c r="N2713" s="475">
        <f t="shared" si="155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53"/>
        <v>-13290886848.307882</v>
      </c>
      <c r="J2714" s="455">
        <f t="array" ref="J2714">IFERROR(INDEX('Retirement Calculator'!J:J,MATCH('Isaac 401k'!N2714,'Retirement Calculator'!A:A,0),0),0)</f>
        <v>0</v>
      </c>
      <c r="K2714" s="455">
        <f t="shared" ca="1" si="151"/>
        <v>-55378695.201282844</v>
      </c>
      <c r="L2714" s="455">
        <f t="shared" ca="1" si="152"/>
        <v>-13346265543.509165</v>
      </c>
      <c r="M2714" s="471">
        <f t="shared" si="154"/>
        <v>0.05</v>
      </c>
      <c r="N2714" s="475">
        <f t="shared" si="155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53"/>
        <v>-13346265543.509165</v>
      </c>
      <c r="J2715" s="455">
        <f t="array" ref="J2715">IFERROR(INDEX('Retirement Calculator'!J:J,MATCH('Isaac 401k'!N2715,'Retirement Calculator'!A:A,0),0),0)</f>
        <v>0</v>
      </c>
      <c r="K2715" s="455">
        <f t="shared" ca="1" si="151"/>
        <v>-55609439.764621519</v>
      </c>
      <c r="L2715" s="455">
        <f t="shared" ca="1" si="152"/>
        <v>-13401874983.273787</v>
      </c>
      <c r="M2715" s="471">
        <f t="shared" si="154"/>
        <v>0.05</v>
      </c>
      <c r="N2715" s="475">
        <f t="shared" si="155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53"/>
        <v>-13401874983.273787</v>
      </c>
      <c r="J2716" s="455">
        <f t="array" ref="J2716">IFERROR(INDEX('Retirement Calculator'!J:J,MATCH('Isaac 401k'!N2716,'Retirement Calculator'!A:A,0),0),0)</f>
        <v>0</v>
      </c>
      <c r="K2716" s="455">
        <f t="shared" ca="1" si="151"/>
        <v>-55841145.763640784</v>
      </c>
      <c r="L2716" s="455">
        <f t="shared" ca="1" si="152"/>
        <v>-13457716129.037428</v>
      </c>
      <c r="M2716" s="471">
        <f t="shared" si="154"/>
        <v>0.05</v>
      </c>
      <c r="N2716" s="475">
        <f t="shared" si="155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53"/>
        <v>-13457716129.037428</v>
      </c>
      <c r="J2717" s="455">
        <f t="array" ref="J2717">IFERROR(INDEX('Retirement Calculator'!J:J,MATCH('Isaac 401k'!N2717,'Retirement Calculator'!A:A,0),0),0)</f>
        <v>0</v>
      </c>
      <c r="K2717" s="455">
        <f t="shared" ca="1" si="151"/>
        <v>-56073817.204322606</v>
      </c>
      <c r="L2717" s="455">
        <f t="shared" ca="1" si="152"/>
        <v>-13513789946.241751</v>
      </c>
      <c r="M2717" s="471">
        <f t="shared" si="154"/>
        <v>0.05</v>
      </c>
      <c r="N2717" s="475">
        <f t="shared" si="155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53"/>
        <v>-13513789946.241751</v>
      </c>
      <c r="J2718" s="455">
        <f t="array" ref="J2718">IFERROR(INDEX('Retirement Calculator'!J:J,MATCH('Isaac 401k'!N2718,'Retirement Calculator'!A:A,0),0),0)</f>
        <v>0</v>
      </c>
      <c r="K2718" s="455">
        <f t="shared" ca="1" si="151"/>
        <v>-56307458.10934063</v>
      </c>
      <c r="L2718" s="455">
        <f t="shared" ca="1" si="152"/>
        <v>-13570097404.351091</v>
      </c>
      <c r="M2718" s="471">
        <f t="shared" si="154"/>
        <v>0.05</v>
      </c>
      <c r="N2718" s="475">
        <f t="shared" si="155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53"/>
        <v>-13570097404.351091</v>
      </c>
      <c r="J2719" s="455">
        <f t="array" ref="J2719">IFERROR(INDEX('Retirement Calculator'!J:J,MATCH('Isaac 401k'!N2719,'Retirement Calculator'!A:A,0),0),0)</f>
        <v>0</v>
      </c>
      <c r="K2719" s="455">
        <f t="shared" ca="1" si="151"/>
        <v>-56542072.51812955</v>
      </c>
      <c r="L2719" s="455">
        <f t="shared" ca="1" si="152"/>
        <v>-13626639476.869221</v>
      </c>
      <c r="M2719" s="471">
        <f t="shared" si="154"/>
        <v>0.05</v>
      </c>
      <c r="N2719" s="475">
        <f t="shared" si="155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53"/>
        <v>-13626639476.869221</v>
      </c>
      <c r="J2720" s="455">
        <f t="array" ref="J2720">IFERROR(INDEX('Retirement Calculator'!J:J,MATCH('Isaac 401k'!N2720,'Retirement Calculator'!A:A,0),0),0)</f>
        <v>0</v>
      </c>
      <c r="K2720" s="455">
        <f t="shared" ca="1" si="151"/>
        <v>-56777664.486955084</v>
      </c>
      <c r="L2720" s="455">
        <f t="shared" ca="1" si="152"/>
        <v>-13683417141.356176</v>
      </c>
      <c r="M2720" s="471">
        <f t="shared" si="154"/>
        <v>0.05</v>
      </c>
      <c r="N2720" s="475">
        <f t="shared" si="155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53"/>
        <v>-13683417141.356176</v>
      </c>
      <c r="J2721" s="455">
        <f t="array" ref="J2721">IFERROR(INDEX('Retirement Calculator'!J:J,MATCH('Isaac 401k'!N2721,'Retirement Calculator'!A:A,0),0),0)</f>
        <v>0</v>
      </c>
      <c r="K2721" s="455">
        <f t="shared" ca="1" si="151"/>
        <v>-57014238.088984057</v>
      </c>
      <c r="L2721" s="455">
        <f t="shared" ca="1" si="152"/>
        <v>-13740431379.44516</v>
      </c>
      <c r="M2721" s="471">
        <f t="shared" si="154"/>
        <v>0.05</v>
      </c>
      <c r="N2721" s="475">
        <f t="shared" si="155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53"/>
        <v>-13740431379.44516</v>
      </c>
      <c r="J2722" s="455">
        <f t="array" ref="J2722">IFERROR(INDEX('Retirement Calculator'!J:J,MATCH('Isaac 401k'!N2722,'Retirement Calculator'!A:A,0),0),0)</f>
        <v>0</v>
      </c>
      <c r="K2722" s="455">
        <f t="shared" ca="1" si="151"/>
        <v>-57251797.414354831</v>
      </c>
      <c r="L2722" s="455">
        <f t="shared" ca="1" si="152"/>
        <v>-13797683176.859514</v>
      </c>
      <c r="M2722" s="471">
        <f t="shared" si="154"/>
        <v>0.05</v>
      </c>
      <c r="N2722" s="475">
        <f t="shared" si="155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53"/>
        <v>-13797683176.859514</v>
      </c>
      <c r="J2723" s="455">
        <f t="array" ref="J2723">IFERROR(INDEX('Retirement Calculator'!J:J,MATCH('Isaac 401k'!N2723,'Retirement Calculator'!A:A,0),0),0)</f>
        <v>0</v>
      </c>
      <c r="K2723" s="455">
        <f t="shared" ca="1" si="151"/>
        <v>-57490346.570247985</v>
      </c>
      <c r="L2723" s="455">
        <f t="shared" ca="1" si="152"/>
        <v>-13855173523.429762</v>
      </c>
      <c r="M2723" s="471">
        <f t="shared" si="154"/>
        <v>0.05</v>
      </c>
      <c r="N2723" s="475">
        <f t="shared" si="155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53"/>
        <v>-13855173523.429762</v>
      </c>
      <c r="J2724" s="455">
        <f t="array" ref="J2724">IFERROR(INDEX('Retirement Calculator'!J:J,MATCH('Isaac 401k'!N2724,'Retirement Calculator'!A:A,0),0),0)</f>
        <v>0</v>
      </c>
      <c r="K2724" s="455">
        <f t="shared" ca="1" si="151"/>
        <v>-57729889.68095734</v>
      </c>
      <c r="L2724" s="455">
        <f t="shared" ca="1" si="152"/>
        <v>-13912903413.11072</v>
      </c>
      <c r="M2724" s="471">
        <f t="shared" si="154"/>
        <v>0.05</v>
      </c>
      <c r="N2724" s="475">
        <f t="shared" si="155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53"/>
        <v>-13912903413.11072</v>
      </c>
      <c r="J2725" s="455">
        <f t="array" ref="J2725">IFERROR(INDEX('Retirement Calculator'!J:J,MATCH('Isaac 401k'!N2725,'Retirement Calculator'!A:A,0),0),0)</f>
        <v>0</v>
      </c>
      <c r="K2725" s="455">
        <f t="shared" ca="1" si="151"/>
        <v>-57970430.887961328</v>
      </c>
      <c r="L2725" s="455">
        <f t="shared" ca="1" si="152"/>
        <v>-13970873843.99868</v>
      </c>
      <c r="M2725" s="471">
        <f t="shared" si="154"/>
        <v>0.05</v>
      </c>
      <c r="N2725" s="475">
        <f t="shared" si="155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53"/>
        <v>-13970873843.99868</v>
      </c>
      <c r="J2726" s="455">
        <f t="array" ref="J2726">IFERROR(INDEX('Retirement Calculator'!J:J,MATCH('Isaac 401k'!N2726,'Retirement Calculator'!A:A,0),0),0)</f>
        <v>0</v>
      </c>
      <c r="K2726" s="455">
        <f t="shared" ca="1" si="151"/>
        <v>-58211974.349994503</v>
      </c>
      <c r="L2726" s="455">
        <f t="shared" ca="1" si="152"/>
        <v>-14029085818.348675</v>
      </c>
      <c r="M2726" s="471">
        <f t="shared" si="154"/>
        <v>0.05</v>
      </c>
      <c r="N2726" s="475">
        <f t="shared" si="155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53"/>
        <v>-14029085818.348675</v>
      </c>
      <c r="J2727" s="455">
        <f t="array" ref="J2727">IFERROR(INDEX('Retirement Calculator'!J:J,MATCH('Isaac 401k'!N2727,'Retirement Calculator'!A:A,0),0),0)</f>
        <v>0</v>
      </c>
      <c r="K2727" s="455">
        <f t="shared" ca="1" si="151"/>
        <v>-58454524.243119471</v>
      </c>
      <c r="L2727" s="455">
        <f t="shared" ca="1" si="152"/>
        <v>-14087540342.591795</v>
      </c>
      <c r="M2727" s="471">
        <f t="shared" si="154"/>
        <v>0.05</v>
      </c>
      <c r="N2727" s="475">
        <f t="shared" si="155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53"/>
        <v>-14087540342.591795</v>
      </c>
      <c r="J2728" s="455">
        <f t="array" ref="J2728">IFERROR(INDEX('Retirement Calculator'!J:J,MATCH('Isaac 401k'!N2728,'Retirement Calculator'!A:A,0),0),0)</f>
        <v>0</v>
      </c>
      <c r="K2728" s="455">
        <f t="shared" ca="1" si="151"/>
        <v>-58698084.760799147</v>
      </c>
      <c r="L2728" s="455">
        <f t="shared" ca="1" si="152"/>
        <v>-14146238427.352594</v>
      </c>
      <c r="M2728" s="471">
        <f t="shared" si="154"/>
        <v>0.05</v>
      </c>
      <c r="N2728" s="475">
        <f t="shared" si="155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53"/>
        <v>-14146238427.352594</v>
      </c>
      <c r="J2729" s="455">
        <f t="array" ref="J2729">IFERROR(INDEX('Retirement Calculator'!J:J,MATCH('Isaac 401k'!N2729,'Retirement Calculator'!A:A,0),0),0)</f>
        <v>0</v>
      </c>
      <c r="K2729" s="455">
        <f t="shared" ca="1" si="151"/>
        <v>-58942660.113969132</v>
      </c>
      <c r="L2729" s="455">
        <f t="shared" ca="1" si="152"/>
        <v>-14205181087.466564</v>
      </c>
      <c r="M2729" s="471">
        <f t="shared" si="154"/>
        <v>0.05</v>
      </c>
      <c r="N2729" s="475">
        <f t="shared" si="155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53"/>
        <v>-14205181087.466564</v>
      </c>
      <c r="J2730" s="455">
        <f t="array" ref="J2730">IFERROR(INDEX('Retirement Calculator'!J:J,MATCH('Isaac 401k'!N2730,'Retirement Calculator'!A:A,0),0),0)</f>
        <v>0</v>
      </c>
      <c r="K2730" s="455">
        <f t="shared" ca="1" si="151"/>
        <v>-59188254.531110682</v>
      </c>
      <c r="L2730" s="455">
        <f t="shared" ca="1" si="152"/>
        <v>-14264369341.997675</v>
      </c>
      <c r="M2730" s="471">
        <f t="shared" si="154"/>
        <v>0.05</v>
      </c>
      <c r="N2730" s="475">
        <f t="shared" si="155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53"/>
        <v>-14264369341.997675</v>
      </c>
      <c r="J2731" s="455">
        <f t="array" ref="J2731">IFERROR(INDEX('Retirement Calculator'!J:J,MATCH('Isaac 401k'!N2731,'Retirement Calculator'!A:A,0),0),0)</f>
        <v>0</v>
      </c>
      <c r="K2731" s="455">
        <f t="shared" ca="1" si="151"/>
        <v>-59434872.258323647</v>
      </c>
      <c r="L2731" s="455">
        <f t="shared" ca="1" si="152"/>
        <v>-14323804214.255999</v>
      </c>
      <c r="M2731" s="471">
        <f t="shared" si="154"/>
        <v>0.05</v>
      </c>
      <c r="N2731" s="475">
        <f t="shared" si="155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53"/>
        <v>-14323804214.255999</v>
      </c>
      <c r="J2732" s="455">
        <f t="array" ref="J2732">IFERROR(INDEX('Retirement Calculator'!J:J,MATCH('Isaac 401k'!N2732,'Retirement Calculator'!A:A,0),0),0)</f>
        <v>0</v>
      </c>
      <c r="K2732" s="455">
        <f t="shared" ca="1" si="151"/>
        <v>-59682517.559399985</v>
      </c>
      <c r="L2732" s="455">
        <f t="shared" ca="1" si="152"/>
        <v>-14383486731.815399</v>
      </c>
      <c r="M2732" s="471">
        <f t="shared" si="154"/>
        <v>0.05</v>
      </c>
      <c r="N2732" s="475">
        <f t="shared" si="155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53"/>
        <v>-14383486731.815399</v>
      </c>
      <c r="J2733" s="455">
        <f t="array" ref="J2733">IFERROR(INDEX('Retirement Calculator'!J:J,MATCH('Isaac 401k'!N2733,'Retirement Calculator'!A:A,0),0),0)</f>
        <v>0</v>
      </c>
      <c r="K2733" s="455">
        <f t="shared" ca="1" si="151"/>
        <v>-59931194.715897493</v>
      </c>
      <c r="L2733" s="455">
        <f t="shared" ca="1" si="152"/>
        <v>-14443417926.531296</v>
      </c>
      <c r="M2733" s="471">
        <f t="shared" si="154"/>
        <v>0.05</v>
      </c>
      <c r="N2733" s="475">
        <f t="shared" si="155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53"/>
        <v>-14443417926.531296</v>
      </c>
      <c r="J2734" s="455">
        <f t="array" ref="J2734">IFERROR(INDEX('Retirement Calculator'!J:J,MATCH('Isaac 401k'!N2734,'Retirement Calculator'!A:A,0),0),0)</f>
        <v>0</v>
      </c>
      <c r="K2734" s="455">
        <f t="shared" ca="1" si="151"/>
        <v>-60180908.02721373</v>
      </c>
      <c r="L2734" s="455">
        <f t="shared" ca="1" si="152"/>
        <v>-14503598834.55851</v>
      </c>
      <c r="M2734" s="471">
        <f t="shared" si="154"/>
        <v>0.05</v>
      </c>
      <c r="N2734" s="475">
        <f t="shared" si="155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53"/>
        <v>-14503598834.55851</v>
      </c>
      <c r="J2735" s="455">
        <f t="array" ref="J2735">IFERROR(INDEX('Retirement Calculator'!J:J,MATCH('Isaac 401k'!N2735,'Retirement Calculator'!A:A,0),0),0)</f>
        <v>0</v>
      </c>
      <c r="K2735" s="455">
        <f t="shared" ca="1" si="151"/>
        <v>-60431661.810660467</v>
      </c>
      <c r="L2735" s="455">
        <f t="shared" ca="1" si="152"/>
        <v>-14564030496.369171</v>
      </c>
      <c r="M2735" s="471">
        <f t="shared" si="154"/>
        <v>0.05</v>
      </c>
      <c r="N2735" s="475">
        <f t="shared" si="155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53"/>
        <v>-14564030496.369171</v>
      </c>
      <c r="J2736" s="455">
        <f t="array" ref="J2736">IFERROR(INDEX('Retirement Calculator'!J:J,MATCH('Isaac 401k'!N2736,'Retirement Calculator'!A:A,0),0),0)</f>
        <v>0</v>
      </c>
      <c r="K2736" s="455">
        <f t="shared" ca="1" si="151"/>
        <v>-60683460.401538216</v>
      </c>
      <c r="L2736" s="455">
        <f t="shared" ca="1" si="152"/>
        <v>-14624713956.77071</v>
      </c>
      <c r="M2736" s="471">
        <f t="shared" si="154"/>
        <v>0.05</v>
      </c>
      <c r="N2736" s="475">
        <f t="shared" si="155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53"/>
        <v>-14624713956.77071</v>
      </c>
      <c r="J2737" s="455">
        <f t="array" ref="J2737">IFERROR(INDEX('Retirement Calculator'!J:J,MATCH('Isaac 401k'!N2737,'Retirement Calculator'!A:A,0),0),0)</f>
        <v>0</v>
      </c>
      <c r="K2737" s="455">
        <f t="shared" ca="1" si="151"/>
        <v>-60936308.153211288</v>
      </c>
      <c r="L2737" s="455">
        <f t="shared" ca="1" si="152"/>
        <v>-14685650264.923922</v>
      </c>
      <c r="M2737" s="471">
        <f t="shared" si="154"/>
        <v>0.05</v>
      </c>
      <c r="N2737" s="475">
        <f t="shared" si="155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53"/>
        <v>-14685650264.923922</v>
      </c>
      <c r="J2738" s="455">
        <f t="array" ref="J2738">IFERROR(INDEX('Retirement Calculator'!J:J,MATCH('Isaac 401k'!N2738,'Retirement Calculator'!A:A,0),0),0)</f>
        <v>0</v>
      </c>
      <c r="K2738" s="455">
        <f t="shared" ca="1" si="151"/>
        <v>-61190209.437183008</v>
      </c>
      <c r="L2738" s="455">
        <f t="shared" ca="1" si="152"/>
        <v>-14746840474.361105</v>
      </c>
      <c r="M2738" s="471">
        <f t="shared" si="154"/>
        <v>0.05</v>
      </c>
      <c r="N2738" s="475">
        <f t="shared" si="155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53"/>
        <v>-14746840474.361105</v>
      </c>
      <c r="J2739" s="455">
        <f t="array" ref="J2739">IFERROR(INDEX('Retirement Calculator'!J:J,MATCH('Isaac 401k'!N2739,'Retirement Calculator'!A:A,0),0),0)</f>
        <v>0</v>
      </c>
      <c r="K2739" s="455">
        <f t="shared" ca="1" si="151"/>
        <v>-61445168.643171273</v>
      </c>
      <c r="L2739" s="455">
        <f t="shared" ca="1" si="152"/>
        <v>-14808285643.004276</v>
      </c>
      <c r="M2739" s="471">
        <f t="shared" si="154"/>
        <v>0.05</v>
      </c>
      <c r="N2739" s="475">
        <f t="shared" si="155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53"/>
        <v>-14808285643.004276</v>
      </c>
      <c r="J2740" s="455">
        <f t="array" ref="J2740">IFERROR(INDEX('Retirement Calculator'!J:J,MATCH('Isaac 401k'!N2740,'Retirement Calculator'!A:A,0),0),0)</f>
        <v>0</v>
      </c>
      <c r="K2740" s="455">
        <f t="shared" ca="1" si="151"/>
        <v>-61701190.179184482</v>
      </c>
      <c r="L2740" s="455">
        <f t="shared" ca="1" si="152"/>
        <v>-14869986833.18346</v>
      </c>
      <c r="M2740" s="471">
        <f t="shared" si="154"/>
        <v>0.05</v>
      </c>
      <c r="N2740" s="475">
        <f t="shared" si="155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53"/>
        <v>-14869986833.18346</v>
      </c>
      <c r="J2741" s="455">
        <f t="array" ref="J2741">IFERROR(INDEX('Retirement Calculator'!J:J,MATCH('Isaac 401k'!N2741,'Retirement Calculator'!A:A,0),0),0)</f>
        <v>0</v>
      </c>
      <c r="K2741" s="455">
        <f t="shared" ca="1" si="151"/>
        <v>-61958278.471597753</v>
      </c>
      <c r="L2741" s="455">
        <f t="shared" ca="1" si="152"/>
        <v>-14931945111.655058</v>
      </c>
      <c r="M2741" s="471">
        <f t="shared" si="154"/>
        <v>0.05</v>
      </c>
      <c r="N2741" s="475">
        <f t="shared" si="155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53"/>
        <v>-14931945111.655058</v>
      </c>
      <c r="J2742" s="455">
        <f t="array" ref="J2742">IFERROR(INDEX('Retirement Calculator'!J:J,MATCH('Isaac 401k'!N2742,'Retirement Calculator'!A:A,0),0),0)</f>
        <v>0</v>
      </c>
      <c r="K2742" s="455">
        <f t="shared" ca="1" si="151"/>
        <v>-62216437.965229407</v>
      </c>
      <c r="L2742" s="455">
        <f t="shared" ca="1" si="152"/>
        <v>-14994161549.620287</v>
      </c>
      <c r="M2742" s="471">
        <f t="shared" si="154"/>
        <v>0.05</v>
      </c>
      <c r="N2742" s="475">
        <f t="shared" si="155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53"/>
        <v>-14994161549.620287</v>
      </c>
      <c r="J2743" s="455">
        <f t="array" ref="J2743">IFERROR(INDEX('Retirement Calculator'!J:J,MATCH('Isaac 401k'!N2743,'Retirement Calculator'!A:A,0),0),0)</f>
        <v>0</v>
      </c>
      <c r="K2743" s="455">
        <f t="shared" ca="1" si="151"/>
        <v>-62475673.123417862</v>
      </c>
      <c r="L2743" s="455">
        <f t="shared" ca="1" si="152"/>
        <v>-15056637222.743706</v>
      </c>
      <c r="M2743" s="471">
        <f t="shared" si="154"/>
        <v>0.05</v>
      </c>
      <c r="N2743" s="475">
        <f t="shared" si="155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53"/>
        <v>-15056637222.743706</v>
      </c>
      <c r="J2744" s="455">
        <f t="array" ref="J2744">IFERROR(INDEX('Retirement Calculator'!J:J,MATCH('Isaac 401k'!N2744,'Retirement Calculator'!A:A,0),0),0)</f>
        <v>0</v>
      </c>
      <c r="K2744" s="455">
        <f t="shared" ca="1" si="151"/>
        <v>-62735988.428098775</v>
      </c>
      <c r="L2744" s="455">
        <f t="shared" ca="1" si="152"/>
        <v>-15119373211.171804</v>
      </c>
      <c r="M2744" s="471">
        <f t="shared" si="154"/>
        <v>0.05</v>
      </c>
      <c r="N2744" s="475">
        <f t="shared" si="155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53"/>
        <v>-15119373211.171804</v>
      </c>
      <c r="J2745" s="455">
        <f t="array" ref="J2745">IFERROR(INDEX('Retirement Calculator'!J:J,MATCH('Isaac 401k'!N2745,'Retirement Calculator'!A:A,0),0),0)</f>
        <v>0</v>
      </c>
      <c r="K2745" s="455">
        <f t="shared" ca="1" si="151"/>
        <v>-62997388.379882522</v>
      </c>
      <c r="L2745" s="455">
        <f t="shared" ca="1" si="152"/>
        <v>-15182370599.551687</v>
      </c>
      <c r="M2745" s="471">
        <f t="shared" si="154"/>
        <v>0.05</v>
      </c>
      <c r="N2745" s="475">
        <f t="shared" si="155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53"/>
        <v>-15182370599.551687</v>
      </c>
      <c r="J2746" s="455">
        <f t="array" ref="J2746">IFERROR(INDEX('Retirement Calculator'!J:J,MATCH('Isaac 401k'!N2746,'Retirement Calculator'!A:A,0),0),0)</f>
        <v>0</v>
      </c>
      <c r="K2746" s="455">
        <f t="shared" ca="1" si="151"/>
        <v>-63259877.498132035</v>
      </c>
      <c r="L2746" s="455">
        <f t="shared" ca="1" si="152"/>
        <v>-15245630477.04982</v>
      </c>
      <c r="M2746" s="471">
        <f t="shared" si="154"/>
        <v>0.05</v>
      </c>
      <c r="N2746" s="475">
        <f t="shared" si="155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53"/>
        <v>-15245630477.04982</v>
      </c>
      <c r="J2747" s="455">
        <f t="array" ref="J2747">IFERROR(INDEX('Retirement Calculator'!J:J,MATCH('Isaac 401k'!N2747,'Retirement Calculator'!A:A,0),0),0)</f>
        <v>0</v>
      </c>
      <c r="K2747" s="455">
        <f t="shared" ca="1" si="151"/>
        <v>-63523460.321040913</v>
      </c>
      <c r="L2747" s="455">
        <f t="shared" ca="1" si="152"/>
        <v>-15309153937.370861</v>
      </c>
      <c r="M2747" s="471">
        <f t="shared" si="154"/>
        <v>0.05</v>
      </c>
      <c r="N2747" s="475">
        <f t="shared" si="155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53"/>
        <v>-15309153937.370861</v>
      </c>
      <c r="J2748" s="455">
        <f t="array" ref="J2748">IFERROR(INDEX('Retirement Calculator'!J:J,MATCH('Isaac 401k'!N2748,'Retirement Calculator'!A:A,0),0),0)</f>
        <v>0</v>
      </c>
      <c r="K2748" s="455">
        <f t="shared" ca="1" si="151"/>
        <v>-63788141.405711919</v>
      </c>
      <c r="L2748" s="455">
        <f t="shared" ca="1" si="152"/>
        <v>-15372942078.776573</v>
      </c>
      <c r="M2748" s="471">
        <f t="shared" si="154"/>
        <v>0.05</v>
      </c>
      <c r="N2748" s="475">
        <f t="shared" si="155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53"/>
        <v>-15372942078.776573</v>
      </c>
      <c r="J2749" s="455">
        <f t="array" ref="J2749">IFERROR(INDEX('Retirement Calculator'!J:J,MATCH('Isaac 401k'!N2749,'Retirement Calculator'!A:A,0),0),0)</f>
        <v>0</v>
      </c>
      <c r="K2749" s="455">
        <f t="shared" ca="1" si="151"/>
        <v>-64053925.328235716</v>
      </c>
      <c r="L2749" s="455">
        <f t="shared" ca="1" si="152"/>
        <v>-15436996004.104809</v>
      </c>
      <c r="M2749" s="471">
        <f t="shared" si="154"/>
        <v>0.05</v>
      </c>
      <c r="N2749" s="475">
        <f t="shared" si="155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53"/>
        <v>-15436996004.104809</v>
      </c>
      <c r="J2750" s="455">
        <f t="array" ref="J2750">IFERROR(INDEX('Retirement Calculator'!J:J,MATCH('Isaac 401k'!N2750,'Retirement Calculator'!A:A,0),0),0)</f>
        <v>0</v>
      </c>
      <c r="K2750" s="455">
        <f t="shared" ca="1" si="151"/>
        <v>-64320816.683770046</v>
      </c>
      <c r="L2750" s="455">
        <f t="shared" ca="1" si="152"/>
        <v>-15501316820.788578</v>
      </c>
      <c r="M2750" s="471">
        <f t="shared" si="154"/>
        <v>0.05</v>
      </c>
      <c r="N2750" s="475">
        <f t="shared" si="155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53"/>
        <v>-15501316820.788578</v>
      </c>
      <c r="J2751" s="455">
        <f t="array" ref="J2751">IFERROR(INDEX('Retirement Calculator'!J:J,MATCH('Isaac 401k'!N2751,'Retirement Calculator'!A:A,0),0),0)</f>
        <v>0</v>
      </c>
      <c r="K2751" s="455">
        <f t="shared" ca="1" si="151"/>
        <v>-64588820.086619064</v>
      </c>
      <c r="L2751" s="455">
        <f t="shared" ca="1" si="152"/>
        <v>-15565905640.875196</v>
      </c>
      <c r="M2751" s="471">
        <f t="shared" si="154"/>
        <v>0.05</v>
      </c>
      <c r="N2751" s="475">
        <f t="shared" si="155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53"/>
        <v>-15565905640.875196</v>
      </c>
      <c r="J2752" s="455">
        <f t="array" ref="J2752">IFERROR(INDEX('Retirement Calculator'!J:J,MATCH('Isaac 401k'!N2752,'Retirement Calculator'!A:A,0),0),0)</f>
        <v>0</v>
      </c>
      <c r="K2752" s="455">
        <f t="shared" ca="1" si="151"/>
        <v>-64857940.170313321</v>
      </c>
      <c r="L2752" s="455">
        <f t="shared" ca="1" si="152"/>
        <v>-15630763581.045509</v>
      </c>
      <c r="M2752" s="471">
        <f t="shared" si="154"/>
        <v>0.05</v>
      </c>
      <c r="N2752" s="475">
        <f t="shared" si="155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53"/>
        <v>-15630763581.045509</v>
      </c>
      <c r="J2753" s="455">
        <f t="array" ref="J2753">IFERROR(INDEX('Retirement Calculator'!J:J,MATCH('Isaac 401k'!N2753,'Retirement Calculator'!A:A,0),0),0)</f>
        <v>0</v>
      </c>
      <c r="K2753" s="455">
        <f t="shared" ca="1" si="151"/>
        <v>-65128181.587689631</v>
      </c>
      <c r="L2753" s="455">
        <f t="shared" ca="1" si="152"/>
        <v>-15695891762.6332</v>
      </c>
      <c r="M2753" s="471">
        <f t="shared" si="154"/>
        <v>0.05</v>
      </c>
      <c r="N2753" s="475">
        <f t="shared" si="155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53"/>
        <v>-15695891762.6332</v>
      </c>
      <c r="J2754" s="455">
        <f t="array" ref="J2754">IFERROR(INDEX('Retirement Calculator'!J:J,MATCH('Isaac 401k'!N2754,'Retirement Calculator'!A:A,0),0),0)</f>
        <v>0</v>
      </c>
      <c r="K2754" s="455">
        <f t="shared" ca="1" si="151"/>
        <v>-65399549.010971665</v>
      </c>
      <c r="L2754" s="455">
        <f t="shared" ca="1" si="152"/>
        <v>-15761291311.644171</v>
      </c>
      <c r="M2754" s="471">
        <f t="shared" si="154"/>
        <v>0.05</v>
      </c>
      <c r="N2754" s="475">
        <f t="shared" si="155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53"/>
        <v>-15761291311.644171</v>
      </c>
      <c r="J2755" s="455">
        <f t="array" ref="J2755">IFERROR(INDEX('Retirement Calculator'!J:J,MATCH('Isaac 401k'!N2755,'Retirement Calculator'!A:A,0),0),0)</f>
        <v>0</v>
      </c>
      <c r="K2755" s="455">
        <f t="shared" ca="1" si="151"/>
        <v>-65672047.131850705</v>
      </c>
      <c r="L2755" s="455">
        <f t="shared" ca="1" si="152"/>
        <v>-15826963358.776022</v>
      </c>
      <c r="M2755" s="471">
        <f t="shared" si="154"/>
        <v>0.05</v>
      </c>
      <c r="N2755" s="475">
        <f t="shared" si="155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53"/>
        <v>-15826963358.776022</v>
      </c>
      <c r="J2756" s="455">
        <f t="array" ref="J2756">IFERROR(INDEX('Retirement Calculator'!J:J,MATCH('Isaac 401k'!N2756,'Retirement Calculator'!A:A,0),0),0)</f>
        <v>0</v>
      </c>
      <c r="K2756" s="455">
        <f t="shared" ca="1" si="151"/>
        <v>-65945680.661566749</v>
      </c>
      <c r="L2756" s="455">
        <f t="shared" ca="1" si="152"/>
        <v>-15892909039.43759</v>
      </c>
      <c r="M2756" s="471">
        <f t="shared" si="154"/>
        <v>0.05</v>
      </c>
      <c r="N2756" s="475">
        <f t="shared" si="155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53"/>
        <v>-15892909039.43759</v>
      </c>
      <c r="J2757" s="455">
        <f t="array" ref="J2757">IFERROR(INDEX('Retirement Calculator'!J:J,MATCH('Isaac 401k'!N2757,'Retirement Calculator'!A:A,0),0),0)</f>
        <v>0</v>
      </c>
      <c r="K2757" s="455">
        <f t="shared" ca="1" si="151"/>
        <v>-66220454.330989949</v>
      </c>
      <c r="L2757" s="455">
        <f t="shared" ca="1" si="152"/>
        <v>-15959129493.768579</v>
      </c>
      <c r="M2757" s="471">
        <f t="shared" si="154"/>
        <v>0.05</v>
      </c>
      <c r="N2757" s="475">
        <f t="shared" si="155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53"/>
        <v>-15959129493.768579</v>
      </c>
      <c r="J2758" s="455">
        <f t="array" ref="J2758">IFERROR(INDEX('Retirement Calculator'!J:J,MATCH('Isaac 401k'!N2758,'Retirement Calculator'!A:A,0),0),0)</f>
        <v>0</v>
      </c>
      <c r="K2758" s="455">
        <f t="shared" ca="1" si="151"/>
        <v>-66496372.890702412</v>
      </c>
      <c r="L2758" s="455">
        <f t="shared" ca="1" si="152"/>
        <v>-16025625866.659283</v>
      </c>
      <c r="M2758" s="471">
        <f t="shared" si="154"/>
        <v>0.05</v>
      </c>
      <c r="N2758" s="475">
        <f t="shared" si="155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53"/>
        <v>-16025625866.659283</v>
      </c>
      <c r="J2759" s="455">
        <f t="array" ref="J2759">IFERROR(INDEX('Retirement Calculator'!J:J,MATCH('Isaac 401k'!N2759,'Retirement Calculator'!A:A,0),0),0)</f>
        <v>0</v>
      </c>
      <c r="K2759" s="455">
        <f t="shared" ca="1" si="151"/>
        <v>-66773441.111080341</v>
      </c>
      <c r="L2759" s="455">
        <f t="shared" ca="1" si="152"/>
        <v>-16092399307.770363</v>
      </c>
      <c r="M2759" s="471">
        <f t="shared" si="154"/>
        <v>0.05</v>
      </c>
      <c r="N2759" s="475">
        <f t="shared" si="155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53"/>
        <v>-16092399307.770363</v>
      </c>
      <c r="J2760" s="455">
        <f t="array" ref="J2760">IFERROR(INDEX('Retirement Calculator'!J:J,MATCH('Isaac 401k'!N2760,'Retirement Calculator'!A:A,0),0),0)</f>
        <v>0</v>
      </c>
      <c r="K2760" s="455">
        <f t="shared" ca="1" si="151"/>
        <v>-67051663.782376513</v>
      </c>
      <c r="L2760" s="455">
        <f t="shared" ca="1" si="152"/>
        <v>-16159450971.55274</v>
      </c>
      <c r="M2760" s="471">
        <f t="shared" si="154"/>
        <v>0.05</v>
      </c>
      <c r="N2760" s="475">
        <f t="shared" si="155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53"/>
        <v>-16159450971.55274</v>
      </c>
      <c r="J2761" s="455">
        <f t="array" ref="J2761">IFERROR(INDEX('Retirement Calculator'!J:J,MATCH('Isaac 401k'!N2761,'Retirement Calculator'!A:A,0),0),0)</f>
        <v>0</v>
      </c>
      <c r="K2761" s="455">
        <f t="shared" ca="1" si="151"/>
        <v>-67331045.714803085</v>
      </c>
      <c r="L2761" s="455">
        <f t="shared" ca="1" si="152"/>
        <v>-16226782017.267544</v>
      </c>
      <c r="M2761" s="471">
        <f t="shared" si="154"/>
        <v>0.05</v>
      </c>
      <c r="N2761" s="475">
        <f t="shared" si="155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53"/>
        <v>-16226782017.267544</v>
      </c>
      <c r="J2762" s="455">
        <f t="array" ref="J2762">IFERROR(INDEX('Retirement Calculator'!J:J,MATCH('Isaac 401k'!N2762,'Retirement Calculator'!A:A,0),0),0)</f>
        <v>0</v>
      </c>
      <c r="K2762" s="455">
        <f t="shared" ca="1" si="151"/>
        <v>-67611591.738614768</v>
      </c>
      <c r="L2762" s="455">
        <f t="shared" ca="1" si="152"/>
        <v>-16294393609.006159</v>
      </c>
      <c r="M2762" s="471">
        <f t="shared" si="154"/>
        <v>0.05</v>
      </c>
      <c r="N2762" s="475">
        <f t="shared" si="155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53"/>
        <v>-16294393609.006159</v>
      </c>
      <c r="J2763" s="455">
        <f t="array" ref="J2763">IFERROR(INDEX('Retirement Calculator'!J:J,MATCH('Isaac 401k'!N2763,'Retirement Calculator'!A:A,0),0),0)</f>
        <v>0</v>
      </c>
      <c r="K2763" s="455">
        <f t="shared" ca="1" si="151"/>
        <v>-67893306.704192325</v>
      </c>
      <c r="L2763" s="455">
        <f t="shared" ca="1" si="152"/>
        <v>-16362286915.710352</v>
      </c>
      <c r="M2763" s="471">
        <f t="shared" si="154"/>
        <v>0.05</v>
      </c>
      <c r="N2763" s="475">
        <f t="shared" si="155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53"/>
        <v>-16362286915.710352</v>
      </c>
      <c r="J2764" s="455">
        <f t="array" ref="J2764">IFERROR(INDEX('Retirement Calculator'!J:J,MATCH('Isaac 401k'!N2764,'Retirement Calculator'!A:A,0),0),0)</f>
        <v>0</v>
      </c>
      <c r="K2764" s="455">
        <f t="shared" ca="1" si="151"/>
        <v>-68176195.482126459</v>
      </c>
      <c r="L2764" s="455">
        <f t="shared" ca="1" si="152"/>
        <v>-16430463111.192478</v>
      </c>
      <c r="M2764" s="471">
        <f t="shared" si="154"/>
        <v>0.05</v>
      </c>
      <c r="N2764" s="475">
        <f t="shared" si="155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53"/>
        <v>-16430463111.192478</v>
      </c>
      <c r="J2765" s="455">
        <f t="array" ref="J2765">IFERROR(INDEX('Retirement Calculator'!J:J,MATCH('Isaac 401k'!N2765,'Retirement Calculator'!A:A,0),0),0)</f>
        <v>0</v>
      </c>
      <c r="K2765" s="455">
        <f t="shared" ca="1" si="151"/>
        <v>-68460262.963302001</v>
      </c>
      <c r="L2765" s="455">
        <f t="shared" ca="1" si="152"/>
        <v>-16498923374.155781</v>
      </c>
      <c r="M2765" s="471">
        <f t="shared" si="154"/>
        <v>0.05</v>
      </c>
      <c r="N2765" s="475">
        <f t="shared" si="155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53"/>
        <v>-16498923374.155781</v>
      </c>
      <c r="J2766" s="455">
        <f t="array" ref="J2766">IFERROR(INDEX('Retirement Calculator'!J:J,MATCH('Isaac 401k'!N2766,'Retirement Calculator'!A:A,0),0),0)</f>
        <v>0</v>
      </c>
      <c r="K2766" s="455">
        <f t="shared" ca="1" si="151"/>
        <v>-68745514.058982432</v>
      </c>
      <c r="L2766" s="455">
        <f t="shared" ca="1" si="152"/>
        <v>-16567668888.214764</v>
      </c>
      <c r="M2766" s="471">
        <f t="shared" si="154"/>
        <v>0.05</v>
      </c>
      <c r="N2766" s="475">
        <f t="shared" si="155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53"/>
        <v>-16567668888.214764</v>
      </c>
      <c r="J2767" s="455">
        <f t="array" ref="J2767">IFERROR(INDEX('Retirement Calculator'!J:J,MATCH('Isaac 401k'!N2767,'Retirement Calculator'!A:A,0),0),0)</f>
        <v>0</v>
      </c>
      <c r="K2767" s="455">
        <f t="shared" ca="1" si="151"/>
        <v>-69031953.700894848</v>
      </c>
      <c r="L2767" s="455">
        <f t="shared" ca="1" si="152"/>
        <v>-16636700841.915659</v>
      </c>
      <c r="M2767" s="471">
        <f t="shared" si="154"/>
        <v>0.05</v>
      </c>
      <c r="N2767" s="475">
        <f t="shared" si="155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53"/>
        <v>-16636700841.915659</v>
      </c>
      <c r="J2768" s="455">
        <f t="array" ref="J2768">IFERROR(INDEX('Retirement Calculator'!J:J,MATCH('Isaac 401k'!N2768,'Retirement Calculator'!A:A,0),0),0)</f>
        <v>0</v>
      </c>
      <c r="K2768" s="455">
        <f t="shared" ca="1" si="151"/>
        <v>-69319586.84131524</v>
      </c>
      <c r="L2768" s="455">
        <f t="shared" ca="1" si="152"/>
        <v>-16706020428.756973</v>
      </c>
      <c r="M2768" s="471">
        <f t="shared" si="154"/>
        <v>0.05</v>
      </c>
      <c r="N2768" s="475">
        <f t="shared" si="155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53"/>
        <v>-16706020428.756973</v>
      </c>
      <c r="J2769" s="455">
        <f t="array" ref="J2769">IFERROR(INDEX('Retirement Calculator'!J:J,MATCH('Isaac 401k'!N2769,'Retirement Calculator'!A:A,0),0),0)</f>
        <v>0</v>
      </c>
      <c r="K2769" s="455">
        <f t="shared" ca="1" si="151"/>
        <v>-69608418.453154057</v>
      </c>
      <c r="L2769" s="455">
        <f t="shared" ca="1" si="152"/>
        <v>-16775628847.210127</v>
      </c>
      <c r="M2769" s="471">
        <f t="shared" si="154"/>
        <v>0.05</v>
      </c>
      <c r="N2769" s="475">
        <f t="shared" si="155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53"/>
        <v>-16775628847.210127</v>
      </c>
      <c r="J2770" s="455">
        <f t="array" ref="J2770">IFERROR(INDEX('Retirement Calculator'!J:J,MATCH('Isaac 401k'!N2770,'Retirement Calculator'!A:A,0),0),0)</f>
        <v>0</v>
      </c>
      <c r="K2770" s="455">
        <f t="shared" ca="1" si="151"/>
        <v>-69898453.530042201</v>
      </c>
      <c r="L2770" s="455">
        <f t="shared" ca="1" si="152"/>
        <v>-16845527300.74017</v>
      </c>
      <c r="M2770" s="471">
        <f t="shared" si="154"/>
        <v>0.05</v>
      </c>
      <c r="N2770" s="475">
        <f t="shared" si="155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53"/>
        <v>-16845527300.74017</v>
      </c>
      <c r="J2771" s="455">
        <f t="array" ref="J2771">IFERROR(INDEX('Retirement Calculator'!J:J,MATCH('Isaac 401k'!N2771,'Retirement Calculator'!A:A,0),0),0)</f>
        <v>0</v>
      </c>
      <c r="K2771" s="455">
        <f t="shared" ca="1" si="151"/>
        <v>-70189697.086417377</v>
      </c>
      <c r="L2771" s="455">
        <f t="shared" ca="1" si="152"/>
        <v>-16915716997.826588</v>
      </c>
      <c r="M2771" s="471">
        <f t="shared" si="154"/>
        <v>0.05</v>
      </c>
      <c r="N2771" s="475">
        <f t="shared" si="155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53"/>
        <v>-16915716997.826588</v>
      </c>
      <c r="J2772" s="455">
        <f t="array" ref="J2772">IFERROR(INDEX('Retirement Calculator'!J:J,MATCH('Isaac 401k'!N2772,'Retirement Calculator'!A:A,0),0),0)</f>
        <v>0</v>
      </c>
      <c r="K2772" s="455">
        <f t="shared" ca="1" si="151"/>
        <v>-70482154.157610774</v>
      </c>
      <c r="L2772" s="455">
        <f t="shared" ca="1" si="152"/>
        <v>-16986199151.984198</v>
      </c>
      <c r="M2772" s="471">
        <f t="shared" si="154"/>
        <v>0.05</v>
      </c>
      <c r="N2772" s="475">
        <f t="shared" si="155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53"/>
        <v>-16986199151.984198</v>
      </c>
      <c r="J2773" s="455">
        <f t="array" ref="J2773">IFERROR(INDEX('Retirement Calculator'!J:J,MATCH('Isaac 401k'!N2773,'Retirement Calculator'!A:A,0),0),0)</f>
        <v>0</v>
      </c>
      <c r="K2773" s="455">
        <f t="shared" ca="1" si="151"/>
        <v>-70775829.799934149</v>
      </c>
      <c r="L2773" s="455">
        <f t="shared" ca="1" si="152"/>
        <v>-17056974981.784132</v>
      </c>
      <c r="M2773" s="471">
        <f t="shared" si="154"/>
        <v>0.05</v>
      </c>
      <c r="N2773" s="475">
        <f t="shared" si="155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53"/>
        <v>-17056974981.784132</v>
      </c>
      <c r="J2774" s="455">
        <f t="array" ref="J2774">IFERROR(INDEX('Retirement Calculator'!J:J,MATCH('Isaac 401k'!N2774,'Retirement Calculator'!A:A,0),0),0)</f>
        <v>0</v>
      </c>
      <c r="K2774" s="455">
        <f t="shared" ca="1" si="151"/>
        <v>-71070729.090767205</v>
      </c>
      <c r="L2774" s="455">
        <f t="shared" ca="1" si="152"/>
        <v>-17128045710.874899</v>
      </c>
      <c r="M2774" s="471">
        <f t="shared" si="154"/>
        <v>0.05</v>
      </c>
      <c r="N2774" s="475">
        <f t="shared" si="155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53"/>
        <v>-17128045710.874899</v>
      </c>
      <c r="J2775" s="455">
        <f t="array" ref="J2775">IFERROR(INDEX('Retirement Calculator'!J:J,MATCH('Isaac 401k'!N2775,'Retirement Calculator'!A:A,0),0),0)</f>
        <v>0</v>
      </c>
      <c r="K2775" s="455">
        <f t="shared" ca="1" si="151"/>
        <v>-71366857.128645405</v>
      </c>
      <c r="L2775" s="455">
        <f t="shared" ca="1" si="152"/>
        <v>-17199412568.003544</v>
      </c>
      <c r="M2775" s="471">
        <f t="shared" si="154"/>
        <v>0.05</v>
      </c>
      <c r="N2775" s="475">
        <f t="shared" si="155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53"/>
        <v>-17199412568.003544</v>
      </c>
      <c r="J2776" s="455">
        <f t="array" ref="J2776">IFERROR(INDEX('Retirement Calculator'!J:J,MATCH('Isaac 401k'!N2776,'Retirement Calculator'!A:A,0),0),0)</f>
        <v>0</v>
      </c>
      <c r="K2776" s="455">
        <f t="shared" ca="1" si="151"/>
        <v>-71664219.033348098</v>
      </c>
      <c r="L2776" s="455">
        <f t="shared" ca="1" si="152"/>
        <v>-17271076787.036892</v>
      </c>
      <c r="M2776" s="471">
        <f t="shared" si="154"/>
        <v>0.05</v>
      </c>
      <c r="N2776" s="475">
        <f t="shared" si="155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53"/>
        <v>-17271076787.036892</v>
      </c>
      <c r="J2777" s="455">
        <f t="array" ref="J2777">IFERROR(INDEX('Retirement Calculator'!J:J,MATCH('Isaac 401k'!N2777,'Retirement Calculator'!A:A,0),0),0)</f>
        <v>0</v>
      </c>
      <c r="K2777" s="455">
        <f t="shared" ca="1" si="151"/>
        <v>-71962819.945987046</v>
      </c>
      <c r="L2777" s="455">
        <f t="shared" ca="1" si="152"/>
        <v>-17343039606.98288</v>
      </c>
      <c r="M2777" s="471">
        <f t="shared" si="154"/>
        <v>0.05</v>
      </c>
      <c r="N2777" s="475">
        <f t="shared" si="155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53"/>
        <v>-17343039606.98288</v>
      </c>
      <c r="J2778" s="455">
        <f t="array" ref="J2778">IFERROR(INDEX('Retirement Calculator'!J:J,MATCH('Isaac 401k'!N2778,'Retirement Calculator'!A:A,0),0),0)</f>
        <v>0</v>
      </c>
      <c r="K2778" s="455">
        <f t="shared" ca="1" si="151"/>
        <v>-72262665.029095337</v>
      </c>
      <c r="L2778" s="455">
        <f t="shared" ca="1" si="152"/>
        <v>-17415302272.011974</v>
      </c>
      <c r="M2778" s="471">
        <f t="shared" si="154"/>
        <v>0.05</v>
      </c>
      <c r="N2778" s="475">
        <f t="shared" si="155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53"/>
        <v>-17415302272.011974</v>
      </c>
      <c r="J2779" s="455">
        <f t="array" ref="J2779">IFERROR(INDEX('Retirement Calculator'!J:J,MATCH('Isaac 401k'!N2779,'Retirement Calculator'!A:A,0),0),0)</f>
        <v>0</v>
      </c>
      <c r="K2779" s="455">
        <f t="shared" ca="1" si="151"/>
        <v>-72563759.466716558</v>
      </c>
      <c r="L2779" s="455">
        <f t="shared" ca="1" si="152"/>
        <v>-17487866031.478691</v>
      </c>
      <c r="M2779" s="471">
        <f t="shared" si="154"/>
        <v>0.05</v>
      </c>
      <c r="N2779" s="475">
        <f t="shared" si="155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53"/>
        <v>-17487866031.478691</v>
      </c>
      <c r="J2780" s="455">
        <f t="array" ref="J2780">IFERROR(INDEX('Retirement Calculator'!J:J,MATCH('Isaac 401k'!N2780,'Retirement Calculator'!A:A,0),0),0)</f>
        <v>0</v>
      </c>
      <c r="K2780" s="455">
        <f t="shared" ca="1" si="151"/>
        <v>-72866108.464494541</v>
      </c>
      <c r="L2780" s="455">
        <f t="shared" ca="1" si="152"/>
        <v>-17560732139.943184</v>
      </c>
      <c r="M2780" s="471">
        <f t="shared" si="154"/>
        <v>0.05</v>
      </c>
      <c r="N2780" s="475">
        <f t="shared" si="155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53"/>
        <v>-17560732139.943184</v>
      </c>
      <c r="J2781" s="455">
        <f t="array" ref="J2781">IFERROR(INDEX('Retirement Calculator'!J:J,MATCH('Isaac 401k'!N2781,'Retirement Calculator'!A:A,0),0),0)</f>
        <v>0</v>
      </c>
      <c r="K2781" s="455">
        <f t="shared" ca="1" si="151"/>
        <v>-73169717.249763265</v>
      </c>
      <c r="L2781" s="455">
        <f t="shared" ca="1" si="152"/>
        <v>-17633901857.192947</v>
      </c>
      <c r="M2781" s="471">
        <f t="shared" si="154"/>
        <v>0.05</v>
      </c>
      <c r="N2781" s="475">
        <f t="shared" si="155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53"/>
        <v>-17633901857.192947</v>
      </c>
      <c r="J2782" s="455">
        <f t="array" ref="J2782">IFERROR(INDEX('Retirement Calculator'!J:J,MATCH('Isaac 401k'!N2782,'Retirement Calculator'!A:A,0),0),0)</f>
        <v>0</v>
      </c>
      <c r="K2782" s="455">
        <f t="shared" ca="1" si="151"/>
        <v>-73474591.071637273</v>
      </c>
      <c r="L2782" s="455">
        <f t="shared" ca="1" si="152"/>
        <v>-17707376448.264584</v>
      </c>
      <c r="M2782" s="471">
        <f t="shared" si="154"/>
        <v>0.05</v>
      </c>
      <c r="N2782" s="475">
        <f t="shared" si="155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53"/>
        <v>-17707376448.264584</v>
      </c>
      <c r="J2783" s="455">
        <f t="array" ref="J2783">IFERROR(INDEX('Retirement Calculator'!J:J,MATCH('Isaac 401k'!N2783,'Retirement Calculator'!A:A,0),0),0)</f>
        <v>0</v>
      </c>
      <c r="K2783" s="455">
        <f t="shared" ca="1" si="151"/>
        <v>-73780735.201102436</v>
      </c>
      <c r="L2783" s="455">
        <f t="shared" ca="1" si="152"/>
        <v>-17781157183.465687</v>
      </c>
      <c r="M2783" s="471">
        <f t="shared" si="154"/>
        <v>0.05</v>
      </c>
      <c r="N2783" s="475">
        <f t="shared" si="155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53"/>
        <v>-17781157183.465687</v>
      </c>
      <c r="J2784" s="455">
        <f t="array" ref="J2784">IFERROR(INDEX('Retirement Calculator'!J:J,MATCH('Isaac 401k'!N2784,'Retirement Calculator'!A:A,0),0),0)</f>
        <v>0</v>
      </c>
      <c r="K2784" s="455">
        <f t="shared" ca="1" si="151"/>
        <v>-74088154.931107029</v>
      </c>
      <c r="L2784" s="455">
        <f t="shared" ca="1" si="152"/>
        <v>-17855245338.396793</v>
      </c>
      <c r="M2784" s="471">
        <f t="shared" si="154"/>
        <v>0.05</v>
      </c>
      <c r="N2784" s="475">
        <f t="shared" si="155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53"/>
        <v>-17855245338.396793</v>
      </c>
      <c r="J2785" s="455">
        <f t="array" ref="J2785">IFERROR(INDEX('Retirement Calculator'!J:J,MATCH('Isaac 401k'!N2785,'Retirement Calculator'!A:A,0),0),0)</f>
        <v>0</v>
      </c>
      <c r="K2785" s="455">
        <f t="shared" ca="1" si="151"/>
        <v>-74396855.576653302</v>
      </c>
      <c r="L2785" s="455">
        <f t="shared" ca="1" si="152"/>
        <v>-17929642193.973446</v>
      </c>
      <c r="M2785" s="471">
        <f t="shared" si="154"/>
        <v>0.05</v>
      </c>
      <c r="N2785" s="475">
        <f t="shared" si="155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53"/>
        <v>-17929642193.973446</v>
      </c>
      <c r="J2786" s="455">
        <f t="array" ref="J2786">IFERROR(INDEX('Retirement Calculator'!J:J,MATCH('Isaac 401k'!N2786,'Retirement Calculator'!A:A,0),0),0)</f>
        <v>0</v>
      </c>
      <c r="K2786" s="455">
        <f t="shared" ca="1" si="151"/>
        <v>-74706842.474889353</v>
      </c>
      <c r="L2786" s="455">
        <f t="shared" ca="1" si="152"/>
        <v>-18004349036.448334</v>
      </c>
      <c r="M2786" s="471">
        <f t="shared" si="154"/>
        <v>0.05</v>
      </c>
      <c r="N2786" s="475">
        <f t="shared" si="155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53"/>
        <v>-18004349036.448334</v>
      </c>
      <c r="J2787" s="455">
        <f t="array" ref="J2787">IFERROR(INDEX('Retirement Calculator'!J:J,MATCH('Isaac 401k'!N2787,'Retirement Calculator'!A:A,0),0),0)</f>
        <v>0</v>
      </c>
      <c r="K2787" s="455">
        <f t="shared" ca="1" si="151"/>
        <v>-75018120.985201389</v>
      </c>
      <c r="L2787" s="455">
        <f t="shared" ca="1" si="152"/>
        <v>-18079367157.433537</v>
      </c>
      <c r="M2787" s="471">
        <f t="shared" si="154"/>
        <v>0.05</v>
      </c>
      <c r="N2787" s="475">
        <f t="shared" si="155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53"/>
        <v>-18079367157.433537</v>
      </c>
      <c r="J2788" s="455">
        <f t="array" ref="J2788">IFERROR(INDEX('Retirement Calculator'!J:J,MATCH('Isaac 401k'!N2788,'Retirement Calculator'!A:A,0),0),0)</f>
        <v>0</v>
      </c>
      <c r="K2788" s="455">
        <f t="shared" ca="1" si="151"/>
        <v>-75330696.489306405</v>
      </c>
      <c r="L2788" s="455">
        <f t="shared" ca="1" si="152"/>
        <v>-18154697853.922844</v>
      </c>
      <c r="M2788" s="471">
        <f t="shared" si="154"/>
        <v>0.05</v>
      </c>
      <c r="N2788" s="475">
        <f t="shared" si="155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53"/>
        <v>-18154697853.922844</v>
      </c>
      <c r="J2789" s="455">
        <f t="array" ref="J2789">IFERROR(INDEX('Retirement Calculator'!J:J,MATCH('Isaac 401k'!N2789,'Retirement Calculator'!A:A,0),0),0)</f>
        <v>0</v>
      </c>
      <c r="K2789" s="455">
        <f t="shared" ca="1" si="151"/>
        <v>-75644574.391345188</v>
      </c>
      <c r="L2789" s="455">
        <f t="shared" ca="1" si="152"/>
        <v>-18230342428.31419</v>
      </c>
      <c r="M2789" s="471">
        <f t="shared" si="154"/>
        <v>0.05</v>
      </c>
      <c r="N2789" s="475">
        <f t="shared" si="155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53"/>
        <v>-18230342428.31419</v>
      </c>
      <c r="J2790" s="455">
        <f t="array" ref="J2790">IFERROR(INDEX('Retirement Calculator'!J:J,MATCH('Isaac 401k'!N2790,'Retirement Calculator'!A:A,0),0),0)</f>
        <v>0</v>
      </c>
      <c r="K2790" s="455">
        <f t="shared" ca="1" si="151"/>
        <v>-75959760.117975786</v>
      </c>
      <c r="L2790" s="455">
        <f t="shared" ca="1" si="152"/>
        <v>-18306302188.432167</v>
      </c>
      <c r="M2790" s="471">
        <f t="shared" si="154"/>
        <v>0.05</v>
      </c>
      <c r="N2790" s="475">
        <f t="shared" si="155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53"/>
        <v>-18306302188.432167</v>
      </c>
      <c r="J2791" s="455">
        <f t="array" ref="J2791">IFERROR(INDEX('Retirement Calculator'!J:J,MATCH('Isaac 401k'!N2791,'Retirement Calculator'!A:A,0),0),0)</f>
        <v>0</v>
      </c>
      <c r="K2791" s="455">
        <f t="shared" ca="1" si="151"/>
        <v>-76276259.118467361</v>
      </c>
      <c r="L2791" s="455">
        <f t="shared" ca="1" si="152"/>
        <v>-18382578447.550636</v>
      </c>
      <c r="M2791" s="471">
        <f t="shared" si="154"/>
        <v>0.05</v>
      </c>
      <c r="N2791" s="475">
        <f t="shared" si="155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53"/>
        <v>-18382578447.550636</v>
      </c>
      <c r="J2792" s="455">
        <f t="array" ref="J2792">IFERROR(INDEX('Retirement Calculator'!J:J,MATCH('Isaac 401k'!N2792,'Retirement Calculator'!A:A,0),0),0)</f>
        <v>0</v>
      </c>
      <c r="K2792" s="455">
        <f t="shared" ca="1" si="151"/>
        <v>-76594076.864794314</v>
      </c>
      <c r="L2792" s="455">
        <f t="shared" ca="1" si="152"/>
        <v>-18459172524.415432</v>
      </c>
      <c r="M2792" s="471">
        <f t="shared" si="154"/>
        <v>0.05</v>
      </c>
      <c r="N2792" s="475">
        <f t="shared" si="155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53"/>
        <v>-18459172524.415432</v>
      </c>
      <c r="J2793" s="455">
        <f t="array" ref="J2793">IFERROR(INDEX('Retirement Calculator'!J:J,MATCH('Isaac 401k'!N2793,'Retirement Calculator'!A:A,0),0),0)</f>
        <v>0</v>
      </c>
      <c r="K2793" s="455">
        <f t="shared" ca="1" si="151"/>
        <v>-76913218.851730973</v>
      </c>
      <c r="L2793" s="455">
        <f t="shared" ca="1" si="152"/>
        <v>-18536085743.267162</v>
      </c>
      <c r="M2793" s="471">
        <f t="shared" si="154"/>
        <v>0.05</v>
      </c>
      <c r="N2793" s="475">
        <f t="shared" si="155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53"/>
        <v>-18536085743.267162</v>
      </c>
      <c r="J2794" s="455">
        <f t="array" ref="J2794">IFERROR(INDEX('Retirement Calculator'!J:J,MATCH('Isaac 401k'!N2794,'Retirement Calculator'!A:A,0),0),0)</f>
        <v>0</v>
      </c>
      <c r="K2794" s="455">
        <f t="shared" ca="1" si="151"/>
        <v>-77233690.596946508</v>
      </c>
      <c r="L2794" s="455">
        <f t="shared" ca="1" si="152"/>
        <v>-18613319433.864109</v>
      </c>
      <c r="M2794" s="471">
        <f t="shared" si="154"/>
        <v>0.05</v>
      </c>
      <c r="N2794" s="475">
        <f t="shared" si="155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53"/>
        <v>-18613319433.864109</v>
      </c>
      <c r="J2795" s="455">
        <f t="array" ref="J2795">IFERROR(INDEX('Retirement Calculator'!J:J,MATCH('Isaac 401k'!N2795,'Retirement Calculator'!A:A,0),0),0)</f>
        <v>0</v>
      </c>
      <c r="K2795" s="455">
        <f t="shared" ca="1" si="151"/>
        <v>-77555497.641100451</v>
      </c>
      <c r="L2795" s="455">
        <f t="shared" ca="1" si="152"/>
        <v>-18690874931.505211</v>
      </c>
      <c r="M2795" s="471">
        <f t="shared" si="154"/>
        <v>0.05</v>
      </c>
      <c r="N2795" s="475">
        <f t="shared" si="155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53"/>
        <v>-18690874931.505211</v>
      </c>
      <c r="J2796" s="455">
        <f t="array" ref="J2796">IFERROR(INDEX('Retirement Calculator'!J:J,MATCH('Isaac 401k'!N2796,'Retirement Calculator'!A:A,0),0),0)</f>
        <v>0</v>
      </c>
      <c r="K2796" s="455">
        <f t="shared" ca="1" si="151"/>
        <v>-77878645.547938377</v>
      </c>
      <c r="L2796" s="455">
        <f t="shared" ca="1" si="152"/>
        <v>-18768753577.05315</v>
      </c>
      <c r="M2796" s="471">
        <f t="shared" si="154"/>
        <v>0.05</v>
      </c>
      <c r="N2796" s="475">
        <f t="shared" si="155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53"/>
        <v>-18768753577.05315</v>
      </c>
      <c r="J2797" s="455">
        <f t="array" ref="J2797">IFERROR(INDEX('Retirement Calculator'!J:J,MATCH('Isaac 401k'!N2797,'Retirement Calculator'!A:A,0),0),0)</f>
        <v>0</v>
      </c>
      <c r="K2797" s="455">
        <f t="shared" ca="1" si="151"/>
        <v>-78203139.90438813</v>
      </c>
      <c r="L2797" s="455">
        <f t="shared" ca="1" si="152"/>
        <v>-18846956716.957539</v>
      </c>
      <c r="M2797" s="471">
        <f t="shared" si="154"/>
        <v>0.05</v>
      </c>
      <c r="N2797" s="475">
        <f t="shared" si="155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53"/>
        <v>-18846956716.957539</v>
      </c>
      <c r="J2798" s="455">
        <f t="array" ref="J2798">IFERROR(INDEX('Retirement Calculator'!J:J,MATCH('Isaac 401k'!N2798,'Retirement Calculator'!A:A,0),0),0)</f>
        <v>0</v>
      </c>
      <c r="K2798" s="455">
        <f t="shared" ca="1" si="151"/>
        <v>-78528986.320656404</v>
      </c>
      <c r="L2798" s="455">
        <f t="shared" ca="1" si="152"/>
        <v>-18925485703.278194</v>
      </c>
      <c r="M2798" s="471">
        <f t="shared" si="154"/>
        <v>0.05</v>
      </c>
      <c r="N2798" s="475">
        <f t="shared" si="155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53"/>
        <v>-18925485703.278194</v>
      </c>
      <c r="J2799" s="455">
        <f t="array" ref="J2799">IFERROR(INDEX('Retirement Calculator'!J:J,MATCH('Isaac 401k'!N2799,'Retirement Calculator'!A:A,0),0),0)</f>
        <v>0</v>
      </c>
      <c r="K2799" s="455">
        <f t="shared" ca="1" si="151"/>
        <v>-78856190.430325806</v>
      </c>
      <c r="L2799" s="455">
        <f t="shared" ca="1" si="152"/>
        <v>-19004341893.708519</v>
      </c>
      <c r="M2799" s="471">
        <f t="shared" si="154"/>
        <v>0.05</v>
      </c>
      <c r="N2799" s="475">
        <f t="shared" si="155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53"/>
        <v>-19004341893.708519</v>
      </c>
      <c r="J2800" s="455">
        <f t="array" ref="J2800">IFERROR(INDEX('Retirement Calculator'!J:J,MATCH('Isaac 401k'!N2800,'Retirement Calculator'!A:A,0),0),0)</f>
        <v>0</v>
      </c>
      <c r="K2800" s="455">
        <f t="shared" ca="1" si="151"/>
        <v>-79184757.890452161</v>
      </c>
      <c r="L2800" s="455">
        <f t="shared" ca="1" si="152"/>
        <v>-19083526651.598972</v>
      </c>
      <c r="M2800" s="471">
        <f t="shared" si="154"/>
        <v>0.05</v>
      </c>
      <c r="N2800" s="475">
        <f t="shared" si="155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53"/>
        <v>-19083526651.598972</v>
      </c>
      <c r="J2801" s="455">
        <f t="array" ref="J2801">IFERROR(INDEX('Retirement Calculator'!J:J,MATCH('Isaac 401k'!N2801,'Retirement Calculator'!A:A,0),0),0)</f>
        <v>0</v>
      </c>
      <c r="K2801" s="455">
        <f t="shared" ca="1" si="151"/>
        <v>-79514694.381662384</v>
      </c>
      <c r="L2801" s="455">
        <f t="shared" ca="1" si="152"/>
        <v>-19163041345.980637</v>
      </c>
      <c r="M2801" s="471">
        <f t="shared" si="154"/>
        <v>0.05</v>
      </c>
      <c r="N2801" s="475">
        <f t="shared" si="155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53"/>
        <v>-19163041345.980637</v>
      </c>
      <c r="J2802" s="455">
        <f t="array" ref="J2802">IFERROR(INDEX('Retirement Calculator'!J:J,MATCH('Isaac 401k'!N2802,'Retirement Calculator'!A:A,0),0),0)</f>
        <v>0</v>
      </c>
      <c r="K2802" s="455">
        <f t="shared" ca="1" si="151"/>
        <v>-79846005.608252645</v>
      </c>
      <c r="L2802" s="455">
        <f t="shared" ca="1" si="152"/>
        <v>-19242887351.58889</v>
      </c>
      <c r="M2802" s="471">
        <f t="shared" si="154"/>
        <v>0.05</v>
      </c>
      <c r="N2802" s="475">
        <f t="shared" si="155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53"/>
        <v>-19242887351.58889</v>
      </c>
      <c r="J2803" s="455">
        <f t="array" ref="J2803">IFERROR(INDEX('Retirement Calculator'!J:J,MATCH('Isaac 401k'!N2803,'Retirement Calculator'!A:A,0),0),0)</f>
        <v>0</v>
      </c>
      <c r="K2803" s="455">
        <f t="shared" ca="1" si="151"/>
        <v>-80178697.298287034</v>
      </c>
      <c r="L2803" s="455">
        <f t="shared" ca="1" si="152"/>
        <v>-19323066048.887177</v>
      </c>
      <c r="M2803" s="471">
        <f t="shared" si="154"/>
        <v>0.05</v>
      </c>
      <c r="N2803" s="475">
        <f t="shared" si="155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53"/>
        <v>-19323066048.887177</v>
      </c>
      <c r="J2804" s="455">
        <f t="array" ref="J2804">IFERROR(INDEX('Retirement Calculator'!J:J,MATCH('Isaac 401k'!N2804,'Retirement Calculator'!A:A,0),0),0)</f>
        <v>0</v>
      </c>
      <c r="K2804" s="455">
        <f t="shared" ca="1" si="151"/>
        <v>-80512775.203696564</v>
      </c>
      <c r="L2804" s="455">
        <f t="shared" ca="1" si="152"/>
        <v>-19403578824.090874</v>
      </c>
      <c r="M2804" s="471">
        <f t="shared" si="154"/>
        <v>0.05</v>
      </c>
      <c r="N2804" s="475">
        <f t="shared" si="155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53"/>
        <v>-19403578824.090874</v>
      </c>
      <c r="J2805" s="455">
        <f t="array" ref="J2805">IFERROR(INDEX('Retirement Calculator'!J:J,MATCH('Isaac 401k'!N2805,'Retirement Calculator'!A:A,0),0),0)</f>
        <v>0</v>
      </c>
      <c r="K2805" s="455">
        <f t="shared" ca="1" si="151"/>
        <v>-80848245.100378633</v>
      </c>
      <c r="L2805" s="455">
        <f t="shared" ca="1" si="152"/>
        <v>-19484427069.191254</v>
      </c>
      <c r="M2805" s="471">
        <f t="shared" si="154"/>
        <v>0.05</v>
      </c>
      <c r="N2805" s="475">
        <f t="shared" si="155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53"/>
        <v>-19484427069.191254</v>
      </c>
      <c r="J2806" s="455">
        <f t="array" ref="J2806">IFERROR(INDEX('Retirement Calculator'!J:J,MATCH('Isaac 401k'!N2806,'Retirement Calculator'!A:A,0),0),0)</f>
        <v>0</v>
      </c>
      <c r="K2806" s="455">
        <f t="shared" ca="1" si="151"/>
        <v>-81185112.788296893</v>
      </c>
      <c r="L2806" s="455">
        <f t="shared" ca="1" si="152"/>
        <v>-19565612181.979549</v>
      </c>
      <c r="M2806" s="471">
        <f t="shared" si="154"/>
        <v>0.05</v>
      </c>
      <c r="N2806" s="475">
        <f t="shared" si="155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53"/>
        <v>-19565612181.979549</v>
      </c>
      <c r="J2807" s="455">
        <f t="array" ref="J2807">IFERROR(INDEX('Retirement Calculator'!J:J,MATCH('Isaac 401k'!N2807,'Retirement Calculator'!A:A,0),0),0)</f>
        <v>0</v>
      </c>
      <c r="K2807" s="455">
        <f t="shared" ca="1" si="151"/>
        <v>-81523384.091581449</v>
      </c>
      <c r="L2807" s="455">
        <f t="shared" ca="1" si="152"/>
        <v>-19647135566.071133</v>
      </c>
      <c r="M2807" s="471">
        <f t="shared" si="154"/>
        <v>0.05</v>
      </c>
      <c r="N2807" s="475">
        <f t="shared" si="155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53"/>
        <v>-19647135566.071133</v>
      </c>
      <c r="J2808" s="455">
        <f t="array" ref="J2808">IFERROR(INDEX('Retirement Calculator'!J:J,MATCH('Isaac 401k'!N2808,'Retirement Calculator'!A:A,0),0),0)</f>
        <v>0</v>
      </c>
      <c r="K2808" s="455">
        <f t="shared" ca="1" si="151"/>
        <v>-81863064.858629718</v>
      </c>
      <c r="L2808" s="455">
        <f t="shared" ca="1" si="152"/>
        <v>-19728998630.929764</v>
      </c>
      <c r="M2808" s="471">
        <f t="shared" si="154"/>
        <v>0.05</v>
      </c>
      <c r="N2808" s="475">
        <f t="shared" si="155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53"/>
        <v>-19728998630.929764</v>
      </c>
      <c r="J2809" s="455">
        <f t="array" ref="J2809">IFERROR(INDEX('Retirement Calculator'!J:J,MATCH('Isaac 401k'!N2809,'Retirement Calculator'!A:A,0),0),0)</f>
        <v>0</v>
      </c>
      <c r="K2809" s="455">
        <f t="shared" ca="1" si="151"/>
        <v>-82204160.962207347</v>
      </c>
      <c r="L2809" s="455">
        <f t="shared" ca="1" si="152"/>
        <v>-19811202791.891972</v>
      </c>
      <c r="M2809" s="471">
        <f t="shared" si="154"/>
        <v>0.05</v>
      </c>
      <c r="N2809" s="475">
        <f t="shared" si="155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53"/>
        <v>-19811202791.891972</v>
      </c>
      <c r="J2810" s="455">
        <f t="array" ref="J2810">IFERROR(INDEX('Retirement Calculator'!J:J,MATCH('Isaac 401k'!N2810,'Retirement Calculator'!A:A,0),0),0)</f>
        <v>0</v>
      </c>
      <c r="K2810" s="455">
        <f t="shared" ca="1" si="151"/>
        <v>-82546678.299549878</v>
      </c>
      <c r="L2810" s="455">
        <f t="shared" ca="1" si="152"/>
        <v>-19893749470.191521</v>
      </c>
      <c r="M2810" s="471">
        <f t="shared" si="154"/>
        <v>0.05</v>
      </c>
      <c r="N2810" s="475">
        <f t="shared" si="155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53"/>
        <v>-19893749470.191521</v>
      </c>
      <c r="J2811" s="455">
        <f t="array" ref="J2811">IFERROR(INDEX('Retirement Calculator'!J:J,MATCH('Isaac 401k'!N2811,'Retirement Calculator'!A:A,0),0),0)</f>
        <v>0</v>
      </c>
      <c r="K2811" s="455">
        <f t="shared" ca="1" si="151"/>
        <v>-82890622.792464674</v>
      </c>
      <c r="L2811" s="455">
        <f t="shared" ca="1" si="152"/>
        <v>-19976640092.983986</v>
      </c>
      <c r="M2811" s="471">
        <f t="shared" si="154"/>
        <v>0.05</v>
      </c>
      <c r="N2811" s="475">
        <f t="shared" si="155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53"/>
        <v>-19976640092.983986</v>
      </c>
      <c r="J2812" s="455">
        <f t="array" ref="J2812">IFERROR(INDEX('Retirement Calculator'!J:J,MATCH('Isaac 401k'!N2812,'Retirement Calculator'!A:A,0),0),0)</f>
        <v>0</v>
      </c>
      <c r="K2812" s="455">
        <f t="shared" ca="1" si="151"/>
        <v>-83236000.387433276</v>
      </c>
      <c r="L2812" s="455">
        <f t="shared" ca="1" si="152"/>
        <v>-20059876093.371418</v>
      </c>
      <c r="M2812" s="471">
        <f t="shared" si="154"/>
        <v>0.05</v>
      </c>
      <c r="N2812" s="475">
        <f t="shared" si="155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53"/>
        <v>-20059876093.371418</v>
      </c>
      <c r="J2813" s="455">
        <f t="array" ref="J2813">IFERROR(INDEX('Retirement Calculator'!J:J,MATCH('Isaac 401k'!N2813,'Retirement Calculator'!A:A,0),0),0)</f>
        <v>0</v>
      </c>
      <c r="K2813" s="455">
        <f t="shared" ref="K2813:K3067" ca="1" si="156">IPMT(M2813/12,1,12,-I2813+J2813,,0)</f>
        <v>-83582817.055714235</v>
      </c>
      <c r="L2813" s="455">
        <f t="shared" ref="L2813:L3067" ca="1" si="157">I2813-J2813+K2813</f>
        <v>-20143458910.427132</v>
      </c>
      <c r="M2813" s="471">
        <f t="shared" si="154"/>
        <v>0.05</v>
      </c>
      <c r="N2813" s="475">
        <f t="shared" si="155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58">L2813</f>
        <v>-20143458910.427132</v>
      </c>
      <c r="J2814" s="455">
        <f t="array" ref="J2814">IFERROR(INDEX('Retirement Calculator'!J:J,MATCH('Isaac 401k'!N2814,'Retirement Calculator'!A:A,0),0),0)</f>
        <v>0</v>
      </c>
      <c r="K2814" s="455">
        <f t="shared" ca="1" si="156"/>
        <v>-83931078.793446377</v>
      </c>
      <c r="L2814" s="455">
        <f t="shared" ca="1" si="157"/>
        <v>-20227389989.220577</v>
      </c>
      <c r="M2814" s="471">
        <f t="shared" ref="M2814:M3068" si="159">M2813</f>
        <v>0.05</v>
      </c>
      <c r="N2814" s="475">
        <f t="shared" ref="N2814:N3068" si="160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58"/>
        <v>-20227389989.220577</v>
      </c>
      <c r="J2815" s="455">
        <f t="array" ref="J2815">IFERROR(INDEX('Retirement Calculator'!J:J,MATCH('Isaac 401k'!N2815,'Retirement Calculator'!A:A,0),0),0)</f>
        <v>0</v>
      </c>
      <c r="K2815" s="455">
        <f t="shared" ca="1" si="156"/>
        <v>-84280791.621752411</v>
      </c>
      <c r="L2815" s="455">
        <f t="shared" ca="1" si="157"/>
        <v>-20311670780.842331</v>
      </c>
      <c r="M2815" s="471">
        <f t="shared" si="159"/>
        <v>0.05</v>
      </c>
      <c r="N2815" s="475">
        <f t="shared" si="160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58"/>
        <v>-20311670780.842331</v>
      </c>
      <c r="J2816" s="455">
        <f t="array" ref="J2816">IFERROR(INDEX('Retirement Calculator'!J:J,MATCH('Isaac 401k'!N2816,'Retirement Calculator'!A:A,0),0),0)</f>
        <v>0</v>
      </c>
      <c r="K2816" s="455">
        <f t="shared" ca="1" si="156"/>
        <v>-84631961.586843044</v>
      </c>
      <c r="L2816" s="455">
        <f t="shared" ca="1" si="157"/>
        <v>-20396302742.429173</v>
      </c>
      <c r="M2816" s="471">
        <f t="shared" si="159"/>
        <v>0.05</v>
      </c>
      <c r="N2816" s="475">
        <f t="shared" si="160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58"/>
        <v>-20396302742.429173</v>
      </c>
      <c r="J2817" s="455">
        <f t="array" ref="J2817">IFERROR(INDEX('Retirement Calculator'!J:J,MATCH('Isaac 401k'!N2817,'Retirement Calculator'!A:A,0),0),0)</f>
        <v>0</v>
      </c>
      <c r="K2817" s="455">
        <f t="shared" ca="1" si="156"/>
        <v>-84984594.760121554</v>
      </c>
      <c r="L2817" s="455">
        <f t="shared" ca="1" si="157"/>
        <v>-20481287337.189293</v>
      </c>
      <c r="M2817" s="471">
        <f t="shared" si="159"/>
        <v>0.05</v>
      </c>
      <c r="N2817" s="475">
        <f t="shared" si="160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58"/>
        <v>-20481287337.189293</v>
      </c>
      <c r="J2818" s="455">
        <f t="array" ref="J2818">IFERROR(INDEX('Retirement Calculator'!J:J,MATCH('Isaac 401k'!N2818,'Retirement Calculator'!A:A,0),0),0)</f>
        <v>0</v>
      </c>
      <c r="K2818" s="455">
        <f t="shared" ca="1" si="156"/>
        <v>-85338697.238288715</v>
      </c>
      <c r="L2818" s="455">
        <f t="shared" ca="1" si="157"/>
        <v>-20566626034.427582</v>
      </c>
      <c r="M2818" s="471">
        <f t="shared" si="159"/>
        <v>0.05</v>
      </c>
      <c r="N2818" s="475">
        <f t="shared" si="160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58"/>
        <v>-20566626034.427582</v>
      </c>
      <c r="J2819" s="455">
        <f t="array" ref="J2819">IFERROR(INDEX('Retirement Calculator'!J:J,MATCH('Isaac 401k'!N2819,'Retirement Calculator'!A:A,0),0),0)</f>
        <v>0</v>
      </c>
      <c r="K2819" s="455">
        <f t="shared" ca="1" si="156"/>
        <v>-85694275.143448263</v>
      </c>
      <c r="L2819" s="455">
        <f t="shared" ca="1" si="157"/>
        <v>-20652320309.57103</v>
      </c>
      <c r="M2819" s="471">
        <f t="shared" si="159"/>
        <v>0.05</v>
      </c>
      <c r="N2819" s="475">
        <f t="shared" si="160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58"/>
        <v>-20652320309.57103</v>
      </c>
      <c r="J2820" s="455">
        <f t="array" ref="J2820">IFERROR(INDEX('Retirement Calculator'!J:J,MATCH('Isaac 401k'!N2820,'Retirement Calculator'!A:A,0),0),0)</f>
        <v>0</v>
      </c>
      <c r="K2820" s="455">
        <f t="shared" ca="1" si="156"/>
        <v>-86051334.623212621</v>
      </c>
      <c r="L2820" s="455">
        <f t="shared" ca="1" si="157"/>
        <v>-20738371644.194241</v>
      </c>
      <c r="M2820" s="471">
        <f t="shared" si="159"/>
        <v>0.05</v>
      </c>
      <c r="N2820" s="475">
        <f t="shared" si="160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58"/>
        <v>-20738371644.194241</v>
      </c>
      <c r="J2821" s="455">
        <f t="array" ref="J2821">IFERROR(INDEX('Retirement Calculator'!J:J,MATCH('Isaac 401k'!N2821,'Retirement Calculator'!A:A,0),0),0)</f>
        <v>0</v>
      </c>
      <c r="K2821" s="455">
        <f t="shared" ca="1" si="156"/>
        <v>-86409881.850809336</v>
      </c>
      <c r="L2821" s="455">
        <f t="shared" ca="1" si="157"/>
        <v>-20824781526.045052</v>
      </c>
      <c r="M2821" s="471">
        <f t="shared" si="159"/>
        <v>0.05</v>
      </c>
      <c r="N2821" s="475">
        <f t="shared" si="160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58"/>
        <v>-20824781526.045052</v>
      </c>
      <c r="J2822" s="455">
        <f t="array" ref="J2822">IFERROR(INDEX('Retirement Calculator'!J:J,MATCH('Isaac 401k'!N2822,'Retirement Calculator'!A:A,0),0),0)</f>
        <v>0</v>
      </c>
      <c r="K2822" s="455">
        <f t="shared" ca="1" si="156"/>
        <v>-86769923.025187716</v>
      </c>
      <c r="L2822" s="455">
        <f t="shared" ca="1" si="157"/>
        <v>-20911551449.07024</v>
      </c>
      <c r="M2822" s="471">
        <f t="shared" si="159"/>
        <v>0.05</v>
      </c>
      <c r="N2822" s="475">
        <f t="shared" si="160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58"/>
        <v>-20911551449.07024</v>
      </c>
      <c r="J2823" s="455">
        <f t="array" ref="J2823">IFERROR(INDEX('Retirement Calculator'!J:J,MATCH('Isaac 401k'!N2823,'Retirement Calculator'!A:A,0),0),0)</f>
        <v>0</v>
      </c>
      <c r="K2823" s="455">
        <f t="shared" ca="1" si="156"/>
        <v>-87131464.371125996</v>
      </c>
      <c r="L2823" s="455">
        <f t="shared" ca="1" si="157"/>
        <v>-20998682913.441364</v>
      </c>
      <c r="M2823" s="471">
        <f t="shared" si="159"/>
        <v>0.05</v>
      </c>
      <c r="N2823" s="475">
        <f t="shared" si="160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58"/>
        <v>-20998682913.441364</v>
      </c>
      <c r="J2824" s="455">
        <f t="array" ref="J2824">IFERROR(INDEX('Retirement Calculator'!J:J,MATCH('Isaac 401k'!N2824,'Retirement Calculator'!A:A,0),0),0)</f>
        <v>0</v>
      </c>
      <c r="K2824" s="455">
        <f t="shared" ca="1" si="156"/>
        <v>-87494512.139339015</v>
      </c>
      <c r="L2824" s="455">
        <f t="shared" ca="1" si="157"/>
        <v>-21086177425.580704</v>
      </c>
      <c r="M2824" s="471">
        <f t="shared" si="159"/>
        <v>0.05</v>
      </c>
      <c r="N2824" s="475">
        <f t="shared" si="160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58"/>
        <v>-21086177425.580704</v>
      </c>
      <c r="J2825" s="455">
        <f t="array" ref="J2825">IFERROR(INDEX('Retirement Calculator'!J:J,MATCH('Isaac 401k'!N2825,'Retirement Calculator'!A:A,0),0),0)</f>
        <v>0</v>
      </c>
      <c r="K2825" s="455">
        <f t="shared" ca="1" si="156"/>
        <v>-87859072.606586263</v>
      </c>
      <c r="L2825" s="455">
        <f t="shared" ca="1" si="157"/>
        <v>-21174036498.18729</v>
      </c>
      <c r="M2825" s="471">
        <f t="shared" si="159"/>
        <v>0.05</v>
      </c>
      <c r="N2825" s="475">
        <f t="shared" si="160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58"/>
        <v>-21174036498.18729</v>
      </c>
      <c r="J2826" s="455">
        <f t="array" ref="J2826">IFERROR(INDEX('Retirement Calculator'!J:J,MATCH('Isaac 401k'!N2826,'Retirement Calculator'!A:A,0),0),0)</f>
        <v>0</v>
      </c>
      <c r="K2826" s="455">
        <f t="shared" ca="1" si="156"/>
        <v>-88225152.075780377</v>
      </c>
      <c r="L2826" s="455">
        <f t="shared" ca="1" si="157"/>
        <v>-21262261650.263069</v>
      </c>
      <c r="M2826" s="471">
        <f t="shared" si="159"/>
        <v>0.05</v>
      </c>
      <c r="N2826" s="475">
        <f t="shared" si="160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58"/>
        <v>-21262261650.263069</v>
      </c>
      <c r="J2827" s="455">
        <f t="array" ref="J2827">IFERROR(INDEX('Retirement Calculator'!J:J,MATCH('Isaac 401k'!N2827,'Retirement Calculator'!A:A,0),0),0)</f>
        <v>0</v>
      </c>
      <c r="K2827" s="455">
        <f t="shared" ca="1" si="156"/>
        <v>-88592756.876096115</v>
      </c>
      <c r="L2827" s="455">
        <f t="shared" ca="1" si="157"/>
        <v>-21350854407.139164</v>
      </c>
      <c r="M2827" s="471">
        <f t="shared" si="159"/>
        <v>0.05</v>
      </c>
      <c r="N2827" s="475">
        <f t="shared" si="160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58"/>
        <v>-21350854407.139164</v>
      </c>
      <c r="J2828" s="455">
        <f t="array" ref="J2828">IFERROR(INDEX('Retirement Calculator'!J:J,MATCH('Isaac 401k'!N2828,'Retirement Calculator'!A:A,0),0),0)</f>
        <v>0</v>
      </c>
      <c r="K2828" s="455">
        <f t="shared" ca="1" si="156"/>
        <v>-88961893.363079846</v>
      </c>
      <c r="L2828" s="455">
        <f t="shared" ca="1" si="157"/>
        <v>-21439816300.502243</v>
      </c>
      <c r="M2828" s="471">
        <f t="shared" si="159"/>
        <v>0.05</v>
      </c>
      <c r="N2828" s="475">
        <f t="shared" si="160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58"/>
        <v>-21439816300.502243</v>
      </c>
      <c r="J2829" s="455">
        <f t="array" ref="J2829">IFERROR(INDEX('Retirement Calculator'!J:J,MATCH('Isaac 401k'!N2829,'Retirement Calculator'!A:A,0),0),0)</f>
        <v>0</v>
      </c>
      <c r="K2829" s="455">
        <f t="shared" ca="1" si="156"/>
        <v>-89332567.918759346</v>
      </c>
      <c r="L2829" s="455">
        <f t="shared" ca="1" si="157"/>
        <v>-21529148868.421001</v>
      </c>
      <c r="M2829" s="471">
        <f t="shared" si="159"/>
        <v>0.05</v>
      </c>
      <c r="N2829" s="475">
        <f t="shared" si="160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58"/>
        <v>-21529148868.421001</v>
      </c>
      <c r="J2830" s="455">
        <f t="array" ref="J2830">IFERROR(INDEX('Retirement Calculator'!J:J,MATCH('Isaac 401k'!N2830,'Retirement Calculator'!A:A,0),0),0)</f>
        <v>0</v>
      </c>
      <c r="K2830" s="455">
        <f t="shared" ca="1" si="156"/>
        <v>-89704786.951754168</v>
      </c>
      <c r="L2830" s="455">
        <f t="shared" ca="1" si="157"/>
        <v>-21618853655.372757</v>
      </c>
      <c r="M2830" s="471">
        <f t="shared" si="159"/>
        <v>0.05</v>
      </c>
      <c r="N2830" s="475">
        <f t="shared" si="160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58"/>
        <v>-21618853655.372757</v>
      </c>
      <c r="J2831" s="455">
        <f t="array" ref="J2831">IFERROR(INDEX('Retirement Calculator'!J:J,MATCH('Isaac 401k'!N2831,'Retirement Calculator'!A:A,0),0),0)</f>
        <v>0</v>
      </c>
      <c r="K2831" s="455">
        <f t="shared" ca="1" si="156"/>
        <v>-90078556.897386491</v>
      </c>
      <c r="L2831" s="455">
        <f t="shared" ca="1" si="157"/>
        <v>-21708932212.270142</v>
      </c>
      <c r="M2831" s="471">
        <f t="shared" si="159"/>
        <v>0.05</v>
      </c>
      <c r="N2831" s="475">
        <f t="shared" si="160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58"/>
        <v>-21708932212.270142</v>
      </c>
      <c r="J2832" s="455">
        <f t="array" ref="J2832">IFERROR(INDEX('Retirement Calculator'!J:J,MATCH('Isaac 401k'!N2832,'Retirement Calculator'!A:A,0),0),0)</f>
        <v>0</v>
      </c>
      <c r="K2832" s="455">
        <f t="shared" ca="1" si="156"/>
        <v>-90453884.217792258</v>
      </c>
      <c r="L2832" s="455">
        <f t="shared" ca="1" si="157"/>
        <v>-21799386096.487934</v>
      </c>
      <c r="M2832" s="471">
        <f t="shared" si="159"/>
        <v>0.05</v>
      </c>
      <c r="N2832" s="475">
        <f t="shared" si="160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58"/>
        <v>-21799386096.487934</v>
      </c>
      <c r="J2833" s="455">
        <f t="array" ref="J2833">IFERROR(INDEX('Retirement Calculator'!J:J,MATCH('Isaac 401k'!N2833,'Retirement Calculator'!A:A,0),0),0)</f>
        <v>0</v>
      </c>
      <c r="K2833" s="455">
        <f t="shared" ca="1" si="156"/>
        <v>-90830775.402033061</v>
      </c>
      <c r="L2833" s="455">
        <f t="shared" ca="1" si="157"/>
        <v>-21890216871.889969</v>
      </c>
      <c r="M2833" s="471">
        <f t="shared" si="159"/>
        <v>0.05</v>
      </c>
      <c r="N2833" s="475">
        <f t="shared" si="160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58"/>
        <v>-21890216871.889969</v>
      </c>
      <c r="J2834" s="455">
        <f t="array" ref="J2834">IFERROR(INDEX('Retirement Calculator'!J:J,MATCH('Isaac 401k'!N2834,'Retirement Calculator'!A:A,0),0),0)</f>
        <v>0</v>
      </c>
      <c r="K2834" s="455">
        <f t="shared" ca="1" si="156"/>
        <v>-91209236.966208205</v>
      </c>
      <c r="L2834" s="455">
        <f t="shared" ca="1" si="157"/>
        <v>-21981426108.856178</v>
      </c>
      <c r="M2834" s="471">
        <f t="shared" si="159"/>
        <v>0.05</v>
      </c>
      <c r="N2834" s="475">
        <f t="shared" si="160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58"/>
        <v>-21981426108.856178</v>
      </c>
      <c r="J2835" s="455">
        <f t="array" ref="J2835">IFERROR(INDEX('Retirement Calculator'!J:J,MATCH('Isaac 401k'!N2835,'Retirement Calculator'!A:A,0),0),0)</f>
        <v>0</v>
      </c>
      <c r="K2835" s="455">
        <f t="shared" ca="1" si="156"/>
        <v>-91589275.453567415</v>
      </c>
      <c r="L2835" s="455">
        <f t="shared" ca="1" si="157"/>
        <v>-22073015384.309746</v>
      </c>
      <c r="M2835" s="471">
        <f t="shared" si="159"/>
        <v>0.05</v>
      </c>
      <c r="N2835" s="475">
        <f t="shared" si="160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58"/>
        <v>-22073015384.309746</v>
      </c>
      <c r="J2836" s="455">
        <f t="array" ref="J2836">IFERROR(INDEX('Retirement Calculator'!J:J,MATCH('Isaac 401k'!N2836,'Retirement Calculator'!A:A,0),0),0)</f>
        <v>0</v>
      </c>
      <c r="K2836" s="455">
        <f t="shared" ca="1" si="156"/>
        <v>-91970897.434623942</v>
      </c>
      <c r="L2836" s="455">
        <f t="shared" ca="1" si="157"/>
        <v>-22164986281.74437</v>
      </c>
      <c r="M2836" s="471">
        <f t="shared" si="159"/>
        <v>0.05</v>
      </c>
      <c r="N2836" s="475">
        <f t="shared" si="160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58"/>
        <v>-22164986281.74437</v>
      </c>
      <c r="J2837" s="455">
        <f t="array" ref="J2837">IFERROR(INDEX('Retirement Calculator'!J:J,MATCH('Isaac 401k'!N2837,'Retirement Calculator'!A:A,0),0),0)</f>
        <v>0</v>
      </c>
      <c r="K2837" s="455">
        <f t="shared" ca="1" si="156"/>
        <v>-92354109.507268205</v>
      </c>
      <c r="L2837" s="455">
        <f t="shared" ca="1" si="157"/>
        <v>-22257340391.251637</v>
      </c>
      <c r="M2837" s="471">
        <f t="shared" si="159"/>
        <v>0.05</v>
      </c>
      <c r="N2837" s="475">
        <f t="shared" si="160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58"/>
        <v>-22257340391.251637</v>
      </c>
      <c r="J2838" s="455">
        <f t="array" ref="J2838">IFERROR(INDEX('Retirement Calculator'!J:J,MATCH('Isaac 401k'!N2838,'Retirement Calculator'!A:A,0),0),0)</f>
        <v>0</v>
      </c>
      <c r="K2838" s="455">
        <f t="shared" ca="1" si="156"/>
        <v>-92738918.296881825</v>
      </c>
      <c r="L2838" s="455">
        <f t="shared" ca="1" si="157"/>
        <v>-22350079309.548519</v>
      </c>
      <c r="M2838" s="471">
        <f t="shared" si="159"/>
        <v>0.05</v>
      </c>
      <c r="N2838" s="475">
        <f t="shared" si="160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58"/>
        <v>-22350079309.548519</v>
      </c>
      <c r="J2839" s="455">
        <f t="array" ref="J2839">IFERROR(INDEX('Retirement Calculator'!J:J,MATCH('Isaac 401k'!N2839,'Retirement Calculator'!A:A,0),0),0)</f>
        <v>0</v>
      </c>
      <c r="K2839" s="455">
        <f t="shared" ca="1" si="156"/>
        <v>-93125330.456452161</v>
      </c>
      <c r="L2839" s="455">
        <f t="shared" ca="1" si="157"/>
        <v>-22443204640.004971</v>
      </c>
      <c r="M2839" s="471">
        <f t="shared" si="159"/>
        <v>0.05</v>
      </c>
      <c r="N2839" s="475">
        <f t="shared" si="160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58"/>
        <v>-22443204640.004971</v>
      </c>
      <c r="J2840" s="455">
        <f t="array" ref="J2840">IFERROR(INDEX('Retirement Calculator'!J:J,MATCH('Isaac 401k'!N2840,'Retirement Calculator'!A:A,0),0),0)</f>
        <v>0</v>
      </c>
      <c r="K2840" s="455">
        <f t="shared" ca="1" si="156"/>
        <v>-93513352.666687369</v>
      </c>
      <c r="L2840" s="455">
        <f t="shared" ca="1" si="157"/>
        <v>-22536717992.671658</v>
      </c>
      <c r="M2840" s="471">
        <f t="shared" si="159"/>
        <v>0.05</v>
      </c>
      <c r="N2840" s="475">
        <f t="shared" si="160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58"/>
        <v>-22536717992.671658</v>
      </c>
      <c r="J2841" s="455">
        <f t="array" ref="J2841">IFERROR(INDEX('Retirement Calculator'!J:J,MATCH('Isaac 401k'!N2841,'Retirement Calculator'!A:A,0),0),0)</f>
        <v>0</v>
      </c>
      <c r="K2841" s="455">
        <f t="shared" ca="1" si="156"/>
        <v>-93902991.636131912</v>
      </c>
      <c r="L2841" s="455">
        <f t="shared" ca="1" si="157"/>
        <v>-22630620984.307789</v>
      </c>
      <c r="M2841" s="471">
        <f t="shared" si="159"/>
        <v>0.05</v>
      </c>
      <c r="N2841" s="475">
        <f t="shared" si="160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58"/>
        <v>-22630620984.307789</v>
      </c>
      <c r="J2842" s="455">
        <f t="array" ref="J2842">IFERROR(INDEX('Retirement Calculator'!J:J,MATCH('Isaac 401k'!N2842,'Retirement Calculator'!A:A,0),0),0)</f>
        <v>0</v>
      </c>
      <c r="K2842" s="455">
        <f t="shared" ca="1" si="156"/>
        <v>-94294254.101282448</v>
      </c>
      <c r="L2842" s="455">
        <f t="shared" ca="1" si="157"/>
        <v>-22724915238.409073</v>
      </c>
      <c r="M2842" s="471">
        <f t="shared" si="159"/>
        <v>0.05</v>
      </c>
      <c r="N2842" s="475">
        <f t="shared" si="160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58"/>
        <v>-22724915238.409073</v>
      </c>
      <c r="J2843" s="455">
        <f t="array" ref="J2843">IFERROR(INDEX('Retirement Calculator'!J:J,MATCH('Isaac 401k'!N2843,'Retirement Calculator'!A:A,0),0),0)</f>
        <v>0</v>
      </c>
      <c r="K2843" s="455">
        <f t="shared" ca="1" si="156"/>
        <v>-94687146.826704472</v>
      </c>
      <c r="L2843" s="455">
        <f t="shared" ca="1" si="157"/>
        <v>-22819602385.235779</v>
      </c>
      <c r="M2843" s="471">
        <f t="shared" si="159"/>
        <v>0.05</v>
      </c>
      <c r="N2843" s="475">
        <f t="shared" si="160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58"/>
        <v>-22819602385.235779</v>
      </c>
      <c r="J2844" s="455">
        <f t="array" ref="J2844">IFERROR(INDEX('Retirement Calculator'!J:J,MATCH('Isaac 401k'!N2844,'Retirement Calculator'!A:A,0),0),0)</f>
        <v>0</v>
      </c>
      <c r="K2844" s="455">
        <f t="shared" ca="1" si="156"/>
        <v>-95081676.605149075</v>
      </c>
      <c r="L2844" s="455">
        <f t="shared" ca="1" si="157"/>
        <v>-22914684061.840927</v>
      </c>
      <c r="M2844" s="471">
        <f t="shared" si="159"/>
        <v>0.05</v>
      </c>
      <c r="N2844" s="475">
        <f t="shared" si="160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58"/>
        <v>-22914684061.840927</v>
      </c>
      <c r="J2845" s="455">
        <f t="array" ref="J2845">IFERROR(INDEX('Retirement Calculator'!J:J,MATCH('Isaac 401k'!N2845,'Retirement Calculator'!A:A,0),0),0)</f>
        <v>0</v>
      </c>
      <c r="K2845" s="455">
        <f t="shared" ca="1" si="156"/>
        <v>-95477850.257670522</v>
      </c>
      <c r="L2845" s="455">
        <f t="shared" ca="1" si="157"/>
        <v>-23010161912.098598</v>
      </c>
      <c r="M2845" s="471">
        <f t="shared" si="159"/>
        <v>0.05</v>
      </c>
      <c r="N2845" s="475">
        <f t="shared" si="160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58"/>
        <v>-23010161912.098598</v>
      </c>
      <c r="J2846" s="455">
        <f t="array" ref="J2846">IFERROR(INDEX('Retirement Calculator'!J:J,MATCH('Isaac 401k'!N2846,'Retirement Calculator'!A:A,0),0),0)</f>
        <v>0</v>
      </c>
      <c r="K2846" s="455">
        <f t="shared" ca="1" si="156"/>
        <v>-95875674.633744165</v>
      </c>
      <c r="L2846" s="455">
        <f t="shared" ca="1" si="157"/>
        <v>-23106037586.732342</v>
      </c>
      <c r="M2846" s="471">
        <f t="shared" si="159"/>
        <v>0.05</v>
      </c>
      <c r="N2846" s="475">
        <f t="shared" si="160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58"/>
        <v>-23106037586.732342</v>
      </c>
      <c r="J2847" s="455">
        <f t="array" ref="J2847">IFERROR(INDEX('Retirement Calculator'!J:J,MATCH('Isaac 401k'!N2847,'Retirement Calculator'!A:A,0),0),0)</f>
        <v>0</v>
      </c>
      <c r="K2847" s="455">
        <f t="shared" ca="1" si="156"/>
        <v>-96275156.611384749</v>
      </c>
      <c r="L2847" s="455">
        <f t="shared" ca="1" si="157"/>
        <v>-23202312743.343727</v>
      </c>
      <c r="M2847" s="471">
        <f t="shared" si="159"/>
        <v>0.05</v>
      </c>
      <c r="N2847" s="475">
        <f t="shared" si="160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58"/>
        <v>-23202312743.343727</v>
      </c>
      <c r="J2848" s="455">
        <f t="array" ref="J2848">IFERROR(INDEX('Retirement Calculator'!J:J,MATCH('Isaac 401k'!N2848,'Retirement Calculator'!A:A,0),0),0)</f>
        <v>0</v>
      </c>
      <c r="K2848" s="455">
        <f t="shared" ca="1" si="156"/>
        <v>-96676303.097265527</v>
      </c>
      <c r="L2848" s="455">
        <f t="shared" ca="1" si="157"/>
        <v>-23298989046.440994</v>
      </c>
      <c r="M2848" s="471">
        <f t="shared" si="159"/>
        <v>0.05</v>
      </c>
      <c r="N2848" s="475">
        <f t="shared" si="160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58"/>
        <v>-23298989046.440994</v>
      </c>
      <c r="J2849" s="455">
        <f t="array" ref="J2849">IFERROR(INDEX('Retirement Calculator'!J:J,MATCH('Isaac 401k'!N2849,'Retirement Calculator'!A:A,0),0),0)</f>
        <v>0</v>
      </c>
      <c r="K2849" s="455">
        <f t="shared" ca="1" si="156"/>
        <v>-97079121.026837468</v>
      </c>
      <c r="L2849" s="455">
        <f t="shared" ca="1" si="157"/>
        <v>-23396068167.467831</v>
      </c>
      <c r="M2849" s="471">
        <f t="shared" si="159"/>
        <v>0.05</v>
      </c>
      <c r="N2849" s="475">
        <f t="shared" si="160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58"/>
        <v>-23396068167.467831</v>
      </c>
      <c r="J2850" s="455">
        <f t="array" ref="J2850">IFERROR(INDEX('Retirement Calculator'!J:J,MATCH('Isaac 401k'!N2850,'Retirement Calculator'!A:A,0),0),0)</f>
        <v>0</v>
      </c>
      <c r="K2850" s="455">
        <f t="shared" ca="1" si="156"/>
        <v>-97483617.364449292</v>
      </c>
      <c r="L2850" s="455">
        <f t="shared" ca="1" si="157"/>
        <v>-23493551784.832279</v>
      </c>
      <c r="M2850" s="471">
        <f t="shared" si="159"/>
        <v>0.05</v>
      </c>
      <c r="N2850" s="475">
        <f t="shared" si="160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58"/>
        <v>-23493551784.832279</v>
      </c>
      <c r="J2851" s="455">
        <f t="array" ref="J2851">IFERROR(INDEX('Retirement Calculator'!J:J,MATCH('Isaac 401k'!N2851,'Retirement Calculator'!A:A,0),0),0)</f>
        <v>0</v>
      </c>
      <c r="K2851" s="455">
        <f t="shared" ca="1" si="156"/>
        <v>-97889799.103467822</v>
      </c>
      <c r="L2851" s="455">
        <f t="shared" ca="1" si="157"/>
        <v>-23591441583.935745</v>
      </c>
      <c r="M2851" s="471">
        <f t="shared" si="159"/>
        <v>0.05</v>
      </c>
      <c r="N2851" s="475">
        <f t="shared" si="160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58"/>
        <v>-23591441583.935745</v>
      </c>
      <c r="J2852" s="455">
        <f t="array" ref="J2852">IFERROR(INDEX('Retirement Calculator'!J:J,MATCH('Isaac 401k'!N2852,'Retirement Calculator'!A:A,0),0),0)</f>
        <v>0</v>
      </c>
      <c r="K2852" s="455">
        <f t="shared" ca="1" si="156"/>
        <v>-98297673.266398937</v>
      </c>
      <c r="L2852" s="455">
        <f t="shared" ca="1" si="157"/>
        <v>-23689739257.202145</v>
      </c>
      <c r="M2852" s="471">
        <f t="shared" si="159"/>
        <v>0.05</v>
      </c>
      <c r="N2852" s="475">
        <f t="shared" si="160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58"/>
        <v>-23689739257.202145</v>
      </c>
      <c r="J2853" s="455">
        <f t="array" ref="J2853">IFERROR(INDEX('Retirement Calculator'!J:J,MATCH('Isaac 401k'!N2853,'Retirement Calculator'!A:A,0),0),0)</f>
        <v>0</v>
      </c>
      <c r="K2853" s="455">
        <f t="shared" ca="1" si="156"/>
        <v>-98707246.905008942</v>
      </c>
      <c r="L2853" s="455">
        <f t="shared" ca="1" si="157"/>
        <v>-23788446504.107155</v>
      </c>
      <c r="M2853" s="471">
        <f t="shared" si="159"/>
        <v>0.05</v>
      </c>
      <c r="N2853" s="475">
        <f t="shared" si="160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58"/>
        <v>-23788446504.107155</v>
      </c>
      <c r="J2854" s="455">
        <f t="array" ref="J2854">IFERROR(INDEX('Retirement Calculator'!J:J,MATCH('Isaac 401k'!N2854,'Retirement Calculator'!A:A,0),0),0)</f>
        <v>0</v>
      </c>
      <c r="K2854" s="455">
        <f t="shared" ca="1" si="156"/>
        <v>-99118527.100446478</v>
      </c>
      <c r="L2854" s="455">
        <f t="shared" ca="1" si="157"/>
        <v>-23887565031.2076</v>
      </c>
      <c r="M2854" s="471">
        <f t="shared" si="159"/>
        <v>0.05</v>
      </c>
      <c r="N2854" s="475">
        <f t="shared" si="160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58"/>
        <v>-23887565031.2076</v>
      </c>
      <c r="J2855" s="455">
        <f t="array" ref="J2855">IFERROR(INDEX('Retirement Calculator'!J:J,MATCH('Isaac 401k'!N2855,'Retirement Calculator'!A:A,0),0),0)</f>
        <v>0</v>
      </c>
      <c r="K2855" s="455">
        <f t="shared" ca="1" si="156"/>
        <v>-99531520.963365003</v>
      </c>
      <c r="L2855" s="455">
        <f t="shared" ca="1" si="157"/>
        <v>-23987096552.170963</v>
      </c>
      <c r="M2855" s="471">
        <f t="shared" si="159"/>
        <v>0.05</v>
      </c>
      <c r="N2855" s="475">
        <f t="shared" si="160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58"/>
        <v>-23987096552.170963</v>
      </c>
      <c r="J2856" s="455">
        <f t="array" ref="J2856">IFERROR(INDEX('Retirement Calculator'!J:J,MATCH('Isaac 401k'!N2856,'Retirement Calculator'!A:A,0),0),0)</f>
        <v>0</v>
      </c>
      <c r="K2856" s="455">
        <f t="shared" ca="1" si="156"/>
        <v>-99946235.634045675</v>
      </c>
      <c r="L2856" s="455">
        <f t="shared" ca="1" si="157"/>
        <v>-24087042787.805008</v>
      </c>
      <c r="M2856" s="471">
        <f t="shared" si="159"/>
        <v>0.05</v>
      </c>
      <c r="N2856" s="475">
        <f t="shared" si="160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58"/>
        <v>-24087042787.805008</v>
      </c>
      <c r="J2857" s="455">
        <f t="array" ref="J2857">IFERROR(INDEX('Retirement Calculator'!J:J,MATCH('Isaac 401k'!N2857,'Retirement Calculator'!A:A,0),0),0)</f>
        <v>0</v>
      </c>
      <c r="K2857" s="455">
        <f t="shared" ca="1" si="156"/>
        <v>-100362678.28252086</v>
      </c>
      <c r="L2857" s="455">
        <f t="shared" ca="1" si="157"/>
        <v>-24187405466.087528</v>
      </c>
      <c r="M2857" s="471">
        <f t="shared" si="159"/>
        <v>0.05</v>
      </c>
      <c r="N2857" s="475">
        <f t="shared" si="160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58"/>
        <v>-24187405466.087528</v>
      </c>
      <c r="J2858" s="455">
        <f t="array" ref="J2858">IFERROR(INDEX('Retirement Calculator'!J:J,MATCH('Isaac 401k'!N2858,'Retirement Calculator'!A:A,0),0),0)</f>
        <v>0</v>
      </c>
      <c r="K2858" s="455">
        <f t="shared" ca="1" si="156"/>
        <v>-100780856.10869804</v>
      </c>
      <c r="L2858" s="455">
        <f t="shared" ca="1" si="157"/>
        <v>-24288186322.196228</v>
      </c>
      <c r="M2858" s="471">
        <f t="shared" si="159"/>
        <v>0.05</v>
      </c>
      <c r="N2858" s="475">
        <f t="shared" si="160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58"/>
        <v>-24288186322.196228</v>
      </c>
      <c r="J2859" s="455">
        <f t="array" ref="J2859">IFERROR(INDEX('Retirement Calculator'!J:J,MATCH('Isaac 401k'!N2859,'Retirement Calculator'!A:A,0),0),0)</f>
        <v>0</v>
      </c>
      <c r="K2859" s="455">
        <f t="shared" ca="1" si="156"/>
        <v>-101200776.34248428</v>
      </c>
      <c r="L2859" s="455">
        <f t="shared" ca="1" si="157"/>
        <v>-24389387098.538712</v>
      </c>
      <c r="M2859" s="471">
        <f t="shared" si="159"/>
        <v>0.05</v>
      </c>
      <c r="N2859" s="475">
        <f t="shared" si="160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58"/>
        <v>-24389387098.538712</v>
      </c>
      <c r="J2860" s="455">
        <f t="array" ref="J2860">IFERROR(INDEX('Retirement Calculator'!J:J,MATCH('Isaac 401k'!N2860,'Retirement Calculator'!A:A,0),0),0)</f>
        <v>0</v>
      </c>
      <c r="K2860" s="455">
        <f t="shared" ca="1" si="156"/>
        <v>-101622446.2439113</v>
      </c>
      <c r="L2860" s="455">
        <f t="shared" ca="1" si="157"/>
        <v>-24491009544.782623</v>
      </c>
      <c r="M2860" s="471">
        <f t="shared" si="159"/>
        <v>0.05</v>
      </c>
      <c r="N2860" s="475">
        <f t="shared" si="160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58"/>
        <v>-24491009544.782623</v>
      </c>
      <c r="J2861" s="455">
        <f t="array" ref="J2861">IFERROR(INDEX('Retirement Calculator'!J:J,MATCH('Isaac 401k'!N2861,'Retirement Calculator'!A:A,0),0),0)</f>
        <v>0</v>
      </c>
      <c r="K2861" s="455">
        <f t="shared" ca="1" si="156"/>
        <v>-102045873.10326093</v>
      </c>
      <c r="L2861" s="455">
        <f t="shared" ca="1" si="157"/>
        <v>-24593055417.885883</v>
      </c>
      <c r="M2861" s="471">
        <f t="shared" si="159"/>
        <v>0.05</v>
      </c>
      <c r="N2861" s="475">
        <f t="shared" si="160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58"/>
        <v>-24593055417.885883</v>
      </c>
      <c r="J2862" s="455">
        <f t="array" ref="J2862">IFERROR(INDEX('Retirement Calculator'!J:J,MATCH('Isaac 401k'!N2862,'Retirement Calculator'!A:A,0),0),0)</f>
        <v>0</v>
      </c>
      <c r="K2862" s="455">
        <f t="shared" ca="1" si="156"/>
        <v>-102471064.24119118</v>
      </c>
      <c r="L2862" s="455">
        <f t="shared" ca="1" si="157"/>
        <v>-24695526482.127075</v>
      </c>
      <c r="M2862" s="471">
        <f t="shared" si="159"/>
        <v>0.05</v>
      </c>
      <c r="N2862" s="475">
        <f t="shared" si="160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58"/>
        <v>-24695526482.127075</v>
      </c>
      <c r="J2863" s="455">
        <f t="array" ref="J2863">IFERROR(INDEX('Retirement Calculator'!J:J,MATCH('Isaac 401k'!N2863,'Retirement Calculator'!A:A,0),0),0)</f>
        <v>0</v>
      </c>
      <c r="K2863" s="455">
        <f t="shared" ca="1" si="156"/>
        <v>-102898027.00886281</v>
      </c>
      <c r="L2863" s="455">
        <f t="shared" ca="1" si="157"/>
        <v>-24798424509.135937</v>
      </c>
      <c r="M2863" s="471">
        <f t="shared" si="159"/>
        <v>0.05</v>
      </c>
      <c r="N2863" s="475">
        <f t="shared" si="160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58"/>
        <v>-24798424509.135937</v>
      </c>
      <c r="J2864" s="455">
        <f t="array" ref="J2864">IFERROR(INDEX('Retirement Calculator'!J:J,MATCH('Isaac 401k'!N2864,'Retirement Calculator'!A:A,0),0),0)</f>
        <v>0</v>
      </c>
      <c r="K2864" s="455">
        <f t="shared" ca="1" si="156"/>
        <v>-103326768.7880664</v>
      </c>
      <c r="L2864" s="455">
        <f t="shared" ca="1" si="157"/>
        <v>-24901751277.924004</v>
      </c>
      <c r="M2864" s="471">
        <f t="shared" si="159"/>
        <v>0.05</v>
      </c>
      <c r="N2864" s="475">
        <f t="shared" si="160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58"/>
        <v>-24901751277.924004</v>
      </c>
      <c r="J2865" s="455">
        <f t="array" ref="J2865">IFERROR(INDEX('Retirement Calculator'!J:J,MATCH('Isaac 401k'!N2865,'Retirement Calculator'!A:A,0),0),0)</f>
        <v>0</v>
      </c>
      <c r="K2865" s="455">
        <f t="shared" ca="1" si="156"/>
        <v>-103757296.99135001</v>
      </c>
      <c r="L2865" s="455">
        <f t="shared" ca="1" si="157"/>
        <v>-25005508574.915352</v>
      </c>
      <c r="M2865" s="471">
        <f t="shared" si="159"/>
        <v>0.05</v>
      </c>
      <c r="N2865" s="475">
        <f t="shared" si="160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58"/>
        <v>-25005508574.915352</v>
      </c>
      <c r="J2866" s="455">
        <f t="array" ref="J2866">IFERROR(INDEX('Retirement Calculator'!J:J,MATCH('Isaac 401k'!N2866,'Retirement Calculator'!A:A,0),0),0)</f>
        <v>0</v>
      </c>
      <c r="K2866" s="455">
        <f t="shared" ca="1" si="156"/>
        <v>-104189619.0621473</v>
      </c>
      <c r="L2866" s="455">
        <f t="shared" ca="1" si="157"/>
        <v>-25109698193.977501</v>
      </c>
      <c r="M2866" s="471">
        <f t="shared" si="159"/>
        <v>0.05</v>
      </c>
      <c r="N2866" s="475">
        <f t="shared" si="160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58"/>
        <v>-25109698193.977501</v>
      </c>
      <c r="J2867" s="455">
        <f t="array" ref="J2867">IFERROR(INDEX('Retirement Calculator'!J:J,MATCH('Isaac 401k'!N2867,'Retirement Calculator'!A:A,0),0),0)</f>
        <v>0</v>
      </c>
      <c r="K2867" s="455">
        <f t="shared" ca="1" si="156"/>
        <v>-104623742.47490625</v>
      </c>
      <c r="L2867" s="455">
        <f t="shared" ca="1" si="157"/>
        <v>-25214321936.452408</v>
      </c>
      <c r="M2867" s="471">
        <f t="shared" si="159"/>
        <v>0.05</v>
      </c>
      <c r="N2867" s="475">
        <f t="shared" si="160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58"/>
        <v>-25214321936.452408</v>
      </c>
      <c r="J2868" s="455">
        <f t="array" ref="J2868">IFERROR(INDEX('Retirement Calculator'!J:J,MATCH('Isaac 401k'!N2868,'Retirement Calculator'!A:A,0),0),0)</f>
        <v>0</v>
      </c>
      <c r="K2868" s="455">
        <f t="shared" ca="1" si="156"/>
        <v>-105059674.73521836</v>
      </c>
      <c r="L2868" s="455">
        <f t="shared" ca="1" si="157"/>
        <v>-25319381611.187626</v>
      </c>
      <c r="M2868" s="471">
        <f t="shared" si="159"/>
        <v>0.05</v>
      </c>
      <c r="N2868" s="475">
        <f t="shared" si="160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58"/>
        <v>-25319381611.187626</v>
      </c>
      <c r="J2869" s="455">
        <f t="array" ref="J2869">IFERROR(INDEX('Retirement Calculator'!J:J,MATCH('Isaac 401k'!N2869,'Retirement Calculator'!A:A,0),0),0)</f>
        <v>0</v>
      </c>
      <c r="K2869" s="455">
        <f t="shared" ca="1" si="156"/>
        <v>-105497423.37994844</v>
      </c>
      <c r="L2869" s="455">
        <f t="shared" ca="1" si="157"/>
        <v>-25424879034.567574</v>
      </c>
      <c r="M2869" s="471">
        <f t="shared" si="159"/>
        <v>0.05</v>
      </c>
      <c r="N2869" s="475">
        <f t="shared" si="160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58"/>
        <v>-25424879034.567574</v>
      </c>
      <c r="J2870" s="455">
        <f t="array" ref="J2870">IFERROR(INDEX('Retirement Calculator'!J:J,MATCH('Isaac 401k'!N2870,'Retirement Calculator'!A:A,0),0),0)</f>
        <v>0</v>
      </c>
      <c r="K2870" s="455">
        <f t="shared" ca="1" si="156"/>
        <v>-105936995.97736488</v>
      </c>
      <c r="L2870" s="455">
        <f t="shared" ca="1" si="157"/>
        <v>-25530816030.544937</v>
      </c>
      <c r="M2870" s="471">
        <f t="shared" si="159"/>
        <v>0.05</v>
      </c>
      <c r="N2870" s="475">
        <f t="shared" si="160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58"/>
        <v>-25530816030.544937</v>
      </c>
      <c r="J2871" s="455">
        <f t="array" ref="J2871">IFERROR(INDEX('Retirement Calculator'!J:J,MATCH('Isaac 401k'!N2871,'Retirement Calculator'!A:A,0),0),0)</f>
        <v>0</v>
      </c>
      <c r="K2871" s="455">
        <f t="shared" ca="1" si="156"/>
        <v>-106378400.12727056</v>
      </c>
      <c r="L2871" s="455">
        <f t="shared" ca="1" si="157"/>
        <v>-25637194430.672207</v>
      </c>
      <c r="M2871" s="471">
        <f t="shared" si="159"/>
        <v>0.05</v>
      </c>
      <c r="N2871" s="475">
        <f t="shared" si="160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58"/>
        <v>-25637194430.672207</v>
      </c>
      <c r="J2872" s="455">
        <f t="array" ref="J2872">IFERROR(INDEX('Retirement Calculator'!J:J,MATCH('Isaac 401k'!N2872,'Retirement Calculator'!A:A,0),0),0)</f>
        <v>0</v>
      </c>
      <c r="K2872" s="455">
        <f t="shared" ca="1" si="156"/>
        <v>-106821643.4611342</v>
      </c>
      <c r="L2872" s="455">
        <f t="shared" ca="1" si="157"/>
        <v>-25744016074.133343</v>
      </c>
      <c r="M2872" s="471">
        <f t="shared" si="159"/>
        <v>0.05</v>
      </c>
      <c r="N2872" s="475">
        <f t="shared" si="160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58"/>
        <v>-25744016074.133343</v>
      </c>
      <c r="J2873" s="455">
        <f t="array" ref="J2873">IFERROR(INDEX('Retirement Calculator'!J:J,MATCH('Isaac 401k'!N2873,'Retirement Calculator'!A:A,0),0),0)</f>
        <v>0</v>
      </c>
      <c r="K2873" s="455">
        <f t="shared" ca="1" si="156"/>
        <v>-107266733.64222226</v>
      </c>
      <c r="L2873" s="455">
        <f t="shared" ca="1" si="157"/>
        <v>-25851282807.775566</v>
      </c>
      <c r="M2873" s="471">
        <f t="shared" si="159"/>
        <v>0.05</v>
      </c>
      <c r="N2873" s="475">
        <f t="shared" si="160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58"/>
        <v>-25851282807.775566</v>
      </c>
      <c r="J2874" s="455">
        <f t="array" ref="J2874">IFERROR(INDEX('Retirement Calculator'!J:J,MATCH('Isaac 401k'!N2874,'Retirement Calculator'!A:A,0),0),0)</f>
        <v>0</v>
      </c>
      <c r="K2874" s="455">
        <f t="shared" ca="1" si="156"/>
        <v>-107713678.36573152</v>
      </c>
      <c r="L2874" s="455">
        <f t="shared" ca="1" si="157"/>
        <v>-25958996486.141296</v>
      </c>
      <c r="M2874" s="471">
        <f t="shared" si="159"/>
        <v>0.05</v>
      </c>
      <c r="N2874" s="475">
        <f t="shared" si="160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58"/>
        <v>-25958996486.141296</v>
      </c>
      <c r="J2875" s="455">
        <f t="array" ref="J2875">IFERROR(INDEX('Retirement Calculator'!J:J,MATCH('Isaac 401k'!N2875,'Retirement Calculator'!A:A,0),0),0)</f>
        <v>0</v>
      </c>
      <c r="K2875" s="455">
        <f t="shared" ca="1" si="156"/>
        <v>-108162485.35892206</v>
      </c>
      <c r="L2875" s="455">
        <f t="shared" ca="1" si="157"/>
        <v>-26067158971.500217</v>
      </c>
      <c r="M2875" s="471">
        <f t="shared" si="159"/>
        <v>0.05</v>
      </c>
      <c r="N2875" s="475">
        <f t="shared" si="160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58"/>
        <v>-26067158971.500217</v>
      </c>
      <c r="J2876" s="455">
        <f t="array" ref="J2876">IFERROR(INDEX('Retirement Calculator'!J:J,MATCH('Isaac 401k'!N2876,'Retirement Calculator'!A:A,0),0),0)</f>
        <v>0</v>
      </c>
      <c r="K2876" s="455">
        <f t="shared" ca="1" si="156"/>
        <v>-108613162.3812509</v>
      </c>
      <c r="L2876" s="455">
        <f t="shared" ca="1" si="157"/>
        <v>-26175772133.88147</v>
      </c>
      <c r="M2876" s="471">
        <f t="shared" si="159"/>
        <v>0.05</v>
      </c>
      <c r="N2876" s="475">
        <f t="shared" si="160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58"/>
        <v>-26175772133.88147</v>
      </c>
      <c r="J2877" s="455">
        <f t="array" ref="J2877">IFERROR(INDEX('Retirement Calculator'!J:J,MATCH('Isaac 401k'!N2877,'Retirement Calculator'!A:A,0),0),0)</f>
        <v>0</v>
      </c>
      <c r="K2877" s="455">
        <f t="shared" ca="1" si="156"/>
        <v>-109065717.22450612</v>
      </c>
      <c r="L2877" s="455">
        <f t="shared" ca="1" si="157"/>
        <v>-26284837851.105976</v>
      </c>
      <c r="M2877" s="471">
        <f t="shared" si="159"/>
        <v>0.05</v>
      </c>
      <c r="N2877" s="475">
        <f t="shared" si="160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58"/>
        <v>-26284837851.105976</v>
      </c>
      <c r="J2878" s="455">
        <f t="array" ref="J2878">IFERROR(INDEX('Retirement Calculator'!J:J,MATCH('Isaac 401k'!N2878,'Retirement Calculator'!A:A,0),0),0)</f>
        <v>0</v>
      </c>
      <c r="K2878" s="455">
        <f t="shared" ca="1" si="156"/>
        <v>-109520157.71294157</v>
      </c>
      <c r="L2878" s="455">
        <f t="shared" ca="1" si="157"/>
        <v>-26394358008.818916</v>
      </c>
      <c r="M2878" s="471">
        <f t="shared" si="159"/>
        <v>0.05</v>
      </c>
      <c r="N2878" s="475">
        <f t="shared" si="160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58"/>
        <v>-26394358008.818916</v>
      </c>
      <c r="J2879" s="455">
        <f t="array" ref="J2879">IFERROR(INDEX('Retirement Calculator'!J:J,MATCH('Isaac 401k'!N2879,'Retirement Calculator'!A:A,0),0),0)</f>
        <v>0</v>
      </c>
      <c r="K2879" s="455">
        <f t="shared" ca="1" si="156"/>
        <v>-109976491.70341215</v>
      </c>
      <c r="L2879" s="455">
        <f t="shared" ca="1" si="157"/>
        <v>-26504334500.522327</v>
      </c>
      <c r="M2879" s="471">
        <f t="shared" si="159"/>
        <v>0.05</v>
      </c>
      <c r="N2879" s="475">
        <f t="shared" si="160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58"/>
        <v>-26504334500.522327</v>
      </c>
      <c r="J2880" s="455">
        <f t="array" ref="J2880">IFERROR(INDEX('Retirement Calculator'!J:J,MATCH('Isaac 401k'!N2880,'Retirement Calculator'!A:A,0),0),0)</f>
        <v>0</v>
      </c>
      <c r="K2880" s="455">
        <f t="shared" ca="1" si="156"/>
        <v>-110434727.0855097</v>
      </c>
      <c r="L2880" s="455">
        <f t="shared" ca="1" si="157"/>
        <v>-26614769227.607838</v>
      </c>
      <c r="M2880" s="471">
        <f t="shared" si="159"/>
        <v>0.05</v>
      </c>
      <c r="N2880" s="475">
        <f t="shared" si="160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58"/>
        <v>-26614769227.607838</v>
      </c>
      <c r="J2881" s="455">
        <f t="array" ref="J2881">IFERROR(INDEX('Retirement Calculator'!J:J,MATCH('Isaac 401k'!N2881,'Retirement Calculator'!A:A,0),0),0)</f>
        <v>0</v>
      </c>
      <c r="K2881" s="455">
        <f t="shared" ca="1" si="156"/>
        <v>-110894871.78169931</v>
      </c>
      <c r="L2881" s="455">
        <f t="shared" ca="1" si="157"/>
        <v>-26725664099.389538</v>
      </c>
      <c r="M2881" s="471">
        <f t="shared" si="159"/>
        <v>0.05</v>
      </c>
      <c r="N2881" s="475">
        <f t="shared" si="160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58"/>
        <v>-26725664099.389538</v>
      </c>
      <c r="J2882" s="455">
        <f t="array" ref="J2882">IFERROR(INDEX('Retirement Calculator'!J:J,MATCH('Isaac 401k'!N2882,'Retirement Calculator'!A:A,0),0),0)</f>
        <v>0</v>
      </c>
      <c r="K2882" s="455">
        <f t="shared" ca="1" si="156"/>
        <v>-111356933.7474564</v>
      </c>
      <c r="L2882" s="455">
        <f t="shared" ca="1" si="157"/>
        <v>-26837021033.136993</v>
      </c>
      <c r="M2882" s="471">
        <f t="shared" si="159"/>
        <v>0.05</v>
      </c>
      <c r="N2882" s="475">
        <f t="shared" si="160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58"/>
        <v>-26837021033.136993</v>
      </c>
      <c r="J2883" s="455">
        <f t="array" ref="J2883">IFERROR(INDEX('Retirement Calculator'!J:J,MATCH('Isaac 401k'!N2883,'Retirement Calculator'!A:A,0),0),0)</f>
        <v>0</v>
      </c>
      <c r="K2883" s="455">
        <f t="shared" ca="1" si="156"/>
        <v>-111820920.97140415</v>
      </c>
      <c r="L2883" s="455">
        <f t="shared" ca="1" si="157"/>
        <v>-26948841954.108398</v>
      </c>
      <c r="M2883" s="471">
        <f t="shared" si="159"/>
        <v>0.05</v>
      </c>
      <c r="N2883" s="475">
        <f t="shared" si="160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58"/>
        <v>-26948841954.108398</v>
      </c>
      <c r="J2884" s="455">
        <f t="array" ref="J2884">IFERROR(INDEX('Retirement Calculator'!J:J,MATCH('Isaac 401k'!N2884,'Retirement Calculator'!A:A,0),0),0)</f>
        <v>0</v>
      </c>
      <c r="K2884" s="455">
        <f t="shared" ca="1" si="156"/>
        <v>-112286841.47545166</v>
      </c>
      <c r="L2884" s="455">
        <f t="shared" ca="1" si="157"/>
        <v>-27061128795.583851</v>
      </c>
      <c r="M2884" s="471">
        <f t="shared" si="159"/>
        <v>0.05</v>
      </c>
      <c r="N2884" s="475">
        <f t="shared" si="160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58"/>
        <v>-27061128795.583851</v>
      </c>
      <c r="J2885" s="455">
        <f t="array" ref="J2885">IFERROR(INDEX('Retirement Calculator'!J:J,MATCH('Isaac 401k'!N2885,'Retirement Calculator'!A:A,0),0),0)</f>
        <v>0</v>
      </c>
      <c r="K2885" s="455">
        <f t="shared" ca="1" si="156"/>
        <v>-112754703.3149327</v>
      </c>
      <c r="L2885" s="455">
        <f t="shared" ca="1" si="157"/>
        <v>-27173883498.898785</v>
      </c>
      <c r="M2885" s="471">
        <f t="shared" si="159"/>
        <v>0.05</v>
      </c>
      <c r="N2885" s="475">
        <f t="shared" si="160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58"/>
        <v>-27173883498.898785</v>
      </c>
      <c r="J2886" s="455">
        <f t="array" ref="J2886">IFERROR(INDEX('Retirement Calculator'!J:J,MATCH('Isaac 401k'!N2886,'Retirement Calculator'!A:A,0),0),0)</f>
        <v>0</v>
      </c>
      <c r="K2886" s="455">
        <f t="shared" ca="1" si="156"/>
        <v>-113224514.57874493</v>
      </c>
      <c r="L2886" s="455">
        <f t="shared" ca="1" si="157"/>
        <v>-27287108013.477531</v>
      </c>
      <c r="M2886" s="471">
        <f t="shared" si="159"/>
        <v>0.05</v>
      </c>
      <c r="N2886" s="475">
        <f t="shared" si="160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58"/>
        <v>-27287108013.477531</v>
      </c>
      <c r="J2887" s="455">
        <f t="array" ref="J2887">IFERROR(INDEX('Retirement Calculator'!J:J,MATCH('Isaac 401k'!N2887,'Retirement Calculator'!A:A,0),0),0)</f>
        <v>0</v>
      </c>
      <c r="K2887" s="455">
        <f t="shared" ca="1" si="156"/>
        <v>-113696283.38948971</v>
      </c>
      <c r="L2887" s="455">
        <f t="shared" ca="1" si="157"/>
        <v>-27400804296.86702</v>
      </c>
      <c r="M2887" s="471">
        <f t="shared" si="159"/>
        <v>0.05</v>
      </c>
      <c r="N2887" s="475">
        <f t="shared" si="160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58"/>
        <v>-27400804296.86702</v>
      </c>
      <c r="J2888" s="455">
        <f t="array" ref="J2888">IFERROR(INDEX('Retirement Calculator'!J:J,MATCH('Isaac 401k'!N2888,'Retirement Calculator'!A:A,0),0),0)</f>
        <v>0</v>
      </c>
      <c r="K2888" s="455">
        <f t="shared" ca="1" si="156"/>
        <v>-114170017.90361258</v>
      </c>
      <c r="L2888" s="455">
        <f t="shared" ca="1" si="157"/>
        <v>-27514974314.770634</v>
      </c>
      <c r="M2888" s="471">
        <f t="shared" si="159"/>
        <v>0.05</v>
      </c>
      <c r="N2888" s="475">
        <f t="shared" si="160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58"/>
        <v>-27514974314.770634</v>
      </c>
      <c r="J2889" s="455">
        <f t="array" ref="J2889">IFERROR(INDEX('Retirement Calculator'!J:J,MATCH('Isaac 401k'!N2889,'Retirement Calculator'!A:A,0),0),0)</f>
        <v>0</v>
      </c>
      <c r="K2889" s="455">
        <f t="shared" ca="1" si="156"/>
        <v>-114645726.3115443</v>
      </c>
      <c r="L2889" s="455">
        <f t="shared" ca="1" si="157"/>
        <v>-27629620041.082176</v>
      </c>
      <c r="M2889" s="471">
        <f t="shared" si="159"/>
        <v>0.05</v>
      </c>
      <c r="N2889" s="475">
        <f t="shared" si="160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58"/>
        <v>-27629620041.082176</v>
      </c>
      <c r="J2890" s="455">
        <f t="array" ref="J2890">IFERROR(INDEX('Retirement Calculator'!J:J,MATCH('Isaac 401k'!N2890,'Retirement Calculator'!A:A,0),0),0)</f>
        <v>0</v>
      </c>
      <c r="K2890" s="455">
        <f t="shared" ca="1" si="156"/>
        <v>-115123416.83784242</v>
      </c>
      <c r="L2890" s="455">
        <f t="shared" ca="1" si="157"/>
        <v>-27744743457.920017</v>
      </c>
      <c r="M2890" s="471">
        <f t="shared" si="159"/>
        <v>0.05</v>
      </c>
      <c r="N2890" s="475">
        <f t="shared" si="160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58"/>
        <v>-27744743457.920017</v>
      </c>
      <c r="J2891" s="455">
        <f t="array" ref="J2891">IFERROR(INDEX('Retirement Calculator'!J:J,MATCH('Isaac 401k'!N2891,'Retirement Calculator'!A:A,0),0),0)</f>
        <v>0</v>
      </c>
      <c r="K2891" s="455">
        <f t="shared" ca="1" si="156"/>
        <v>-115603097.74133341</v>
      </c>
      <c r="L2891" s="455">
        <f t="shared" ca="1" si="157"/>
        <v>-27860346555.66135</v>
      </c>
      <c r="M2891" s="471">
        <f t="shared" si="159"/>
        <v>0.05</v>
      </c>
      <c r="N2891" s="475">
        <f t="shared" si="160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58"/>
        <v>-27860346555.66135</v>
      </c>
      <c r="J2892" s="455">
        <f t="array" ref="J2892">IFERROR(INDEX('Retirement Calculator'!J:J,MATCH('Isaac 401k'!N2892,'Retirement Calculator'!A:A,0),0),0)</f>
        <v>0</v>
      </c>
      <c r="K2892" s="455">
        <f t="shared" ca="1" si="156"/>
        <v>-116084777.31525563</v>
      </c>
      <c r="L2892" s="455">
        <f t="shared" ca="1" si="157"/>
        <v>-27976431332.976604</v>
      </c>
      <c r="M2892" s="471">
        <f t="shared" si="159"/>
        <v>0.05</v>
      </c>
      <c r="N2892" s="475">
        <f t="shared" si="160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58"/>
        <v>-27976431332.976604</v>
      </c>
      <c r="J2893" s="455">
        <f t="array" ref="J2893">IFERROR(INDEX('Retirement Calculator'!J:J,MATCH('Isaac 401k'!N2893,'Retirement Calculator'!A:A,0),0),0)</f>
        <v>0</v>
      </c>
      <c r="K2893" s="455">
        <f t="shared" ca="1" si="156"/>
        <v>-116568463.88740252</v>
      </c>
      <c r="L2893" s="455">
        <f t="shared" ca="1" si="157"/>
        <v>-28092999796.864006</v>
      </c>
      <c r="M2893" s="471">
        <f t="shared" si="159"/>
        <v>0.05</v>
      </c>
      <c r="N2893" s="475">
        <f t="shared" si="160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58"/>
        <v>-28092999796.864006</v>
      </c>
      <c r="J2894" s="455">
        <f t="array" ref="J2894">IFERROR(INDEX('Retirement Calculator'!J:J,MATCH('Isaac 401k'!N2894,'Retirement Calculator'!A:A,0),0),0)</f>
        <v>0</v>
      </c>
      <c r="K2894" s="455">
        <f t="shared" ca="1" si="156"/>
        <v>-117054165.82026671</v>
      </c>
      <c r="L2894" s="455">
        <f t="shared" ca="1" si="157"/>
        <v>-28210053962.684273</v>
      </c>
      <c r="M2894" s="471">
        <f t="shared" si="159"/>
        <v>0.05</v>
      </c>
      <c r="N2894" s="475">
        <f t="shared" si="160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58"/>
        <v>-28210053962.684273</v>
      </c>
      <c r="J2895" s="455">
        <f t="array" ref="J2895">IFERROR(INDEX('Retirement Calculator'!J:J,MATCH('Isaac 401k'!N2895,'Retirement Calculator'!A:A,0),0),0)</f>
        <v>0</v>
      </c>
      <c r="K2895" s="455">
        <f t="shared" ca="1" si="156"/>
        <v>-117541891.51118447</v>
      </c>
      <c r="L2895" s="455">
        <f t="shared" ca="1" si="157"/>
        <v>-28327595854.195457</v>
      </c>
      <c r="M2895" s="471">
        <f t="shared" si="159"/>
        <v>0.05</v>
      </c>
      <c r="N2895" s="475">
        <f t="shared" si="160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58"/>
        <v>-28327595854.195457</v>
      </c>
      <c r="J2896" s="455">
        <f t="array" ref="J2896">IFERROR(INDEX('Retirement Calculator'!J:J,MATCH('Isaac 401k'!N2896,'Retirement Calculator'!A:A,0),0),0)</f>
        <v>0</v>
      </c>
      <c r="K2896" s="455">
        <f t="shared" ca="1" si="156"/>
        <v>-118031649.39248107</v>
      </c>
      <c r="L2896" s="455">
        <f t="shared" ca="1" si="157"/>
        <v>-28445627503.58794</v>
      </c>
      <c r="M2896" s="471">
        <f t="shared" si="159"/>
        <v>0.05</v>
      </c>
      <c r="N2896" s="475">
        <f t="shared" si="160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58"/>
        <v>-28445627503.58794</v>
      </c>
      <c r="J2897" s="455">
        <f t="array" ref="J2897">IFERROR(INDEX('Retirement Calculator'!J:J,MATCH('Isaac 401k'!N2897,'Retirement Calculator'!A:A,0),0),0)</f>
        <v>0</v>
      </c>
      <c r="K2897" s="455">
        <f t="shared" ca="1" si="156"/>
        <v>-118523447.93161641</v>
      </c>
      <c r="L2897" s="455">
        <f t="shared" ca="1" si="157"/>
        <v>-28564150951.519558</v>
      </c>
      <c r="M2897" s="471">
        <f t="shared" si="159"/>
        <v>0.05</v>
      </c>
      <c r="N2897" s="475">
        <f t="shared" si="160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58"/>
        <v>-28564150951.519558</v>
      </c>
      <c r="J2898" s="455">
        <f t="array" ref="J2898">IFERROR(INDEX('Retirement Calculator'!J:J,MATCH('Isaac 401k'!N2898,'Retirement Calculator'!A:A,0),0),0)</f>
        <v>0</v>
      </c>
      <c r="K2898" s="455">
        <f t="shared" ca="1" si="156"/>
        <v>-119017295.63133149</v>
      </c>
      <c r="L2898" s="455">
        <f t="shared" ca="1" si="157"/>
        <v>-28683168247.15089</v>
      </c>
      <c r="M2898" s="471">
        <f t="shared" si="159"/>
        <v>0.05</v>
      </c>
      <c r="N2898" s="475">
        <f t="shared" si="160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58"/>
        <v>-28683168247.15089</v>
      </c>
      <c r="J2899" s="455">
        <f t="array" ref="J2899">IFERROR(INDEX('Retirement Calculator'!J:J,MATCH('Isaac 401k'!N2899,'Retirement Calculator'!A:A,0),0),0)</f>
        <v>0</v>
      </c>
      <c r="K2899" s="455">
        <f t="shared" ca="1" si="156"/>
        <v>-119513201.02979538</v>
      </c>
      <c r="L2899" s="455">
        <f t="shared" ca="1" si="157"/>
        <v>-28802681448.180687</v>
      </c>
      <c r="M2899" s="471">
        <f t="shared" si="159"/>
        <v>0.05</v>
      </c>
      <c r="N2899" s="475">
        <f t="shared" si="160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58"/>
        <v>-28802681448.180687</v>
      </c>
      <c r="J2900" s="455">
        <f t="array" ref="J2900">IFERROR(INDEX('Retirement Calculator'!J:J,MATCH('Isaac 401k'!N2900,'Retirement Calculator'!A:A,0),0),0)</f>
        <v>0</v>
      </c>
      <c r="K2900" s="455">
        <f t="shared" ca="1" si="156"/>
        <v>-120011172.70075285</v>
      </c>
      <c r="L2900" s="455">
        <f t="shared" ca="1" si="157"/>
        <v>-28922692620.881439</v>
      </c>
      <c r="M2900" s="471">
        <f t="shared" si="159"/>
        <v>0.05</v>
      </c>
      <c r="N2900" s="475">
        <f t="shared" si="160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58"/>
        <v>-28922692620.881439</v>
      </c>
      <c r="J2901" s="455">
        <f t="array" ref="J2901">IFERROR(INDEX('Retirement Calculator'!J:J,MATCH('Isaac 401k'!N2901,'Retirement Calculator'!A:A,0),0),0)</f>
        <v>0</v>
      </c>
      <c r="K2901" s="455">
        <f t="shared" ca="1" si="156"/>
        <v>-120511219.25367266</v>
      </c>
      <c r="L2901" s="455">
        <f t="shared" ca="1" si="157"/>
        <v>-29043203840.135113</v>
      </c>
      <c r="M2901" s="471">
        <f t="shared" si="159"/>
        <v>0.05</v>
      </c>
      <c r="N2901" s="475">
        <f t="shared" si="160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58"/>
        <v>-29043203840.135113</v>
      </c>
      <c r="J2902" s="455">
        <f t="array" ref="J2902">IFERROR(INDEX('Retirement Calculator'!J:J,MATCH('Isaac 401k'!N2902,'Retirement Calculator'!A:A,0),0),0)</f>
        <v>0</v>
      </c>
      <c r="K2902" s="455">
        <f t="shared" ca="1" si="156"/>
        <v>-121013349.33389629</v>
      </c>
      <c r="L2902" s="455">
        <f t="shared" ca="1" si="157"/>
        <v>-29164217189.469009</v>
      </c>
      <c r="M2902" s="471">
        <f t="shared" si="159"/>
        <v>0.05</v>
      </c>
      <c r="N2902" s="475">
        <f t="shared" si="160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58"/>
        <v>-29164217189.469009</v>
      </c>
      <c r="J2903" s="455">
        <f t="array" ref="J2903">IFERROR(INDEX('Retirement Calculator'!J:J,MATCH('Isaac 401k'!N2903,'Retirement Calculator'!A:A,0),0),0)</f>
        <v>0</v>
      </c>
      <c r="K2903" s="455">
        <f t="shared" ca="1" si="156"/>
        <v>-121517571.62278754</v>
      </c>
      <c r="L2903" s="455">
        <f t="shared" ca="1" si="157"/>
        <v>-29285734761.091797</v>
      </c>
      <c r="M2903" s="471">
        <f t="shared" si="159"/>
        <v>0.05</v>
      </c>
      <c r="N2903" s="475">
        <f t="shared" si="160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58"/>
        <v>-29285734761.091797</v>
      </c>
      <c r="J2904" s="455">
        <f t="array" ref="J2904">IFERROR(INDEX('Retirement Calculator'!J:J,MATCH('Isaac 401k'!N2904,'Retirement Calculator'!A:A,0),0),0)</f>
        <v>0</v>
      </c>
      <c r="K2904" s="455">
        <f t="shared" ca="1" si="156"/>
        <v>-122023894.83788249</v>
      </c>
      <c r="L2904" s="455">
        <f t="shared" ca="1" si="157"/>
        <v>-29407758655.92968</v>
      </c>
      <c r="M2904" s="471">
        <f t="shared" si="159"/>
        <v>0.05</v>
      </c>
      <c r="N2904" s="475">
        <f t="shared" si="160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58"/>
        <v>-29407758655.92968</v>
      </c>
      <c r="J2905" s="455">
        <f t="array" ref="J2905">IFERROR(INDEX('Retirement Calculator'!J:J,MATCH('Isaac 401k'!N2905,'Retirement Calculator'!A:A,0),0),0)</f>
        <v>0</v>
      </c>
      <c r="K2905" s="455">
        <f t="shared" ca="1" si="156"/>
        <v>-122532327.73304033</v>
      </c>
      <c r="L2905" s="455">
        <f t="shared" ca="1" si="157"/>
        <v>-29530290983.66272</v>
      </c>
      <c r="M2905" s="471">
        <f t="shared" si="159"/>
        <v>0.05</v>
      </c>
      <c r="N2905" s="475">
        <f t="shared" si="160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58"/>
        <v>-29530290983.66272</v>
      </c>
      <c r="J2906" s="455">
        <f t="array" ref="J2906">IFERROR(INDEX('Retirement Calculator'!J:J,MATCH('Isaac 401k'!N2906,'Retirement Calculator'!A:A,0),0),0)</f>
        <v>0</v>
      </c>
      <c r="K2906" s="455">
        <f t="shared" ca="1" si="156"/>
        <v>-123042879.09859468</v>
      </c>
      <c r="L2906" s="455">
        <f t="shared" ca="1" si="157"/>
        <v>-29653333862.761314</v>
      </c>
      <c r="M2906" s="471">
        <f t="shared" si="159"/>
        <v>0.05</v>
      </c>
      <c r="N2906" s="475">
        <f t="shared" si="160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58"/>
        <v>-29653333862.761314</v>
      </c>
      <c r="J2907" s="455">
        <f t="array" ref="J2907">IFERROR(INDEX('Retirement Calculator'!J:J,MATCH('Isaac 401k'!N2907,'Retirement Calculator'!A:A,0),0),0)</f>
        <v>0</v>
      </c>
      <c r="K2907" s="455">
        <f t="shared" ca="1" si="156"/>
        <v>-123555557.76150548</v>
      </c>
      <c r="L2907" s="455">
        <f t="shared" ca="1" si="157"/>
        <v>-29776889420.52282</v>
      </c>
      <c r="M2907" s="471">
        <f t="shared" si="159"/>
        <v>0.05</v>
      </c>
      <c r="N2907" s="475">
        <f t="shared" si="160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58"/>
        <v>-29776889420.52282</v>
      </c>
      <c r="J2908" s="455">
        <f t="array" ref="J2908">IFERROR(INDEX('Retirement Calculator'!J:J,MATCH('Isaac 401k'!N2908,'Retirement Calculator'!A:A,0),0),0)</f>
        <v>0</v>
      </c>
      <c r="K2908" s="455">
        <f t="shared" ca="1" si="156"/>
        <v>-124070372.58551174</v>
      </c>
      <c r="L2908" s="455">
        <f t="shared" ca="1" si="157"/>
        <v>-29900959793.10833</v>
      </c>
      <c r="M2908" s="471">
        <f t="shared" si="159"/>
        <v>0.05</v>
      </c>
      <c r="N2908" s="475">
        <f t="shared" si="160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58"/>
        <v>-29900959793.10833</v>
      </c>
      <c r="J2909" s="455">
        <f t="array" ref="J2909">IFERROR(INDEX('Retirement Calculator'!J:J,MATCH('Isaac 401k'!N2909,'Retirement Calculator'!A:A,0),0),0)</f>
        <v>0</v>
      </c>
      <c r="K2909" s="455">
        <f t="shared" ca="1" si="156"/>
        <v>-124587332.4712847</v>
      </c>
      <c r="L2909" s="455">
        <f t="shared" ca="1" si="157"/>
        <v>-30025547125.579613</v>
      </c>
      <c r="M2909" s="471">
        <f t="shared" si="159"/>
        <v>0.05</v>
      </c>
      <c r="N2909" s="475">
        <f t="shared" si="160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58"/>
        <v>-30025547125.579613</v>
      </c>
      <c r="J2910" s="455">
        <f t="array" ref="J2910">IFERROR(INDEX('Retirement Calculator'!J:J,MATCH('Isaac 401k'!N2910,'Retirement Calculator'!A:A,0),0),0)</f>
        <v>0</v>
      </c>
      <c r="K2910" s="455">
        <f t="shared" ca="1" si="156"/>
        <v>-125106446.35658172</v>
      </c>
      <c r="L2910" s="455">
        <f t="shared" ca="1" si="157"/>
        <v>-30150653571.936195</v>
      </c>
      <c r="M2910" s="471">
        <f t="shared" si="159"/>
        <v>0.05</v>
      </c>
      <c r="N2910" s="475">
        <f t="shared" si="160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58"/>
        <v>-30150653571.936195</v>
      </c>
      <c r="J2911" s="455">
        <f t="array" ref="J2911">IFERROR(INDEX('Retirement Calculator'!J:J,MATCH('Isaac 401k'!N2911,'Retirement Calculator'!A:A,0),0),0)</f>
        <v>0</v>
      </c>
      <c r="K2911" s="455">
        <f t="shared" ca="1" si="156"/>
        <v>-125627723.21640082</v>
      </c>
      <c r="L2911" s="455">
        <f t="shared" ca="1" si="157"/>
        <v>-30276281295.152596</v>
      </c>
      <c r="M2911" s="471">
        <f t="shared" si="159"/>
        <v>0.05</v>
      </c>
      <c r="N2911" s="475">
        <f t="shared" si="160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58"/>
        <v>-30276281295.152596</v>
      </c>
      <c r="J2912" s="455">
        <f t="array" ref="J2912">IFERROR(INDEX('Retirement Calculator'!J:J,MATCH('Isaac 401k'!N2912,'Retirement Calculator'!A:A,0),0),0)</f>
        <v>0</v>
      </c>
      <c r="K2912" s="455">
        <f t="shared" ca="1" si="156"/>
        <v>-126151172.06313582</v>
      </c>
      <c r="L2912" s="455">
        <f t="shared" ca="1" si="157"/>
        <v>-30402432467.215733</v>
      </c>
      <c r="M2912" s="471">
        <f t="shared" si="159"/>
        <v>0.05</v>
      </c>
      <c r="N2912" s="475">
        <f t="shared" si="160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58"/>
        <v>-30402432467.215733</v>
      </c>
      <c r="J2913" s="455">
        <f t="array" ref="J2913">IFERROR(INDEX('Retirement Calculator'!J:J,MATCH('Isaac 401k'!N2913,'Retirement Calculator'!A:A,0),0),0)</f>
        <v>0</v>
      </c>
      <c r="K2913" s="455">
        <f t="shared" ca="1" si="156"/>
        <v>-126676801.94673222</v>
      </c>
      <c r="L2913" s="455">
        <f t="shared" ca="1" si="157"/>
        <v>-30529109269.162464</v>
      </c>
      <c r="M2913" s="471">
        <f t="shared" si="159"/>
        <v>0.05</v>
      </c>
      <c r="N2913" s="475">
        <f t="shared" si="160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58"/>
        <v>-30529109269.162464</v>
      </c>
      <c r="J2914" s="455">
        <f t="array" ref="J2914">IFERROR(INDEX('Retirement Calculator'!J:J,MATCH('Isaac 401k'!N2914,'Retirement Calculator'!A:A,0),0),0)</f>
        <v>0</v>
      </c>
      <c r="K2914" s="455">
        <f t="shared" ca="1" si="156"/>
        <v>-127204621.95484358</v>
      </c>
      <c r="L2914" s="455">
        <f t="shared" ca="1" si="157"/>
        <v>-30656313891.11731</v>
      </c>
      <c r="M2914" s="471">
        <f t="shared" si="159"/>
        <v>0.05</v>
      </c>
      <c r="N2914" s="475">
        <f t="shared" si="160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58"/>
        <v>-30656313891.11731</v>
      </c>
      <c r="J2915" s="455">
        <f t="array" ref="J2915">IFERROR(INDEX('Retirement Calculator'!J:J,MATCH('Isaac 401k'!N2915,'Retirement Calculator'!A:A,0),0),0)</f>
        <v>0</v>
      </c>
      <c r="K2915" s="455">
        <f t="shared" ca="1" si="156"/>
        <v>-127734641.21298881</v>
      </c>
      <c r="L2915" s="455">
        <f t="shared" ca="1" si="157"/>
        <v>-30784048532.330299</v>
      </c>
      <c r="M2915" s="471">
        <f t="shared" si="159"/>
        <v>0.05</v>
      </c>
      <c r="N2915" s="475">
        <f t="shared" si="160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58"/>
        <v>-30784048532.330299</v>
      </c>
      <c r="J2916" s="455">
        <f t="array" ref="J2916">IFERROR(INDEX('Retirement Calculator'!J:J,MATCH('Isaac 401k'!N2916,'Retirement Calculator'!A:A,0),0),0)</f>
        <v>0</v>
      </c>
      <c r="K2916" s="455">
        <f t="shared" ca="1" si="156"/>
        <v>-128266868.8847096</v>
      </c>
      <c r="L2916" s="455">
        <f t="shared" ca="1" si="157"/>
        <v>-30912315401.215008</v>
      </c>
      <c r="M2916" s="471">
        <f t="shared" si="159"/>
        <v>0.05</v>
      </c>
      <c r="N2916" s="475">
        <f t="shared" si="160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58"/>
        <v>-30912315401.215008</v>
      </c>
      <c r="J2917" s="455">
        <f t="array" ref="J2917">IFERROR(INDEX('Retirement Calculator'!J:J,MATCH('Isaac 401k'!N2917,'Retirement Calculator'!A:A,0),0),0)</f>
        <v>0</v>
      </c>
      <c r="K2917" s="455">
        <f t="shared" ca="1" si="156"/>
        <v>-128801314.17172919</v>
      </c>
      <c r="L2917" s="455">
        <f t="shared" ca="1" si="157"/>
        <v>-31041116715.386738</v>
      </c>
      <c r="M2917" s="471">
        <f t="shared" si="159"/>
        <v>0.05</v>
      </c>
      <c r="N2917" s="475">
        <f t="shared" si="160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58"/>
        <v>-31041116715.386738</v>
      </c>
      <c r="J2918" s="455">
        <f t="array" ref="J2918">IFERROR(INDEX('Retirement Calculator'!J:J,MATCH('Isaac 401k'!N2918,'Retirement Calculator'!A:A,0),0),0)</f>
        <v>0</v>
      </c>
      <c r="K2918" s="455">
        <f t="shared" ca="1" si="156"/>
        <v>-129337986.31411141</v>
      </c>
      <c r="L2918" s="455">
        <f t="shared" ca="1" si="157"/>
        <v>-31170454701.700848</v>
      </c>
      <c r="M2918" s="471">
        <f t="shared" si="159"/>
        <v>0.05</v>
      </c>
      <c r="N2918" s="475">
        <f t="shared" si="160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58"/>
        <v>-31170454701.700848</v>
      </c>
      <c r="J2919" s="455">
        <f t="array" ref="J2919">IFERROR(INDEX('Retirement Calculator'!J:J,MATCH('Isaac 401k'!N2919,'Retirement Calculator'!A:A,0),0),0)</f>
        <v>0</v>
      </c>
      <c r="K2919" s="455">
        <f t="shared" ca="1" si="156"/>
        <v>-129876894.5904202</v>
      </c>
      <c r="L2919" s="455">
        <f t="shared" ca="1" si="157"/>
        <v>-31300331596.291267</v>
      </c>
      <c r="M2919" s="471">
        <f t="shared" si="159"/>
        <v>0.05</v>
      </c>
      <c r="N2919" s="475">
        <f t="shared" si="160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58"/>
        <v>-31300331596.291267</v>
      </c>
      <c r="J2920" s="455">
        <f t="array" ref="J2920">IFERROR(INDEX('Retirement Calculator'!J:J,MATCH('Isaac 401k'!N2920,'Retirement Calculator'!A:A,0),0),0)</f>
        <v>0</v>
      </c>
      <c r="K2920" s="455">
        <f t="shared" ca="1" si="156"/>
        <v>-130418048.31788029</v>
      </c>
      <c r="L2920" s="455">
        <f t="shared" ca="1" si="157"/>
        <v>-31430749644.609146</v>
      </c>
      <c r="M2920" s="471">
        <f t="shared" si="159"/>
        <v>0.05</v>
      </c>
      <c r="N2920" s="475">
        <f t="shared" si="160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58"/>
        <v>-31430749644.609146</v>
      </c>
      <c r="J2921" s="455">
        <f t="array" ref="J2921">IFERROR(INDEX('Retirement Calculator'!J:J,MATCH('Isaac 401k'!N2921,'Retirement Calculator'!A:A,0),0),0)</f>
        <v>0</v>
      </c>
      <c r="K2921" s="455">
        <f t="shared" ca="1" si="156"/>
        <v>-130961456.85253811</v>
      </c>
      <c r="L2921" s="455">
        <f t="shared" ca="1" si="157"/>
        <v>-31561711101.461685</v>
      </c>
      <c r="M2921" s="471">
        <f t="shared" si="159"/>
        <v>0.05</v>
      </c>
      <c r="N2921" s="475">
        <f t="shared" si="160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58"/>
        <v>-31561711101.461685</v>
      </c>
      <c r="J2922" s="455">
        <f t="array" ref="J2922">IFERROR(INDEX('Retirement Calculator'!J:J,MATCH('Isaac 401k'!N2922,'Retirement Calculator'!A:A,0),0),0)</f>
        <v>0</v>
      </c>
      <c r="K2922" s="455">
        <f t="shared" ca="1" si="156"/>
        <v>-131507129.58942367</v>
      </c>
      <c r="L2922" s="455">
        <f t="shared" ca="1" si="157"/>
        <v>-31693218231.051109</v>
      </c>
      <c r="M2922" s="471">
        <f t="shared" si="159"/>
        <v>0.05</v>
      </c>
      <c r="N2922" s="475">
        <f t="shared" si="160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58"/>
        <v>-31693218231.051109</v>
      </c>
      <c r="J2923" s="455">
        <f t="array" ref="J2923">IFERROR(INDEX('Retirement Calculator'!J:J,MATCH('Isaac 401k'!N2923,'Retirement Calculator'!A:A,0),0),0)</f>
        <v>0</v>
      </c>
      <c r="K2923" s="455">
        <f t="shared" ca="1" si="156"/>
        <v>-132055075.96271296</v>
      </c>
      <c r="L2923" s="455">
        <f t="shared" ca="1" si="157"/>
        <v>-31825273307.013821</v>
      </c>
      <c r="M2923" s="471">
        <f t="shared" si="159"/>
        <v>0.05</v>
      </c>
      <c r="N2923" s="475">
        <f t="shared" si="160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58"/>
        <v>-31825273307.013821</v>
      </c>
      <c r="J2924" s="455">
        <f t="array" ref="J2924">IFERROR(INDEX('Retirement Calculator'!J:J,MATCH('Isaac 401k'!N2924,'Retirement Calculator'!A:A,0),0),0)</f>
        <v>0</v>
      </c>
      <c r="K2924" s="455">
        <f t="shared" ca="1" si="156"/>
        <v>-132605305.44589092</v>
      </c>
      <c r="L2924" s="455">
        <f t="shared" ca="1" si="157"/>
        <v>-31957878612.459713</v>
      </c>
      <c r="M2924" s="471">
        <f t="shared" si="159"/>
        <v>0.05</v>
      </c>
      <c r="N2924" s="475">
        <f t="shared" si="160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58"/>
        <v>-31957878612.459713</v>
      </c>
      <c r="J2925" s="455">
        <f t="array" ref="J2925">IFERROR(INDEX('Retirement Calculator'!J:J,MATCH('Isaac 401k'!N2925,'Retirement Calculator'!A:A,0),0),0)</f>
        <v>0</v>
      </c>
      <c r="K2925" s="455">
        <f t="shared" ca="1" si="156"/>
        <v>-133157827.55191547</v>
      </c>
      <c r="L2925" s="455">
        <f t="shared" ca="1" si="157"/>
        <v>-32091036440.011627</v>
      </c>
      <c r="M2925" s="471">
        <f t="shared" si="159"/>
        <v>0.05</v>
      </c>
      <c r="N2925" s="475">
        <f t="shared" si="160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58"/>
        <v>-32091036440.011627</v>
      </c>
      <c r="J2926" s="455">
        <f t="array" ref="J2926">IFERROR(INDEX('Retirement Calculator'!J:J,MATCH('Isaac 401k'!N2926,'Retirement Calculator'!A:A,0),0),0)</f>
        <v>0</v>
      </c>
      <c r="K2926" s="455">
        <f t="shared" ca="1" si="156"/>
        <v>-133712651.83338176</v>
      </c>
      <c r="L2926" s="455">
        <f t="shared" ca="1" si="157"/>
        <v>-32224749091.845009</v>
      </c>
      <c r="M2926" s="471">
        <f t="shared" si="159"/>
        <v>0.05</v>
      </c>
      <c r="N2926" s="475">
        <f t="shared" si="160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58"/>
        <v>-32224749091.845009</v>
      </c>
      <c r="J2927" s="455">
        <f t="array" ref="J2927">IFERROR(INDEX('Retirement Calculator'!J:J,MATCH('Isaac 401k'!N2927,'Retirement Calculator'!A:A,0),0),0)</f>
        <v>0</v>
      </c>
      <c r="K2927" s="455">
        <f t="shared" ca="1" si="156"/>
        <v>-134269787.88268751</v>
      </c>
      <c r="L2927" s="455">
        <f t="shared" ca="1" si="157"/>
        <v>-32359018879.727695</v>
      </c>
      <c r="M2927" s="471">
        <f t="shared" si="159"/>
        <v>0.05</v>
      </c>
      <c r="N2927" s="475">
        <f t="shared" si="160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58"/>
        <v>-32359018879.727695</v>
      </c>
      <c r="J2928" s="455">
        <f t="array" ref="J2928">IFERROR(INDEX('Retirement Calculator'!J:J,MATCH('Isaac 401k'!N2928,'Retirement Calculator'!A:A,0),0),0)</f>
        <v>0</v>
      </c>
      <c r="K2928" s="455">
        <f t="shared" ca="1" si="156"/>
        <v>-134829245.33219874</v>
      </c>
      <c r="L2928" s="455">
        <f t="shared" ca="1" si="157"/>
        <v>-32493848125.059895</v>
      </c>
      <c r="M2928" s="471">
        <f t="shared" si="159"/>
        <v>0.05</v>
      </c>
      <c r="N2928" s="475">
        <f t="shared" si="160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58"/>
        <v>-32493848125.059895</v>
      </c>
      <c r="J2929" s="455">
        <f t="array" ref="J2929">IFERROR(INDEX('Retirement Calculator'!J:J,MATCH('Isaac 401k'!N2929,'Retirement Calculator'!A:A,0),0),0)</f>
        <v>0</v>
      </c>
      <c r="K2929" s="455">
        <f t="shared" ca="1" si="156"/>
        <v>-135391033.85441622</v>
      </c>
      <c r="L2929" s="455">
        <f t="shared" ca="1" si="157"/>
        <v>-32629239158.91431</v>
      </c>
      <c r="M2929" s="471">
        <f t="shared" si="159"/>
        <v>0.05</v>
      </c>
      <c r="N2929" s="475">
        <f t="shared" si="160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58"/>
        <v>-32629239158.91431</v>
      </c>
      <c r="J2930" s="455">
        <f t="array" ref="J2930">IFERROR(INDEX('Retirement Calculator'!J:J,MATCH('Isaac 401k'!N2930,'Retirement Calculator'!A:A,0),0),0)</f>
        <v>0</v>
      </c>
      <c r="K2930" s="455">
        <f t="shared" ca="1" si="156"/>
        <v>-135955163.16214296</v>
      </c>
      <c r="L2930" s="455">
        <f t="shared" ca="1" si="157"/>
        <v>-32765194322.076454</v>
      </c>
      <c r="M2930" s="471">
        <f t="shared" si="159"/>
        <v>0.05</v>
      </c>
      <c r="N2930" s="475">
        <f t="shared" si="160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58"/>
        <v>-32765194322.076454</v>
      </c>
      <c r="J2931" s="455">
        <f t="array" ref="J2931">IFERROR(INDEX('Retirement Calculator'!J:J,MATCH('Isaac 401k'!N2931,'Retirement Calculator'!A:A,0),0),0)</f>
        <v>0</v>
      </c>
      <c r="K2931" s="455">
        <f t="shared" ca="1" si="156"/>
        <v>-136521643.00865188</v>
      </c>
      <c r="L2931" s="455">
        <f t="shared" ca="1" si="157"/>
        <v>-32901715965.085106</v>
      </c>
      <c r="M2931" s="471">
        <f t="shared" si="159"/>
        <v>0.05</v>
      </c>
      <c r="N2931" s="475">
        <f t="shared" si="160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58"/>
        <v>-32901715965.085106</v>
      </c>
      <c r="J2932" s="455">
        <f t="array" ref="J2932">IFERROR(INDEX('Retirement Calculator'!J:J,MATCH('Isaac 401k'!N2932,'Retirement Calculator'!A:A,0),0),0)</f>
        <v>0</v>
      </c>
      <c r="K2932" s="455">
        <f t="shared" ca="1" si="156"/>
        <v>-137090483.18785459</v>
      </c>
      <c r="L2932" s="455">
        <f t="shared" ca="1" si="157"/>
        <v>-33038806448.272961</v>
      </c>
      <c r="M2932" s="471">
        <f t="shared" si="159"/>
        <v>0.05</v>
      </c>
      <c r="N2932" s="475">
        <f t="shared" si="160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58"/>
        <v>-33038806448.272961</v>
      </c>
      <c r="J2933" s="455">
        <f t="array" ref="J2933">IFERROR(INDEX('Retirement Calculator'!J:J,MATCH('Isaac 401k'!N2933,'Retirement Calculator'!A:A,0),0),0)</f>
        <v>0</v>
      </c>
      <c r="K2933" s="455">
        <f t="shared" ca="1" si="156"/>
        <v>-137661693.53447068</v>
      </c>
      <c r="L2933" s="455">
        <f t="shared" ca="1" si="157"/>
        <v>-33176468141.80743</v>
      </c>
      <c r="M2933" s="471">
        <f t="shared" si="159"/>
        <v>0.05</v>
      </c>
      <c r="N2933" s="475">
        <f t="shared" si="160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58"/>
        <v>-33176468141.80743</v>
      </c>
      <c r="J2934" s="455">
        <f t="array" ref="J2934">IFERROR(INDEX('Retirement Calculator'!J:J,MATCH('Isaac 401k'!N2934,'Retirement Calculator'!A:A,0),0),0)</f>
        <v>0</v>
      </c>
      <c r="K2934" s="455">
        <f t="shared" ca="1" si="156"/>
        <v>-138235283.92419761</v>
      </c>
      <c r="L2934" s="455">
        <f t="shared" ca="1" si="157"/>
        <v>-33314703425.731628</v>
      </c>
      <c r="M2934" s="471">
        <f t="shared" si="159"/>
        <v>0.05</v>
      </c>
      <c r="N2934" s="475">
        <f t="shared" si="160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58"/>
        <v>-33314703425.731628</v>
      </c>
      <c r="J2935" s="455">
        <f t="array" ref="J2935">IFERROR(INDEX('Retirement Calculator'!J:J,MATCH('Isaac 401k'!N2935,'Retirement Calculator'!A:A,0),0),0)</f>
        <v>0</v>
      </c>
      <c r="K2935" s="455">
        <f t="shared" ca="1" si="156"/>
        <v>-138811264.27388179</v>
      </c>
      <c r="L2935" s="455">
        <f t="shared" ca="1" si="157"/>
        <v>-33453514690.005508</v>
      </c>
      <c r="M2935" s="471">
        <f t="shared" si="159"/>
        <v>0.05</v>
      </c>
      <c r="N2935" s="475">
        <f t="shared" si="160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58"/>
        <v>-33453514690.005508</v>
      </c>
      <c r="J2936" s="455">
        <f t="array" ref="J2936">IFERROR(INDEX('Retirement Calculator'!J:J,MATCH('Isaac 401k'!N2936,'Retirement Calculator'!A:A,0),0),0)</f>
        <v>0</v>
      </c>
      <c r="K2936" s="455">
        <f t="shared" ca="1" si="156"/>
        <v>-139389644.5416896</v>
      </c>
      <c r="L2936" s="455">
        <f t="shared" ca="1" si="157"/>
        <v>-33592904334.547199</v>
      </c>
      <c r="M2936" s="471">
        <f t="shared" si="159"/>
        <v>0.05</v>
      </c>
      <c r="N2936" s="475">
        <f t="shared" si="160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58"/>
        <v>-33592904334.547199</v>
      </c>
      <c r="J2937" s="455">
        <f t="array" ref="J2937">IFERROR(INDEX('Retirement Calculator'!J:J,MATCH('Isaac 401k'!N2937,'Retirement Calculator'!A:A,0),0),0)</f>
        <v>0</v>
      </c>
      <c r="K2937" s="455">
        <f t="shared" ca="1" si="156"/>
        <v>-139970434.72727999</v>
      </c>
      <c r="L2937" s="455">
        <f t="shared" ca="1" si="157"/>
        <v>-33732874769.274479</v>
      </c>
      <c r="M2937" s="471">
        <f t="shared" si="159"/>
        <v>0.05</v>
      </c>
      <c r="N2937" s="475">
        <f t="shared" si="160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58"/>
        <v>-33732874769.274479</v>
      </c>
      <c r="J2938" s="455">
        <f t="array" ref="J2938">IFERROR(INDEX('Retirement Calculator'!J:J,MATCH('Isaac 401k'!N2938,'Retirement Calculator'!A:A,0),0),0)</f>
        <v>0</v>
      </c>
      <c r="K2938" s="455">
        <f t="shared" ca="1" si="156"/>
        <v>-140553644.871977</v>
      </c>
      <c r="L2938" s="455">
        <f t="shared" ca="1" si="157"/>
        <v>-33873428414.146458</v>
      </c>
      <c r="M2938" s="471">
        <f t="shared" si="159"/>
        <v>0.05</v>
      </c>
      <c r="N2938" s="475">
        <f t="shared" si="160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58"/>
        <v>-33873428414.146458</v>
      </c>
      <c r="J2939" s="455">
        <f t="array" ref="J2939">IFERROR(INDEX('Retirement Calculator'!J:J,MATCH('Isaac 401k'!N2939,'Retirement Calculator'!A:A,0),0),0)</f>
        <v>0</v>
      </c>
      <c r="K2939" s="455">
        <f t="shared" ca="1" si="156"/>
        <v>-141139285.05894357</v>
      </c>
      <c r="L2939" s="455">
        <f t="shared" ca="1" si="157"/>
        <v>-34014567699.205402</v>
      </c>
      <c r="M2939" s="471">
        <f t="shared" si="159"/>
        <v>0.05</v>
      </c>
      <c r="N2939" s="475">
        <f t="shared" si="160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58"/>
        <v>-34014567699.205402</v>
      </c>
      <c r="J2940" s="455">
        <f t="array" ref="J2940">IFERROR(INDEX('Retirement Calculator'!J:J,MATCH('Isaac 401k'!N2940,'Retirement Calculator'!A:A,0),0),0)</f>
        <v>0</v>
      </c>
      <c r="K2940" s="455">
        <f t="shared" ca="1" si="156"/>
        <v>-141727365.41335583</v>
      </c>
      <c r="L2940" s="455">
        <f t="shared" ca="1" si="157"/>
        <v>-34156295064.618759</v>
      </c>
      <c r="M2940" s="471">
        <f t="shared" si="159"/>
        <v>0.05</v>
      </c>
      <c r="N2940" s="475">
        <f t="shared" si="160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58"/>
        <v>-34156295064.618759</v>
      </c>
      <c r="J2941" s="455">
        <f t="array" ref="J2941">IFERROR(INDEX('Retirement Calculator'!J:J,MATCH('Isaac 401k'!N2941,'Retirement Calculator'!A:A,0),0),0)</f>
        <v>0</v>
      </c>
      <c r="K2941" s="455">
        <f t="shared" ca="1" si="156"/>
        <v>-142317896.10257813</v>
      </c>
      <c r="L2941" s="455">
        <f t="shared" ca="1" si="157"/>
        <v>-34298612960.721336</v>
      </c>
      <c r="M2941" s="471">
        <f t="shared" si="159"/>
        <v>0.05</v>
      </c>
      <c r="N2941" s="475">
        <f t="shared" si="160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58"/>
        <v>-34298612960.721336</v>
      </c>
      <c r="J2942" s="455">
        <f t="array" ref="J2942">IFERROR(INDEX('Retirement Calculator'!J:J,MATCH('Isaac 401k'!N2942,'Retirement Calculator'!A:A,0),0),0)</f>
        <v>0</v>
      </c>
      <c r="K2942" s="455">
        <f t="shared" ca="1" si="156"/>
        <v>-142910887.33633891</v>
      </c>
      <c r="L2942" s="455">
        <f t="shared" ca="1" si="157"/>
        <v>-34441523848.057678</v>
      </c>
      <c r="M2942" s="471">
        <f t="shared" si="159"/>
        <v>0.05</v>
      </c>
      <c r="N2942" s="475">
        <f t="shared" si="160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58"/>
        <v>-34441523848.057678</v>
      </c>
      <c r="J2943" s="455">
        <f t="array" ref="J2943">IFERROR(INDEX('Retirement Calculator'!J:J,MATCH('Isaac 401k'!N2943,'Retirement Calculator'!A:A,0),0),0)</f>
        <v>0</v>
      </c>
      <c r="K2943" s="455">
        <f t="shared" ca="1" si="156"/>
        <v>-143506349.366907</v>
      </c>
      <c r="L2943" s="455">
        <f t="shared" ca="1" si="157"/>
        <v>-34585030197.424583</v>
      </c>
      <c r="M2943" s="471">
        <f t="shared" si="159"/>
        <v>0.05</v>
      </c>
      <c r="N2943" s="475">
        <f t="shared" si="160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58"/>
        <v>-34585030197.424583</v>
      </c>
      <c r="J2944" s="455">
        <f t="array" ref="J2944">IFERROR(INDEX('Retirement Calculator'!J:J,MATCH('Isaac 401k'!N2944,'Retirement Calculator'!A:A,0),0),0)</f>
        <v>0</v>
      </c>
      <c r="K2944" s="455">
        <f t="shared" ca="1" si="156"/>
        <v>-144104292.48926911</v>
      </c>
      <c r="L2944" s="455">
        <f t="shared" ca="1" si="157"/>
        <v>-34729134489.913849</v>
      </c>
      <c r="M2944" s="471">
        <f t="shared" si="159"/>
        <v>0.05</v>
      </c>
      <c r="N2944" s="475">
        <f t="shared" si="160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58"/>
        <v>-34729134489.913849</v>
      </c>
      <c r="J2945" s="455">
        <f t="array" ref="J2945">IFERROR(INDEX('Retirement Calculator'!J:J,MATCH('Isaac 401k'!N2945,'Retirement Calculator'!A:A,0),0),0)</f>
        <v>0</v>
      </c>
      <c r="K2945" s="455">
        <f t="shared" ca="1" si="156"/>
        <v>-144704727.04130769</v>
      </c>
      <c r="L2945" s="455">
        <f t="shared" ca="1" si="157"/>
        <v>-34873839216.955154</v>
      </c>
      <c r="M2945" s="471">
        <f t="shared" si="159"/>
        <v>0.05</v>
      </c>
      <c r="N2945" s="475">
        <f t="shared" si="160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58"/>
        <v>-34873839216.955154</v>
      </c>
      <c r="J2946" s="455">
        <f t="array" ref="J2946">IFERROR(INDEX('Retirement Calculator'!J:J,MATCH('Isaac 401k'!N2946,'Retirement Calculator'!A:A,0),0),0)</f>
        <v>0</v>
      </c>
      <c r="K2946" s="455">
        <f t="shared" ca="1" si="156"/>
        <v>-145307663.40397981</v>
      </c>
      <c r="L2946" s="455">
        <f t="shared" ca="1" si="157"/>
        <v>-35019146880.359131</v>
      </c>
      <c r="M2946" s="471">
        <f t="shared" si="159"/>
        <v>0.05</v>
      </c>
      <c r="N2946" s="475">
        <f t="shared" si="160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58"/>
        <v>-35019146880.359131</v>
      </c>
      <c r="J2947" s="455">
        <f t="array" ref="J2947">IFERROR(INDEX('Retirement Calculator'!J:J,MATCH('Isaac 401k'!N2947,'Retirement Calculator'!A:A,0),0),0)</f>
        <v>0</v>
      </c>
      <c r="K2947" s="455">
        <f t="shared" ca="1" si="156"/>
        <v>-145913112.00149637</v>
      </c>
      <c r="L2947" s="455">
        <f t="shared" ca="1" si="157"/>
        <v>-35165059992.360626</v>
      </c>
      <c r="M2947" s="471">
        <f t="shared" si="159"/>
        <v>0.05</v>
      </c>
      <c r="N2947" s="475">
        <f t="shared" si="160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58"/>
        <v>-35165059992.360626</v>
      </c>
      <c r="J2948" s="455">
        <f t="array" ref="J2948">IFERROR(INDEX('Retirement Calculator'!J:J,MATCH('Isaac 401k'!N2948,'Retirement Calculator'!A:A,0),0),0)</f>
        <v>0</v>
      </c>
      <c r="K2948" s="455">
        <f t="shared" ca="1" si="156"/>
        <v>-146521083.30150262</v>
      </c>
      <c r="L2948" s="455">
        <f t="shared" ca="1" si="157"/>
        <v>-35311581075.662132</v>
      </c>
      <c r="M2948" s="471">
        <f t="shared" si="159"/>
        <v>0.05</v>
      </c>
      <c r="N2948" s="475">
        <f t="shared" si="160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58"/>
        <v>-35311581075.662132</v>
      </c>
      <c r="J2949" s="455">
        <f t="array" ref="J2949">IFERROR(INDEX('Retirement Calculator'!J:J,MATCH('Isaac 401k'!N2949,'Retirement Calculator'!A:A,0),0),0)</f>
        <v>0</v>
      </c>
      <c r="K2949" s="455">
        <f t="shared" ca="1" si="156"/>
        <v>-147131587.81525889</v>
      </c>
      <c r="L2949" s="455">
        <f t="shared" ca="1" si="157"/>
        <v>-35458712663.477394</v>
      </c>
      <c r="M2949" s="471">
        <f t="shared" si="159"/>
        <v>0.05</v>
      </c>
      <c r="N2949" s="475">
        <f t="shared" si="160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58"/>
        <v>-35458712663.477394</v>
      </c>
      <c r="J2950" s="455">
        <f t="array" ref="J2950">IFERROR(INDEX('Retirement Calculator'!J:J,MATCH('Isaac 401k'!N2950,'Retirement Calculator'!A:A,0),0),0)</f>
        <v>0</v>
      </c>
      <c r="K2950" s="455">
        <f t="shared" ca="1" si="156"/>
        <v>-147744636.09782249</v>
      </c>
      <c r="L2950" s="455">
        <f t="shared" ca="1" si="157"/>
        <v>-35606457299.575218</v>
      </c>
      <c r="M2950" s="471">
        <f t="shared" si="159"/>
        <v>0.05</v>
      </c>
      <c r="N2950" s="475">
        <f t="shared" si="160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58"/>
        <v>-35606457299.575218</v>
      </c>
      <c r="J2951" s="455">
        <f t="array" ref="J2951">IFERROR(INDEX('Retirement Calculator'!J:J,MATCH('Isaac 401k'!N2951,'Retirement Calculator'!A:A,0),0),0)</f>
        <v>0</v>
      </c>
      <c r="K2951" s="455">
        <f t="shared" ca="1" si="156"/>
        <v>-148360238.74823007</v>
      </c>
      <c r="L2951" s="455">
        <f t="shared" ca="1" si="157"/>
        <v>-35754817538.323448</v>
      </c>
      <c r="M2951" s="471">
        <f t="shared" si="159"/>
        <v>0.05</v>
      </c>
      <c r="N2951" s="475">
        <f t="shared" si="160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58"/>
        <v>-35754817538.323448</v>
      </c>
      <c r="J2952" s="455">
        <f t="array" ref="J2952">IFERROR(INDEX('Retirement Calculator'!J:J,MATCH('Isaac 401k'!N2952,'Retirement Calculator'!A:A,0),0),0)</f>
        <v>0</v>
      </c>
      <c r="K2952" s="455">
        <f t="shared" ca="1" si="156"/>
        <v>-148978406.40968102</v>
      </c>
      <c r="L2952" s="455">
        <f t="shared" ca="1" si="157"/>
        <v>-35903795944.733131</v>
      </c>
      <c r="M2952" s="471">
        <f t="shared" si="159"/>
        <v>0.05</v>
      </c>
      <c r="N2952" s="475">
        <f t="shared" si="160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58"/>
        <v>-35903795944.733131</v>
      </c>
      <c r="J2953" s="455">
        <f t="array" ref="J2953">IFERROR(INDEX('Retirement Calculator'!J:J,MATCH('Isaac 401k'!N2953,'Retirement Calculator'!A:A,0),0),0)</f>
        <v>0</v>
      </c>
      <c r="K2953" s="455">
        <f t="shared" ca="1" si="156"/>
        <v>-149599149.76972139</v>
      </c>
      <c r="L2953" s="455">
        <f t="shared" ca="1" si="157"/>
        <v>-36053395094.502853</v>
      </c>
      <c r="M2953" s="471">
        <f t="shared" si="159"/>
        <v>0.05</v>
      </c>
      <c r="N2953" s="475">
        <f t="shared" si="160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58"/>
        <v>-36053395094.502853</v>
      </c>
      <c r="J2954" s="455">
        <f t="array" ref="J2954">IFERROR(INDEX('Retirement Calculator'!J:J,MATCH('Isaac 401k'!N2954,'Retirement Calculator'!A:A,0),0),0)</f>
        <v>0</v>
      </c>
      <c r="K2954" s="455">
        <f t="shared" ca="1" si="156"/>
        <v>-150222479.56042856</v>
      </c>
      <c r="L2954" s="455">
        <f t="shared" ca="1" si="157"/>
        <v>-36203617574.063278</v>
      </c>
      <c r="M2954" s="471">
        <f t="shared" si="159"/>
        <v>0.05</v>
      </c>
      <c r="N2954" s="475">
        <f t="shared" si="160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58"/>
        <v>-36203617574.063278</v>
      </c>
      <c r="J2955" s="455">
        <f t="array" ref="J2955">IFERROR(INDEX('Retirement Calculator'!J:J,MATCH('Isaac 401k'!N2955,'Retirement Calculator'!A:A,0),0),0)</f>
        <v>0</v>
      </c>
      <c r="K2955" s="455">
        <f t="shared" ca="1" si="156"/>
        <v>-150848406.558597</v>
      </c>
      <c r="L2955" s="455">
        <f t="shared" ca="1" si="157"/>
        <v>-36354465980.621872</v>
      </c>
      <c r="M2955" s="471">
        <f t="shared" si="159"/>
        <v>0.05</v>
      </c>
      <c r="N2955" s="475">
        <f t="shared" si="160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58"/>
        <v>-36354465980.621872</v>
      </c>
      <c r="J2956" s="455">
        <f t="array" ref="J2956">IFERROR(INDEX('Retirement Calculator'!J:J,MATCH('Isaac 401k'!N2956,'Retirement Calculator'!A:A,0),0),0)</f>
        <v>0</v>
      </c>
      <c r="K2956" s="455">
        <f t="shared" ca="1" si="156"/>
        <v>-151476941.58592448</v>
      </c>
      <c r="L2956" s="455">
        <f t="shared" ca="1" si="157"/>
        <v>-36505942922.207794</v>
      </c>
      <c r="M2956" s="471">
        <f t="shared" si="159"/>
        <v>0.05</v>
      </c>
      <c r="N2956" s="475">
        <f t="shared" si="160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58"/>
        <v>-36505942922.207794</v>
      </c>
      <c r="J2957" s="455">
        <f t="array" ref="J2957">IFERROR(INDEX('Retirement Calculator'!J:J,MATCH('Isaac 401k'!N2957,'Retirement Calculator'!A:A,0),0),0)</f>
        <v>0</v>
      </c>
      <c r="K2957" s="455">
        <f t="shared" ca="1" si="156"/>
        <v>-152108095.50919914</v>
      </c>
      <c r="L2957" s="455">
        <f t="shared" ca="1" si="157"/>
        <v>-36658051017.716995</v>
      </c>
      <c r="M2957" s="471">
        <f t="shared" si="159"/>
        <v>0.05</v>
      </c>
      <c r="N2957" s="475">
        <f t="shared" si="160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58"/>
        <v>-36658051017.716995</v>
      </c>
      <c r="J2958" s="455">
        <f t="array" ref="J2958">IFERROR(INDEX('Retirement Calculator'!J:J,MATCH('Isaac 401k'!N2958,'Retirement Calculator'!A:A,0),0),0)</f>
        <v>0</v>
      </c>
      <c r="K2958" s="455">
        <f t="shared" ca="1" si="156"/>
        <v>-152741879.24048749</v>
      </c>
      <c r="L2958" s="455">
        <f t="shared" ca="1" si="157"/>
        <v>-36810792896.957481</v>
      </c>
      <c r="M2958" s="471">
        <f t="shared" si="159"/>
        <v>0.05</v>
      </c>
      <c r="N2958" s="475">
        <f t="shared" si="160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58"/>
        <v>-36810792896.957481</v>
      </c>
      <c r="J2959" s="455">
        <f t="array" ref="J2959">IFERROR(INDEX('Retirement Calculator'!J:J,MATCH('Isaac 401k'!N2959,'Retirement Calculator'!A:A,0),0),0)</f>
        <v>0</v>
      </c>
      <c r="K2959" s="455">
        <f t="shared" ca="1" si="156"/>
        <v>-153378303.73732284</v>
      </c>
      <c r="L2959" s="455">
        <f t="shared" ca="1" si="157"/>
        <v>-36964171200.694801</v>
      </c>
      <c r="M2959" s="471">
        <f t="shared" si="159"/>
        <v>0.05</v>
      </c>
      <c r="N2959" s="475">
        <f t="shared" si="160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58"/>
        <v>-36964171200.694801</v>
      </c>
      <c r="J2960" s="455">
        <f t="array" ref="J2960">IFERROR(INDEX('Retirement Calculator'!J:J,MATCH('Isaac 401k'!N2960,'Retirement Calculator'!A:A,0),0),0)</f>
        <v>0</v>
      </c>
      <c r="K2960" s="455">
        <f t="shared" ca="1" si="156"/>
        <v>-154017380.002895</v>
      </c>
      <c r="L2960" s="455">
        <f t="shared" ca="1" si="157"/>
        <v>-37118188580.697693</v>
      </c>
      <c r="M2960" s="471">
        <f t="shared" si="159"/>
        <v>0.05</v>
      </c>
      <c r="N2960" s="475">
        <f t="shared" si="160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58"/>
        <v>-37118188580.697693</v>
      </c>
      <c r="J2961" s="455">
        <f t="array" ref="J2961">IFERROR(INDEX('Retirement Calculator'!J:J,MATCH('Isaac 401k'!N2961,'Retirement Calculator'!A:A,0),0),0)</f>
        <v>0</v>
      </c>
      <c r="K2961" s="455">
        <f t="shared" ca="1" si="156"/>
        <v>-154659119.08624038</v>
      </c>
      <c r="L2961" s="455">
        <f t="shared" ca="1" si="157"/>
        <v>-37272847699.783936</v>
      </c>
      <c r="M2961" s="471">
        <f t="shared" si="159"/>
        <v>0.05</v>
      </c>
      <c r="N2961" s="475">
        <f t="shared" si="160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58"/>
        <v>-37272847699.783936</v>
      </c>
      <c r="J2962" s="455">
        <f t="array" ref="J2962">IFERROR(INDEX('Retirement Calculator'!J:J,MATCH('Isaac 401k'!N2962,'Retirement Calculator'!A:A,0),0),0)</f>
        <v>0</v>
      </c>
      <c r="K2962" s="455">
        <f t="shared" ca="1" si="156"/>
        <v>-155303532.08243307</v>
      </c>
      <c r="L2962" s="455">
        <f t="shared" ca="1" si="157"/>
        <v>-37428151231.866371</v>
      </c>
      <c r="M2962" s="471">
        <f t="shared" si="159"/>
        <v>0.05</v>
      </c>
      <c r="N2962" s="475">
        <f t="shared" si="160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58"/>
        <v>-37428151231.866371</v>
      </c>
      <c r="J2963" s="455">
        <f t="array" ref="J2963">IFERROR(INDEX('Retirement Calculator'!J:J,MATCH('Isaac 401k'!N2963,'Retirement Calculator'!A:A,0),0),0)</f>
        <v>0</v>
      </c>
      <c r="K2963" s="455">
        <f t="shared" ca="1" si="156"/>
        <v>-155950630.13277656</v>
      </c>
      <c r="L2963" s="455">
        <f t="shared" ca="1" si="157"/>
        <v>-37584101861.999146</v>
      </c>
      <c r="M2963" s="471">
        <f t="shared" si="159"/>
        <v>0.05</v>
      </c>
      <c r="N2963" s="475">
        <f t="shared" si="160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58"/>
        <v>-37584101861.999146</v>
      </c>
      <c r="J2964" s="455">
        <f t="array" ref="J2964">IFERROR(INDEX('Retirement Calculator'!J:J,MATCH('Isaac 401k'!N2964,'Retirement Calculator'!A:A,0),0),0)</f>
        <v>0</v>
      </c>
      <c r="K2964" s="455">
        <f t="shared" ca="1" si="156"/>
        <v>-156600424.42499644</v>
      </c>
      <c r="L2964" s="455">
        <f t="shared" ca="1" si="157"/>
        <v>-37740702286.424141</v>
      </c>
      <c r="M2964" s="471">
        <f t="shared" si="159"/>
        <v>0.05</v>
      </c>
      <c r="N2964" s="475">
        <f t="shared" si="160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58"/>
        <v>-37740702286.424141</v>
      </c>
      <c r="J2965" s="455">
        <f t="array" ref="J2965">IFERROR(INDEX('Retirement Calculator'!J:J,MATCH('Isaac 401k'!N2965,'Retirement Calculator'!A:A,0),0),0)</f>
        <v>0</v>
      </c>
      <c r="K2965" s="455">
        <f t="shared" ca="1" si="156"/>
        <v>-157252926.19343391</v>
      </c>
      <c r="L2965" s="455">
        <f t="shared" ca="1" si="157"/>
        <v>-37897955212.617577</v>
      </c>
      <c r="M2965" s="471">
        <f t="shared" si="159"/>
        <v>0.05</v>
      </c>
      <c r="N2965" s="475">
        <f t="shared" si="160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58"/>
        <v>-37897955212.617577</v>
      </c>
      <c r="J2966" s="455">
        <f t="array" ref="J2966">IFERROR(INDEX('Retirement Calculator'!J:J,MATCH('Isaac 401k'!N2966,'Retirement Calculator'!A:A,0),0),0)</f>
        <v>0</v>
      </c>
      <c r="K2966" s="455">
        <f t="shared" ca="1" si="156"/>
        <v>-157908146.71923989</v>
      </c>
      <c r="L2966" s="455">
        <f t="shared" ca="1" si="157"/>
        <v>-38055863359.336815</v>
      </c>
      <c r="M2966" s="471">
        <f t="shared" si="159"/>
        <v>0.05</v>
      </c>
      <c r="N2966" s="475">
        <f t="shared" si="160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58"/>
        <v>-38055863359.336815</v>
      </c>
      <c r="J2967" s="455">
        <f t="array" ref="J2967">IFERROR(INDEX('Retirement Calculator'!J:J,MATCH('Isaac 401k'!N2967,'Retirement Calculator'!A:A,0),0),0)</f>
        <v>0</v>
      </c>
      <c r="K2967" s="455">
        <f t="shared" ca="1" si="156"/>
        <v>-158566097.33057007</v>
      </c>
      <c r="L2967" s="455">
        <f t="shared" ca="1" si="157"/>
        <v>-38214429456.667381</v>
      </c>
      <c r="M2967" s="471">
        <f t="shared" si="159"/>
        <v>0.05</v>
      </c>
      <c r="N2967" s="475">
        <f t="shared" si="160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58"/>
        <v>-38214429456.667381</v>
      </c>
      <c r="J2968" s="455">
        <f t="array" ref="J2968">IFERROR(INDEX('Retirement Calculator'!J:J,MATCH('Isaac 401k'!N2968,'Retirement Calculator'!A:A,0),0),0)</f>
        <v>0</v>
      </c>
      <c r="K2968" s="455">
        <f t="shared" ca="1" si="156"/>
        <v>-159226789.40278074</v>
      </c>
      <c r="L2968" s="455">
        <f t="shared" ca="1" si="157"/>
        <v>-38373656246.07016</v>
      </c>
      <c r="M2968" s="471">
        <f t="shared" si="159"/>
        <v>0.05</v>
      </c>
      <c r="N2968" s="475">
        <f t="shared" si="160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58"/>
        <v>-38373656246.07016</v>
      </c>
      <c r="J2969" s="455">
        <f t="array" ref="J2969">IFERROR(INDEX('Retirement Calculator'!J:J,MATCH('Isaac 401k'!N2969,'Retirement Calculator'!A:A,0),0),0)</f>
        <v>0</v>
      </c>
      <c r="K2969" s="455">
        <f t="shared" ca="1" si="156"/>
        <v>-159890234.35862565</v>
      </c>
      <c r="L2969" s="455">
        <f t="shared" ca="1" si="157"/>
        <v>-38533546480.428787</v>
      </c>
      <c r="M2969" s="471">
        <f t="shared" si="159"/>
        <v>0.05</v>
      </c>
      <c r="N2969" s="475">
        <f t="shared" si="160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58"/>
        <v>-38533546480.428787</v>
      </c>
      <c r="J2970" s="455">
        <f t="array" ref="J2970">IFERROR(INDEX('Retirement Calculator'!J:J,MATCH('Isaac 401k'!N2970,'Retirement Calculator'!A:A,0),0),0)</f>
        <v>0</v>
      </c>
      <c r="K2970" s="455">
        <f t="shared" ca="1" si="156"/>
        <v>-160556443.66845328</v>
      </c>
      <c r="L2970" s="455">
        <f t="shared" ca="1" si="157"/>
        <v>-38694102924.097244</v>
      </c>
      <c r="M2970" s="471">
        <f t="shared" si="159"/>
        <v>0.05</v>
      </c>
      <c r="N2970" s="475">
        <f t="shared" si="160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58"/>
        <v>-38694102924.097244</v>
      </c>
      <c r="J2971" s="455">
        <f t="array" ref="J2971">IFERROR(INDEX('Retirement Calculator'!J:J,MATCH('Isaac 401k'!N2971,'Retirement Calculator'!A:A,0),0),0)</f>
        <v>0</v>
      </c>
      <c r="K2971" s="455">
        <f t="shared" ca="1" si="156"/>
        <v>-161225428.85040519</v>
      </c>
      <c r="L2971" s="455">
        <f t="shared" ca="1" si="157"/>
        <v>-38855328352.947647</v>
      </c>
      <c r="M2971" s="471">
        <f t="shared" si="159"/>
        <v>0.05</v>
      </c>
      <c r="N2971" s="475">
        <f t="shared" si="160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58"/>
        <v>-38855328352.947647</v>
      </c>
      <c r="J2972" s="455">
        <f t="array" ref="J2972">IFERROR(INDEX('Retirement Calculator'!J:J,MATCH('Isaac 401k'!N2972,'Retirement Calculator'!A:A,0),0),0)</f>
        <v>0</v>
      </c>
      <c r="K2972" s="455">
        <f t="shared" ca="1" si="156"/>
        <v>-161897201.47061521</v>
      </c>
      <c r="L2972" s="455">
        <f t="shared" ca="1" si="157"/>
        <v>-39017225554.418259</v>
      </c>
      <c r="M2972" s="471">
        <f t="shared" si="159"/>
        <v>0.05</v>
      </c>
      <c r="N2972" s="475">
        <f t="shared" si="160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58"/>
        <v>-39017225554.418259</v>
      </c>
      <c r="J2973" s="455">
        <f t="array" ref="J2973">IFERROR(INDEX('Retirement Calculator'!J:J,MATCH('Isaac 401k'!N2973,'Retirement Calculator'!A:A,0),0),0)</f>
        <v>0</v>
      </c>
      <c r="K2973" s="455">
        <f t="shared" ca="1" si="156"/>
        <v>-162571773.1434094</v>
      </c>
      <c r="L2973" s="455">
        <f t="shared" ca="1" si="157"/>
        <v>-39179797327.561668</v>
      </c>
      <c r="M2973" s="471">
        <f t="shared" si="159"/>
        <v>0.05</v>
      </c>
      <c r="N2973" s="475">
        <f t="shared" si="160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58"/>
        <v>-39179797327.561668</v>
      </c>
      <c r="J2974" s="455">
        <f t="array" ref="J2974">IFERROR(INDEX('Retirement Calculator'!J:J,MATCH('Isaac 401k'!N2974,'Retirement Calculator'!A:A,0),0),0)</f>
        <v>0</v>
      </c>
      <c r="K2974" s="455">
        <f t="shared" ca="1" si="156"/>
        <v>-163249155.53150696</v>
      </c>
      <c r="L2974" s="455">
        <f t="shared" ca="1" si="157"/>
        <v>-39343046483.093178</v>
      </c>
      <c r="M2974" s="471">
        <f t="shared" si="159"/>
        <v>0.05</v>
      </c>
      <c r="N2974" s="475">
        <f t="shared" si="160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58"/>
        <v>-39343046483.093178</v>
      </c>
      <c r="J2975" s="455">
        <f t="array" ref="J2975">IFERROR(INDEX('Retirement Calculator'!J:J,MATCH('Isaac 401k'!N2975,'Retirement Calculator'!A:A,0),0),0)</f>
        <v>0</v>
      </c>
      <c r="K2975" s="455">
        <f t="shared" ca="1" si="156"/>
        <v>-163929360.34622157</v>
      </c>
      <c r="L2975" s="455">
        <f t="shared" ca="1" si="157"/>
        <v>-39506975843.4394</v>
      </c>
      <c r="M2975" s="471">
        <f t="shared" si="159"/>
        <v>0.05</v>
      </c>
      <c r="N2975" s="475">
        <f t="shared" si="160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58"/>
        <v>-39506975843.4394</v>
      </c>
      <c r="J2976" s="455">
        <f t="array" ref="J2976">IFERROR(INDEX('Retirement Calculator'!J:J,MATCH('Isaac 401k'!N2976,'Retirement Calculator'!A:A,0),0),0)</f>
        <v>0</v>
      </c>
      <c r="K2976" s="455">
        <f t="shared" ca="1" si="156"/>
        <v>-164612399.34766418</v>
      </c>
      <c r="L2976" s="455">
        <f t="shared" ca="1" si="157"/>
        <v>-39671588242.787064</v>
      </c>
      <c r="M2976" s="471">
        <f t="shared" si="159"/>
        <v>0.05</v>
      </c>
      <c r="N2976" s="475">
        <f t="shared" si="160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58"/>
        <v>-39671588242.787064</v>
      </c>
      <c r="J2977" s="455">
        <f t="array" ref="J2977">IFERROR(INDEX('Retirement Calculator'!J:J,MATCH('Isaac 401k'!N2977,'Retirement Calculator'!A:A,0),0),0)</f>
        <v>0</v>
      </c>
      <c r="K2977" s="455">
        <f t="shared" ca="1" si="156"/>
        <v>-165298284.34494609</v>
      </c>
      <c r="L2977" s="455">
        <f t="shared" ca="1" si="157"/>
        <v>-39836886527.132011</v>
      </c>
      <c r="M2977" s="471">
        <f t="shared" si="159"/>
        <v>0.05</v>
      </c>
      <c r="N2977" s="475">
        <f t="shared" si="160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58"/>
        <v>-39836886527.132011</v>
      </c>
      <c r="J2978" s="455">
        <f t="array" ref="J2978">IFERROR(INDEX('Retirement Calculator'!J:J,MATCH('Isaac 401k'!N2978,'Retirement Calculator'!A:A,0),0),0)</f>
        <v>0</v>
      </c>
      <c r="K2978" s="455">
        <f t="shared" ca="1" si="156"/>
        <v>-165987027.19638339</v>
      </c>
      <c r="L2978" s="455">
        <f t="shared" ca="1" si="157"/>
        <v>-40002873554.328392</v>
      </c>
      <c r="M2978" s="471">
        <f t="shared" si="159"/>
        <v>0.05</v>
      </c>
      <c r="N2978" s="475">
        <f t="shared" si="160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58"/>
        <v>-40002873554.328392</v>
      </c>
      <c r="J2979" s="455">
        <f t="array" ref="J2979">IFERROR(INDEX('Retirement Calculator'!J:J,MATCH('Isaac 401k'!N2979,'Retirement Calculator'!A:A,0),0),0)</f>
        <v>0</v>
      </c>
      <c r="K2979" s="455">
        <f t="shared" ca="1" si="156"/>
        <v>-166678639.80970162</v>
      </c>
      <c r="L2979" s="455">
        <f t="shared" ca="1" si="157"/>
        <v>-40169552194.138092</v>
      </c>
      <c r="M2979" s="471">
        <f t="shared" si="159"/>
        <v>0.05</v>
      </c>
      <c r="N2979" s="475">
        <f t="shared" si="160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58"/>
        <v>-40169552194.138092</v>
      </c>
      <c r="J2980" s="455">
        <f t="array" ref="J2980">IFERROR(INDEX('Retirement Calculator'!J:J,MATCH('Isaac 401k'!N2980,'Retirement Calculator'!A:A,0),0),0)</f>
        <v>0</v>
      </c>
      <c r="K2980" s="455">
        <f t="shared" ca="1" si="156"/>
        <v>-167373134.14224204</v>
      </c>
      <c r="L2980" s="455">
        <f t="shared" ca="1" si="157"/>
        <v>-40336925328.280334</v>
      </c>
      <c r="M2980" s="471">
        <f t="shared" si="159"/>
        <v>0.05</v>
      </c>
      <c r="N2980" s="475">
        <f t="shared" si="160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58"/>
        <v>-40336925328.280334</v>
      </c>
      <c r="J2981" s="455">
        <f t="array" ref="J2981">IFERROR(INDEX('Retirement Calculator'!J:J,MATCH('Isaac 401k'!N2981,'Retirement Calculator'!A:A,0),0),0)</f>
        <v>0</v>
      </c>
      <c r="K2981" s="455">
        <f t="shared" ca="1" si="156"/>
        <v>-168070522.20116806</v>
      </c>
      <c r="L2981" s="455">
        <f t="shared" ca="1" si="157"/>
        <v>-40504995850.481506</v>
      </c>
      <c r="M2981" s="471">
        <f t="shared" si="159"/>
        <v>0.05</v>
      </c>
      <c r="N2981" s="475">
        <f t="shared" si="160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58"/>
        <v>-40504995850.481506</v>
      </c>
      <c r="J2982" s="455">
        <f t="array" ref="J2982">IFERROR(INDEX('Retirement Calculator'!J:J,MATCH('Isaac 401k'!N2982,'Retirement Calculator'!A:A,0),0),0)</f>
        <v>0</v>
      </c>
      <c r="K2982" s="455">
        <f t="shared" ca="1" si="156"/>
        <v>-168770816.04367295</v>
      </c>
      <c r="L2982" s="455">
        <f t="shared" ca="1" si="157"/>
        <v>-40673766666.525177</v>
      </c>
      <c r="M2982" s="471">
        <f t="shared" si="159"/>
        <v>0.05</v>
      </c>
      <c r="N2982" s="475">
        <f t="shared" si="160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58"/>
        <v>-40673766666.525177</v>
      </c>
      <c r="J2983" s="455">
        <f t="array" ref="J2983">IFERROR(INDEX('Retirement Calculator'!J:J,MATCH('Isaac 401k'!N2983,'Retirement Calculator'!A:A,0),0),0)</f>
        <v>0</v>
      </c>
      <c r="K2983" s="455">
        <f t="shared" ca="1" si="156"/>
        <v>-169474027.77718824</v>
      </c>
      <c r="L2983" s="455">
        <f t="shared" ca="1" si="157"/>
        <v>-40843240694.302368</v>
      </c>
      <c r="M2983" s="471">
        <f t="shared" si="159"/>
        <v>0.05</v>
      </c>
      <c r="N2983" s="475">
        <f t="shared" si="160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58"/>
        <v>-40843240694.302368</v>
      </c>
      <c r="J2984" s="455">
        <f t="array" ref="J2984">IFERROR(INDEX('Retirement Calculator'!J:J,MATCH('Isaac 401k'!N2984,'Retirement Calculator'!A:A,0),0),0)</f>
        <v>0</v>
      </c>
      <c r="K2984" s="455">
        <f t="shared" ca="1" si="156"/>
        <v>-170180169.5595932</v>
      </c>
      <c r="L2984" s="455">
        <f t="shared" ca="1" si="157"/>
        <v>-41013420863.861961</v>
      </c>
      <c r="M2984" s="471">
        <f t="shared" si="159"/>
        <v>0.05</v>
      </c>
      <c r="N2984" s="475">
        <f t="shared" si="160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58"/>
        <v>-41013420863.861961</v>
      </c>
      <c r="J2985" s="455">
        <f t="array" ref="J2985">IFERROR(INDEX('Retirement Calculator'!J:J,MATCH('Isaac 401k'!N2985,'Retirement Calculator'!A:A,0),0),0)</f>
        <v>0</v>
      </c>
      <c r="K2985" s="455">
        <f t="shared" ca="1" si="156"/>
        <v>-170889253.59942484</v>
      </c>
      <c r="L2985" s="455">
        <f t="shared" ca="1" si="157"/>
        <v>-41184310117.461388</v>
      </c>
      <c r="M2985" s="471">
        <f t="shared" si="159"/>
        <v>0.05</v>
      </c>
      <c r="N2985" s="475">
        <f t="shared" si="160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58"/>
        <v>-41184310117.461388</v>
      </c>
      <c r="J2986" s="455">
        <f t="array" ref="J2986">IFERROR(INDEX('Retirement Calculator'!J:J,MATCH('Isaac 401k'!N2986,'Retirement Calculator'!A:A,0),0),0)</f>
        <v>0</v>
      </c>
      <c r="K2986" s="455">
        <f t="shared" ca="1" si="156"/>
        <v>-171601292.15608913</v>
      </c>
      <c r="L2986" s="455">
        <f t="shared" ca="1" si="157"/>
        <v>-41355911409.617477</v>
      </c>
      <c r="M2986" s="471">
        <f t="shared" si="159"/>
        <v>0.05</v>
      </c>
      <c r="N2986" s="475">
        <f t="shared" si="160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58"/>
        <v>-41355911409.617477</v>
      </c>
      <c r="J2987" s="455">
        <f t="array" ref="J2987">IFERROR(INDEX('Retirement Calculator'!J:J,MATCH('Isaac 401k'!N2987,'Retirement Calculator'!A:A,0),0),0)</f>
        <v>0</v>
      </c>
      <c r="K2987" s="455">
        <f t="shared" ca="1" si="156"/>
        <v>-172316297.54007283</v>
      </c>
      <c r="L2987" s="455">
        <f t="shared" ca="1" si="157"/>
        <v>-41528227707.157547</v>
      </c>
      <c r="M2987" s="471">
        <f t="shared" si="159"/>
        <v>0.05</v>
      </c>
      <c r="N2987" s="475">
        <f t="shared" si="160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58"/>
        <v>-41528227707.157547</v>
      </c>
      <c r="J2988" s="455">
        <f t="array" ref="J2988">IFERROR(INDEX('Retirement Calculator'!J:J,MATCH('Isaac 401k'!N2988,'Retirement Calculator'!A:A,0),0),0)</f>
        <v>0</v>
      </c>
      <c r="K2988" s="455">
        <f t="shared" ca="1" si="156"/>
        <v>-173034282.11315644</v>
      </c>
      <c r="L2988" s="455">
        <f t="shared" ca="1" si="157"/>
        <v>-41701261989.270706</v>
      </c>
      <c r="M2988" s="471">
        <f t="shared" si="159"/>
        <v>0.05</v>
      </c>
      <c r="N2988" s="475">
        <f t="shared" si="160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58"/>
        <v>-41701261989.270706</v>
      </c>
      <c r="J2989" s="455">
        <f t="array" ref="J2989">IFERROR(INDEX('Retirement Calculator'!J:J,MATCH('Isaac 401k'!N2989,'Retirement Calculator'!A:A,0),0),0)</f>
        <v>0</v>
      </c>
      <c r="K2989" s="455">
        <f t="shared" ca="1" si="156"/>
        <v>-173755258.28862795</v>
      </c>
      <c r="L2989" s="455">
        <f t="shared" ca="1" si="157"/>
        <v>-41875017247.559334</v>
      </c>
      <c r="M2989" s="471">
        <f t="shared" si="159"/>
        <v>0.05</v>
      </c>
      <c r="N2989" s="475">
        <f t="shared" si="160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58"/>
        <v>-41875017247.559334</v>
      </c>
      <c r="J2990" s="455">
        <f t="array" ref="J2990">IFERROR(INDEX('Retirement Calculator'!J:J,MATCH('Isaac 401k'!N2990,'Retirement Calculator'!A:A,0),0),0)</f>
        <v>0</v>
      </c>
      <c r="K2990" s="455">
        <f t="shared" ca="1" si="156"/>
        <v>-174479238.53149721</v>
      </c>
      <c r="L2990" s="455">
        <f t="shared" ca="1" si="157"/>
        <v>-42049496486.090828</v>
      </c>
      <c r="M2990" s="471">
        <f t="shared" si="159"/>
        <v>0.05</v>
      </c>
      <c r="N2990" s="475">
        <f t="shared" si="160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58"/>
        <v>-42049496486.090828</v>
      </c>
      <c r="J2991" s="455">
        <f t="array" ref="J2991">IFERROR(INDEX('Retirement Calculator'!J:J,MATCH('Isaac 401k'!N2991,'Retirement Calculator'!A:A,0),0),0)</f>
        <v>0</v>
      </c>
      <c r="K2991" s="455">
        <f t="shared" ca="1" si="156"/>
        <v>-175206235.35871178</v>
      </c>
      <c r="L2991" s="455">
        <f t="shared" ca="1" si="157"/>
        <v>-42224702721.449539</v>
      </c>
      <c r="M2991" s="471">
        <f t="shared" si="159"/>
        <v>0.05</v>
      </c>
      <c r="N2991" s="475">
        <f t="shared" si="160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58"/>
        <v>-42224702721.449539</v>
      </c>
      <c r="J2992" s="455">
        <f t="array" ref="J2992">IFERROR(INDEX('Retirement Calculator'!J:J,MATCH('Isaac 401k'!N2992,'Retirement Calculator'!A:A,0),0),0)</f>
        <v>0</v>
      </c>
      <c r="K2992" s="455">
        <f t="shared" ca="1" si="156"/>
        <v>-175936261.33937308</v>
      </c>
      <c r="L2992" s="455">
        <f t="shared" ca="1" si="157"/>
        <v>-42400638982.78891</v>
      </c>
      <c r="M2992" s="471">
        <f t="shared" si="159"/>
        <v>0.05</v>
      </c>
      <c r="N2992" s="475">
        <f t="shared" si="160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58"/>
        <v>-42400638982.78891</v>
      </c>
      <c r="J2993" s="455">
        <f t="array" ref="J2993">IFERROR(INDEX('Retirement Calculator'!J:J,MATCH('Isaac 401k'!N2993,'Retirement Calculator'!A:A,0),0),0)</f>
        <v>0</v>
      </c>
      <c r="K2993" s="455">
        <f t="shared" ca="1" si="156"/>
        <v>-176669329.09495378</v>
      </c>
      <c r="L2993" s="455">
        <f t="shared" ca="1" si="157"/>
        <v>-42577308311.883865</v>
      </c>
      <c r="M2993" s="471">
        <f t="shared" si="159"/>
        <v>0.05</v>
      </c>
      <c r="N2993" s="475">
        <f t="shared" si="160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58"/>
        <v>-42577308311.883865</v>
      </c>
      <c r="J2994" s="455">
        <f t="array" ref="J2994">IFERROR(INDEX('Retirement Calculator'!J:J,MATCH('Isaac 401k'!N2994,'Retirement Calculator'!A:A,0),0),0)</f>
        <v>0</v>
      </c>
      <c r="K2994" s="455">
        <f t="shared" ca="1" si="156"/>
        <v>-177405451.29951611</v>
      </c>
      <c r="L2994" s="455">
        <f t="shared" ca="1" si="157"/>
        <v>-42754713763.18338</v>
      </c>
      <c r="M2994" s="471">
        <f t="shared" si="159"/>
        <v>0.05</v>
      </c>
      <c r="N2994" s="475">
        <f t="shared" si="160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58"/>
        <v>-42754713763.18338</v>
      </c>
      <c r="J2995" s="455">
        <f t="array" ref="J2995">IFERROR(INDEX('Retirement Calculator'!J:J,MATCH('Isaac 401k'!N2995,'Retirement Calculator'!A:A,0),0),0)</f>
        <v>0</v>
      </c>
      <c r="K2995" s="455">
        <f t="shared" ca="1" si="156"/>
        <v>-178144640.67993075</v>
      </c>
      <c r="L2995" s="455">
        <f t="shared" ca="1" si="157"/>
        <v>-42932858403.863312</v>
      </c>
      <c r="M2995" s="471">
        <f t="shared" si="159"/>
        <v>0.05</v>
      </c>
      <c r="N2995" s="475">
        <f t="shared" si="160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58"/>
        <v>-42932858403.863312</v>
      </c>
      <c r="J2996" s="455">
        <f t="array" ref="J2996">IFERROR(INDEX('Retirement Calculator'!J:J,MATCH('Isaac 401k'!N2996,'Retirement Calculator'!A:A,0),0),0)</f>
        <v>0</v>
      </c>
      <c r="K2996" s="455">
        <f t="shared" ca="1" si="156"/>
        <v>-178886910.01609713</v>
      </c>
      <c r="L2996" s="455">
        <f t="shared" ca="1" si="157"/>
        <v>-43111745313.87941</v>
      </c>
      <c r="M2996" s="471">
        <f t="shared" si="159"/>
        <v>0.05</v>
      </c>
      <c r="N2996" s="475">
        <f t="shared" si="160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58"/>
        <v>-43111745313.87941</v>
      </c>
      <c r="J2997" s="455">
        <f t="array" ref="J2997">IFERROR(INDEX('Retirement Calculator'!J:J,MATCH('Isaac 401k'!N2997,'Retirement Calculator'!A:A,0),0),0)</f>
        <v>0</v>
      </c>
      <c r="K2997" s="455">
        <f t="shared" ca="1" si="156"/>
        <v>-179632272.14116421</v>
      </c>
      <c r="L2997" s="455">
        <f t="shared" ca="1" si="157"/>
        <v>-43291377586.020576</v>
      </c>
      <c r="M2997" s="471">
        <f t="shared" si="159"/>
        <v>0.05</v>
      </c>
      <c r="N2997" s="475">
        <f t="shared" si="160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58"/>
        <v>-43291377586.020576</v>
      </c>
      <c r="J2998" s="455">
        <f t="array" ref="J2998">IFERROR(INDEX('Retirement Calculator'!J:J,MATCH('Isaac 401k'!N2998,'Retirement Calculator'!A:A,0),0),0)</f>
        <v>0</v>
      </c>
      <c r="K2998" s="455">
        <f t="shared" ca="1" si="156"/>
        <v>-180380739.9417524</v>
      </c>
      <c r="L2998" s="455">
        <f t="shared" ca="1" si="157"/>
        <v>-43471758325.962326</v>
      </c>
      <c r="M2998" s="471">
        <f t="shared" si="159"/>
        <v>0.05</v>
      </c>
      <c r="N2998" s="475">
        <f t="shared" si="160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58"/>
        <v>-43471758325.962326</v>
      </c>
      <c r="J2999" s="455">
        <f t="array" ref="J2999">IFERROR(INDEX('Retirement Calculator'!J:J,MATCH('Isaac 401k'!N2999,'Retirement Calculator'!A:A,0),0),0)</f>
        <v>0</v>
      </c>
      <c r="K2999" s="455">
        <f t="shared" ca="1" si="156"/>
        <v>-181132326.35817635</v>
      </c>
      <c r="L2999" s="455">
        <f t="shared" ca="1" si="157"/>
        <v>-43652890652.320503</v>
      </c>
      <c r="M2999" s="471">
        <f t="shared" si="159"/>
        <v>0.05</v>
      </c>
      <c r="N2999" s="475">
        <f t="shared" si="160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58"/>
        <v>-43652890652.320503</v>
      </c>
      <c r="J3000" s="455">
        <f t="array" ref="J3000">IFERROR(INDEX('Retirement Calculator'!J:J,MATCH('Isaac 401k'!N3000,'Retirement Calculator'!A:A,0),0),0)</f>
        <v>0</v>
      </c>
      <c r="K3000" s="455">
        <f t="shared" ca="1" si="156"/>
        <v>-181887044.38466877</v>
      </c>
      <c r="L3000" s="455">
        <f t="shared" ca="1" si="157"/>
        <v>-43834777696.70517</v>
      </c>
      <c r="M3000" s="471">
        <f t="shared" si="159"/>
        <v>0.05</v>
      </c>
      <c r="N3000" s="475">
        <f t="shared" si="160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58"/>
        <v>-43834777696.70517</v>
      </c>
      <c r="J3001" s="455">
        <f t="array" ref="J3001">IFERROR(INDEX('Retirement Calculator'!J:J,MATCH('Isaac 401k'!N3001,'Retirement Calculator'!A:A,0),0),0)</f>
        <v>0</v>
      </c>
      <c r="K3001" s="455">
        <f t="shared" ca="1" si="156"/>
        <v>-182644907.06960487</v>
      </c>
      <c r="L3001" s="455">
        <f t="shared" ca="1" si="157"/>
        <v>-44017422603.774773</v>
      </c>
      <c r="M3001" s="471">
        <f t="shared" si="159"/>
        <v>0.05</v>
      </c>
      <c r="N3001" s="475">
        <f t="shared" si="160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58"/>
        <v>-44017422603.774773</v>
      </c>
      <c r="J3002" s="455">
        <f t="array" ref="J3002">IFERROR(INDEX('Retirement Calculator'!J:J,MATCH('Isaac 401k'!N3002,'Retirement Calculator'!A:A,0),0),0)</f>
        <v>0</v>
      </c>
      <c r="K3002" s="455">
        <f t="shared" ca="1" si="156"/>
        <v>-183405927.51572821</v>
      </c>
      <c r="L3002" s="455">
        <f t="shared" ca="1" si="157"/>
        <v>-44200828531.290504</v>
      </c>
      <c r="M3002" s="471">
        <f t="shared" si="159"/>
        <v>0.05</v>
      </c>
      <c r="N3002" s="475">
        <f t="shared" si="160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58"/>
        <v>-44200828531.290504</v>
      </c>
      <c r="J3003" s="455">
        <f t="array" ref="J3003">IFERROR(INDEX('Retirement Calculator'!J:J,MATCH('Isaac 401k'!N3003,'Retirement Calculator'!A:A,0),0),0)</f>
        <v>0</v>
      </c>
      <c r="K3003" s="455">
        <f t="shared" ca="1" si="156"/>
        <v>-184170118.88037711</v>
      </c>
      <c r="L3003" s="455">
        <f t="shared" ca="1" si="157"/>
        <v>-44384998650.170883</v>
      </c>
      <c r="M3003" s="471">
        <f t="shared" si="159"/>
        <v>0.05</v>
      </c>
      <c r="N3003" s="475">
        <f t="shared" si="160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58"/>
        <v>-44384998650.170883</v>
      </c>
      <c r="J3004" s="455">
        <f t="array" ref="J3004">IFERROR(INDEX('Retirement Calculator'!J:J,MATCH('Isaac 401k'!N3004,'Retirement Calculator'!A:A,0),0),0)</f>
        <v>0</v>
      </c>
      <c r="K3004" s="455">
        <f t="shared" ca="1" si="156"/>
        <v>-184937494.37571201</v>
      </c>
      <c r="L3004" s="455">
        <f t="shared" ca="1" si="157"/>
        <v>-44569936144.546593</v>
      </c>
      <c r="M3004" s="471">
        <f t="shared" si="159"/>
        <v>0.05</v>
      </c>
      <c r="N3004" s="475">
        <f t="shared" si="160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58"/>
        <v>-44569936144.546593</v>
      </c>
      <c r="J3005" s="455">
        <f t="array" ref="J3005">IFERROR(INDEX('Retirement Calculator'!J:J,MATCH('Isaac 401k'!N3005,'Retirement Calculator'!A:A,0),0),0)</f>
        <v>0</v>
      </c>
      <c r="K3005" s="455">
        <f t="shared" ca="1" si="156"/>
        <v>-185708067.26894414</v>
      </c>
      <c r="L3005" s="455">
        <f t="shared" ca="1" si="157"/>
        <v>-44755644211.815536</v>
      </c>
      <c r="M3005" s="471">
        <f t="shared" si="159"/>
        <v>0.05</v>
      </c>
      <c r="N3005" s="475">
        <f t="shared" si="160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58"/>
        <v>-44755644211.815536</v>
      </c>
      <c r="J3006" s="455">
        <f t="array" ref="J3006">IFERROR(INDEX('Retirement Calculator'!J:J,MATCH('Isaac 401k'!N3006,'Retirement Calculator'!A:A,0),0),0)</f>
        <v>0</v>
      </c>
      <c r="K3006" s="455">
        <f t="shared" ca="1" si="156"/>
        <v>-186481850.88256472</v>
      </c>
      <c r="L3006" s="455">
        <f t="shared" ca="1" si="157"/>
        <v>-44942126062.698105</v>
      </c>
      <c r="M3006" s="471">
        <f t="shared" si="159"/>
        <v>0.05</v>
      </c>
      <c r="N3006" s="475">
        <f t="shared" si="160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58"/>
        <v>-44942126062.698105</v>
      </c>
      <c r="J3007" s="455">
        <f t="array" ref="J3007">IFERROR(INDEX('Retirement Calculator'!J:J,MATCH('Isaac 401k'!N3007,'Retirement Calculator'!A:A,0),0),0)</f>
        <v>0</v>
      </c>
      <c r="K3007" s="455">
        <f t="shared" ca="1" si="156"/>
        <v>-187258858.59457543</v>
      </c>
      <c r="L3007" s="455">
        <f t="shared" ca="1" si="157"/>
        <v>-45129384921.292679</v>
      </c>
      <c r="M3007" s="471">
        <f t="shared" si="159"/>
        <v>0.05</v>
      </c>
      <c r="N3007" s="475">
        <f t="shared" si="160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58"/>
        <v>-45129384921.292679</v>
      </c>
      <c r="J3008" s="455">
        <f t="array" ref="J3008">IFERROR(INDEX('Retirement Calculator'!J:J,MATCH('Isaac 401k'!N3008,'Retirement Calculator'!A:A,0),0),0)</f>
        <v>0</v>
      </c>
      <c r="K3008" s="455">
        <f t="shared" ca="1" si="156"/>
        <v>-188039103.83871949</v>
      </c>
      <c r="L3008" s="455">
        <f t="shared" ca="1" si="157"/>
        <v>-45317424025.131401</v>
      </c>
      <c r="M3008" s="471">
        <f t="shared" si="159"/>
        <v>0.05</v>
      </c>
      <c r="N3008" s="475">
        <f t="shared" si="160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58"/>
        <v>-45317424025.131401</v>
      </c>
      <c r="J3009" s="455">
        <f t="array" ref="J3009">IFERROR(INDEX('Retirement Calculator'!J:J,MATCH('Isaac 401k'!N3009,'Retirement Calculator'!A:A,0),0),0)</f>
        <v>0</v>
      </c>
      <c r="K3009" s="455">
        <f t="shared" ca="1" si="156"/>
        <v>-188822600.10471416</v>
      </c>
      <c r="L3009" s="455">
        <f t="shared" ca="1" si="157"/>
        <v>-45506246625.236115</v>
      </c>
      <c r="M3009" s="471">
        <f t="shared" si="159"/>
        <v>0.05</v>
      </c>
      <c r="N3009" s="475">
        <f t="shared" si="160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58"/>
        <v>-45506246625.236115</v>
      </c>
      <c r="J3010" s="455">
        <f t="array" ref="J3010">IFERROR(INDEX('Retirement Calculator'!J:J,MATCH('Isaac 401k'!N3010,'Retirement Calculator'!A:A,0),0),0)</f>
        <v>0</v>
      </c>
      <c r="K3010" s="455">
        <f t="shared" ca="1" si="156"/>
        <v>-189609360.9384838</v>
      </c>
      <c r="L3010" s="455">
        <f t="shared" ca="1" si="157"/>
        <v>-45695855986.174599</v>
      </c>
      <c r="M3010" s="471">
        <f t="shared" si="159"/>
        <v>0.05</v>
      </c>
      <c r="N3010" s="475">
        <f t="shared" si="160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58"/>
        <v>-45695855986.174599</v>
      </c>
      <c r="J3011" s="455">
        <f t="array" ref="J3011">IFERROR(INDEX('Retirement Calculator'!J:J,MATCH('Isaac 401k'!N3011,'Retirement Calculator'!A:A,0),0),0)</f>
        <v>0</v>
      </c>
      <c r="K3011" s="455">
        <f t="shared" ca="1" si="156"/>
        <v>-190399399.94239417</v>
      </c>
      <c r="L3011" s="455">
        <f t="shared" ca="1" si="157"/>
        <v>-45886255386.116989</v>
      </c>
      <c r="M3011" s="471">
        <f t="shared" si="159"/>
        <v>0.05</v>
      </c>
      <c r="N3011" s="475">
        <f t="shared" si="160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58"/>
        <v>-45886255386.116989</v>
      </c>
      <c r="J3012" s="455">
        <f t="array" ref="J3012">IFERROR(INDEX('Retirement Calculator'!J:J,MATCH('Isaac 401k'!N3012,'Retirement Calculator'!A:A,0),0),0)</f>
        <v>0</v>
      </c>
      <c r="K3012" s="455">
        <f t="shared" ca="1" si="156"/>
        <v>-191192730.77548745</v>
      </c>
      <c r="L3012" s="455">
        <f t="shared" ca="1" si="157"/>
        <v>-46077448116.892479</v>
      </c>
      <c r="M3012" s="471">
        <f t="shared" si="159"/>
        <v>0.05</v>
      </c>
      <c r="N3012" s="475">
        <f t="shared" si="160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58"/>
        <v>-46077448116.892479</v>
      </c>
      <c r="J3013" s="455">
        <f t="array" ref="J3013">IFERROR(INDEX('Retirement Calculator'!J:J,MATCH('Isaac 401k'!N3013,'Retirement Calculator'!A:A,0),0),0)</f>
        <v>0</v>
      </c>
      <c r="K3013" s="455">
        <f t="shared" ca="1" si="156"/>
        <v>-191989367.15371865</v>
      </c>
      <c r="L3013" s="455">
        <f t="shared" ca="1" si="157"/>
        <v>-46269437484.046196</v>
      </c>
      <c r="M3013" s="471">
        <f t="shared" si="159"/>
        <v>0.05</v>
      </c>
      <c r="N3013" s="475">
        <f t="shared" si="160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58"/>
        <v>-46269437484.046196</v>
      </c>
      <c r="J3014" s="455">
        <f t="array" ref="J3014">IFERROR(INDEX('Retirement Calculator'!J:J,MATCH('Isaac 401k'!N3014,'Retirement Calculator'!A:A,0),0),0)</f>
        <v>0</v>
      </c>
      <c r="K3014" s="455">
        <f t="shared" ca="1" si="156"/>
        <v>-192789322.85019249</v>
      </c>
      <c r="L3014" s="455">
        <f t="shared" ca="1" si="157"/>
        <v>-46462226806.896385</v>
      </c>
      <c r="M3014" s="471">
        <f t="shared" si="159"/>
        <v>0.05</v>
      </c>
      <c r="N3014" s="475">
        <f t="shared" si="160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58"/>
        <v>-46462226806.896385</v>
      </c>
      <c r="J3015" s="455">
        <f t="array" ref="J3015">IFERROR(INDEX('Retirement Calculator'!J:J,MATCH('Isaac 401k'!N3015,'Retirement Calculator'!A:A,0),0),0)</f>
        <v>0</v>
      </c>
      <c r="K3015" s="455">
        <f t="shared" ca="1" si="156"/>
        <v>-193592611.69540161</v>
      </c>
      <c r="L3015" s="455">
        <f t="shared" ca="1" si="157"/>
        <v>-46655819418.591789</v>
      </c>
      <c r="M3015" s="471">
        <f t="shared" si="159"/>
        <v>0.05</v>
      </c>
      <c r="N3015" s="475">
        <f t="shared" si="160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58"/>
        <v>-46655819418.591789</v>
      </c>
      <c r="J3016" s="455">
        <f t="array" ref="J3016">IFERROR(INDEX('Retirement Calculator'!J:J,MATCH('Isaac 401k'!N3016,'Retirement Calculator'!A:A,0),0),0)</f>
        <v>0</v>
      </c>
      <c r="K3016" s="455">
        <f t="shared" ca="1" si="156"/>
        <v>-194399247.57746577</v>
      </c>
      <c r="L3016" s="455">
        <f t="shared" ca="1" si="157"/>
        <v>-46850218666.169258</v>
      </c>
      <c r="M3016" s="471">
        <f t="shared" si="159"/>
        <v>0.05</v>
      </c>
      <c r="N3016" s="475">
        <f t="shared" si="160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58"/>
        <v>-46850218666.169258</v>
      </c>
      <c r="J3017" s="455">
        <f t="array" ref="J3017">IFERROR(INDEX('Retirement Calculator'!J:J,MATCH('Isaac 401k'!N3017,'Retirement Calculator'!A:A,0),0),0)</f>
        <v>0</v>
      </c>
      <c r="K3017" s="455">
        <f t="shared" ca="1" si="156"/>
        <v>-195209244.4423719</v>
      </c>
      <c r="L3017" s="455">
        <f t="shared" ca="1" si="157"/>
        <v>-47045427910.611633</v>
      </c>
      <c r="M3017" s="471">
        <f t="shared" si="159"/>
        <v>0.05</v>
      </c>
      <c r="N3017" s="475">
        <f t="shared" si="160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58"/>
        <v>-47045427910.611633</v>
      </c>
      <c r="J3018" s="455">
        <f t="array" ref="J3018">IFERROR(INDEX('Retirement Calculator'!J:J,MATCH('Isaac 401k'!N3018,'Retirement Calculator'!A:A,0),0),0)</f>
        <v>0</v>
      </c>
      <c r="K3018" s="455">
        <f t="shared" ca="1" si="156"/>
        <v>-196022616.29421514</v>
      </c>
      <c r="L3018" s="455">
        <f t="shared" ca="1" si="157"/>
        <v>-47241450526.905846</v>
      </c>
      <c r="M3018" s="471">
        <f t="shared" si="159"/>
        <v>0.05</v>
      </c>
      <c r="N3018" s="475">
        <f t="shared" si="160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58"/>
        <v>-47241450526.905846</v>
      </c>
      <c r="J3019" s="455">
        <f t="array" ref="J3019">IFERROR(INDEX('Retirement Calculator'!J:J,MATCH('Isaac 401k'!N3019,'Retirement Calculator'!A:A,0),0),0)</f>
        <v>0</v>
      </c>
      <c r="K3019" s="455">
        <f t="shared" ca="1" si="156"/>
        <v>-196839377.19544101</v>
      </c>
      <c r="L3019" s="455">
        <f t="shared" ca="1" si="157"/>
        <v>-47438289904.101288</v>
      </c>
      <c r="M3019" s="471">
        <f t="shared" si="159"/>
        <v>0.05</v>
      </c>
      <c r="N3019" s="475">
        <f t="shared" si="160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58"/>
        <v>-47438289904.101288</v>
      </c>
      <c r="J3020" s="455">
        <f t="array" ref="J3020">IFERROR(INDEX('Retirement Calculator'!J:J,MATCH('Isaac 401k'!N3020,'Retirement Calculator'!A:A,0),0),0)</f>
        <v>0</v>
      </c>
      <c r="K3020" s="455">
        <f t="shared" ca="1" si="156"/>
        <v>-197659541.26708871</v>
      </c>
      <c r="L3020" s="455">
        <f t="shared" ca="1" si="157"/>
        <v>-47635949445.368378</v>
      </c>
      <c r="M3020" s="471">
        <f t="shared" si="159"/>
        <v>0.05</v>
      </c>
      <c r="N3020" s="475">
        <f t="shared" si="160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58"/>
        <v>-47635949445.368378</v>
      </c>
      <c r="J3021" s="455">
        <f t="array" ref="J3021">IFERROR(INDEX('Retirement Calculator'!J:J,MATCH('Isaac 401k'!N3021,'Retirement Calculator'!A:A,0),0),0)</f>
        <v>0</v>
      </c>
      <c r="K3021" s="455">
        <f t="shared" ca="1" si="156"/>
        <v>-198483122.68903491</v>
      </c>
      <c r="L3021" s="455">
        <f t="shared" ca="1" si="157"/>
        <v>-47834432568.057411</v>
      </c>
      <c r="M3021" s="471">
        <f t="shared" si="159"/>
        <v>0.05</v>
      </c>
      <c r="N3021" s="475">
        <f t="shared" si="160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58"/>
        <v>-47834432568.057411</v>
      </c>
      <c r="J3022" s="455">
        <f t="array" ref="J3022">IFERROR(INDEX('Retirement Calculator'!J:J,MATCH('Isaac 401k'!N3022,'Retirement Calculator'!A:A,0),0),0)</f>
        <v>0</v>
      </c>
      <c r="K3022" s="455">
        <f t="shared" ca="1" si="156"/>
        <v>-199310135.70023921</v>
      </c>
      <c r="L3022" s="455">
        <f t="shared" ca="1" si="157"/>
        <v>-48033742703.757652</v>
      </c>
      <c r="M3022" s="471">
        <f t="shared" si="159"/>
        <v>0.05</v>
      </c>
      <c r="N3022" s="475">
        <f t="shared" si="160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58"/>
        <v>-48033742703.757652</v>
      </c>
      <c r="J3023" s="455">
        <f t="array" ref="J3023">IFERROR(INDEX('Retirement Calculator'!J:J,MATCH('Isaac 401k'!N3023,'Retirement Calculator'!A:A,0),0),0)</f>
        <v>0</v>
      </c>
      <c r="K3023" s="455">
        <f t="shared" ca="1" si="156"/>
        <v>-200140594.5989902</v>
      </c>
      <c r="L3023" s="455">
        <f t="shared" ca="1" si="157"/>
        <v>-48233883298.356644</v>
      </c>
      <c r="M3023" s="471">
        <f t="shared" si="159"/>
        <v>0.05</v>
      </c>
      <c r="N3023" s="475">
        <f t="shared" si="160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58"/>
        <v>-48233883298.356644</v>
      </c>
      <c r="J3024" s="455">
        <f t="array" ref="J3024">IFERROR(INDEX('Retirement Calculator'!J:J,MATCH('Isaac 401k'!N3024,'Retirement Calculator'!A:A,0),0),0)</f>
        <v>0</v>
      </c>
      <c r="K3024" s="455">
        <f t="shared" ca="1" si="156"/>
        <v>-200974513.74315268</v>
      </c>
      <c r="L3024" s="455">
        <f t="shared" ca="1" si="157"/>
        <v>-48434857812.0998</v>
      </c>
      <c r="M3024" s="471">
        <f t="shared" si="159"/>
        <v>0.05</v>
      </c>
      <c r="N3024" s="475">
        <f t="shared" si="160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58"/>
        <v>-48434857812.0998</v>
      </c>
      <c r="J3025" s="455">
        <f t="array" ref="J3025">IFERROR(INDEX('Retirement Calculator'!J:J,MATCH('Isaac 401k'!N3025,'Retirement Calculator'!A:A,0),0),0)</f>
        <v>0</v>
      </c>
      <c r="K3025" s="455">
        <f t="shared" ca="1" si="156"/>
        <v>-201811907.55041584</v>
      </c>
      <c r="L3025" s="455">
        <f t="shared" ca="1" si="157"/>
        <v>-48636669719.650215</v>
      </c>
      <c r="M3025" s="471">
        <f t="shared" si="159"/>
        <v>0.05</v>
      </c>
      <c r="N3025" s="475">
        <f t="shared" si="160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58"/>
        <v>-48636669719.650215</v>
      </c>
      <c r="J3026" s="455">
        <f t="array" ref="J3026">IFERROR(INDEX('Retirement Calculator'!J:J,MATCH('Isaac 401k'!N3026,'Retirement Calculator'!A:A,0),0),0)</f>
        <v>0</v>
      </c>
      <c r="K3026" s="455">
        <f t="shared" ca="1" si="156"/>
        <v>-202652790.49854255</v>
      </c>
      <c r="L3026" s="455">
        <f t="shared" ca="1" si="157"/>
        <v>-48839322510.148758</v>
      </c>
      <c r="M3026" s="471">
        <f t="shared" si="159"/>
        <v>0.05</v>
      </c>
      <c r="N3026" s="475">
        <f t="shared" si="160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58"/>
        <v>-48839322510.148758</v>
      </c>
      <c r="J3027" s="455">
        <f t="array" ref="J3027">IFERROR(INDEX('Retirement Calculator'!J:J,MATCH('Isaac 401k'!N3027,'Retirement Calculator'!A:A,0),0),0)</f>
        <v>0</v>
      </c>
      <c r="K3027" s="455">
        <f t="shared" ca="1" si="156"/>
        <v>-203497177.12561983</v>
      </c>
      <c r="L3027" s="455">
        <f t="shared" ca="1" si="157"/>
        <v>-49042819687.274376</v>
      </c>
      <c r="M3027" s="471">
        <f t="shared" si="159"/>
        <v>0.05</v>
      </c>
      <c r="N3027" s="475">
        <f t="shared" si="160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58"/>
        <v>-49042819687.274376</v>
      </c>
      <c r="J3028" s="455">
        <f t="array" ref="J3028">IFERROR(INDEX('Retirement Calculator'!J:J,MATCH('Isaac 401k'!N3028,'Retirement Calculator'!A:A,0),0),0)</f>
        <v>0</v>
      </c>
      <c r="K3028" s="455">
        <f t="shared" ca="1" si="156"/>
        <v>-204345082.03030989</v>
      </c>
      <c r="L3028" s="455">
        <f t="shared" ca="1" si="157"/>
        <v>-49247164769.304688</v>
      </c>
      <c r="M3028" s="471">
        <f t="shared" si="159"/>
        <v>0.05</v>
      </c>
      <c r="N3028" s="475">
        <f t="shared" si="160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58"/>
        <v>-49247164769.304688</v>
      </c>
      <c r="J3029" s="455">
        <f t="array" ref="J3029">IFERROR(INDEX('Retirement Calculator'!J:J,MATCH('Isaac 401k'!N3029,'Retirement Calculator'!A:A,0),0),0)</f>
        <v>0</v>
      </c>
      <c r="K3029" s="455">
        <f t="shared" ca="1" si="156"/>
        <v>-205196519.87210286</v>
      </c>
      <c r="L3029" s="455">
        <f t="shared" ca="1" si="157"/>
        <v>-49452361289.176788</v>
      </c>
      <c r="M3029" s="471">
        <f t="shared" si="159"/>
        <v>0.05</v>
      </c>
      <c r="N3029" s="475">
        <f t="shared" si="160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58"/>
        <v>-49452361289.176788</v>
      </c>
      <c r="J3030" s="455">
        <f t="array" ref="J3030">IFERROR(INDEX('Retirement Calculator'!J:J,MATCH('Isaac 401k'!N3030,'Retirement Calculator'!A:A,0),0),0)</f>
        <v>0</v>
      </c>
      <c r="K3030" s="455">
        <f t="shared" ca="1" si="156"/>
        <v>-206051505.37156996</v>
      </c>
      <c r="L3030" s="455">
        <f t="shared" ca="1" si="157"/>
        <v>-49658412794.548355</v>
      </c>
      <c r="M3030" s="471">
        <f t="shared" si="159"/>
        <v>0.05</v>
      </c>
      <c r="N3030" s="475">
        <f t="shared" si="160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58"/>
        <v>-49658412794.548355</v>
      </c>
      <c r="J3031" s="455">
        <f t="array" ref="J3031">IFERROR(INDEX('Retirement Calculator'!J:J,MATCH('Isaac 401k'!N3031,'Retirement Calculator'!A:A,0),0),0)</f>
        <v>0</v>
      </c>
      <c r="K3031" s="455">
        <f t="shared" ca="1" si="156"/>
        <v>-206910053.31061813</v>
      </c>
      <c r="L3031" s="455">
        <f t="shared" ca="1" si="157"/>
        <v>-49865322847.858971</v>
      </c>
      <c r="M3031" s="471">
        <f t="shared" si="159"/>
        <v>0.05</v>
      </c>
      <c r="N3031" s="475">
        <f t="shared" si="160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58"/>
        <v>-49865322847.858971</v>
      </c>
      <c r="J3032" s="455">
        <f t="array" ref="J3032">IFERROR(INDEX('Retirement Calculator'!J:J,MATCH('Isaac 401k'!N3032,'Retirement Calculator'!A:A,0),0),0)</f>
        <v>0</v>
      </c>
      <c r="K3032" s="455">
        <f t="shared" ca="1" si="156"/>
        <v>-207772178.53274572</v>
      </c>
      <c r="L3032" s="455">
        <f t="shared" ca="1" si="157"/>
        <v>-50073095026.391716</v>
      </c>
      <c r="M3032" s="471">
        <f t="shared" si="159"/>
        <v>0.05</v>
      </c>
      <c r="N3032" s="475">
        <f t="shared" si="160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58"/>
        <v>-50073095026.391716</v>
      </c>
      <c r="J3033" s="455">
        <f t="array" ref="J3033">IFERROR(INDEX('Retirement Calculator'!J:J,MATCH('Isaac 401k'!N3033,'Retirement Calculator'!A:A,0),0),0)</f>
        <v>0</v>
      </c>
      <c r="K3033" s="455">
        <f t="shared" ca="1" si="156"/>
        <v>-208637895.94329882</v>
      </c>
      <c r="L3033" s="455">
        <f t="shared" ca="1" si="157"/>
        <v>-50281732922.335014</v>
      </c>
      <c r="M3033" s="471">
        <f t="shared" si="159"/>
        <v>0.05</v>
      </c>
      <c r="N3033" s="475">
        <f t="shared" si="160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58"/>
        <v>-50281732922.335014</v>
      </c>
      <c r="J3034" s="455">
        <f t="array" ref="J3034">IFERROR(INDEX('Retirement Calculator'!J:J,MATCH('Isaac 401k'!N3034,'Retirement Calculator'!A:A,0),0),0)</f>
        <v>0</v>
      </c>
      <c r="K3034" s="455">
        <f t="shared" ca="1" si="156"/>
        <v>-209507220.50972924</v>
      </c>
      <c r="L3034" s="455">
        <f t="shared" ca="1" si="157"/>
        <v>-50491240142.844742</v>
      </c>
      <c r="M3034" s="471">
        <f t="shared" si="159"/>
        <v>0.05</v>
      </c>
      <c r="N3034" s="475">
        <f t="shared" si="160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58"/>
        <v>-50491240142.844742</v>
      </c>
      <c r="J3035" s="455">
        <f t="array" ref="J3035">IFERROR(INDEX('Retirement Calculator'!J:J,MATCH('Isaac 401k'!N3035,'Retirement Calculator'!A:A,0),0),0)</f>
        <v>0</v>
      </c>
      <c r="K3035" s="455">
        <f t="shared" ca="1" si="156"/>
        <v>-210380167.2618531</v>
      </c>
      <c r="L3035" s="455">
        <f t="shared" ca="1" si="157"/>
        <v>-50701620310.106598</v>
      </c>
      <c r="M3035" s="471">
        <f t="shared" si="159"/>
        <v>0.05</v>
      </c>
      <c r="N3035" s="475">
        <f t="shared" si="160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58"/>
        <v>-50701620310.106598</v>
      </c>
      <c r="J3036" s="455">
        <f t="array" ref="J3036">IFERROR(INDEX('Retirement Calculator'!J:J,MATCH('Isaac 401k'!N3036,'Retirement Calculator'!A:A,0),0),0)</f>
        <v>0</v>
      </c>
      <c r="K3036" s="455">
        <f t="shared" ca="1" si="156"/>
        <v>-211256751.29211083</v>
      </c>
      <c r="L3036" s="455">
        <f t="shared" ca="1" si="157"/>
        <v>-50912877061.398712</v>
      </c>
      <c r="M3036" s="471">
        <f t="shared" si="159"/>
        <v>0.05</v>
      </c>
      <c r="N3036" s="475">
        <f t="shared" si="160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58"/>
        <v>-50912877061.398712</v>
      </c>
      <c r="J3037" s="455">
        <f t="array" ref="J3037">IFERROR(INDEX('Retirement Calculator'!J:J,MATCH('Isaac 401k'!N3037,'Retirement Calculator'!A:A,0),0),0)</f>
        <v>0</v>
      </c>
      <c r="K3037" s="455">
        <f t="shared" ca="1" si="156"/>
        <v>-212136987.75582796</v>
      </c>
      <c r="L3037" s="455">
        <f t="shared" ca="1" si="157"/>
        <v>-51125014049.154541</v>
      </c>
      <c r="M3037" s="471">
        <f t="shared" si="159"/>
        <v>0.05</v>
      </c>
      <c r="N3037" s="475">
        <f t="shared" si="160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58"/>
        <v>-51125014049.154541</v>
      </c>
      <c r="J3038" s="455">
        <f t="array" ref="J3038">IFERROR(INDEX('Retirement Calculator'!J:J,MATCH('Isaac 401k'!N3038,'Retirement Calculator'!A:A,0),0),0)</f>
        <v>0</v>
      </c>
      <c r="K3038" s="455">
        <f t="shared" ca="1" si="156"/>
        <v>-213020891.87147725</v>
      </c>
      <c r="L3038" s="455">
        <f t="shared" ca="1" si="157"/>
        <v>-51338034941.026016</v>
      </c>
      <c r="M3038" s="471">
        <f t="shared" si="159"/>
        <v>0.05</v>
      </c>
      <c r="N3038" s="475">
        <f t="shared" si="160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58"/>
        <v>-51338034941.026016</v>
      </c>
      <c r="J3039" s="455">
        <f t="array" ref="J3039">IFERROR(INDEX('Retirement Calculator'!J:J,MATCH('Isaac 401k'!N3039,'Retirement Calculator'!A:A,0),0),0)</f>
        <v>0</v>
      </c>
      <c r="K3039" s="455">
        <f t="shared" ca="1" si="156"/>
        <v>-213908478.92094174</v>
      </c>
      <c r="L3039" s="455">
        <f t="shared" ca="1" si="157"/>
        <v>-51551943419.94696</v>
      </c>
      <c r="M3039" s="471">
        <f t="shared" si="159"/>
        <v>0.05</v>
      </c>
      <c r="N3039" s="475">
        <f t="shared" si="160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58"/>
        <v>-51551943419.94696</v>
      </c>
      <c r="J3040" s="455">
        <f t="array" ref="J3040">IFERROR(INDEX('Retirement Calculator'!J:J,MATCH('Isaac 401k'!N3040,'Retirement Calculator'!A:A,0),0),0)</f>
        <v>0</v>
      </c>
      <c r="K3040" s="455">
        <f t="shared" ca="1" si="156"/>
        <v>-214799764.24977899</v>
      </c>
      <c r="L3040" s="455">
        <f t="shared" ca="1" si="157"/>
        <v>-51766743184.196739</v>
      </c>
      <c r="M3040" s="471">
        <f t="shared" si="159"/>
        <v>0.05</v>
      </c>
      <c r="N3040" s="475">
        <f t="shared" si="160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58"/>
        <v>-51766743184.196739</v>
      </c>
      <c r="J3041" s="455">
        <f t="array" ref="J3041">IFERROR(INDEX('Retirement Calculator'!J:J,MATCH('Isaac 401k'!N3041,'Retirement Calculator'!A:A,0),0),0)</f>
        <v>0</v>
      </c>
      <c r="K3041" s="455">
        <f t="shared" ca="1" si="156"/>
        <v>-215694763.26748642</v>
      </c>
      <c r="L3041" s="455">
        <f t="shared" ca="1" si="157"/>
        <v>-51982437947.464226</v>
      </c>
      <c r="M3041" s="471">
        <f t="shared" si="159"/>
        <v>0.05</v>
      </c>
      <c r="N3041" s="475">
        <f t="shared" si="160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58"/>
        <v>-51982437947.464226</v>
      </c>
      <c r="J3042" s="455">
        <f t="array" ref="J3042">IFERROR(INDEX('Retirement Calculator'!J:J,MATCH('Isaac 401k'!N3042,'Retirement Calculator'!A:A,0),0),0)</f>
        <v>0</v>
      </c>
      <c r="K3042" s="455">
        <f t="shared" ca="1" si="156"/>
        <v>-216593491.44776762</v>
      </c>
      <c r="L3042" s="455">
        <f t="shared" ca="1" si="157"/>
        <v>-52199031438.911995</v>
      </c>
      <c r="M3042" s="471">
        <f t="shared" si="159"/>
        <v>0.05</v>
      </c>
      <c r="N3042" s="475">
        <f t="shared" si="160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58"/>
        <v>-52199031438.911995</v>
      </c>
      <c r="J3043" s="455">
        <f t="array" ref="J3043">IFERROR(INDEX('Retirement Calculator'!J:J,MATCH('Isaac 401k'!N3043,'Retirement Calculator'!A:A,0),0),0)</f>
        <v>0</v>
      </c>
      <c r="K3043" s="455">
        <f t="shared" ca="1" si="156"/>
        <v>-217495964.32879996</v>
      </c>
      <c r="L3043" s="455">
        <f t="shared" ca="1" si="157"/>
        <v>-52416527403.240791</v>
      </c>
      <c r="M3043" s="471">
        <f t="shared" si="159"/>
        <v>0.05</v>
      </c>
      <c r="N3043" s="475">
        <f t="shared" si="160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58"/>
        <v>-52416527403.240791</v>
      </c>
      <c r="J3044" s="455">
        <f t="array" ref="J3044">IFERROR(INDEX('Retirement Calculator'!J:J,MATCH('Isaac 401k'!N3044,'Retirement Calculator'!A:A,0),0),0)</f>
        <v>0</v>
      </c>
      <c r="K3044" s="455">
        <f t="shared" ca="1" si="156"/>
        <v>-218402197.51350328</v>
      </c>
      <c r="L3044" s="455">
        <f t="shared" ca="1" si="157"/>
        <v>-52634929600.754295</v>
      </c>
      <c r="M3044" s="471">
        <f t="shared" si="159"/>
        <v>0.05</v>
      </c>
      <c r="N3044" s="475">
        <f t="shared" si="160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58"/>
        <v>-52634929600.754295</v>
      </c>
      <c r="J3045" s="455">
        <f t="array" ref="J3045">IFERROR(INDEX('Retirement Calculator'!J:J,MATCH('Isaac 401k'!N3045,'Retirement Calculator'!A:A,0),0),0)</f>
        <v>0</v>
      </c>
      <c r="K3045" s="455">
        <f t="shared" ca="1" si="156"/>
        <v>-219312206.66980955</v>
      </c>
      <c r="L3045" s="455">
        <f t="shared" ca="1" si="157"/>
        <v>-52854241807.424103</v>
      </c>
      <c r="M3045" s="471">
        <f t="shared" si="159"/>
        <v>0.05</v>
      </c>
      <c r="N3045" s="475">
        <f t="shared" si="160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58"/>
        <v>-52854241807.424103</v>
      </c>
      <c r="J3046" s="455">
        <f t="array" ref="J3046">IFERROR(INDEX('Retirement Calculator'!J:J,MATCH('Isaac 401k'!N3046,'Retirement Calculator'!A:A,0),0),0)</f>
        <v>0</v>
      </c>
      <c r="K3046" s="455">
        <f t="shared" ca="1" si="156"/>
        <v>-220226007.53093377</v>
      </c>
      <c r="L3046" s="455">
        <f t="shared" ca="1" si="157"/>
        <v>-53074467814.95504</v>
      </c>
      <c r="M3046" s="471">
        <f t="shared" si="159"/>
        <v>0.05</v>
      </c>
      <c r="N3046" s="475">
        <f t="shared" si="160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58"/>
        <v>-53074467814.95504</v>
      </c>
      <c r="J3047" s="455">
        <f t="array" ref="J3047">IFERROR(INDEX('Retirement Calculator'!J:J,MATCH('Isaac 401k'!N3047,'Retirement Calculator'!A:A,0),0),0)</f>
        <v>0</v>
      </c>
      <c r="K3047" s="455">
        <f t="shared" ca="1" si="156"/>
        <v>-221143615.89564601</v>
      </c>
      <c r="L3047" s="455">
        <f t="shared" ca="1" si="157"/>
        <v>-53295611430.850685</v>
      </c>
      <c r="M3047" s="471">
        <f t="shared" si="159"/>
        <v>0.05</v>
      </c>
      <c r="N3047" s="475">
        <f t="shared" si="160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58"/>
        <v>-53295611430.850685</v>
      </c>
      <c r="J3048" s="455">
        <f t="array" ref="J3048">IFERROR(INDEX('Retirement Calculator'!J:J,MATCH('Isaac 401k'!N3048,'Retirement Calculator'!A:A,0),0),0)</f>
        <v>0</v>
      </c>
      <c r="K3048" s="455">
        <f t="shared" ca="1" si="156"/>
        <v>-222065047.62854451</v>
      </c>
      <c r="L3048" s="455">
        <f t="shared" ca="1" si="157"/>
        <v>-53517676478.479233</v>
      </c>
      <c r="M3048" s="471">
        <f t="shared" si="159"/>
        <v>0.05</v>
      </c>
      <c r="N3048" s="475">
        <f t="shared" si="160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58"/>
        <v>-53517676478.479233</v>
      </c>
      <c r="J3049" s="455">
        <f t="array" ref="J3049">IFERROR(INDEX('Retirement Calculator'!J:J,MATCH('Isaac 401k'!N3049,'Retirement Calculator'!A:A,0),0),0)</f>
        <v>0</v>
      </c>
      <c r="K3049" s="455">
        <f t="shared" ca="1" si="156"/>
        <v>-222990318.66033015</v>
      </c>
      <c r="L3049" s="455">
        <f t="shared" ca="1" si="157"/>
        <v>-53740666797.139565</v>
      </c>
      <c r="M3049" s="471">
        <f t="shared" si="159"/>
        <v>0.05</v>
      </c>
      <c r="N3049" s="475">
        <f t="shared" si="160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58"/>
        <v>-53740666797.139565</v>
      </c>
      <c r="J3050" s="455">
        <f t="array" ref="J3050">IFERROR(INDEX('Retirement Calculator'!J:J,MATCH('Isaac 401k'!N3050,'Retirement Calculator'!A:A,0),0),0)</f>
        <v>0</v>
      </c>
      <c r="K3050" s="455">
        <f t="shared" ca="1" si="156"/>
        <v>-223919444.98808149</v>
      </c>
      <c r="L3050" s="455">
        <f t="shared" ca="1" si="157"/>
        <v>-53964586242.127647</v>
      </c>
      <c r="M3050" s="471">
        <f t="shared" si="159"/>
        <v>0.05</v>
      </c>
      <c r="N3050" s="475">
        <f t="shared" si="160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58"/>
        <v>-53964586242.127647</v>
      </c>
      <c r="J3051" s="455">
        <f t="array" ref="J3051">IFERROR(INDEX('Retirement Calculator'!J:J,MATCH('Isaac 401k'!N3051,'Retirement Calculator'!A:A,0),0),0)</f>
        <v>0</v>
      </c>
      <c r="K3051" s="455">
        <f t="shared" ca="1" si="156"/>
        <v>-224852442.67553183</v>
      </c>
      <c r="L3051" s="455">
        <f t="shared" ca="1" si="157"/>
        <v>-54189438684.803177</v>
      </c>
      <c r="M3051" s="471">
        <f t="shared" si="159"/>
        <v>0.05</v>
      </c>
      <c r="N3051" s="475">
        <f t="shared" si="160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58"/>
        <v>-54189438684.803177</v>
      </c>
      <c r="J3052" s="455">
        <f t="array" ref="J3052">IFERROR(INDEX('Retirement Calculator'!J:J,MATCH('Isaac 401k'!N3052,'Retirement Calculator'!A:A,0),0),0)</f>
        <v>0</v>
      </c>
      <c r="K3052" s="455">
        <f t="shared" ca="1" si="156"/>
        <v>-225789327.85334653</v>
      </c>
      <c r="L3052" s="455">
        <f t="shared" ca="1" si="157"/>
        <v>-54415228012.656525</v>
      </c>
      <c r="M3052" s="471">
        <f t="shared" si="159"/>
        <v>0.05</v>
      </c>
      <c r="N3052" s="475">
        <f t="shared" si="160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58"/>
        <v>-54415228012.656525</v>
      </c>
      <c r="J3053" s="455">
        <f t="array" ref="J3053">IFERROR(INDEX('Retirement Calculator'!J:J,MATCH('Isaac 401k'!N3053,'Retirement Calculator'!A:A,0),0),0)</f>
        <v>0</v>
      </c>
      <c r="K3053" s="455">
        <f t="shared" ca="1" si="156"/>
        <v>-226730116.71940219</v>
      </c>
      <c r="L3053" s="455">
        <f t="shared" ca="1" si="157"/>
        <v>-54641958129.375923</v>
      </c>
      <c r="M3053" s="471">
        <f t="shared" si="159"/>
        <v>0.05</v>
      </c>
      <c r="N3053" s="475">
        <f t="shared" si="160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58"/>
        <v>-54641958129.375923</v>
      </c>
      <c r="J3054" s="455">
        <f t="array" ref="J3054">IFERROR(INDEX('Retirement Calculator'!J:J,MATCH('Isaac 401k'!N3054,'Retirement Calculator'!A:A,0),0),0)</f>
        <v>0</v>
      </c>
      <c r="K3054" s="455">
        <f t="shared" ca="1" si="156"/>
        <v>-227674825.53906634</v>
      </c>
      <c r="L3054" s="455">
        <f t="shared" ca="1" si="157"/>
        <v>-54869632954.914993</v>
      </c>
      <c r="M3054" s="471">
        <f t="shared" si="159"/>
        <v>0.05</v>
      </c>
      <c r="N3054" s="475">
        <f t="shared" si="160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58"/>
        <v>-54869632954.914993</v>
      </c>
      <c r="J3055" s="455">
        <f t="array" ref="J3055">IFERROR(INDEX('Retirement Calculator'!J:J,MATCH('Isaac 401k'!N3055,'Retirement Calculator'!A:A,0),0),0)</f>
        <v>0</v>
      </c>
      <c r="K3055" s="455">
        <f t="shared" ca="1" si="156"/>
        <v>-228623470.64547914</v>
      </c>
      <c r="L3055" s="455">
        <f t="shared" ca="1" si="157"/>
        <v>-55098256425.560471</v>
      </c>
      <c r="M3055" s="471">
        <f t="shared" si="159"/>
        <v>0.05</v>
      </c>
      <c r="N3055" s="475">
        <f t="shared" si="160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58"/>
        <v>-55098256425.560471</v>
      </c>
      <c r="J3056" s="455">
        <f t="array" ref="J3056">IFERROR(INDEX('Retirement Calculator'!J:J,MATCH('Isaac 401k'!N3056,'Retirement Calculator'!A:A,0),0),0)</f>
        <v>0</v>
      </c>
      <c r="K3056" s="455">
        <f t="shared" ca="1" si="156"/>
        <v>-229576068.43983528</v>
      </c>
      <c r="L3056" s="455">
        <f t="shared" ca="1" si="157"/>
        <v>-55327832494.000305</v>
      </c>
      <c r="M3056" s="471">
        <f t="shared" si="159"/>
        <v>0.05</v>
      </c>
      <c r="N3056" s="475">
        <f t="shared" si="160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58"/>
        <v>-55327832494.000305</v>
      </c>
      <c r="J3057" s="455">
        <f t="array" ref="J3057">IFERROR(INDEX('Retirement Calculator'!J:J,MATCH('Isaac 401k'!N3057,'Retirement Calculator'!A:A,0),0),0)</f>
        <v>0</v>
      </c>
      <c r="K3057" s="455">
        <f t="shared" ca="1" si="156"/>
        <v>-230532635.39166796</v>
      </c>
      <c r="L3057" s="455">
        <f t="shared" ca="1" si="157"/>
        <v>-55558365129.391975</v>
      </c>
      <c r="M3057" s="471">
        <f t="shared" si="159"/>
        <v>0.05</v>
      </c>
      <c r="N3057" s="475">
        <f t="shared" si="160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58"/>
        <v>-55558365129.391975</v>
      </c>
      <c r="J3058" s="455">
        <f t="array" ref="J3058">IFERROR(INDEX('Retirement Calculator'!J:J,MATCH('Isaac 401k'!N3058,'Retirement Calculator'!A:A,0),0),0)</f>
        <v>0</v>
      </c>
      <c r="K3058" s="455">
        <f t="shared" ca="1" si="156"/>
        <v>-231493188.03913322</v>
      </c>
      <c r="L3058" s="455">
        <f t="shared" ca="1" si="157"/>
        <v>-55789858317.431107</v>
      </c>
      <c r="M3058" s="471">
        <f t="shared" si="159"/>
        <v>0.05</v>
      </c>
      <c r="N3058" s="475">
        <f t="shared" si="160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58"/>
        <v>-55789858317.431107</v>
      </c>
      <c r="J3059" s="455">
        <f t="array" ref="J3059">IFERROR(INDEX('Retirement Calculator'!J:J,MATCH('Isaac 401k'!N3059,'Retirement Calculator'!A:A,0),0),0)</f>
        <v>0</v>
      </c>
      <c r="K3059" s="455">
        <f t="shared" ca="1" si="156"/>
        <v>-232457742.98929632</v>
      </c>
      <c r="L3059" s="455">
        <f t="shared" ca="1" si="157"/>
        <v>-56022316060.420403</v>
      </c>
      <c r="M3059" s="471">
        <f t="shared" si="159"/>
        <v>0.05</v>
      </c>
      <c r="N3059" s="475">
        <f t="shared" si="160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58"/>
        <v>-56022316060.420403</v>
      </c>
      <c r="J3060" s="455">
        <f t="array" ref="J3060">IFERROR(INDEX('Retirement Calculator'!J:J,MATCH('Isaac 401k'!N3060,'Retirement Calculator'!A:A,0),0),0)</f>
        <v>0</v>
      </c>
      <c r="K3060" s="455">
        <f t="shared" ca="1" si="156"/>
        <v>-233426316.91841838</v>
      </c>
      <c r="L3060" s="455">
        <f t="shared" ca="1" si="157"/>
        <v>-56255742377.338821</v>
      </c>
      <c r="M3060" s="471">
        <f t="shared" si="159"/>
        <v>0.05</v>
      </c>
      <c r="N3060" s="475">
        <f t="shared" si="160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58"/>
        <v>-56255742377.338821</v>
      </c>
      <c r="J3061" s="455">
        <f t="array" ref="J3061">IFERROR(INDEX('Retirement Calculator'!J:J,MATCH('Isaac 401k'!N3061,'Retirement Calculator'!A:A,0),0),0)</f>
        <v>0</v>
      </c>
      <c r="K3061" s="455">
        <f t="shared" ca="1" si="156"/>
        <v>-234398926.57224509</v>
      </c>
      <c r="L3061" s="455">
        <f t="shared" ca="1" si="157"/>
        <v>-56490141303.911064</v>
      </c>
      <c r="M3061" s="471">
        <f t="shared" si="159"/>
        <v>0.05</v>
      </c>
      <c r="N3061" s="475">
        <f t="shared" si="160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58"/>
        <v>-56490141303.911064</v>
      </c>
      <c r="J3062" s="455">
        <f t="array" ref="J3062">IFERROR(INDEX('Retirement Calculator'!J:J,MATCH('Isaac 401k'!N3062,'Retirement Calculator'!A:A,0),0),0)</f>
        <v>0</v>
      </c>
      <c r="K3062" s="455">
        <f t="shared" ca="1" si="156"/>
        <v>-235375588.76629609</v>
      </c>
      <c r="L3062" s="455">
        <f t="shared" ca="1" si="157"/>
        <v>-56725516892.677361</v>
      </c>
      <c r="M3062" s="471">
        <f t="shared" si="159"/>
        <v>0.05</v>
      </c>
      <c r="N3062" s="475">
        <f t="shared" si="160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58"/>
        <v>-56725516892.677361</v>
      </c>
      <c r="J3063" s="455">
        <f t="array" ref="J3063">IFERROR(INDEX('Retirement Calculator'!J:J,MATCH('Isaac 401k'!N3063,'Retirement Calculator'!A:A,0),0),0)</f>
        <v>0</v>
      </c>
      <c r="K3063" s="455">
        <f t="shared" ca="1" si="156"/>
        <v>-236356320.38615564</v>
      </c>
      <c r="L3063" s="455">
        <f t="shared" ca="1" si="157"/>
        <v>-56961873213.063515</v>
      </c>
      <c r="M3063" s="471">
        <f t="shared" si="159"/>
        <v>0.05</v>
      </c>
      <c r="N3063" s="475">
        <f t="shared" si="160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58"/>
        <v>-56961873213.063515</v>
      </c>
      <c r="J3064" s="455">
        <f t="array" ref="J3064">IFERROR(INDEX('Retirement Calculator'!J:J,MATCH('Isaac 401k'!N3064,'Retirement Calculator'!A:A,0),0),0)</f>
        <v>0</v>
      </c>
      <c r="K3064" s="455">
        <f t="shared" ca="1" si="156"/>
        <v>-237341138.38776463</v>
      </c>
      <c r="L3064" s="455">
        <f t="shared" ca="1" si="157"/>
        <v>-57199214351.451279</v>
      </c>
      <c r="M3064" s="471">
        <f t="shared" si="159"/>
        <v>0.05</v>
      </c>
      <c r="N3064" s="475">
        <f t="shared" si="160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58"/>
        <v>-57199214351.451279</v>
      </c>
      <c r="J3065" s="455">
        <f t="array" ref="J3065">IFERROR(INDEX('Retirement Calculator'!J:J,MATCH('Isaac 401k'!N3065,'Retirement Calculator'!A:A,0),0),0)</f>
        <v>0</v>
      </c>
      <c r="K3065" s="455">
        <f t="shared" ca="1" si="156"/>
        <v>-238330059.79771367</v>
      </c>
      <c r="L3065" s="455">
        <f t="shared" ca="1" si="157"/>
        <v>-57437544411.248993</v>
      </c>
      <c r="M3065" s="471">
        <f t="shared" si="159"/>
        <v>0.05</v>
      </c>
      <c r="N3065" s="475">
        <f t="shared" si="160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58"/>
        <v>-57437544411.248993</v>
      </c>
      <c r="J3066" s="455">
        <f t="array" ref="J3066">IFERROR(INDEX('Retirement Calculator'!J:J,MATCH('Isaac 401k'!N3066,'Retirement Calculator'!A:A,0),0),0)</f>
        <v>0</v>
      </c>
      <c r="K3066" s="455">
        <f t="shared" ca="1" si="156"/>
        <v>-239323101.71353745</v>
      </c>
      <c r="L3066" s="455">
        <f t="shared" ca="1" si="157"/>
        <v>-57676867512.962532</v>
      </c>
      <c r="M3066" s="471">
        <f t="shared" si="159"/>
        <v>0.05</v>
      </c>
      <c r="N3066" s="475">
        <f t="shared" si="160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58"/>
        <v>-57676867512.962532</v>
      </c>
      <c r="J3067" s="455">
        <f t="array" ref="J3067">IFERROR(INDEX('Retirement Calculator'!J:J,MATCH('Isaac 401k'!N3067,'Retirement Calculator'!A:A,0),0),0)</f>
        <v>0</v>
      </c>
      <c r="K3067" s="455">
        <f t="shared" ca="1" si="156"/>
        <v>-240320281.30401057</v>
      </c>
      <c r="L3067" s="455">
        <f t="shared" ca="1" si="157"/>
        <v>-57917187794.266541</v>
      </c>
      <c r="M3067" s="471">
        <f t="shared" si="159"/>
        <v>0.05</v>
      </c>
      <c r="N3067" s="475">
        <f t="shared" si="160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58"/>
        <v>-57917187794.266541</v>
      </c>
      <c r="J3068" s="455">
        <f t="array" ref="J3068">IFERROR(INDEX('Retirement Calculator'!J:J,MATCH('Isaac 401k'!N3068,'Retirement Calculator'!A:A,0),0),0)</f>
        <v>0</v>
      </c>
      <c r="K3068" s="455">
        <f t="shared" ref="K3068:K3322" ca="1" si="161">IPMT(M3068/12,1,12,-I3068+J3068,,0)</f>
        <v>-241321615.80944392</v>
      </c>
      <c r="L3068" s="455">
        <f t="shared" ref="L3068:L3322" ca="1" si="162">I3068-J3068+K3068</f>
        <v>-58158509410.075981</v>
      </c>
      <c r="M3068" s="471">
        <f t="shared" si="159"/>
        <v>0.05</v>
      </c>
      <c r="N3068" s="475">
        <f t="shared" si="160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63">L3068</f>
        <v>-58158509410.075981</v>
      </c>
      <c r="J3069" s="455">
        <f t="array" ref="J3069">IFERROR(INDEX('Retirement Calculator'!J:J,MATCH('Isaac 401k'!N3069,'Retirement Calculator'!A:A,0),0),0)</f>
        <v>0</v>
      </c>
      <c r="K3069" s="455">
        <f t="shared" ca="1" si="161"/>
        <v>-242327122.54198322</v>
      </c>
      <c r="L3069" s="455">
        <f t="shared" ca="1" si="162"/>
        <v>-58400836532.617966</v>
      </c>
      <c r="M3069" s="471">
        <f t="shared" ref="M3069:M3323" si="164">M3068</f>
        <v>0.05</v>
      </c>
      <c r="N3069" s="475">
        <f t="shared" ref="N3069:N3323" si="165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63"/>
        <v>-58400836532.617966</v>
      </c>
      <c r="J3070" s="455">
        <f t="array" ref="J3070">IFERROR(INDEX('Retirement Calculator'!J:J,MATCH('Isaac 401k'!N3070,'Retirement Calculator'!A:A,0),0),0)</f>
        <v>0</v>
      </c>
      <c r="K3070" s="455">
        <f t="shared" ca="1" si="161"/>
        <v>-243336818.88590816</v>
      </c>
      <c r="L3070" s="455">
        <f t="shared" ca="1" si="162"/>
        <v>-58644173351.503876</v>
      </c>
      <c r="M3070" s="471">
        <f t="shared" si="164"/>
        <v>0.05</v>
      </c>
      <c r="N3070" s="475">
        <f t="shared" si="165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63"/>
        <v>-58644173351.503876</v>
      </c>
      <c r="J3071" s="455">
        <f t="array" ref="J3071">IFERROR(INDEX('Retirement Calculator'!J:J,MATCH('Isaac 401k'!N3071,'Retirement Calculator'!A:A,0),0),0)</f>
        <v>0</v>
      </c>
      <c r="K3071" s="455">
        <f t="shared" ca="1" si="161"/>
        <v>-244350722.2979328</v>
      </c>
      <c r="L3071" s="455">
        <f t="shared" ca="1" si="162"/>
        <v>-58888524073.801811</v>
      </c>
      <c r="M3071" s="471">
        <f t="shared" si="164"/>
        <v>0.05</v>
      </c>
      <c r="N3071" s="475">
        <f t="shared" si="165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63"/>
        <v>-58888524073.801811</v>
      </c>
      <c r="J3072" s="455">
        <f t="array" ref="J3072">IFERROR(INDEX('Retirement Calculator'!J:J,MATCH('Isaac 401k'!N3072,'Retirement Calculator'!A:A,0),0),0)</f>
        <v>0</v>
      </c>
      <c r="K3072" s="455">
        <f t="shared" ca="1" si="161"/>
        <v>-245368850.30750754</v>
      </c>
      <c r="L3072" s="455">
        <f t="shared" ca="1" si="162"/>
        <v>-59133892924.109322</v>
      </c>
      <c r="M3072" s="471">
        <f t="shared" si="164"/>
        <v>0.05</v>
      </c>
      <c r="N3072" s="475">
        <f t="shared" si="165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63"/>
        <v>-59133892924.109322</v>
      </c>
      <c r="J3073" s="455">
        <f t="array" ref="J3073">IFERROR(INDEX('Retirement Calculator'!J:J,MATCH('Isaac 401k'!N3073,'Retirement Calculator'!A:A,0),0),0)</f>
        <v>0</v>
      </c>
      <c r="K3073" s="455">
        <f t="shared" ca="1" si="161"/>
        <v>-246391220.51712218</v>
      </c>
      <c r="L3073" s="455">
        <f t="shared" ca="1" si="162"/>
        <v>-59380284144.626442</v>
      </c>
      <c r="M3073" s="471">
        <f t="shared" si="164"/>
        <v>0.05</v>
      </c>
      <c r="N3073" s="475">
        <f t="shared" si="165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63"/>
        <v>-59380284144.626442</v>
      </c>
      <c r="J3074" s="455">
        <f t="array" ref="J3074">IFERROR(INDEX('Retirement Calculator'!J:J,MATCH('Isaac 401k'!N3074,'Retirement Calculator'!A:A,0),0),0)</f>
        <v>0</v>
      </c>
      <c r="K3074" s="455">
        <f t="shared" ca="1" si="161"/>
        <v>-247417850.60261017</v>
      </c>
      <c r="L3074" s="455">
        <f t="shared" ca="1" si="162"/>
        <v>-59627701995.22905</v>
      </c>
      <c r="M3074" s="471">
        <f t="shared" si="164"/>
        <v>0.05</v>
      </c>
      <c r="N3074" s="475">
        <f t="shared" si="165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63"/>
        <v>-59627701995.22905</v>
      </c>
      <c r="J3075" s="455">
        <f t="array" ref="J3075">IFERROR(INDEX('Retirement Calculator'!J:J,MATCH('Isaac 401k'!N3075,'Retirement Calculator'!A:A,0),0),0)</f>
        <v>0</v>
      </c>
      <c r="K3075" s="455">
        <f t="shared" ca="1" si="161"/>
        <v>-248448758.31345439</v>
      </c>
      <c r="L3075" s="455">
        <f t="shared" ca="1" si="162"/>
        <v>-59876150753.542503</v>
      </c>
      <c r="M3075" s="471">
        <f t="shared" si="164"/>
        <v>0.05</v>
      </c>
      <c r="N3075" s="475">
        <f t="shared" si="165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63"/>
        <v>-59876150753.542503</v>
      </c>
      <c r="J3076" s="455">
        <f t="array" ref="J3076">IFERROR(INDEX('Retirement Calculator'!J:J,MATCH('Isaac 401k'!N3076,'Retirement Calculator'!A:A,0),0),0)</f>
        <v>0</v>
      </c>
      <c r="K3076" s="455">
        <f t="shared" ca="1" si="161"/>
        <v>-249483961.47309375</v>
      </c>
      <c r="L3076" s="455">
        <f t="shared" ca="1" si="162"/>
        <v>-60125634715.015594</v>
      </c>
      <c r="M3076" s="471">
        <f t="shared" si="164"/>
        <v>0.05</v>
      </c>
      <c r="N3076" s="475">
        <f t="shared" si="165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63"/>
        <v>-60125634715.015594</v>
      </c>
      <c r="J3077" s="455">
        <f t="array" ref="J3077">IFERROR(INDEX('Retirement Calculator'!J:J,MATCH('Isaac 401k'!N3077,'Retirement Calculator'!A:A,0),0),0)</f>
        <v>0</v>
      </c>
      <c r="K3077" s="455">
        <f t="shared" ca="1" si="161"/>
        <v>-250523477.97923169</v>
      </c>
      <c r="L3077" s="455">
        <f t="shared" ca="1" si="162"/>
        <v>-60376158192.994827</v>
      </c>
      <c r="M3077" s="471">
        <f t="shared" si="164"/>
        <v>0.05</v>
      </c>
      <c r="N3077" s="475">
        <f t="shared" si="165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63"/>
        <v>-60376158192.994827</v>
      </c>
      <c r="J3078" s="455">
        <f t="array" ref="J3078">IFERROR(INDEX('Retirement Calculator'!J:J,MATCH('Isaac 401k'!N3078,'Retirement Calculator'!A:A,0),0),0)</f>
        <v>0</v>
      </c>
      <c r="K3078" s="455">
        <f t="shared" ca="1" si="161"/>
        <v>-251567325.80414513</v>
      </c>
      <c r="L3078" s="455">
        <f t="shared" ca="1" si="162"/>
        <v>-60627725518.798973</v>
      </c>
      <c r="M3078" s="471">
        <f t="shared" si="164"/>
        <v>0.05</v>
      </c>
      <c r="N3078" s="475">
        <f t="shared" si="165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63"/>
        <v>-60627725518.798973</v>
      </c>
      <c r="J3079" s="455">
        <f t="array" ref="J3079">IFERROR(INDEX('Retirement Calculator'!J:J,MATCH('Isaac 401k'!N3079,'Retirement Calculator'!A:A,0),0),0)</f>
        <v>0</v>
      </c>
      <c r="K3079" s="455">
        <f t="shared" ca="1" si="161"/>
        <v>-252615522.99499571</v>
      </c>
      <c r="L3079" s="455">
        <f t="shared" ca="1" si="162"/>
        <v>-60880341041.793968</v>
      </c>
      <c r="M3079" s="471">
        <f t="shared" si="164"/>
        <v>0.05</v>
      </c>
      <c r="N3079" s="475">
        <f t="shared" si="165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63"/>
        <v>-60880341041.793968</v>
      </c>
      <c r="J3080" s="455">
        <f t="array" ref="J3080">IFERROR(INDEX('Retirement Calculator'!J:J,MATCH('Isaac 401k'!N3080,'Retirement Calculator'!A:A,0),0),0)</f>
        <v>0</v>
      </c>
      <c r="K3080" s="455">
        <f t="shared" ca="1" si="161"/>
        <v>-253668087.67414153</v>
      </c>
      <c r="L3080" s="455">
        <f t="shared" ca="1" si="162"/>
        <v>-61134009129.468109</v>
      </c>
      <c r="M3080" s="471">
        <f t="shared" si="164"/>
        <v>0.05</v>
      </c>
      <c r="N3080" s="475">
        <f t="shared" si="165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63"/>
        <v>-61134009129.468109</v>
      </c>
      <c r="J3081" s="455">
        <f t="array" ref="J3081">IFERROR(INDEX('Retirement Calculator'!J:J,MATCH('Isaac 401k'!N3081,'Retirement Calculator'!A:A,0),0),0)</f>
        <v>0</v>
      </c>
      <c r="K3081" s="455">
        <f t="shared" ca="1" si="161"/>
        <v>-254725038.03945044</v>
      </c>
      <c r="L3081" s="455">
        <f t="shared" ca="1" si="162"/>
        <v>-61388734167.507561</v>
      </c>
      <c r="M3081" s="471">
        <f t="shared" si="164"/>
        <v>0.05</v>
      </c>
      <c r="N3081" s="475">
        <f t="shared" si="165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63"/>
        <v>-61388734167.507561</v>
      </c>
      <c r="J3082" s="455">
        <f t="array" ref="J3082">IFERROR(INDEX('Retirement Calculator'!J:J,MATCH('Isaac 401k'!N3082,'Retirement Calculator'!A:A,0),0),0)</f>
        <v>0</v>
      </c>
      <c r="K3082" s="455">
        <f t="shared" ca="1" si="161"/>
        <v>-255786392.36461487</v>
      </c>
      <c r="L3082" s="455">
        <f t="shared" ca="1" si="162"/>
        <v>-61644520559.872177</v>
      </c>
      <c r="M3082" s="471">
        <f t="shared" si="164"/>
        <v>0.05</v>
      </c>
      <c r="N3082" s="475">
        <f t="shared" si="165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63"/>
        <v>-61644520559.872177</v>
      </c>
      <c r="J3083" s="455">
        <f t="array" ref="J3083">IFERROR(INDEX('Retirement Calculator'!J:J,MATCH('Isaac 401k'!N3083,'Retirement Calculator'!A:A,0),0),0)</f>
        <v>0</v>
      </c>
      <c r="K3083" s="455">
        <f t="shared" ca="1" si="161"/>
        <v>-256852168.9994674</v>
      </c>
      <c r="L3083" s="455">
        <f t="shared" ca="1" si="162"/>
        <v>-61901372728.871643</v>
      </c>
      <c r="M3083" s="471">
        <f t="shared" si="164"/>
        <v>0.05</v>
      </c>
      <c r="N3083" s="475">
        <f t="shared" si="165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63"/>
        <v>-61901372728.871643</v>
      </c>
      <c r="J3084" s="455">
        <f t="array" ref="J3084">IFERROR(INDEX('Retirement Calculator'!J:J,MATCH('Isaac 401k'!N3084,'Retirement Calculator'!A:A,0),0),0)</f>
        <v>0</v>
      </c>
      <c r="K3084" s="455">
        <f t="shared" ca="1" si="161"/>
        <v>-257922386.3702985</v>
      </c>
      <c r="L3084" s="455">
        <f t="shared" ca="1" si="162"/>
        <v>-62159295115.241943</v>
      </c>
      <c r="M3084" s="471">
        <f t="shared" si="164"/>
        <v>0.05</v>
      </c>
      <c r="N3084" s="475">
        <f t="shared" si="165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63"/>
        <v>-62159295115.241943</v>
      </c>
      <c r="J3085" s="455">
        <f t="array" ref="J3085">IFERROR(INDEX('Retirement Calculator'!J:J,MATCH('Isaac 401k'!N3085,'Retirement Calculator'!A:A,0),0),0)</f>
        <v>0</v>
      </c>
      <c r="K3085" s="455">
        <f t="shared" ca="1" si="161"/>
        <v>-258997062.98017472</v>
      </c>
      <c r="L3085" s="455">
        <f t="shared" ca="1" si="162"/>
        <v>-62418292178.222115</v>
      </c>
      <c r="M3085" s="471">
        <f t="shared" si="164"/>
        <v>0.05</v>
      </c>
      <c r="N3085" s="475">
        <f t="shared" si="165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63"/>
        <v>-62418292178.222115</v>
      </c>
      <c r="J3086" s="455">
        <f t="array" ref="J3086">IFERROR(INDEX('Retirement Calculator'!J:J,MATCH('Isaac 401k'!N3086,'Retirement Calculator'!A:A,0),0),0)</f>
        <v>0</v>
      </c>
      <c r="K3086" s="455">
        <f t="shared" ca="1" si="161"/>
        <v>-260076217.40925881</v>
      </c>
      <c r="L3086" s="455">
        <f t="shared" ca="1" si="162"/>
        <v>-62678368395.631371</v>
      </c>
      <c r="M3086" s="471">
        <f t="shared" si="164"/>
        <v>0.05</v>
      </c>
      <c r="N3086" s="475">
        <f t="shared" si="165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63"/>
        <v>-62678368395.631371</v>
      </c>
      <c r="J3087" s="455">
        <f t="array" ref="J3087">IFERROR(INDEX('Retirement Calculator'!J:J,MATCH('Isaac 401k'!N3087,'Retirement Calculator'!A:A,0),0),0)</f>
        <v>0</v>
      </c>
      <c r="K3087" s="455">
        <f t="shared" ca="1" si="161"/>
        <v>-261159868.31513071</v>
      </c>
      <c r="L3087" s="455">
        <f t="shared" ca="1" si="162"/>
        <v>-62939528263.946503</v>
      </c>
      <c r="M3087" s="471">
        <f t="shared" si="164"/>
        <v>0.05</v>
      </c>
      <c r="N3087" s="475">
        <f t="shared" si="165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63"/>
        <v>-62939528263.946503</v>
      </c>
      <c r="J3088" s="455">
        <f t="array" ref="J3088">IFERROR(INDEX('Retirement Calculator'!J:J,MATCH('Isaac 401k'!N3088,'Retirement Calculator'!A:A,0),0),0)</f>
        <v>0</v>
      </c>
      <c r="K3088" s="455">
        <f t="shared" ca="1" si="161"/>
        <v>-262248034.43311042</v>
      </c>
      <c r="L3088" s="455">
        <f t="shared" ca="1" si="162"/>
        <v>-63201776298.379616</v>
      </c>
      <c r="M3088" s="471">
        <f t="shared" si="164"/>
        <v>0.05</v>
      </c>
      <c r="N3088" s="475">
        <f t="shared" si="165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63"/>
        <v>-63201776298.379616</v>
      </c>
      <c r="J3089" s="455">
        <f t="array" ref="J3089">IFERROR(INDEX('Retirement Calculator'!J:J,MATCH('Isaac 401k'!N3089,'Retirement Calculator'!A:A,0),0),0)</f>
        <v>0</v>
      </c>
      <c r="K3089" s="455">
        <f t="shared" ca="1" si="161"/>
        <v>-263340734.57658172</v>
      </c>
      <c r="L3089" s="455">
        <f t="shared" ca="1" si="162"/>
        <v>-63465117032.9562</v>
      </c>
      <c r="M3089" s="471">
        <f t="shared" si="164"/>
        <v>0.05</v>
      </c>
      <c r="N3089" s="475">
        <f t="shared" si="165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63"/>
        <v>-63465117032.9562</v>
      </c>
      <c r="J3090" s="455">
        <f t="array" ref="J3090">IFERROR(INDEX('Retirement Calculator'!J:J,MATCH('Isaac 401k'!N3090,'Retirement Calculator'!A:A,0),0),0)</f>
        <v>0</v>
      </c>
      <c r="K3090" s="455">
        <f t="shared" ca="1" si="161"/>
        <v>-264437987.63731745</v>
      </c>
      <c r="L3090" s="455">
        <f t="shared" ca="1" si="162"/>
        <v>-63729555020.593513</v>
      </c>
      <c r="M3090" s="471">
        <f t="shared" si="164"/>
        <v>0.05</v>
      </c>
      <c r="N3090" s="475">
        <f t="shared" si="165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63"/>
        <v>-63729555020.593513</v>
      </c>
      <c r="J3091" s="455">
        <f t="array" ref="J3091">IFERROR(INDEX('Retirement Calculator'!J:J,MATCH('Isaac 401k'!N3091,'Retirement Calculator'!A:A,0),0),0)</f>
        <v>0</v>
      </c>
      <c r="K3091" s="455">
        <f t="shared" ca="1" si="161"/>
        <v>-265539812.58580631</v>
      </c>
      <c r="L3091" s="455">
        <f t="shared" ca="1" si="162"/>
        <v>-63995094833.179321</v>
      </c>
      <c r="M3091" s="471">
        <f t="shared" si="164"/>
        <v>0.05</v>
      </c>
      <c r="N3091" s="475">
        <f t="shared" si="165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63"/>
        <v>-63995094833.179321</v>
      </c>
      <c r="J3092" s="455">
        <f t="array" ref="J3092">IFERROR(INDEX('Retirement Calculator'!J:J,MATCH('Isaac 401k'!N3092,'Retirement Calculator'!A:A,0),0),0)</f>
        <v>0</v>
      </c>
      <c r="K3092" s="455">
        <f t="shared" ca="1" si="161"/>
        <v>-266646228.47158051</v>
      </c>
      <c r="L3092" s="455">
        <f t="shared" ca="1" si="162"/>
        <v>-64261741061.650902</v>
      </c>
      <c r="M3092" s="471">
        <f t="shared" si="164"/>
        <v>0.05</v>
      </c>
      <c r="N3092" s="475">
        <f t="shared" si="165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63"/>
        <v>-64261741061.650902</v>
      </c>
      <c r="J3093" s="455">
        <f t="array" ref="J3093">IFERROR(INDEX('Retirement Calculator'!J:J,MATCH('Isaac 401k'!N3093,'Retirement Calculator'!A:A,0),0),0)</f>
        <v>0</v>
      </c>
      <c r="K3093" s="455">
        <f t="shared" ca="1" si="161"/>
        <v>-267757254.42354542</v>
      </c>
      <c r="L3093" s="455">
        <f t="shared" ca="1" si="162"/>
        <v>-64529498316.074448</v>
      </c>
      <c r="M3093" s="471">
        <f t="shared" si="164"/>
        <v>0.05</v>
      </c>
      <c r="N3093" s="475">
        <f t="shared" si="165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63"/>
        <v>-64529498316.074448</v>
      </c>
      <c r="J3094" s="455">
        <f t="array" ref="J3094">IFERROR(INDEX('Retirement Calculator'!J:J,MATCH('Isaac 401k'!N3094,'Retirement Calculator'!A:A,0),0),0)</f>
        <v>0</v>
      </c>
      <c r="K3094" s="455">
        <f t="shared" ca="1" si="161"/>
        <v>-268872909.65031022</v>
      </c>
      <c r="L3094" s="455">
        <f t="shared" ca="1" si="162"/>
        <v>-64798371225.724754</v>
      </c>
      <c r="M3094" s="471">
        <f t="shared" si="164"/>
        <v>0.05</v>
      </c>
      <c r="N3094" s="475">
        <f t="shared" si="165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63"/>
        <v>-64798371225.724754</v>
      </c>
      <c r="J3095" s="455">
        <f t="array" ref="J3095">IFERROR(INDEX('Retirement Calculator'!J:J,MATCH('Isaac 401k'!N3095,'Retirement Calculator'!A:A,0),0),0)</f>
        <v>0</v>
      </c>
      <c r="K3095" s="455">
        <f t="shared" ca="1" si="161"/>
        <v>-269993213.44051981</v>
      </c>
      <c r="L3095" s="455">
        <f t="shared" ca="1" si="162"/>
        <v>-65068364439.165276</v>
      </c>
      <c r="M3095" s="471">
        <f t="shared" si="164"/>
        <v>0.05</v>
      </c>
      <c r="N3095" s="475">
        <f t="shared" si="165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63"/>
        <v>-65068364439.165276</v>
      </c>
      <c r="J3096" s="455">
        <f t="array" ref="J3096">IFERROR(INDEX('Retirement Calculator'!J:J,MATCH('Isaac 401k'!N3096,'Retirement Calculator'!A:A,0),0),0)</f>
        <v>0</v>
      </c>
      <c r="K3096" s="455">
        <f t="shared" ca="1" si="161"/>
        <v>-271118185.1631887</v>
      </c>
      <c r="L3096" s="455">
        <f t="shared" ca="1" si="162"/>
        <v>-65339482624.328461</v>
      </c>
      <c r="M3096" s="471">
        <f t="shared" si="164"/>
        <v>0.05</v>
      </c>
      <c r="N3096" s="475">
        <f t="shared" si="165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63"/>
        <v>-65339482624.328461</v>
      </c>
      <c r="J3097" s="455">
        <f t="array" ref="J3097">IFERROR(INDEX('Retirement Calculator'!J:J,MATCH('Isaac 401k'!N3097,'Retirement Calculator'!A:A,0),0),0)</f>
        <v>0</v>
      </c>
      <c r="K3097" s="455">
        <f t="shared" ca="1" si="161"/>
        <v>-272247844.26803523</v>
      </c>
      <c r="L3097" s="455">
        <f t="shared" ca="1" si="162"/>
        <v>-65611730468.596497</v>
      </c>
      <c r="M3097" s="471">
        <f t="shared" si="164"/>
        <v>0.05</v>
      </c>
      <c r="N3097" s="475">
        <f t="shared" si="165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63"/>
        <v>-65611730468.596497</v>
      </c>
      <c r="J3098" s="455">
        <f t="array" ref="J3098">IFERROR(INDEX('Retirement Calculator'!J:J,MATCH('Isaac 401k'!N3098,'Retirement Calculator'!A:A,0),0),0)</f>
        <v>0</v>
      </c>
      <c r="K3098" s="455">
        <f t="shared" ca="1" si="161"/>
        <v>-273382210.28581876</v>
      </c>
      <c r="L3098" s="455">
        <f t="shared" ca="1" si="162"/>
        <v>-65885112678.882317</v>
      </c>
      <c r="M3098" s="471">
        <f t="shared" si="164"/>
        <v>0.05</v>
      </c>
      <c r="N3098" s="475">
        <f t="shared" si="165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63"/>
        <v>-65885112678.882317</v>
      </c>
      <c r="J3099" s="455">
        <f t="array" ref="J3099">IFERROR(INDEX('Retirement Calculator'!J:J,MATCH('Isaac 401k'!N3099,'Retirement Calculator'!A:A,0),0),0)</f>
        <v>0</v>
      </c>
      <c r="K3099" s="455">
        <f t="shared" ca="1" si="161"/>
        <v>-274521302.82867628</v>
      </c>
      <c r="L3099" s="455">
        <f t="shared" ca="1" si="162"/>
        <v>-66159633981.710991</v>
      </c>
      <c r="M3099" s="471">
        <f t="shared" si="164"/>
        <v>0.05</v>
      </c>
      <c r="N3099" s="475">
        <f t="shared" si="165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63"/>
        <v>-66159633981.710991</v>
      </c>
      <c r="J3100" s="455">
        <f t="array" ref="J3100">IFERROR(INDEX('Retirement Calculator'!J:J,MATCH('Isaac 401k'!N3100,'Retirement Calculator'!A:A,0),0),0)</f>
        <v>0</v>
      </c>
      <c r="K3100" s="455">
        <f t="shared" ca="1" si="161"/>
        <v>-275665141.59046245</v>
      </c>
      <c r="L3100" s="455">
        <f t="shared" ca="1" si="162"/>
        <v>-66435299123.301453</v>
      </c>
      <c r="M3100" s="471">
        <f t="shared" si="164"/>
        <v>0.05</v>
      </c>
      <c r="N3100" s="475">
        <f t="shared" si="165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63"/>
        <v>-66435299123.301453</v>
      </c>
      <c r="J3101" s="455">
        <f t="array" ref="J3101">IFERROR(INDEX('Retirement Calculator'!J:J,MATCH('Isaac 401k'!N3101,'Retirement Calculator'!A:A,0),0),0)</f>
        <v>0</v>
      </c>
      <c r="K3101" s="455">
        <f t="shared" ca="1" si="161"/>
        <v>-276813746.34708941</v>
      </c>
      <c r="L3101" s="455">
        <f t="shared" ca="1" si="162"/>
        <v>-66712112869.648544</v>
      </c>
      <c r="M3101" s="471">
        <f t="shared" si="164"/>
        <v>0.05</v>
      </c>
      <c r="N3101" s="475">
        <f t="shared" si="165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63"/>
        <v>-66712112869.648544</v>
      </c>
      <c r="J3102" s="455">
        <f t="array" ref="J3102">IFERROR(INDEX('Retirement Calculator'!J:J,MATCH('Isaac 401k'!N3102,'Retirement Calculator'!A:A,0),0),0)</f>
        <v>0</v>
      </c>
      <c r="K3102" s="455">
        <f t="shared" ca="1" si="161"/>
        <v>-277967136.95686889</v>
      </c>
      <c r="L3102" s="455">
        <f t="shared" ca="1" si="162"/>
        <v>-66990080006.605415</v>
      </c>
      <c r="M3102" s="471">
        <f t="shared" si="164"/>
        <v>0.05</v>
      </c>
      <c r="N3102" s="475">
        <f t="shared" si="165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63"/>
        <v>-66990080006.605415</v>
      </c>
      <c r="J3103" s="455">
        <f t="array" ref="J3103">IFERROR(INDEX('Retirement Calculator'!J:J,MATCH('Isaac 401k'!N3103,'Retirement Calculator'!A:A,0),0),0)</f>
        <v>0</v>
      </c>
      <c r="K3103" s="455">
        <f t="shared" ca="1" si="161"/>
        <v>-279125333.36085588</v>
      </c>
      <c r="L3103" s="455">
        <f t="shared" ca="1" si="162"/>
        <v>-67269205339.96627</v>
      </c>
      <c r="M3103" s="471">
        <f t="shared" si="164"/>
        <v>0.05</v>
      </c>
      <c r="N3103" s="475">
        <f t="shared" si="165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63"/>
        <v>-67269205339.96627</v>
      </c>
      <c r="J3104" s="455">
        <f t="array" ref="J3104">IFERROR(INDEX('Retirement Calculator'!J:J,MATCH('Isaac 401k'!N3104,'Retirement Calculator'!A:A,0),0),0)</f>
        <v>0</v>
      </c>
      <c r="K3104" s="455">
        <f t="shared" ca="1" si="161"/>
        <v>-280288355.58319277</v>
      </c>
      <c r="L3104" s="455">
        <f t="shared" ca="1" si="162"/>
        <v>-67549493695.549461</v>
      </c>
      <c r="M3104" s="471">
        <f t="shared" si="164"/>
        <v>0.05</v>
      </c>
      <c r="N3104" s="475">
        <f t="shared" si="165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63"/>
        <v>-67549493695.549461</v>
      </c>
      <c r="J3105" s="455">
        <f t="array" ref="J3105">IFERROR(INDEX('Retirement Calculator'!J:J,MATCH('Isaac 401k'!N3105,'Retirement Calculator'!A:A,0),0),0)</f>
        <v>0</v>
      </c>
      <c r="K3105" s="455">
        <f t="shared" ca="1" si="161"/>
        <v>-281456223.73145604</v>
      </c>
      <c r="L3105" s="455">
        <f t="shared" ca="1" si="162"/>
        <v>-67830949919.280914</v>
      </c>
      <c r="M3105" s="471">
        <f t="shared" si="164"/>
        <v>0.05</v>
      </c>
      <c r="N3105" s="475">
        <f t="shared" si="165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63"/>
        <v>-67830949919.280914</v>
      </c>
      <c r="J3106" s="455">
        <f t="array" ref="J3106">IFERROR(INDEX('Retirement Calculator'!J:J,MATCH('Isaac 401k'!N3106,'Retirement Calculator'!A:A,0),0),0)</f>
        <v>0</v>
      </c>
      <c r="K3106" s="455">
        <f t="shared" ca="1" si="161"/>
        <v>-282628957.99700385</v>
      </c>
      <c r="L3106" s="455">
        <f t="shared" ca="1" si="162"/>
        <v>-68113578877.277916</v>
      </c>
      <c r="M3106" s="471">
        <f t="shared" si="164"/>
        <v>0.05</v>
      </c>
      <c r="N3106" s="475">
        <f t="shared" si="165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63"/>
        <v>-68113578877.277916</v>
      </c>
      <c r="J3107" s="455">
        <f t="array" ref="J3107">IFERROR(INDEX('Retirement Calculator'!J:J,MATCH('Isaac 401k'!N3107,'Retirement Calculator'!A:A,0),0),0)</f>
        <v>0</v>
      </c>
      <c r="K3107" s="455">
        <f t="shared" ca="1" si="161"/>
        <v>-283806578.65532464</v>
      </c>
      <c r="L3107" s="455">
        <f t="shared" ca="1" si="162"/>
        <v>-68397385455.933243</v>
      </c>
      <c r="M3107" s="471">
        <f t="shared" si="164"/>
        <v>0.05</v>
      </c>
      <c r="N3107" s="475">
        <f t="shared" si="165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63"/>
        <v>-68397385455.933243</v>
      </c>
      <c r="J3108" s="455">
        <f t="array" ref="J3108">IFERROR(INDEX('Retirement Calculator'!J:J,MATCH('Isaac 401k'!N3108,'Retirement Calculator'!A:A,0),0),0)</f>
        <v>0</v>
      </c>
      <c r="K3108" s="455">
        <f t="shared" ca="1" si="161"/>
        <v>-284989106.06638849</v>
      </c>
      <c r="L3108" s="455">
        <f t="shared" ca="1" si="162"/>
        <v>-68682374561.999634</v>
      </c>
      <c r="M3108" s="471">
        <f t="shared" si="164"/>
        <v>0.05</v>
      </c>
      <c r="N3108" s="475">
        <f t="shared" si="165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63"/>
        <v>-68682374561.999634</v>
      </c>
      <c r="J3109" s="455">
        <f t="array" ref="J3109">IFERROR(INDEX('Retirement Calculator'!J:J,MATCH('Isaac 401k'!N3109,'Retirement Calculator'!A:A,0),0),0)</f>
        <v>0</v>
      </c>
      <c r="K3109" s="455">
        <f t="shared" ca="1" si="161"/>
        <v>-286176560.67499846</v>
      </c>
      <c r="L3109" s="455">
        <f t="shared" ca="1" si="162"/>
        <v>-68968551122.674637</v>
      </c>
      <c r="M3109" s="471">
        <f t="shared" si="164"/>
        <v>0.05</v>
      </c>
      <c r="N3109" s="475">
        <f t="shared" si="165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63"/>
        <v>-68968551122.674637</v>
      </c>
      <c r="J3110" s="455">
        <f t="array" ref="J3110">IFERROR(INDEX('Retirement Calculator'!J:J,MATCH('Isaac 401k'!N3110,'Retirement Calculator'!A:A,0),0),0)</f>
        <v>0</v>
      </c>
      <c r="K3110" s="455">
        <f t="shared" ca="1" si="161"/>
        <v>-287368963.01114434</v>
      </c>
      <c r="L3110" s="455">
        <f t="shared" ca="1" si="162"/>
        <v>-69255920085.685776</v>
      </c>
      <c r="M3110" s="471">
        <f t="shared" si="164"/>
        <v>0.05</v>
      </c>
      <c r="N3110" s="475">
        <f t="shared" si="165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63"/>
        <v>-69255920085.685776</v>
      </c>
      <c r="J3111" s="455">
        <f t="array" ref="J3111">IFERROR(INDEX('Retirement Calculator'!J:J,MATCH('Isaac 401k'!N3111,'Retirement Calculator'!A:A,0),0),0)</f>
        <v>0</v>
      </c>
      <c r="K3111" s="455">
        <f t="shared" ca="1" si="161"/>
        <v>-288566333.69035739</v>
      </c>
      <c r="L3111" s="455">
        <f t="shared" ca="1" si="162"/>
        <v>-69544486419.376129</v>
      </c>
      <c r="M3111" s="471">
        <f t="shared" si="164"/>
        <v>0.05</v>
      </c>
      <c r="N3111" s="475">
        <f t="shared" si="165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63"/>
        <v>-69544486419.376129</v>
      </c>
      <c r="J3112" s="455">
        <f t="array" ref="J3112">IFERROR(INDEX('Retirement Calculator'!J:J,MATCH('Isaac 401k'!N3112,'Retirement Calculator'!A:A,0),0),0)</f>
        <v>0</v>
      </c>
      <c r="K3112" s="455">
        <f t="shared" ca="1" si="161"/>
        <v>-289768693.41406721</v>
      </c>
      <c r="L3112" s="455">
        <f t="shared" ca="1" si="162"/>
        <v>-69834255112.790192</v>
      </c>
      <c r="M3112" s="471">
        <f t="shared" si="164"/>
        <v>0.05</v>
      </c>
      <c r="N3112" s="475">
        <f t="shared" si="165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63"/>
        <v>-69834255112.790192</v>
      </c>
      <c r="J3113" s="455">
        <f t="array" ref="J3113">IFERROR(INDEX('Retirement Calculator'!J:J,MATCH('Isaac 401k'!N3113,'Retirement Calculator'!A:A,0),0),0)</f>
        <v>0</v>
      </c>
      <c r="K3113" s="455">
        <f t="shared" ca="1" si="161"/>
        <v>-290976062.96995914</v>
      </c>
      <c r="L3113" s="455">
        <f t="shared" ca="1" si="162"/>
        <v>-70125231175.760147</v>
      </c>
      <c r="M3113" s="471">
        <f t="shared" si="164"/>
        <v>0.05</v>
      </c>
      <c r="N3113" s="475">
        <f t="shared" si="165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63"/>
        <v>-70125231175.760147</v>
      </c>
      <c r="J3114" s="455">
        <f t="array" ref="J3114">IFERROR(INDEX('Retirement Calculator'!J:J,MATCH('Isaac 401k'!N3114,'Retirement Calculator'!A:A,0),0),0)</f>
        <v>0</v>
      </c>
      <c r="K3114" s="455">
        <f t="shared" ca="1" si="161"/>
        <v>-292188463.23233396</v>
      </c>
      <c r="L3114" s="455">
        <f t="shared" ca="1" si="162"/>
        <v>-70417419638.992477</v>
      </c>
      <c r="M3114" s="471">
        <f t="shared" si="164"/>
        <v>0.05</v>
      </c>
      <c r="N3114" s="475">
        <f t="shared" si="165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63"/>
        <v>-70417419638.992477</v>
      </c>
      <c r="J3115" s="455">
        <f t="array" ref="J3115">IFERROR(INDEX('Retirement Calculator'!J:J,MATCH('Isaac 401k'!N3115,'Retirement Calculator'!A:A,0),0),0)</f>
        <v>0</v>
      </c>
      <c r="K3115" s="455">
        <f t="shared" ca="1" si="161"/>
        <v>-293405915.16246867</v>
      </c>
      <c r="L3115" s="455">
        <f t="shared" ca="1" si="162"/>
        <v>-70710825554.154953</v>
      </c>
      <c r="M3115" s="471">
        <f t="shared" si="164"/>
        <v>0.05</v>
      </c>
      <c r="N3115" s="475">
        <f t="shared" si="165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63"/>
        <v>-70710825554.154953</v>
      </c>
      <c r="J3116" s="455">
        <f t="array" ref="J3116">IFERROR(INDEX('Retirement Calculator'!J:J,MATCH('Isaac 401k'!N3116,'Retirement Calculator'!A:A,0),0),0)</f>
        <v>0</v>
      </c>
      <c r="K3116" s="455">
        <f t="shared" ca="1" si="161"/>
        <v>-294628439.80897897</v>
      </c>
      <c r="L3116" s="455">
        <f t="shared" ca="1" si="162"/>
        <v>-71005453993.963928</v>
      </c>
      <c r="M3116" s="471">
        <f t="shared" si="164"/>
        <v>0.05</v>
      </c>
      <c r="N3116" s="475">
        <f t="shared" si="165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63"/>
        <v>-71005453993.963928</v>
      </c>
      <c r="J3117" s="455">
        <f t="array" ref="J3117">IFERROR(INDEX('Retirement Calculator'!J:J,MATCH('Isaac 401k'!N3117,'Retirement Calculator'!A:A,0),0),0)</f>
        <v>0</v>
      </c>
      <c r="K3117" s="455">
        <f t="shared" ca="1" si="161"/>
        <v>-295856058.30818301</v>
      </c>
      <c r="L3117" s="455">
        <f t="shared" ca="1" si="162"/>
        <v>-71301310052.27211</v>
      </c>
      <c r="M3117" s="471">
        <f t="shared" si="164"/>
        <v>0.05</v>
      </c>
      <c r="N3117" s="475">
        <f t="shared" si="165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63"/>
        <v>-71301310052.27211</v>
      </c>
      <c r="J3118" s="455">
        <f t="array" ref="J3118">IFERROR(INDEX('Retirement Calculator'!J:J,MATCH('Isaac 401k'!N3118,'Retirement Calculator'!A:A,0),0),0)</f>
        <v>0</v>
      </c>
      <c r="K3118" s="455">
        <f t="shared" ca="1" si="161"/>
        <v>-297088791.88446712</v>
      </c>
      <c r="L3118" s="455">
        <f t="shared" ca="1" si="162"/>
        <v>-71598398844.15657</v>
      </c>
      <c r="M3118" s="471">
        <f t="shared" si="164"/>
        <v>0.05</v>
      </c>
      <c r="N3118" s="475">
        <f t="shared" si="165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63"/>
        <v>-71598398844.15657</v>
      </c>
      <c r="J3119" s="455">
        <f t="array" ref="J3119">IFERROR(INDEX('Retirement Calculator'!J:J,MATCH('Isaac 401k'!N3119,'Retirement Calculator'!A:A,0),0),0)</f>
        <v>0</v>
      </c>
      <c r="K3119" s="455">
        <f t="shared" ca="1" si="161"/>
        <v>-298326661.8506524</v>
      </c>
      <c r="L3119" s="455">
        <f t="shared" ca="1" si="162"/>
        <v>-71896725506.007217</v>
      </c>
      <c r="M3119" s="471">
        <f t="shared" si="164"/>
        <v>0.05</v>
      </c>
      <c r="N3119" s="475">
        <f t="shared" si="165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63"/>
        <v>-71896725506.007217</v>
      </c>
      <c r="J3120" s="455">
        <f t="array" ref="J3120">IFERROR(INDEX('Retirement Calculator'!J:J,MATCH('Isaac 401k'!N3120,'Retirement Calculator'!A:A,0),0),0)</f>
        <v>0</v>
      </c>
      <c r="K3120" s="455">
        <f t="shared" ca="1" si="161"/>
        <v>-299569689.60836339</v>
      </c>
      <c r="L3120" s="455">
        <f t="shared" ca="1" si="162"/>
        <v>-72196295195.615585</v>
      </c>
      <c r="M3120" s="471">
        <f t="shared" si="164"/>
        <v>0.05</v>
      </c>
      <c r="N3120" s="475">
        <f t="shared" si="165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63"/>
        <v>-72196295195.615585</v>
      </c>
      <c r="J3121" s="455">
        <f t="array" ref="J3121">IFERROR(INDEX('Retirement Calculator'!J:J,MATCH('Isaac 401k'!N3121,'Retirement Calculator'!A:A,0),0),0)</f>
        <v>0</v>
      </c>
      <c r="K3121" s="455">
        <f t="shared" ca="1" si="161"/>
        <v>-300817896.64839828</v>
      </c>
      <c r="L3121" s="455">
        <f t="shared" ca="1" si="162"/>
        <v>-72497113092.263977</v>
      </c>
      <c r="M3121" s="471">
        <f t="shared" si="164"/>
        <v>0.05</v>
      </c>
      <c r="N3121" s="475">
        <f t="shared" si="165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63"/>
        <v>-72497113092.263977</v>
      </c>
      <c r="J3122" s="455">
        <f t="array" ref="J3122">IFERROR(INDEX('Retirement Calculator'!J:J,MATCH('Isaac 401k'!N3122,'Retirement Calculator'!A:A,0),0),0)</f>
        <v>0</v>
      </c>
      <c r="K3122" s="455">
        <f t="shared" ca="1" si="161"/>
        <v>-302071304.5510999</v>
      </c>
      <c r="L3122" s="455">
        <f t="shared" ca="1" si="162"/>
        <v>-72799184396.815079</v>
      </c>
      <c r="M3122" s="471">
        <f t="shared" si="164"/>
        <v>0.05</v>
      </c>
      <c r="N3122" s="475">
        <f t="shared" si="165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63"/>
        <v>-72799184396.815079</v>
      </c>
      <c r="J3123" s="455">
        <f t="array" ref="J3123">IFERROR(INDEX('Retirement Calculator'!J:J,MATCH('Isaac 401k'!N3123,'Retirement Calculator'!A:A,0),0),0)</f>
        <v>0</v>
      </c>
      <c r="K3123" s="455">
        <f t="shared" ca="1" si="161"/>
        <v>-303329934.9867295</v>
      </c>
      <c r="L3123" s="455">
        <f t="shared" ca="1" si="162"/>
        <v>-73102514331.801804</v>
      </c>
      <c r="M3123" s="471">
        <f t="shared" si="164"/>
        <v>0.05</v>
      </c>
      <c r="N3123" s="475">
        <f t="shared" si="165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63"/>
        <v>-73102514331.801804</v>
      </c>
      <c r="J3124" s="455">
        <f t="array" ref="J3124">IFERROR(INDEX('Retirement Calculator'!J:J,MATCH('Isaac 401k'!N3124,'Retirement Calculator'!A:A,0),0),0)</f>
        <v>0</v>
      </c>
      <c r="K3124" s="455">
        <f t="shared" ca="1" si="161"/>
        <v>-304593809.71584082</v>
      </c>
      <c r="L3124" s="455">
        <f t="shared" ca="1" si="162"/>
        <v>-73407108141.517639</v>
      </c>
      <c r="M3124" s="471">
        <f t="shared" si="164"/>
        <v>0.05</v>
      </c>
      <c r="N3124" s="475">
        <f t="shared" si="165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63"/>
        <v>-73407108141.517639</v>
      </c>
      <c r="J3125" s="455">
        <f t="array" ref="J3125">IFERROR(INDEX('Retirement Calculator'!J:J,MATCH('Isaac 401k'!N3125,'Retirement Calculator'!A:A,0),0),0)</f>
        <v>0</v>
      </c>
      <c r="K3125" s="455">
        <f t="shared" ca="1" si="161"/>
        <v>-305862950.58965683</v>
      </c>
      <c r="L3125" s="455">
        <f t="shared" ca="1" si="162"/>
        <v>-73712971092.1073</v>
      </c>
      <c r="M3125" s="471">
        <f t="shared" si="164"/>
        <v>0.05</v>
      </c>
      <c r="N3125" s="475">
        <f t="shared" si="165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63"/>
        <v>-73712971092.1073</v>
      </c>
      <c r="J3126" s="455">
        <f t="array" ref="J3126">IFERROR(INDEX('Retirement Calculator'!J:J,MATCH('Isaac 401k'!N3126,'Retirement Calculator'!A:A,0),0),0)</f>
        <v>0</v>
      </c>
      <c r="K3126" s="455">
        <f t="shared" ca="1" si="161"/>
        <v>-307137379.55044711</v>
      </c>
      <c r="L3126" s="455">
        <f t="shared" ca="1" si="162"/>
        <v>-74020108471.657745</v>
      </c>
      <c r="M3126" s="471">
        <f t="shared" si="164"/>
        <v>0.05</v>
      </c>
      <c r="N3126" s="475">
        <f t="shared" si="165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63"/>
        <v>-74020108471.657745</v>
      </c>
      <c r="J3127" s="455">
        <f t="array" ref="J3127">IFERROR(INDEX('Retirement Calculator'!J:J,MATCH('Isaac 401k'!N3127,'Retirement Calculator'!A:A,0),0),0)</f>
        <v>0</v>
      </c>
      <c r="K3127" s="455">
        <f t="shared" ca="1" si="161"/>
        <v>-308417118.63190728</v>
      </c>
      <c r="L3127" s="455">
        <f t="shared" ca="1" si="162"/>
        <v>-74328525590.289658</v>
      </c>
      <c r="M3127" s="471">
        <f t="shared" si="164"/>
        <v>0.05</v>
      </c>
      <c r="N3127" s="475">
        <f t="shared" si="165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63"/>
        <v>-74328525590.289658</v>
      </c>
      <c r="J3128" s="455">
        <f t="array" ref="J3128">IFERROR(INDEX('Retirement Calculator'!J:J,MATCH('Isaac 401k'!N3128,'Retirement Calculator'!A:A,0),0),0)</f>
        <v>0</v>
      </c>
      <c r="K3128" s="455">
        <f t="shared" ca="1" si="161"/>
        <v>-309702189.95954025</v>
      </c>
      <c r="L3128" s="455">
        <f t="shared" ca="1" si="162"/>
        <v>-74638227780.249191</v>
      </c>
      <c r="M3128" s="471">
        <f t="shared" si="164"/>
        <v>0.05</v>
      </c>
      <c r="N3128" s="475">
        <f t="shared" si="165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63"/>
        <v>-74638227780.249191</v>
      </c>
      <c r="J3129" s="455">
        <f t="array" ref="J3129">IFERROR(INDEX('Retirement Calculator'!J:J,MATCH('Isaac 401k'!N3129,'Retirement Calculator'!A:A,0),0),0)</f>
        <v>0</v>
      </c>
      <c r="K3129" s="455">
        <f t="shared" ca="1" si="161"/>
        <v>-310992615.75103831</v>
      </c>
      <c r="L3129" s="455">
        <f t="shared" ca="1" si="162"/>
        <v>-74949220396.000229</v>
      </c>
      <c r="M3129" s="471">
        <f t="shared" si="164"/>
        <v>0.05</v>
      </c>
      <c r="N3129" s="475">
        <f t="shared" si="165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63"/>
        <v>-74949220396.000229</v>
      </c>
      <c r="J3130" s="455">
        <f t="array" ref="J3130">IFERROR(INDEX('Retirement Calculator'!J:J,MATCH('Isaac 401k'!N3130,'Retirement Calculator'!A:A,0),0),0)</f>
        <v>0</v>
      </c>
      <c r="K3130" s="455">
        <f t="shared" ca="1" si="161"/>
        <v>-312288418.31666762</v>
      </c>
      <c r="L3130" s="455">
        <f t="shared" ca="1" si="162"/>
        <v>-75261508814.316895</v>
      </c>
      <c r="M3130" s="471">
        <f t="shared" si="164"/>
        <v>0.05</v>
      </c>
      <c r="N3130" s="475">
        <f t="shared" si="165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63"/>
        <v>-75261508814.316895</v>
      </c>
      <c r="J3131" s="455">
        <f t="array" ref="J3131">IFERROR(INDEX('Retirement Calculator'!J:J,MATCH('Isaac 401k'!N3131,'Retirement Calculator'!A:A,0),0),0)</f>
        <v>0</v>
      </c>
      <c r="K3131" s="455">
        <f t="shared" ca="1" si="161"/>
        <v>-313589620.0596537</v>
      </c>
      <c r="L3131" s="455">
        <f t="shared" ca="1" si="162"/>
        <v>-75575098434.376541</v>
      </c>
      <c r="M3131" s="471">
        <f t="shared" si="164"/>
        <v>0.05</v>
      </c>
      <c r="N3131" s="475">
        <f t="shared" si="165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63"/>
        <v>-75575098434.376541</v>
      </c>
      <c r="J3132" s="455">
        <f t="array" ref="J3132">IFERROR(INDEX('Retirement Calculator'!J:J,MATCH('Isaac 401k'!N3132,'Retirement Calculator'!A:A,0),0),0)</f>
        <v>0</v>
      </c>
      <c r="K3132" s="455">
        <f t="shared" ca="1" si="161"/>
        <v>-314896243.47656894</v>
      </c>
      <c r="L3132" s="455">
        <f t="shared" ca="1" si="162"/>
        <v>-75889994677.853104</v>
      </c>
      <c r="M3132" s="471">
        <f t="shared" si="164"/>
        <v>0.05</v>
      </c>
      <c r="N3132" s="475">
        <f t="shared" si="165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63"/>
        <v>-75889994677.853104</v>
      </c>
      <c r="J3133" s="455">
        <f t="array" ref="J3133">IFERROR(INDEX('Retirement Calculator'!J:J,MATCH('Isaac 401k'!N3133,'Retirement Calculator'!A:A,0),0),0)</f>
        <v>0</v>
      </c>
      <c r="K3133" s="455">
        <f t="shared" ca="1" si="161"/>
        <v>-316208311.15772128</v>
      </c>
      <c r="L3133" s="455">
        <f t="shared" ca="1" si="162"/>
        <v>-76206202989.010818</v>
      </c>
      <c r="M3133" s="471">
        <f t="shared" si="164"/>
        <v>0.05</v>
      </c>
      <c r="N3133" s="475">
        <f t="shared" si="165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63"/>
        <v>-76206202989.010818</v>
      </c>
      <c r="J3134" s="455">
        <f t="array" ref="J3134">IFERROR(INDEX('Retirement Calculator'!J:J,MATCH('Isaac 401k'!N3134,'Retirement Calculator'!A:A,0),0),0)</f>
        <v>0</v>
      </c>
      <c r="K3134" s="455">
        <f t="shared" ca="1" si="161"/>
        <v>-317525845.78754508</v>
      </c>
      <c r="L3134" s="455">
        <f t="shared" ca="1" si="162"/>
        <v>-76523728834.79837</v>
      </c>
      <c r="M3134" s="471">
        <f t="shared" si="164"/>
        <v>0.05</v>
      </c>
      <c r="N3134" s="475">
        <f t="shared" si="165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63"/>
        <v>-76523728834.79837</v>
      </c>
      <c r="J3135" s="455">
        <f t="array" ref="J3135">IFERROR(INDEX('Retirement Calculator'!J:J,MATCH('Isaac 401k'!N3135,'Retirement Calculator'!A:A,0),0),0)</f>
        <v>0</v>
      </c>
      <c r="K3135" s="455">
        <f t="shared" ca="1" si="161"/>
        <v>-318848870.14499319</v>
      </c>
      <c r="L3135" s="455">
        <f t="shared" ca="1" si="162"/>
        <v>-76842577704.943359</v>
      </c>
      <c r="M3135" s="471">
        <f t="shared" si="164"/>
        <v>0.05</v>
      </c>
      <c r="N3135" s="475">
        <f t="shared" si="165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63"/>
        <v>-76842577704.943359</v>
      </c>
      <c r="J3136" s="455">
        <f t="array" ref="J3136">IFERROR(INDEX('Retirement Calculator'!J:J,MATCH('Isaac 401k'!N3136,'Retirement Calculator'!A:A,0),0),0)</f>
        <v>0</v>
      </c>
      <c r="K3136" s="455">
        <f t="shared" ca="1" si="161"/>
        <v>-320177407.10393065</v>
      </c>
      <c r="L3136" s="455">
        <f t="shared" ca="1" si="162"/>
        <v>-77162755112.047287</v>
      </c>
      <c r="M3136" s="471">
        <f t="shared" si="164"/>
        <v>0.05</v>
      </c>
      <c r="N3136" s="475">
        <f t="shared" si="165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63"/>
        <v>-77162755112.047287</v>
      </c>
      <c r="J3137" s="455">
        <f t="array" ref="J3137">IFERROR(INDEX('Retirement Calculator'!J:J,MATCH('Isaac 401k'!N3137,'Retirement Calculator'!A:A,0),0),0)</f>
        <v>0</v>
      </c>
      <c r="K3137" s="455">
        <f t="shared" ca="1" si="161"/>
        <v>-321511479.63353038</v>
      </c>
      <c r="L3137" s="455">
        <f t="shared" ca="1" si="162"/>
        <v>-77484266591.680817</v>
      </c>
      <c r="M3137" s="471">
        <f t="shared" si="164"/>
        <v>0.05</v>
      </c>
      <c r="N3137" s="475">
        <f t="shared" si="165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63"/>
        <v>-77484266591.680817</v>
      </c>
      <c r="J3138" s="455">
        <f t="array" ref="J3138">IFERROR(INDEX('Retirement Calculator'!J:J,MATCH('Isaac 401k'!N3138,'Retirement Calculator'!A:A,0),0),0)</f>
        <v>0</v>
      </c>
      <c r="K3138" s="455">
        <f t="shared" ca="1" si="161"/>
        <v>-322851110.79867005</v>
      </c>
      <c r="L3138" s="455">
        <f t="shared" ca="1" si="162"/>
        <v>-77807117702.479492</v>
      </c>
      <c r="M3138" s="471">
        <f t="shared" si="164"/>
        <v>0.05</v>
      </c>
      <c r="N3138" s="475">
        <f t="shared" si="165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63"/>
        <v>-77807117702.479492</v>
      </c>
      <c r="J3139" s="455">
        <f t="array" ref="J3139">IFERROR(INDEX('Retirement Calculator'!J:J,MATCH('Isaac 401k'!N3139,'Retirement Calculator'!A:A,0),0),0)</f>
        <v>0</v>
      </c>
      <c r="K3139" s="455">
        <f t="shared" ca="1" si="161"/>
        <v>-324196323.76033121</v>
      </c>
      <c r="L3139" s="455">
        <f t="shared" ca="1" si="162"/>
        <v>-78131314026.239822</v>
      </c>
      <c r="M3139" s="471">
        <f t="shared" si="164"/>
        <v>0.05</v>
      </c>
      <c r="N3139" s="475">
        <f t="shared" si="165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63"/>
        <v>-78131314026.239822</v>
      </c>
      <c r="J3140" s="455">
        <f t="array" ref="J3140">IFERROR(INDEX('Retirement Calculator'!J:J,MATCH('Isaac 401k'!N3140,'Retirement Calculator'!A:A,0),0),0)</f>
        <v>0</v>
      </c>
      <c r="K3140" s="455">
        <f t="shared" ca="1" si="161"/>
        <v>-325547141.77599925</v>
      </c>
      <c r="L3140" s="455">
        <f t="shared" ca="1" si="162"/>
        <v>-78456861168.015823</v>
      </c>
      <c r="M3140" s="471">
        <f t="shared" si="164"/>
        <v>0.05</v>
      </c>
      <c r="N3140" s="475">
        <f t="shared" si="165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63"/>
        <v>-78456861168.015823</v>
      </c>
      <c r="J3141" s="455">
        <f t="array" ref="J3141">IFERROR(INDEX('Retirement Calculator'!J:J,MATCH('Isaac 401k'!N3141,'Retirement Calculator'!A:A,0),0),0)</f>
        <v>0</v>
      </c>
      <c r="K3141" s="455">
        <f t="shared" ca="1" si="161"/>
        <v>-326903588.20006591</v>
      </c>
      <c r="L3141" s="455">
        <f t="shared" ca="1" si="162"/>
        <v>-78783764756.215897</v>
      </c>
      <c r="M3141" s="471">
        <f t="shared" si="164"/>
        <v>0.05</v>
      </c>
      <c r="N3141" s="475">
        <f t="shared" si="165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63"/>
        <v>-78783764756.215897</v>
      </c>
      <c r="J3142" s="455">
        <f t="array" ref="J3142">IFERROR(INDEX('Retirement Calculator'!J:J,MATCH('Isaac 401k'!N3142,'Retirement Calculator'!A:A,0),0),0)</f>
        <v>0</v>
      </c>
      <c r="K3142" s="455">
        <f t="shared" ca="1" si="161"/>
        <v>-328265686.4842329</v>
      </c>
      <c r="L3142" s="455">
        <f t="shared" ca="1" si="162"/>
        <v>-79112030442.700134</v>
      </c>
      <c r="M3142" s="471">
        <f t="shared" si="164"/>
        <v>0.05</v>
      </c>
      <c r="N3142" s="475">
        <f t="shared" si="165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63"/>
        <v>-79112030442.700134</v>
      </c>
      <c r="J3143" s="455">
        <f t="array" ref="J3143">IFERROR(INDEX('Retirement Calculator'!J:J,MATCH('Isaac 401k'!N3143,'Retirement Calculator'!A:A,0),0),0)</f>
        <v>0</v>
      </c>
      <c r="K3143" s="455">
        <f t="shared" ca="1" si="161"/>
        <v>-329633460.17791724</v>
      </c>
      <c r="L3143" s="455">
        <f t="shared" ca="1" si="162"/>
        <v>-79441663902.878052</v>
      </c>
      <c r="M3143" s="471">
        <f t="shared" si="164"/>
        <v>0.05</v>
      </c>
      <c r="N3143" s="475">
        <f t="shared" si="165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63"/>
        <v>-79441663902.878052</v>
      </c>
      <c r="J3144" s="455">
        <f t="array" ref="J3144">IFERROR(INDEX('Retirement Calculator'!J:J,MATCH('Isaac 401k'!N3144,'Retirement Calculator'!A:A,0),0),0)</f>
        <v>0</v>
      </c>
      <c r="K3144" s="455">
        <f t="shared" ca="1" si="161"/>
        <v>-331006932.92865855</v>
      </c>
      <c r="L3144" s="455">
        <f t="shared" ca="1" si="162"/>
        <v>-79772670835.806717</v>
      </c>
      <c r="M3144" s="471">
        <f t="shared" si="164"/>
        <v>0.05</v>
      </c>
      <c r="N3144" s="475">
        <f t="shared" si="165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63"/>
        <v>-79772670835.806717</v>
      </c>
      <c r="J3145" s="455">
        <f t="array" ref="J3145">IFERROR(INDEX('Retirement Calculator'!J:J,MATCH('Isaac 401k'!N3145,'Retirement Calculator'!A:A,0),0),0)</f>
        <v>0</v>
      </c>
      <c r="K3145" s="455">
        <f t="shared" ca="1" si="161"/>
        <v>-332386128.48252797</v>
      </c>
      <c r="L3145" s="455">
        <f t="shared" ca="1" si="162"/>
        <v>-80105056964.289246</v>
      </c>
      <c r="M3145" s="471">
        <f t="shared" si="164"/>
        <v>0.05</v>
      </c>
      <c r="N3145" s="475">
        <f t="shared" si="165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63"/>
        <v>-80105056964.289246</v>
      </c>
      <c r="J3146" s="455">
        <f t="array" ref="J3146">IFERROR(INDEX('Retirement Calculator'!J:J,MATCH('Isaac 401k'!N3146,'Retirement Calculator'!A:A,0),0),0)</f>
        <v>0</v>
      </c>
      <c r="K3146" s="455">
        <f t="shared" ca="1" si="161"/>
        <v>-333771070.68453854</v>
      </c>
      <c r="L3146" s="455">
        <f t="shared" ca="1" si="162"/>
        <v>-80438828034.973785</v>
      </c>
      <c r="M3146" s="471">
        <f t="shared" si="164"/>
        <v>0.05</v>
      </c>
      <c r="N3146" s="475">
        <f t="shared" si="165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63"/>
        <v>-80438828034.973785</v>
      </c>
      <c r="J3147" s="455">
        <f t="array" ref="J3147">IFERROR(INDEX('Retirement Calculator'!J:J,MATCH('Isaac 401k'!N3147,'Retirement Calculator'!A:A,0),0),0)</f>
        <v>0</v>
      </c>
      <c r="K3147" s="455">
        <f t="shared" ca="1" si="161"/>
        <v>-335161783.47905743</v>
      </c>
      <c r="L3147" s="455">
        <f t="shared" ca="1" si="162"/>
        <v>-80773989818.45285</v>
      </c>
      <c r="M3147" s="471">
        <f t="shared" si="164"/>
        <v>0.05</v>
      </c>
      <c r="N3147" s="475">
        <f t="shared" si="165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63"/>
        <v>-80773989818.45285</v>
      </c>
      <c r="J3148" s="455">
        <f t="array" ref="J3148">IFERROR(INDEX('Retirement Calculator'!J:J,MATCH('Isaac 401k'!N3148,'Retirement Calculator'!A:A,0),0),0)</f>
        <v>0</v>
      </c>
      <c r="K3148" s="455">
        <f t="shared" ca="1" si="161"/>
        <v>-336558290.91022021</v>
      </c>
      <c r="L3148" s="455">
        <f t="shared" ca="1" si="162"/>
        <v>-81110548109.363068</v>
      </c>
      <c r="M3148" s="471">
        <f t="shared" si="164"/>
        <v>0.05</v>
      </c>
      <c r="N3148" s="475">
        <f t="shared" si="165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63"/>
        <v>-81110548109.363068</v>
      </c>
      <c r="J3149" s="455">
        <f t="array" ref="J3149">IFERROR(INDEX('Retirement Calculator'!J:J,MATCH('Isaac 401k'!N3149,'Retirement Calculator'!A:A,0),0),0)</f>
        <v>0</v>
      </c>
      <c r="K3149" s="455">
        <f t="shared" ca="1" si="161"/>
        <v>-337960617.1223461</v>
      </c>
      <c r="L3149" s="455">
        <f t="shared" ca="1" si="162"/>
        <v>-81448508726.485413</v>
      </c>
      <c r="M3149" s="471">
        <f t="shared" si="164"/>
        <v>0.05</v>
      </c>
      <c r="N3149" s="475">
        <f t="shared" si="165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63"/>
        <v>-81448508726.485413</v>
      </c>
      <c r="J3150" s="455">
        <f t="array" ref="J3150">IFERROR(INDEX('Retirement Calculator'!J:J,MATCH('Isaac 401k'!N3150,'Retirement Calculator'!A:A,0),0),0)</f>
        <v>0</v>
      </c>
      <c r="K3150" s="455">
        <f t="shared" ca="1" si="161"/>
        <v>-339368786.36035585</v>
      </c>
      <c r="L3150" s="455">
        <f t="shared" ca="1" si="162"/>
        <v>-81787877512.845764</v>
      </c>
      <c r="M3150" s="471">
        <f t="shared" si="164"/>
        <v>0.05</v>
      </c>
      <c r="N3150" s="475">
        <f t="shared" si="165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63"/>
        <v>-81787877512.845764</v>
      </c>
      <c r="J3151" s="455">
        <f t="array" ref="J3151">IFERROR(INDEX('Retirement Calculator'!J:J,MATCH('Isaac 401k'!N3151,'Retirement Calculator'!A:A,0),0),0)</f>
        <v>0</v>
      </c>
      <c r="K3151" s="455">
        <f t="shared" ca="1" si="161"/>
        <v>-340782822.9701907</v>
      </c>
      <c r="L3151" s="455">
        <f t="shared" ca="1" si="162"/>
        <v>-82128660335.815948</v>
      </c>
      <c r="M3151" s="471">
        <f t="shared" si="164"/>
        <v>0.05</v>
      </c>
      <c r="N3151" s="475">
        <f t="shared" si="165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63"/>
        <v>-82128660335.815948</v>
      </c>
      <c r="J3152" s="455">
        <f t="array" ref="J3152">IFERROR(INDEX('Retirement Calculator'!J:J,MATCH('Isaac 401k'!N3152,'Retirement Calculator'!A:A,0),0),0)</f>
        <v>0</v>
      </c>
      <c r="K3152" s="455">
        <f t="shared" ca="1" si="161"/>
        <v>-342202751.3992331</v>
      </c>
      <c r="L3152" s="455">
        <f t="shared" ca="1" si="162"/>
        <v>-82470863087.215179</v>
      </c>
      <c r="M3152" s="471">
        <f t="shared" si="164"/>
        <v>0.05</v>
      </c>
      <c r="N3152" s="475">
        <f t="shared" si="165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63"/>
        <v>-82470863087.215179</v>
      </c>
      <c r="J3153" s="455">
        <f t="array" ref="J3153">IFERROR(INDEX('Retirement Calculator'!J:J,MATCH('Isaac 401k'!N3153,'Retirement Calculator'!A:A,0),0),0)</f>
        <v>0</v>
      </c>
      <c r="K3153" s="455">
        <f t="shared" ca="1" si="161"/>
        <v>-343628596.1967299</v>
      </c>
      <c r="L3153" s="455">
        <f t="shared" ca="1" si="162"/>
        <v>-82814491683.411911</v>
      </c>
      <c r="M3153" s="471">
        <f t="shared" si="164"/>
        <v>0.05</v>
      </c>
      <c r="N3153" s="475">
        <f t="shared" si="165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63"/>
        <v>-82814491683.411911</v>
      </c>
      <c r="J3154" s="455">
        <f t="array" ref="J3154">IFERROR(INDEX('Retirement Calculator'!J:J,MATCH('Isaac 401k'!N3154,'Retirement Calculator'!A:A,0),0),0)</f>
        <v>0</v>
      </c>
      <c r="K3154" s="455">
        <f t="shared" ca="1" si="161"/>
        <v>-345060382.0142163</v>
      </c>
      <c r="L3154" s="455">
        <f t="shared" ca="1" si="162"/>
        <v>-83159552065.426132</v>
      </c>
      <c r="M3154" s="471">
        <f t="shared" si="164"/>
        <v>0.05</v>
      </c>
      <c r="N3154" s="475">
        <f t="shared" si="165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63"/>
        <v>-83159552065.426132</v>
      </c>
      <c r="J3155" s="455">
        <f t="array" ref="J3155">IFERROR(INDEX('Retirement Calculator'!J:J,MATCH('Isaac 401k'!N3155,'Retirement Calculator'!A:A,0),0),0)</f>
        <v>0</v>
      </c>
      <c r="K3155" s="455">
        <f t="shared" ca="1" si="161"/>
        <v>-346498133.60594219</v>
      </c>
      <c r="L3155" s="455">
        <f t="shared" ca="1" si="162"/>
        <v>-83506050199.032074</v>
      </c>
      <c r="M3155" s="471">
        <f t="shared" si="164"/>
        <v>0.05</v>
      </c>
      <c r="N3155" s="475">
        <f t="shared" si="165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63"/>
        <v>-83506050199.032074</v>
      </c>
      <c r="J3156" s="455">
        <f t="array" ref="J3156">IFERROR(INDEX('Retirement Calculator'!J:J,MATCH('Isaac 401k'!N3156,'Retirement Calculator'!A:A,0),0),0)</f>
        <v>0</v>
      </c>
      <c r="K3156" s="455">
        <f t="shared" ca="1" si="161"/>
        <v>-347941875.82930028</v>
      </c>
      <c r="L3156" s="455">
        <f t="shared" ca="1" si="162"/>
        <v>-83853992074.861374</v>
      </c>
      <c r="M3156" s="471">
        <f t="shared" si="164"/>
        <v>0.05</v>
      </c>
      <c r="N3156" s="475">
        <f t="shared" si="165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63"/>
        <v>-83853992074.861374</v>
      </c>
      <c r="J3157" s="455">
        <f t="array" ref="J3157">IFERROR(INDEX('Retirement Calculator'!J:J,MATCH('Isaac 401k'!N3157,'Retirement Calculator'!A:A,0),0),0)</f>
        <v>0</v>
      </c>
      <c r="K3157" s="455">
        <f t="shared" ca="1" si="161"/>
        <v>-349391633.64525574</v>
      </c>
      <c r="L3157" s="455">
        <f t="shared" ca="1" si="162"/>
        <v>-84203383708.506622</v>
      </c>
      <c r="M3157" s="471">
        <f t="shared" si="164"/>
        <v>0.05</v>
      </c>
      <c r="N3157" s="475">
        <f t="shared" si="165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63"/>
        <v>-84203383708.506622</v>
      </c>
      <c r="J3158" s="455">
        <f t="array" ref="J3158">IFERROR(INDEX('Retirement Calculator'!J:J,MATCH('Isaac 401k'!N3158,'Retirement Calculator'!A:A,0),0),0)</f>
        <v>0</v>
      </c>
      <c r="K3158" s="455">
        <f t="shared" ca="1" si="161"/>
        <v>-350847432.11877757</v>
      </c>
      <c r="L3158" s="455">
        <f t="shared" ca="1" si="162"/>
        <v>-84554231140.625397</v>
      </c>
      <c r="M3158" s="471">
        <f t="shared" si="164"/>
        <v>0.05</v>
      </c>
      <c r="N3158" s="475">
        <f t="shared" si="165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63"/>
        <v>-84554231140.625397</v>
      </c>
      <c r="J3159" s="455">
        <f t="array" ref="J3159">IFERROR(INDEX('Retirement Calculator'!J:J,MATCH('Isaac 401k'!N3159,'Retirement Calculator'!A:A,0),0),0)</f>
        <v>0</v>
      </c>
      <c r="K3159" s="455">
        <f t="shared" ca="1" si="161"/>
        <v>-352309296.41927248</v>
      </c>
      <c r="L3159" s="455">
        <f t="shared" ca="1" si="162"/>
        <v>-84906540437.044662</v>
      </c>
      <c r="M3159" s="471">
        <f t="shared" si="164"/>
        <v>0.05</v>
      </c>
      <c r="N3159" s="475">
        <f t="shared" si="165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63"/>
        <v>-84906540437.044662</v>
      </c>
      <c r="J3160" s="455">
        <f t="array" ref="J3160">IFERROR(INDEX('Retirement Calculator'!J:J,MATCH('Isaac 401k'!N3160,'Retirement Calculator'!A:A,0),0),0)</f>
        <v>0</v>
      </c>
      <c r="K3160" s="455">
        <f t="shared" ca="1" si="161"/>
        <v>-353777251.82101941</v>
      </c>
      <c r="L3160" s="455">
        <f t="shared" ca="1" si="162"/>
        <v>-85260317688.865677</v>
      </c>
      <c r="M3160" s="471">
        <f t="shared" si="164"/>
        <v>0.05</v>
      </c>
      <c r="N3160" s="475">
        <f t="shared" si="165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63"/>
        <v>-85260317688.865677</v>
      </c>
      <c r="J3161" s="455">
        <f t="array" ref="J3161">IFERROR(INDEX('Retirement Calculator'!J:J,MATCH('Isaac 401k'!N3161,'Retirement Calculator'!A:A,0),0),0)</f>
        <v>0</v>
      </c>
      <c r="K3161" s="455">
        <f t="shared" ca="1" si="161"/>
        <v>-355251323.70360696</v>
      </c>
      <c r="L3161" s="455">
        <f t="shared" ca="1" si="162"/>
        <v>-85615569012.56929</v>
      </c>
      <c r="M3161" s="471">
        <f t="shared" si="164"/>
        <v>0.05</v>
      </c>
      <c r="N3161" s="475">
        <f t="shared" si="165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63"/>
        <v>-85615569012.56929</v>
      </c>
      <c r="J3162" s="455">
        <f t="array" ref="J3162">IFERROR(INDEX('Retirement Calculator'!J:J,MATCH('Isaac 401k'!N3162,'Retirement Calculator'!A:A,0),0),0)</f>
        <v>0</v>
      </c>
      <c r="K3162" s="455">
        <f t="shared" ca="1" si="161"/>
        <v>-356731537.55237204</v>
      </c>
      <c r="L3162" s="455">
        <f t="shared" ca="1" si="162"/>
        <v>-85972300550.121658</v>
      </c>
      <c r="M3162" s="471">
        <f t="shared" si="164"/>
        <v>0.05</v>
      </c>
      <c r="N3162" s="475">
        <f t="shared" si="165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63"/>
        <v>-85972300550.121658</v>
      </c>
      <c r="J3163" s="455">
        <f t="array" ref="J3163">IFERROR(INDEX('Retirement Calculator'!J:J,MATCH('Isaac 401k'!N3163,'Retirement Calculator'!A:A,0),0),0)</f>
        <v>0</v>
      </c>
      <c r="K3163" s="455">
        <f t="shared" ca="1" si="161"/>
        <v>-358217918.95884025</v>
      </c>
      <c r="L3163" s="455">
        <f t="shared" ca="1" si="162"/>
        <v>-86330518469.080505</v>
      </c>
      <c r="M3163" s="471">
        <f t="shared" si="164"/>
        <v>0.05</v>
      </c>
      <c r="N3163" s="475">
        <f t="shared" si="165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63"/>
        <v>-86330518469.080505</v>
      </c>
      <c r="J3164" s="455">
        <f t="array" ref="J3164">IFERROR(INDEX('Retirement Calculator'!J:J,MATCH('Isaac 401k'!N3164,'Retirement Calculator'!A:A,0),0),0)</f>
        <v>0</v>
      </c>
      <c r="K3164" s="455">
        <f t="shared" ca="1" si="161"/>
        <v>-359710493.62116879</v>
      </c>
      <c r="L3164" s="455">
        <f t="shared" ca="1" si="162"/>
        <v>-86690228962.701675</v>
      </c>
      <c r="M3164" s="471">
        <f t="shared" si="164"/>
        <v>0.05</v>
      </c>
      <c r="N3164" s="475">
        <f t="shared" si="165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63"/>
        <v>-86690228962.701675</v>
      </c>
      <c r="J3165" s="455">
        <f t="array" ref="J3165">IFERROR(INDEX('Retirement Calculator'!J:J,MATCH('Isaac 401k'!N3165,'Retirement Calculator'!A:A,0),0),0)</f>
        <v>0</v>
      </c>
      <c r="K3165" s="455">
        <f t="shared" ca="1" si="161"/>
        <v>-361209287.34459031</v>
      </c>
      <c r="L3165" s="455">
        <f t="shared" ca="1" si="162"/>
        <v>-87051438250.046265</v>
      </c>
      <c r="M3165" s="471">
        <f t="shared" si="164"/>
        <v>0.05</v>
      </c>
      <c r="N3165" s="475">
        <f t="shared" si="165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63"/>
        <v>-87051438250.046265</v>
      </c>
      <c r="J3166" s="455">
        <f t="array" ref="J3166">IFERROR(INDEX('Retirement Calculator'!J:J,MATCH('Isaac 401k'!N3166,'Retirement Calculator'!A:A,0),0),0)</f>
        <v>0</v>
      </c>
      <c r="K3166" s="455">
        <f t="shared" ca="1" si="161"/>
        <v>-362714326.04185945</v>
      </c>
      <c r="L3166" s="455">
        <f t="shared" ca="1" si="162"/>
        <v>-87414152576.08812</v>
      </c>
      <c r="M3166" s="471">
        <f t="shared" si="164"/>
        <v>0.05</v>
      </c>
      <c r="N3166" s="475">
        <f t="shared" si="165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63"/>
        <v>-87414152576.08812</v>
      </c>
      <c r="J3167" s="455">
        <f t="array" ref="J3167">IFERROR(INDEX('Retirement Calculator'!J:J,MATCH('Isaac 401k'!N3167,'Retirement Calculator'!A:A,0),0),0)</f>
        <v>0</v>
      </c>
      <c r="K3167" s="455">
        <f t="shared" ca="1" si="161"/>
        <v>-364225635.73370051</v>
      </c>
      <c r="L3167" s="455">
        <f t="shared" ca="1" si="162"/>
        <v>-87778378211.821823</v>
      </c>
      <c r="M3167" s="471">
        <f t="shared" si="164"/>
        <v>0.05</v>
      </c>
      <c r="N3167" s="475">
        <f t="shared" si="165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63"/>
        <v>-87778378211.821823</v>
      </c>
      <c r="J3168" s="455">
        <f t="array" ref="J3168">IFERROR(INDEX('Retirement Calculator'!J:J,MATCH('Isaac 401k'!N3168,'Retirement Calculator'!A:A,0),0),0)</f>
        <v>0</v>
      </c>
      <c r="K3168" s="455">
        <f t="shared" ca="1" si="161"/>
        <v>-365743242.54925758</v>
      </c>
      <c r="L3168" s="455">
        <f t="shared" ca="1" si="162"/>
        <v>-88144121454.371078</v>
      </c>
      <c r="M3168" s="471">
        <f t="shared" si="164"/>
        <v>0.05</v>
      </c>
      <c r="N3168" s="475">
        <f t="shared" si="165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63"/>
        <v>-88144121454.371078</v>
      </c>
      <c r="J3169" s="455">
        <f t="array" ref="J3169">IFERROR(INDEX('Retirement Calculator'!J:J,MATCH('Isaac 401k'!N3169,'Retirement Calculator'!A:A,0),0),0)</f>
        <v>0</v>
      </c>
      <c r="K3169" s="455">
        <f t="shared" ca="1" si="161"/>
        <v>-367267172.72654617</v>
      </c>
      <c r="L3169" s="455">
        <f t="shared" ca="1" si="162"/>
        <v>-88511388627.097626</v>
      </c>
      <c r="M3169" s="471">
        <f t="shared" si="164"/>
        <v>0.05</v>
      </c>
      <c r="N3169" s="475">
        <f t="shared" si="165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63"/>
        <v>-88511388627.097626</v>
      </c>
      <c r="J3170" s="455">
        <f t="array" ref="J3170">IFERROR(INDEX('Retirement Calculator'!J:J,MATCH('Isaac 401k'!N3170,'Retirement Calculator'!A:A,0),0),0)</f>
        <v>0</v>
      </c>
      <c r="K3170" s="455">
        <f t="shared" ca="1" si="161"/>
        <v>-368797452.61290675</v>
      </c>
      <c r="L3170" s="455">
        <f t="shared" ca="1" si="162"/>
        <v>-88880186079.710526</v>
      </c>
      <c r="M3170" s="471">
        <f t="shared" si="164"/>
        <v>0.05</v>
      </c>
      <c r="N3170" s="475">
        <f t="shared" si="165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63"/>
        <v>-88880186079.710526</v>
      </c>
      <c r="J3171" s="455">
        <f t="array" ref="J3171">IFERROR(INDEX('Retirement Calculator'!J:J,MATCH('Isaac 401k'!N3171,'Retirement Calculator'!A:A,0),0),0)</f>
        <v>0</v>
      </c>
      <c r="K3171" s="455">
        <f t="shared" ca="1" si="161"/>
        <v>-370334108.66546053</v>
      </c>
      <c r="L3171" s="455">
        <f t="shared" ca="1" si="162"/>
        <v>-89250520188.375992</v>
      </c>
      <c r="M3171" s="471">
        <f t="shared" si="164"/>
        <v>0.05</v>
      </c>
      <c r="N3171" s="475">
        <f t="shared" si="165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63"/>
        <v>-89250520188.375992</v>
      </c>
      <c r="J3172" s="455">
        <f t="array" ref="J3172">IFERROR(INDEX('Retirement Calculator'!J:J,MATCH('Isaac 401k'!N3172,'Retirement Calculator'!A:A,0),0),0)</f>
        <v>0</v>
      </c>
      <c r="K3172" s="455">
        <f t="shared" ca="1" si="161"/>
        <v>-371877167.45156664</v>
      </c>
      <c r="L3172" s="455">
        <f t="shared" ca="1" si="162"/>
        <v>-89622397355.82756</v>
      </c>
      <c r="M3172" s="471">
        <f t="shared" si="164"/>
        <v>0.05</v>
      </c>
      <c r="N3172" s="475">
        <f t="shared" si="165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63"/>
        <v>-89622397355.82756</v>
      </c>
      <c r="J3173" s="455">
        <f t="array" ref="J3173">IFERROR(INDEX('Retirement Calculator'!J:J,MATCH('Isaac 401k'!N3173,'Retirement Calculator'!A:A,0),0),0)</f>
        <v>0</v>
      </c>
      <c r="K3173" s="455">
        <f t="shared" ca="1" si="161"/>
        <v>-373426655.6492815</v>
      </c>
      <c r="L3173" s="455">
        <f t="shared" ca="1" si="162"/>
        <v>-89995824011.476837</v>
      </c>
      <c r="M3173" s="471">
        <f t="shared" si="164"/>
        <v>0.05</v>
      </c>
      <c r="N3173" s="475">
        <f t="shared" si="165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63"/>
        <v>-89995824011.476837</v>
      </c>
      <c r="J3174" s="455">
        <f t="array" ref="J3174">IFERROR(INDEX('Retirement Calculator'!J:J,MATCH('Isaac 401k'!N3174,'Retirement Calculator'!A:A,0),0),0)</f>
        <v>0</v>
      </c>
      <c r="K3174" s="455">
        <f t="shared" ca="1" si="161"/>
        <v>-374982600.04782015</v>
      </c>
      <c r="L3174" s="455">
        <f t="shared" ca="1" si="162"/>
        <v>-90370806611.524658</v>
      </c>
      <c r="M3174" s="471">
        <f t="shared" si="164"/>
        <v>0.05</v>
      </c>
      <c r="N3174" s="475">
        <f t="shared" si="165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63"/>
        <v>-90370806611.524658</v>
      </c>
      <c r="J3175" s="455">
        <f t="array" ref="J3175">IFERROR(INDEX('Retirement Calculator'!J:J,MATCH('Isaac 401k'!N3175,'Retirement Calculator'!A:A,0),0),0)</f>
        <v>0</v>
      </c>
      <c r="K3175" s="455">
        <f t="shared" ca="1" si="161"/>
        <v>-376545027.54801941</v>
      </c>
      <c r="L3175" s="455">
        <f t="shared" ca="1" si="162"/>
        <v>-90747351639.072678</v>
      </c>
      <c r="M3175" s="471">
        <f t="shared" si="164"/>
        <v>0.05</v>
      </c>
      <c r="N3175" s="475">
        <f t="shared" si="165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63"/>
        <v>-90747351639.072678</v>
      </c>
      <c r="J3176" s="455">
        <f t="array" ref="J3176">IFERROR(INDEX('Retirement Calculator'!J:J,MATCH('Isaac 401k'!N3176,'Retirement Calculator'!A:A,0),0),0)</f>
        <v>0</v>
      </c>
      <c r="K3176" s="455">
        <f t="shared" ca="1" si="161"/>
        <v>-378113965.16280282</v>
      </c>
      <c r="L3176" s="455">
        <f t="shared" ca="1" si="162"/>
        <v>-91125465604.235474</v>
      </c>
      <c r="M3176" s="471">
        <f t="shared" si="164"/>
        <v>0.05</v>
      </c>
      <c r="N3176" s="475">
        <f t="shared" si="165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63"/>
        <v>-91125465604.235474</v>
      </c>
      <c r="J3177" s="455">
        <f t="array" ref="J3177">IFERROR(INDEX('Retirement Calculator'!J:J,MATCH('Isaac 401k'!N3177,'Retirement Calculator'!A:A,0),0),0)</f>
        <v>0</v>
      </c>
      <c r="K3177" s="455">
        <f t="shared" ca="1" si="161"/>
        <v>-379689440.0176478</v>
      </c>
      <c r="L3177" s="455">
        <f t="shared" ca="1" si="162"/>
        <v>-91505155044.253128</v>
      </c>
      <c r="M3177" s="471">
        <f t="shared" si="164"/>
        <v>0.05</v>
      </c>
      <c r="N3177" s="475">
        <f t="shared" si="165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63"/>
        <v>-91505155044.253128</v>
      </c>
      <c r="J3178" s="455">
        <f t="array" ref="J3178">IFERROR(INDEX('Retirement Calculator'!J:J,MATCH('Isaac 401k'!N3178,'Retirement Calculator'!A:A,0),0),0)</f>
        <v>0</v>
      </c>
      <c r="K3178" s="455">
        <f t="shared" ca="1" si="161"/>
        <v>-381271479.35105467</v>
      </c>
      <c r="L3178" s="455">
        <f t="shared" ca="1" si="162"/>
        <v>-91886426523.604187</v>
      </c>
      <c r="M3178" s="471">
        <f t="shared" si="164"/>
        <v>0.05</v>
      </c>
      <c r="N3178" s="475">
        <f t="shared" si="165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63"/>
        <v>-91886426523.604187</v>
      </c>
      <c r="J3179" s="455">
        <f t="array" ref="J3179">IFERROR(INDEX('Retirement Calculator'!J:J,MATCH('Isaac 401k'!N3179,'Retirement Calculator'!A:A,0),0),0)</f>
        <v>0</v>
      </c>
      <c r="K3179" s="455">
        <f t="shared" ca="1" si="161"/>
        <v>-382860110.51501745</v>
      </c>
      <c r="L3179" s="455">
        <f t="shared" ca="1" si="162"/>
        <v>-92269286634.119202</v>
      </c>
      <c r="M3179" s="471">
        <f t="shared" si="164"/>
        <v>0.05</v>
      </c>
      <c r="N3179" s="475">
        <f t="shared" si="165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63"/>
        <v>-92269286634.119202</v>
      </c>
      <c r="J3180" s="455">
        <f t="array" ref="J3180">IFERROR(INDEX('Retirement Calculator'!J:J,MATCH('Isaac 401k'!N3180,'Retirement Calculator'!A:A,0),0),0)</f>
        <v>0</v>
      </c>
      <c r="K3180" s="455">
        <f t="shared" ca="1" si="161"/>
        <v>-384455360.97549665</v>
      </c>
      <c r="L3180" s="455">
        <f t="shared" ca="1" si="162"/>
        <v>-92653741995.094696</v>
      </c>
      <c r="M3180" s="471">
        <f t="shared" si="164"/>
        <v>0.05</v>
      </c>
      <c r="N3180" s="475">
        <f t="shared" si="165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63"/>
        <v>-92653741995.094696</v>
      </c>
      <c r="J3181" s="455">
        <f t="array" ref="J3181">IFERROR(INDEX('Retirement Calculator'!J:J,MATCH('Isaac 401k'!N3181,'Retirement Calculator'!A:A,0),0),0)</f>
        <v>0</v>
      </c>
      <c r="K3181" s="455">
        <f t="shared" ca="1" si="161"/>
        <v>-386057258.31289458</v>
      </c>
      <c r="L3181" s="455">
        <f t="shared" ca="1" si="162"/>
        <v>-93039799253.407593</v>
      </c>
      <c r="M3181" s="471">
        <f t="shared" si="164"/>
        <v>0.05</v>
      </c>
      <c r="N3181" s="475">
        <f t="shared" si="165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63"/>
        <v>-93039799253.407593</v>
      </c>
      <c r="J3182" s="455">
        <f t="array" ref="J3182">IFERROR(INDEX('Retirement Calculator'!J:J,MATCH('Isaac 401k'!N3182,'Retirement Calculator'!A:A,0),0),0)</f>
        <v>0</v>
      </c>
      <c r="K3182" s="455">
        <f t="shared" ca="1" si="161"/>
        <v>-387665830.22253162</v>
      </c>
      <c r="L3182" s="455">
        <f t="shared" ca="1" si="162"/>
        <v>-93427465083.630127</v>
      </c>
      <c r="M3182" s="471">
        <f t="shared" si="164"/>
        <v>0.05</v>
      </c>
      <c r="N3182" s="475">
        <f t="shared" si="165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63"/>
        <v>-93427465083.630127</v>
      </c>
      <c r="J3183" s="455">
        <f t="array" ref="J3183">IFERROR(INDEX('Retirement Calculator'!J:J,MATCH('Isaac 401k'!N3183,'Retirement Calculator'!A:A,0),0),0)</f>
        <v>0</v>
      </c>
      <c r="K3183" s="455">
        <f t="shared" ca="1" si="161"/>
        <v>-389281104.51512551</v>
      </c>
      <c r="L3183" s="455">
        <f t="shared" ca="1" si="162"/>
        <v>-93816746188.145248</v>
      </c>
      <c r="M3183" s="471">
        <f t="shared" si="164"/>
        <v>0.05</v>
      </c>
      <c r="N3183" s="475">
        <f t="shared" si="165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63"/>
        <v>-93816746188.145248</v>
      </c>
      <c r="J3184" s="455">
        <f t="array" ref="J3184">IFERROR(INDEX('Retirement Calculator'!J:J,MATCH('Isaac 401k'!N3184,'Retirement Calculator'!A:A,0),0),0)</f>
        <v>0</v>
      </c>
      <c r="K3184" s="455">
        <f t="shared" ca="1" si="161"/>
        <v>-390903109.11727184</v>
      </c>
      <c r="L3184" s="455">
        <f t="shared" ca="1" si="162"/>
        <v>-94207649297.262527</v>
      </c>
      <c r="M3184" s="471">
        <f t="shared" si="164"/>
        <v>0.05</v>
      </c>
      <c r="N3184" s="475">
        <f t="shared" si="165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63"/>
        <v>-94207649297.262527</v>
      </c>
      <c r="J3185" s="455">
        <f t="array" ref="J3185">IFERROR(INDEX('Retirement Calculator'!J:J,MATCH('Isaac 401k'!N3185,'Retirement Calculator'!A:A,0),0),0)</f>
        <v>0</v>
      </c>
      <c r="K3185" s="455">
        <f t="shared" ca="1" si="161"/>
        <v>-392531872.07192719</v>
      </c>
      <c r="L3185" s="455">
        <f t="shared" ca="1" si="162"/>
        <v>-94600181169.334457</v>
      </c>
      <c r="M3185" s="471">
        <f t="shared" si="164"/>
        <v>0.05</v>
      </c>
      <c r="N3185" s="475">
        <f t="shared" si="165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63"/>
        <v>-94600181169.334457</v>
      </c>
      <c r="J3186" s="455">
        <f t="array" ref="J3186">IFERROR(INDEX('Retirement Calculator'!J:J,MATCH('Isaac 401k'!N3186,'Retirement Calculator'!A:A,0),0),0)</f>
        <v>0</v>
      </c>
      <c r="K3186" s="455">
        <f t="shared" ca="1" si="161"/>
        <v>-394167421.53889358</v>
      </c>
      <c r="L3186" s="455">
        <f t="shared" ca="1" si="162"/>
        <v>-94994348590.873352</v>
      </c>
      <c r="M3186" s="471">
        <f t="shared" si="164"/>
        <v>0.05</v>
      </c>
      <c r="N3186" s="475">
        <f t="shared" si="165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63"/>
        <v>-94994348590.873352</v>
      </c>
      <c r="J3187" s="455">
        <f t="array" ref="J3187">IFERROR(INDEX('Retirement Calculator'!J:J,MATCH('Isaac 401k'!N3187,'Retirement Calculator'!A:A,0),0),0)</f>
        <v>0</v>
      </c>
      <c r="K3187" s="455">
        <f t="shared" ca="1" si="161"/>
        <v>-395809785.79530561</v>
      </c>
      <c r="L3187" s="455">
        <f t="shared" ca="1" si="162"/>
        <v>-95390158376.668655</v>
      </c>
      <c r="M3187" s="471">
        <f t="shared" si="164"/>
        <v>0.05</v>
      </c>
      <c r="N3187" s="475">
        <f t="shared" si="165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63"/>
        <v>-95390158376.668655</v>
      </c>
      <c r="J3188" s="455">
        <f t="array" ref="J3188">IFERROR(INDEX('Retirement Calculator'!J:J,MATCH('Isaac 401k'!N3188,'Retirement Calculator'!A:A,0),0),0)</f>
        <v>0</v>
      </c>
      <c r="K3188" s="455">
        <f t="shared" ca="1" si="161"/>
        <v>-397458993.23611939</v>
      </c>
      <c r="L3188" s="455">
        <f t="shared" ca="1" si="162"/>
        <v>-95787617369.90477</v>
      </c>
      <c r="M3188" s="471">
        <f t="shared" si="164"/>
        <v>0.05</v>
      </c>
      <c r="N3188" s="475">
        <f t="shared" si="165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63"/>
        <v>-95787617369.90477</v>
      </c>
      <c r="J3189" s="455">
        <f t="array" ref="J3189">IFERROR(INDEX('Retirement Calculator'!J:J,MATCH('Isaac 401k'!N3189,'Retirement Calculator'!A:A,0),0),0)</f>
        <v>0</v>
      </c>
      <c r="K3189" s="455">
        <f t="shared" ca="1" si="161"/>
        <v>-399115072.37460321</v>
      </c>
      <c r="L3189" s="455">
        <f t="shared" ca="1" si="162"/>
        <v>-96186732442.279373</v>
      </c>
      <c r="M3189" s="471">
        <f t="shared" si="164"/>
        <v>0.05</v>
      </c>
      <c r="N3189" s="475">
        <f t="shared" si="165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63"/>
        <v>-96186732442.279373</v>
      </c>
      <c r="J3190" s="455">
        <f t="array" ref="J3190">IFERROR(INDEX('Retirement Calculator'!J:J,MATCH('Isaac 401k'!N3190,'Retirement Calculator'!A:A,0),0),0)</f>
        <v>0</v>
      </c>
      <c r="K3190" s="455">
        <f t="shared" ca="1" si="161"/>
        <v>-400778051.84283072</v>
      </c>
      <c r="L3190" s="455">
        <f t="shared" ca="1" si="162"/>
        <v>-96587510494.122208</v>
      </c>
      <c r="M3190" s="471">
        <f t="shared" si="164"/>
        <v>0.05</v>
      </c>
      <c r="N3190" s="475">
        <f t="shared" si="165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63"/>
        <v>-96587510494.122208</v>
      </c>
      <c r="J3191" s="455">
        <f t="array" ref="J3191">IFERROR(INDEX('Retirement Calculator'!J:J,MATCH('Isaac 401k'!N3191,'Retirement Calculator'!A:A,0),0),0)</f>
        <v>0</v>
      </c>
      <c r="K3191" s="455">
        <f t="shared" ca="1" si="161"/>
        <v>-402447960.39217585</v>
      </c>
      <c r="L3191" s="455">
        <f t="shared" ca="1" si="162"/>
        <v>-96989958454.514389</v>
      </c>
      <c r="M3191" s="471">
        <f t="shared" si="164"/>
        <v>0.05</v>
      </c>
      <c r="N3191" s="475">
        <f t="shared" si="165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63"/>
        <v>-96989958454.514389</v>
      </c>
      <c r="J3192" s="455">
        <f t="array" ref="J3192">IFERROR(INDEX('Retirement Calculator'!J:J,MATCH('Isaac 401k'!N3192,'Retirement Calculator'!A:A,0),0),0)</f>
        <v>0</v>
      </c>
      <c r="K3192" s="455">
        <f t="shared" ca="1" si="161"/>
        <v>-404124826.89380997</v>
      </c>
      <c r="L3192" s="455">
        <f t="shared" ca="1" si="162"/>
        <v>-97394083281.408203</v>
      </c>
      <c r="M3192" s="471">
        <f t="shared" si="164"/>
        <v>0.05</v>
      </c>
      <c r="N3192" s="475">
        <f t="shared" si="165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63"/>
        <v>-97394083281.408203</v>
      </c>
      <c r="J3193" s="455">
        <f t="array" ref="J3193">IFERROR(INDEX('Retirement Calculator'!J:J,MATCH('Isaac 401k'!N3193,'Retirement Calculator'!A:A,0),0),0)</f>
        <v>0</v>
      </c>
      <c r="K3193" s="455">
        <f t="shared" ca="1" si="161"/>
        <v>-405808680.33920085</v>
      </c>
      <c r="L3193" s="455">
        <f t="shared" ca="1" si="162"/>
        <v>-97799891961.747406</v>
      </c>
      <c r="M3193" s="471">
        <f t="shared" si="164"/>
        <v>0.05</v>
      </c>
      <c r="N3193" s="475">
        <f t="shared" si="165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63"/>
        <v>-97799891961.747406</v>
      </c>
      <c r="J3194" s="455">
        <f t="array" ref="J3194">IFERROR(INDEX('Retirement Calculator'!J:J,MATCH('Isaac 401k'!N3194,'Retirement Calculator'!A:A,0),0),0)</f>
        <v>0</v>
      </c>
      <c r="K3194" s="455">
        <f t="shared" ca="1" si="161"/>
        <v>-407499549.8406142</v>
      </c>
      <c r="L3194" s="455">
        <f t="shared" ca="1" si="162"/>
        <v>-98207391511.588013</v>
      </c>
      <c r="M3194" s="471">
        <f t="shared" si="164"/>
        <v>0.05</v>
      </c>
      <c r="N3194" s="475">
        <f t="shared" si="165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63"/>
        <v>-98207391511.588013</v>
      </c>
      <c r="J3195" s="455">
        <f t="array" ref="J3195">IFERROR(INDEX('Retirement Calculator'!J:J,MATCH('Isaac 401k'!N3195,'Retirement Calculator'!A:A,0),0),0)</f>
        <v>0</v>
      </c>
      <c r="K3195" s="455">
        <f t="shared" ca="1" si="161"/>
        <v>-409197464.63161671</v>
      </c>
      <c r="L3195" s="455">
        <f t="shared" ca="1" si="162"/>
        <v>-98616588976.219635</v>
      </c>
      <c r="M3195" s="471">
        <f t="shared" si="164"/>
        <v>0.05</v>
      </c>
      <c r="N3195" s="475">
        <f t="shared" si="165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63"/>
        <v>-98616588976.219635</v>
      </c>
      <c r="J3196" s="455">
        <f t="array" ref="J3196">IFERROR(INDEX('Retirement Calculator'!J:J,MATCH('Isaac 401k'!N3196,'Retirement Calculator'!A:A,0),0),0)</f>
        <v>0</v>
      </c>
      <c r="K3196" s="455">
        <f t="shared" ca="1" si="161"/>
        <v>-410902454.06758183</v>
      </c>
      <c r="L3196" s="455">
        <f t="shared" ca="1" si="162"/>
        <v>-99027491430.287216</v>
      </c>
      <c r="M3196" s="471">
        <f t="shared" si="164"/>
        <v>0.05</v>
      </c>
      <c r="N3196" s="475">
        <f t="shared" si="165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63"/>
        <v>-99027491430.287216</v>
      </c>
      <c r="J3197" s="455">
        <f t="array" ref="J3197">IFERROR(INDEX('Retirement Calculator'!J:J,MATCH('Isaac 401k'!N3197,'Retirement Calculator'!A:A,0),0),0)</f>
        <v>0</v>
      </c>
      <c r="K3197" s="455">
        <f t="shared" ca="1" si="161"/>
        <v>-412614547.62619674</v>
      </c>
      <c r="L3197" s="455">
        <f t="shared" ca="1" si="162"/>
        <v>-99440105977.913406</v>
      </c>
      <c r="M3197" s="471">
        <f t="shared" si="164"/>
        <v>0.05</v>
      </c>
      <c r="N3197" s="475">
        <f t="shared" si="165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63"/>
        <v>-99440105977.913406</v>
      </c>
      <c r="J3198" s="455">
        <f t="array" ref="J3198">IFERROR(INDEX('Retirement Calculator'!J:J,MATCH('Isaac 401k'!N3198,'Retirement Calculator'!A:A,0),0),0)</f>
        <v>0</v>
      </c>
      <c r="K3198" s="455">
        <f t="shared" ca="1" si="161"/>
        <v>-414333774.90797251</v>
      </c>
      <c r="L3198" s="455">
        <f t="shared" ca="1" si="162"/>
        <v>-99854439752.821381</v>
      </c>
      <c r="M3198" s="471">
        <f t="shared" si="164"/>
        <v>0.05</v>
      </c>
      <c r="N3198" s="475">
        <f t="shared" si="165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63"/>
        <v>-99854439752.821381</v>
      </c>
      <c r="J3199" s="455">
        <f t="array" ref="J3199">IFERROR(INDEX('Retirement Calculator'!J:J,MATCH('Isaac 401k'!N3199,'Retirement Calculator'!A:A,0),0),0)</f>
        <v>0</v>
      </c>
      <c r="K3199" s="455">
        <f t="shared" ca="1" si="161"/>
        <v>-416060165.63675576</v>
      </c>
      <c r="L3199" s="455">
        <f t="shared" ca="1" si="162"/>
        <v>-100270499918.45813</v>
      </c>
      <c r="M3199" s="471">
        <f t="shared" si="164"/>
        <v>0.05</v>
      </c>
      <c r="N3199" s="475">
        <f t="shared" si="165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63"/>
        <v>-100270499918.45813</v>
      </c>
      <c r="J3200" s="455">
        <f t="array" ref="J3200">IFERROR(INDEX('Retirement Calculator'!J:J,MATCH('Isaac 401k'!N3200,'Retirement Calculator'!A:A,0),0),0)</f>
        <v>0</v>
      </c>
      <c r="K3200" s="455">
        <f t="shared" ca="1" si="161"/>
        <v>-417793749.6602422</v>
      </c>
      <c r="L3200" s="455">
        <f t="shared" ca="1" si="162"/>
        <v>-100688293668.11838</v>
      </c>
      <c r="M3200" s="471">
        <f t="shared" si="164"/>
        <v>0.05</v>
      </c>
      <c r="N3200" s="475">
        <f t="shared" si="165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63"/>
        <v>-100688293668.11838</v>
      </c>
      <c r="J3201" s="455">
        <f t="array" ref="J3201">IFERROR(INDEX('Retirement Calculator'!J:J,MATCH('Isaac 401k'!N3201,'Retirement Calculator'!A:A,0),0),0)</f>
        <v>0</v>
      </c>
      <c r="K3201" s="455">
        <f t="shared" ca="1" si="161"/>
        <v>-419534556.95049322</v>
      </c>
      <c r="L3201" s="455">
        <f t="shared" ca="1" si="162"/>
        <v>-101107828225.06888</v>
      </c>
      <c r="M3201" s="471">
        <f t="shared" si="164"/>
        <v>0.05</v>
      </c>
      <c r="N3201" s="475">
        <f t="shared" si="165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63"/>
        <v>-101107828225.06888</v>
      </c>
      <c r="J3202" s="455">
        <f t="array" ref="J3202">IFERROR(INDEX('Retirement Calculator'!J:J,MATCH('Isaac 401k'!N3202,'Retirement Calculator'!A:A,0),0),0)</f>
        <v>0</v>
      </c>
      <c r="K3202" s="455">
        <f t="shared" ca="1" si="161"/>
        <v>-421282617.60445368</v>
      </c>
      <c r="L3202" s="455">
        <f t="shared" ca="1" si="162"/>
        <v>-101529110842.67332</v>
      </c>
      <c r="M3202" s="471">
        <f t="shared" si="164"/>
        <v>0.05</v>
      </c>
      <c r="N3202" s="475">
        <f t="shared" si="165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63"/>
        <v>-101529110842.67332</v>
      </c>
      <c r="J3203" s="455">
        <f t="array" ref="J3203">IFERROR(INDEX('Retirement Calculator'!J:J,MATCH('Isaac 401k'!N3203,'Retirement Calculator'!A:A,0),0),0)</f>
        <v>0</v>
      </c>
      <c r="K3203" s="455">
        <f t="shared" ca="1" si="161"/>
        <v>-423037961.84447217</v>
      </c>
      <c r="L3203" s="455">
        <f t="shared" ca="1" si="162"/>
        <v>-101952148804.51779</v>
      </c>
      <c r="M3203" s="471">
        <f t="shared" si="164"/>
        <v>0.05</v>
      </c>
      <c r="N3203" s="475">
        <f t="shared" si="165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63"/>
        <v>-101952148804.51779</v>
      </c>
      <c r="J3204" s="455">
        <f t="array" ref="J3204">IFERROR(INDEX('Retirement Calculator'!J:J,MATCH('Isaac 401k'!N3204,'Retirement Calculator'!A:A,0),0),0)</f>
        <v>0</v>
      </c>
      <c r="K3204" s="455">
        <f t="shared" ca="1" si="161"/>
        <v>-424800620.0188241</v>
      </c>
      <c r="L3204" s="455">
        <f t="shared" ca="1" si="162"/>
        <v>-102376949424.53662</v>
      </c>
      <c r="M3204" s="471">
        <f t="shared" si="164"/>
        <v>0.05</v>
      </c>
      <c r="N3204" s="475">
        <f t="shared" si="165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63"/>
        <v>-102376949424.53662</v>
      </c>
      <c r="J3205" s="455">
        <f t="array" ref="J3205">IFERROR(INDEX('Retirement Calculator'!J:J,MATCH('Isaac 401k'!N3205,'Retirement Calculator'!A:A,0),0),0)</f>
        <v>0</v>
      </c>
      <c r="K3205" s="455">
        <f t="shared" ca="1" si="161"/>
        <v>-426570622.60223591</v>
      </c>
      <c r="L3205" s="455">
        <f t="shared" ca="1" si="162"/>
        <v>-102803520047.13885</v>
      </c>
      <c r="M3205" s="471">
        <f t="shared" si="164"/>
        <v>0.05</v>
      </c>
      <c r="N3205" s="475">
        <f t="shared" si="165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63"/>
        <v>-102803520047.13885</v>
      </c>
      <c r="J3206" s="455">
        <f t="array" ref="J3206">IFERROR(INDEX('Retirement Calculator'!J:J,MATCH('Isaac 401k'!N3206,'Retirement Calculator'!A:A,0),0),0)</f>
        <v>0</v>
      </c>
      <c r="K3206" s="455">
        <f t="shared" ca="1" si="161"/>
        <v>-428348000.19641191</v>
      </c>
      <c r="L3206" s="455">
        <f t="shared" ca="1" si="162"/>
        <v>-103231868047.33527</v>
      </c>
      <c r="M3206" s="471">
        <f t="shared" si="164"/>
        <v>0.05</v>
      </c>
      <c r="N3206" s="475">
        <f t="shared" si="165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63"/>
        <v>-103231868047.33527</v>
      </c>
      <c r="J3207" s="455">
        <f t="array" ref="J3207">IFERROR(INDEX('Retirement Calculator'!J:J,MATCH('Isaac 401k'!N3207,'Retirement Calculator'!A:A,0),0),0)</f>
        <v>0</v>
      </c>
      <c r="K3207" s="455">
        <f t="shared" ca="1" si="161"/>
        <v>-430132783.53056359</v>
      </c>
      <c r="L3207" s="455">
        <f t="shared" ca="1" si="162"/>
        <v>-103662000830.86583</v>
      </c>
      <c r="M3207" s="471">
        <f t="shared" si="164"/>
        <v>0.05</v>
      </c>
      <c r="N3207" s="475">
        <f t="shared" si="165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63"/>
        <v>-103662000830.86583</v>
      </c>
      <c r="J3208" s="455">
        <f t="array" ref="J3208">IFERROR(INDEX('Retirement Calculator'!J:J,MATCH('Isaac 401k'!N3208,'Retirement Calculator'!A:A,0),0),0)</f>
        <v>0</v>
      </c>
      <c r="K3208" s="455">
        <f t="shared" ca="1" si="161"/>
        <v>-431925003.46194094</v>
      </c>
      <c r="L3208" s="455">
        <f t="shared" ca="1" si="162"/>
        <v>-104093925834.32777</v>
      </c>
      <c r="M3208" s="471">
        <f t="shared" si="164"/>
        <v>0.05</v>
      </c>
      <c r="N3208" s="475">
        <f t="shared" si="165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63"/>
        <v>-104093925834.32777</v>
      </c>
      <c r="J3209" s="455">
        <f t="array" ref="J3209">IFERROR(INDEX('Retirement Calculator'!J:J,MATCH('Isaac 401k'!N3209,'Retirement Calculator'!A:A,0),0),0)</f>
        <v>0</v>
      </c>
      <c r="K3209" s="455">
        <f t="shared" ca="1" si="161"/>
        <v>-433724690.97636575</v>
      </c>
      <c r="L3209" s="455">
        <f t="shared" ca="1" si="162"/>
        <v>-104527650525.30414</v>
      </c>
      <c r="M3209" s="471">
        <f t="shared" si="164"/>
        <v>0.05</v>
      </c>
      <c r="N3209" s="475">
        <f t="shared" si="165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63"/>
        <v>-104527650525.30414</v>
      </c>
      <c r="J3210" s="455">
        <f t="array" ref="J3210">IFERROR(INDEX('Retirement Calculator'!J:J,MATCH('Isaac 401k'!N3210,'Retirement Calculator'!A:A,0),0),0)</f>
        <v>0</v>
      </c>
      <c r="K3210" s="455">
        <f t="shared" ca="1" si="161"/>
        <v>-435531877.18876725</v>
      </c>
      <c r="L3210" s="455">
        <f t="shared" ca="1" si="162"/>
        <v>-104963182402.4929</v>
      </c>
      <c r="M3210" s="471">
        <f t="shared" si="164"/>
        <v>0.05</v>
      </c>
      <c r="N3210" s="475">
        <f t="shared" si="165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63"/>
        <v>-104963182402.4929</v>
      </c>
      <c r="J3211" s="455">
        <f t="array" ref="J3211">IFERROR(INDEX('Retirement Calculator'!J:J,MATCH('Isaac 401k'!N3211,'Retirement Calculator'!A:A,0),0),0)</f>
        <v>0</v>
      </c>
      <c r="K3211" s="455">
        <f t="shared" ca="1" si="161"/>
        <v>-437346593.34372044</v>
      </c>
      <c r="L3211" s="455">
        <f t="shared" ca="1" si="162"/>
        <v>-105400528995.83662</v>
      </c>
      <c r="M3211" s="471">
        <f t="shared" si="164"/>
        <v>0.05</v>
      </c>
      <c r="N3211" s="475">
        <f t="shared" si="165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63"/>
        <v>-105400528995.83662</v>
      </c>
      <c r="J3212" s="455">
        <f t="array" ref="J3212">IFERROR(INDEX('Retirement Calculator'!J:J,MATCH('Isaac 401k'!N3212,'Retirement Calculator'!A:A,0),0),0)</f>
        <v>0</v>
      </c>
      <c r="K3212" s="455">
        <f t="shared" ca="1" si="161"/>
        <v>-439168870.81598592</v>
      </c>
      <c r="L3212" s="455">
        <f t="shared" ca="1" si="162"/>
        <v>-105839697866.6526</v>
      </c>
      <c r="M3212" s="471">
        <f t="shared" si="164"/>
        <v>0.05</v>
      </c>
      <c r="N3212" s="475">
        <f t="shared" si="165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63"/>
        <v>-105839697866.6526</v>
      </c>
      <c r="J3213" s="455">
        <f t="array" ref="J3213">IFERROR(INDEX('Retirement Calculator'!J:J,MATCH('Isaac 401k'!N3213,'Retirement Calculator'!A:A,0),0),0)</f>
        <v>0</v>
      </c>
      <c r="K3213" s="455">
        <f t="shared" ca="1" si="161"/>
        <v>-440998741.11105251</v>
      </c>
      <c r="L3213" s="455">
        <f t="shared" ca="1" si="162"/>
        <v>-106280696607.76366</v>
      </c>
      <c r="M3213" s="471">
        <f t="shared" si="164"/>
        <v>0.05</v>
      </c>
      <c r="N3213" s="475">
        <f t="shared" si="165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63"/>
        <v>-106280696607.76366</v>
      </c>
      <c r="J3214" s="455">
        <f t="array" ref="J3214">IFERROR(INDEX('Retirement Calculator'!J:J,MATCH('Isaac 401k'!N3214,'Retirement Calculator'!A:A,0),0),0)</f>
        <v>0</v>
      </c>
      <c r="K3214" s="455">
        <f t="shared" ca="1" si="161"/>
        <v>-442836235.86568189</v>
      </c>
      <c r="L3214" s="455">
        <f t="shared" ca="1" si="162"/>
        <v>-106723532843.62933</v>
      </c>
      <c r="M3214" s="471">
        <f t="shared" si="164"/>
        <v>0.05</v>
      </c>
      <c r="N3214" s="475">
        <f t="shared" si="165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63"/>
        <v>-106723532843.62933</v>
      </c>
      <c r="J3215" s="455">
        <f t="array" ref="J3215">IFERROR(INDEX('Retirement Calculator'!J:J,MATCH('Isaac 401k'!N3215,'Retirement Calculator'!A:A,0),0),0)</f>
        <v>0</v>
      </c>
      <c r="K3215" s="455">
        <f t="shared" ca="1" si="161"/>
        <v>-444681386.84845555</v>
      </c>
      <c r="L3215" s="455">
        <f t="shared" ca="1" si="162"/>
        <v>-107168214230.47778</v>
      </c>
      <c r="M3215" s="471">
        <f t="shared" si="164"/>
        <v>0.05</v>
      </c>
      <c r="N3215" s="475">
        <f t="shared" si="165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63"/>
        <v>-107168214230.47778</v>
      </c>
      <c r="J3216" s="455">
        <f t="array" ref="J3216">IFERROR(INDEX('Retirement Calculator'!J:J,MATCH('Isaac 401k'!N3216,'Retirement Calculator'!A:A,0),0),0)</f>
        <v>0</v>
      </c>
      <c r="K3216" s="455">
        <f t="shared" ca="1" si="161"/>
        <v>-446534225.96032417</v>
      </c>
      <c r="L3216" s="455">
        <f t="shared" ca="1" si="162"/>
        <v>-107614748456.43811</v>
      </c>
      <c r="M3216" s="471">
        <f t="shared" si="164"/>
        <v>0.05</v>
      </c>
      <c r="N3216" s="475">
        <f t="shared" si="165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63"/>
        <v>-107614748456.43811</v>
      </c>
      <c r="J3217" s="455">
        <f t="array" ref="J3217">IFERROR(INDEX('Retirement Calculator'!J:J,MATCH('Isaac 401k'!N3217,'Retirement Calculator'!A:A,0),0),0)</f>
        <v>0</v>
      </c>
      <c r="K3217" s="455">
        <f t="shared" ca="1" si="161"/>
        <v>-448394785.2351588</v>
      </c>
      <c r="L3217" s="455">
        <f t="shared" ca="1" si="162"/>
        <v>-108063143241.67326</v>
      </c>
      <c r="M3217" s="471">
        <f t="shared" si="164"/>
        <v>0.05</v>
      </c>
      <c r="N3217" s="475">
        <f t="shared" si="165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63"/>
        <v>-108063143241.67326</v>
      </c>
      <c r="J3218" s="455">
        <f t="array" ref="J3218">IFERROR(INDEX('Retirement Calculator'!J:J,MATCH('Isaac 401k'!N3218,'Retirement Calculator'!A:A,0),0),0)</f>
        <v>0</v>
      </c>
      <c r="K3218" s="455">
        <f t="shared" ca="1" si="161"/>
        <v>-450263096.84030527</v>
      </c>
      <c r="L3218" s="455">
        <f t="shared" ca="1" si="162"/>
        <v>-108513406338.51357</v>
      </c>
      <c r="M3218" s="471">
        <f t="shared" si="164"/>
        <v>0.05</v>
      </c>
      <c r="N3218" s="475">
        <f t="shared" si="165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63"/>
        <v>-108513406338.51357</v>
      </c>
      <c r="J3219" s="455">
        <f t="array" ref="J3219">IFERROR(INDEX('Retirement Calculator'!J:J,MATCH('Isaac 401k'!N3219,'Retirement Calculator'!A:A,0),0),0)</f>
        <v>0</v>
      </c>
      <c r="K3219" s="455">
        <f t="shared" ca="1" si="161"/>
        <v>-452139193.07713985</v>
      </c>
      <c r="L3219" s="455">
        <f t="shared" ca="1" si="162"/>
        <v>-108965545531.5907</v>
      </c>
      <c r="M3219" s="471">
        <f t="shared" si="164"/>
        <v>0.05</v>
      </c>
      <c r="N3219" s="475">
        <f t="shared" si="165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63"/>
        <v>-108965545531.5907</v>
      </c>
      <c r="J3220" s="455">
        <f t="array" ref="J3220">IFERROR(INDEX('Retirement Calculator'!J:J,MATCH('Isaac 401k'!N3220,'Retirement Calculator'!A:A,0),0),0)</f>
        <v>0</v>
      </c>
      <c r="K3220" s="455">
        <f t="shared" ca="1" si="161"/>
        <v>-454023106.38162792</v>
      </c>
      <c r="L3220" s="455">
        <f t="shared" ca="1" si="162"/>
        <v>-109419568637.97232</v>
      </c>
      <c r="M3220" s="471">
        <f t="shared" si="164"/>
        <v>0.05</v>
      </c>
      <c r="N3220" s="475">
        <f t="shared" si="165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63"/>
        <v>-109419568637.97232</v>
      </c>
      <c r="J3221" s="455">
        <f t="array" ref="J3221">IFERROR(INDEX('Retirement Calculator'!J:J,MATCH('Isaac 401k'!N3221,'Retirement Calculator'!A:A,0),0),0)</f>
        <v>0</v>
      </c>
      <c r="K3221" s="455">
        <f t="shared" ca="1" si="161"/>
        <v>-455914869.32488465</v>
      </c>
      <c r="L3221" s="455">
        <f t="shared" ca="1" si="162"/>
        <v>-109875483507.29721</v>
      </c>
      <c r="M3221" s="471">
        <f t="shared" si="164"/>
        <v>0.05</v>
      </c>
      <c r="N3221" s="475">
        <f t="shared" si="165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63"/>
        <v>-109875483507.29721</v>
      </c>
      <c r="J3222" s="455">
        <f t="array" ref="J3222">IFERROR(INDEX('Retirement Calculator'!J:J,MATCH('Isaac 401k'!N3222,'Retirement Calculator'!A:A,0),0),0)</f>
        <v>0</v>
      </c>
      <c r="K3222" s="455">
        <f t="shared" ca="1" si="161"/>
        <v>-457814514.6137383</v>
      </c>
      <c r="L3222" s="455">
        <f t="shared" ca="1" si="162"/>
        <v>-110333298021.91095</v>
      </c>
      <c r="M3222" s="471">
        <f t="shared" si="164"/>
        <v>0.05</v>
      </c>
      <c r="N3222" s="475">
        <f t="shared" si="165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63"/>
        <v>-110333298021.91095</v>
      </c>
      <c r="J3223" s="455">
        <f t="array" ref="J3223">IFERROR(INDEX('Retirement Calculator'!J:J,MATCH('Isaac 401k'!N3223,'Retirement Calculator'!A:A,0),0),0)</f>
        <v>0</v>
      </c>
      <c r="K3223" s="455">
        <f t="shared" ca="1" si="161"/>
        <v>-459722075.0912956</v>
      </c>
      <c r="L3223" s="455">
        <f t="shared" ca="1" si="162"/>
        <v>-110793020097.00224</v>
      </c>
      <c r="M3223" s="471">
        <f t="shared" si="164"/>
        <v>0.05</v>
      </c>
      <c r="N3223" s="475">
        <f t="shared" si="165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63"/>
        <v>-110793020097.00224</v>
      </c>
      <c r="J3224" s="455">
        <f t="array" ref="J3224">IFERROR(INDEX('Retirement Calculator'!J:J,MATCH('Isaac 401k'!N3224,'Retirement Calculator'!A:A,0),0),0)</f>
        <v>0</v>
      </c>
      <c r="K3224" s="455">
        <f t="shared" ca="1" si="161"/>
        <v>-461637583.73750931</v>
      </c>
      <c r="L3224" s="455">
        <f t="shared" ca="1" si="162"/>
        <v>-111254657680.73975</v>
      </c>
      <c r="M3224" s="471">
        <f t="shared" si="164"/>
        <v>0.05</v>
      </c>
      <c r="N3224" s="475">
        <f t="shared" si="165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63"/>
        <v>-111254657680.73975</v>
      </c>
      <c r="J3225" s="455">
        <f t="array" ref="J3225">IFERROR(INDEX('Retirement Calculator'!J:J,MATCH('Isaac 401k'!N3225,'Retirement Calculator'!A:A,0),0),0)</f>
        <v>0</v>
      </c>
      <c r="K3225" s="455">
        <f t="shared" ca="1" si="161"/>
        <v>-463561073.66974884</v>
      </c>
      <c r="L3225" s="455">
        <f t="shared" ca="1" si="162"/>
        <v>-111718218754.4095</v>
      </c>
      <c r="M3225" s="471">
        <f t="shared" si="164"/>
        <v>0.05</v>
      </c>
      <c r="N3225" s="475">
        <f t="shared" si="165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63"/>
        <v>-111718218754.4095</v>
      </c>
      <c r="J3226" s="455">
        <f t="array" ref="J3226">IFERROR(INDEX('Retirement Calculator'!J:J,MATCH('Isaac 401k'!N3226,'Retirement Calculator'!A:A,0),0),0)</f>
        <v>0</v>
      </c>
      <c r="K3226" s="455">
        <f t="shared" ca="1" si="161"/>
        <v>-465492578.14337283</v>
      </c>
      <c r="L3226" s="455">
        <f t="shared" ca="1" si="162"/>
        <v>-112183711332.55287</v>
      </c>
      <c r="M3226" s="471">
        <f t="shared" si="164"/>
        <v>0.05</v>
      </c>
      <c r="N3226" s="475">
        <f t="shared" si="165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63"/>
        <v>-112183711332.55287</v>
      </c>
      <c r="J3227" s="455">
        <f t="array" ref="J3227">IFERROR(INDEX('Retirement Calculator'!J:J,MATCH('Isaac 401k'!N3227,'Retirement Calculator'!A:A,0),0),0)</f>
        <v>0</v>
      </c>
      <c r="K3227" s="455">
        <f t="shared" ca="1" si="161"/>
        <v>-467432130.55230367</v>
      </c>
      <c r="L3227" s="455">
        <f t="shared" ca="1" si="162"/>
        <v>-112651143463.10518</v>
      </c>
      <c r="M3227" s="471">
        <f t="shared" si="164"/>
        <v>0.05</v>
      </c>
      <c r="N3227" s="475">
        <f t="shared" si="165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63"/>
        <v>-112651143463.10518</v>
      </c>
      <c r="J3228" s="455">
        <f t="array" ref="J3228">IFERROR(INDEX('Retirement Calculator'!J:J,MATCH('Isaac 401k'!N3228,'Retirement Calculator'!A:A,0),0),0)</f>
        <v>0</v>
      </c>
      <c r="K3228" s="455">
        <f t="shared" ca="1" si="161"/>
        <v>-469379764.42960495</v>
      </c>
      <c r="L3228" s="455">
        <f t="shared" ca="1" si="162"/>
        <v>-113120523227.53479</v>
      </c>
      <c r="M3228" s="471">
        <f t="shared" si="164"/>
        <v>0.05</v>
      </c>
      <c r="N3228" s="475">
        <f t="shared" si="165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63"/>
        <v>-113120523227.53479</v>
      </c>
      <c r="J3229" s="455">
        <f t="array" ref="J3229">IFERROR(INDEX('Retirement Calculator'!J:J,MATCH('Isaac 401k'!N3229,'Retirement Calculator'!A:A,0),0),0)</f>
        <v>0</v>
      </c>
      <c r="K3229" s="455">
        <f t="shared" ca="1" si="161"/>
        <v>-471335513.44806165</v>
      </c>
      <c r="L3229" s="455">
        <f t="shared" ca="1" si="162"/>
        <v>-113591858740.98285</v>
      </c>
      <c r="M3229" s="471">
        <f t="shared" si="164"/>
        <v>0.05</v>
      </c>
      <c r="N3229" s="475">
        <f t="shared" si="165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63"/>
        <v>-113591858740.98285</v>
      </c>
      <c r="J3230" s="455">
        <f t="array" ref="J3230">IFERROR(INDEX('Retirement Calculator'!J:J,MATCH('Isaac 401k'!N3230,'Retirement Calculator'!A:A,0),0),0)</f>
        <v>0</v>
      </c>
      <c r="K3230" s="455">
        <f t="shared" ca="1" si="161"/>
        <v>-473299411.42076188</v>
      </c>
      <c r="L3230" s="455">
        <f t="shared" ca="1" si="162"/>
        <v>-114065158152.40361</v>
      </c>
      <c r="M3230" s="471">
        <f t="shared" si="164"/>
        <v>0.05</v>
      </c>
      <c r="N3230" s="475">
        <f t="shared" si="165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63"/>
        <v>-114065158152.40361</v>
      </c>
      <c r="J3231" s="455">
        <f t="array" ref="J3231">IFERROR(INDEX('Retirement Calculator'!J:J,MATCH('Isaac 401k'!N3231,'Retirement Calculator'!A:A,0),0),0)</f>
        <v>0</v>
      </c>
      <c r="K3231" s="455">
        <f t="shared" ca="1" si="161"/>
        <v>-475271492.3016817</v>
      </c>
      <c r="L3231" s="455">
        <f t="shared" ca="1" si="162"/>
        <v>-114540429644.70529</v>
      </c>
      <c r="M3231" s="471">
        <f t="shared" si="164"/>
        <v>0.05</v>
      </c>
      <c r="N3231" s="475">
        <f t="shared" si="165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63"/>
        <v>-114540429644.70529</v>
      </c>
      <c r="J3232" s="455">
        <f t="array" ref="J3232">IFERROR(INDEX('Retirement Calculator'!J:J,MATCH('Isaac 401k'!N3232,'Retirement Calculator'!A:A,0),0),0)</f>
        <v>0</v>
      </c>
      <c r="K3232" s="455">
        <f t="shared" ca="1" si="161"/>
        <v>-477251790.18627203</v>
      </c>
      <c r="L3232" s="455">
        <f t="shared" ca="1" si="162"/>
        <v>-115017681434.89157</v>
      </c>
      <c r="M3232" s="471">
        <f t="shared" si="164"/>
        <v>0.05</v>
      </c>
      <c r="N3232" s="475">
        <f t="shared" si="165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63"/>
        <v>-115017681434.89157</v>
      </c>
      <c r="J3233" s="455">
        <f t="array" ref="J3233">IFERROR(INDEX('Retirement Calculator'!J:J,MATCH('Isaac 401k'!N3233,'Retirement Calculator'!A:A,0),0),0)</f>
        <v>0</v>
      </c>
      <c r="K3233" s="455">
        <f t="shared" ca="1" si="161"/>
        <v>-479240339.31204826</v>
      </c>
      <c r="L3233" s="455">
        <f t="shared" ca="1" si="162"/>
        <v>-115496921774.20361</v>
      </c>
      <c r="M3233" s="471">
        <f t="shared" si="164"/>
        <v>0.05</v>
      </c>
      <c r="N3233" s="475">
        <f t="shared" si="165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63"/>
        <v>-115496921774.20361</v>
      </c>
      <c r="J3234" s="455">
        <f t="array" ref="J3234">IFERROR(INDEX('Retirement Calculator'!J:J,MATCH('Isaac 401k'!N3234,'Retirement Calculator'!A:A,0),0),0)</f>
        <v>0</v>
      </c>
      <c r="K3234" s="455">
        <f t="shared" ca="1" si="161"/>
        <v>-481237174.05918175</v>
      </c>
      <c r="L3234" s="455">
        <f t="shared" ca="1" si="162"/>
        <v>-115978158948.2628</v>
      </c>
      <c r="M3234" s="471">
        <f t="shared" si="164"/>
        <v>0.05</v>
      </c>
      <c r="N3234" s="475">
        <f t="shared" si="165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63"/>
        <v>-115978158948.2628</v>
      </c>
      <c r="J3235" s="455">
        <f t="array" ref="J3235">IFERROR(INDEX('Retirement Calculator'!J:J,MATCH('Isaac 401k'!N3235,'Retirement Calculator'!A:A,0),0),0)</f>
        <v>0</v>
      </c>
      <c r="K3235" s="455">
        <f t="shared" ca="1" si="161"/>
        <v>-483242328.95109499</v>
      </c>
      <c r="L3235" s="455">
        <f t="shared" ca="1" si="162"/>
        <v>-116461401277.2139</v>
      </c>
      <c r="M3235" s="471">
        <f t="shared" si="164"/>
        <v>0.05</v>
      </c>
      <c r="N3235" s="475">
        <f t="shared" si="165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63"/>
        <v>-116461401277.2139</v>
      </c>
      <c r="J3236" s="455">
        <f t="array" ref="J3236">IFERROR(INDEX('Retirement Calculator'!J:J,MATCH('Isaac 401k'!N3236,'Retirement Calculator'!A:A,0),0),0)</f>
        <v>0</v>
      </c>
      <c r="K3236" s="455">
        <f t="shared" ca="1" si="161"/>
        <v>-485255838.65505791</v>
      </c>
      <c r="L3236" s="455">
        <f t="shared" ca="1" si="162"/>
        <v>-116946657115.86896</v>
      </c>
      <c r="M3236" s="471">
        <f t="shared" si="164"/>
        <v>0.05</v>
      </c>
      <c r="N3236" s="475">
        <f t="shared" si="165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63"/>
        <v>-116946657115.86896</v>
      </c>
      <c r="J3237" s="455">
        <f t="array" ref="J3237">IFERROR(INDEX('Retirement Calculator'!J:J,MATCH('Isaac 401k'!N3237,'Retirement Calculator'!A:A,0),0),0)</f>
        <v>0</v>
      </c>
      <c r="K3237" s="455">
        <f t="shared" ca="1" si="161"/>
        <v>-487277737.98278731</v>
      </c>
      <c r="L3237" s="455">
        <f t="shared" ca="1" si="162"/>
        <v>-117433934853.85175</v>
      </c>
      <c r="M3237" s="471">
        <f t="shared" si="164"/>
        <v>0.05</v>
      </c>
      <c r="N3237" s="475">
        <f t="shared" si="165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63"/>
        <v>-117433934853.85175</v>
      </c>
      <c r="J3238" s="455">
        <f t="array" ref="J3238">IFERROR(INDEX('Retirement Calculator'!J:J,MATCH('Isaac 401k'!N3238,'Retirement Calculator'!A:A,0),0),0)</f>
        <v>0</v>
      </c>
      <c r="K3238" s="455">
        <f t="shared" ca="1" si="161"/>
        <v>-489308061.89104897</v>
      </c>
      <c r="L3238" s="455">
        <f t="shared" ca="1" si="162"/>
        <v>-117923242915.7428</v>
      </c>
      <c r="M3238" s="471">
        <f t="shared" si="164"/>
        <v>0.05</v>
      </c>
      <c r="N3238" s="475">
        <f t="shared" si="165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63"/>
        <v>-117923242915.7428</v>
      </c>
      <c r="J3239" s="455">
        <f t="array" ref="J3239">IFERROR(INDEX('Retirement Calculator'!J:J,MATCH('Isaac 401k'!N3239,'Retirement Calculator'!A:A,0),0),0)</f>
        <v>0</v>
      </c>
      <c r="K3239" s="455">
        <f t="shared" ca="1" si="161"/>
        <v>-491346845.48226166</v>
      </c>
      <c r="L3239" s="455">
        <f t="shared" ca="1" si="162"/>
        <v>-118414589761.22507</v>
      </c>
      <c r="M3239" s="471">
        <f t="shared" si="164"/>
        <v>0.05</v>
      </c>
      <c r="N3239" s="475">
        <f t="shared" si="165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63"/>
        <v>-118414589761.22507</v>
      </c>
      <c r="J3240" s="455">
        <f t="array" ref="J3240">IFERROR(INDEX('Retirement Calculator'!J:J,MATCH('Isaac 401k'!N3240,'Retirement Calculator'!A:A,0),0),0)</f>
        <v>0</v>
      </c>
      <c r="K3240" s="455">
        <f t="shared" ca="1" si="161"/>
        <v>-493394124.00510448</v>
      </c>
      <c r="L3240" s="455">
        <f t="shared" ca="1" si="162"/>
        <v>-118907983885.23018</v>
      </c>
      <c r="M3240" s="471">
        <f t="shared" si="164"/>
        <v>0.05</v>
      </c>
      <c r="N3240" s="475">
        <f t="shared" si="165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63"/>
        <v>-118907983885.23018</v>
      </c>
      <c r="J3241" s="455">
        <f t="array" ref="J3241">IFERROR(INDEX('Retirement Calculator'!J:J,MATCH('Isaac 401k'!N3241,'Retirement Calculator'!A:A,0),0),0)</f>
        <v>0</v>
      </c>
      <c r="K3241" s="455">
        <f t="shared" ca="1" si="161"/>
        <v>-495449932.85512573</v>
      </c>
      <c r="L3241" s="455">
        <f t="shared" ca="1" si="162"/>
        <v>-119403433818.08531</v>
      </c>
      <c r="M3241" s="471">
        <f t="shared" si="164"/>
        <v>0.05</v>
      </c>
      <c r="N3241" s="475">
        <f t="shared" si="165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63"/>
        <v>-119403433818.08531</v>
      </c>
      <c r="J3242" s="455">
        <f t="array" ref="J3242">IFERROR(INDEX('Retirement Calculator'!J:J,MATCH('Isaac 401k'!N3242,'Retirement Calculator'!A:A,0),0),0)</f>
        <v>0</v>
      </c>
      <c r="K3242" s="455">
        <f t="shared" ca="1" si="161"/>
        <v>-497514307.57535547</v>
      </c>
      <c r="L3242" s="455">
        <f t="shared" ca="1" si="162"/>
        <v>-119900948125.66066</v>
      </c>
      <c r="M3242" s="471">
        <f t="shared" si="164"/>
        <v>0.05</v>
      </c>
      <c r="N3242" s="475">
        <f t="shared" si="165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63"/>
        <v>-119900948125.66066</v>
      </c>
      <c r="J3243" s="455">
        <f t="array" ref="J3243">IFERROR(INDEX('Retirement Calculator'!J:J,MATCH('Isaac 401k'!N3243,'Retirement Calculator'!A:A,0),0),0)</f>
        <v>0</v>
      </c>
      <c r="K3243" s="455">
        <f t="shared" ca="1" si="161"/>
        <v>-499587283.85691941</v>
      </c>
      <c r="L3243" s="455">
        <f t="shared" ca="1" si="162"/>
        <v>-120400535409.51758</v>
      </c>
      <c r="M3243" s="471">
        <f t="shared" si="164"/>
        <v>0.05</v>
      </c>
      <c r="N3243" s="475">
        <f t="shared" si="165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63"/>
        <v>-120400535409.51758</v>
      </c>
      <c r="J3244" s="455">
        <f t="array" ref="J3244">IFERROR(INDEX('Retirement Calculator'!J:J,MATCH('Isaac 401k'!N3244,'Retirement Calculator'!A:A,0),0),0)</f>
        <v>0</v>
      </c>
      <c r="K3244" s="455">
        <f t="shared" ca="1" si="161"/>
        <v>-501668897.53965658</v>
      </c>
      <c r="L3244" s="455">
        <f t="shared" ca="1" si="162"/>
        <v>-120902204307.05724</v>
      </c>
      <c r="M3244" s="471">
        <f t="shared" si="164"/>
        <v>0.05</v>
      </c>
      <c r="N3244" s="475">
        <f t="shared" si="165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63"/>
        <v>-120902204307.05724</v>
      </c>
      <c r="J3245" s="455">
        <f t="array" ref="J3245">IFERROR(INDEX('Retirement Calculator'!J:J,MATCH('Isaac 401k'!N3245,'Retirement Calculator'!A:A,0),0),0)</f>
        <v>0</v>
      </c>
      <c r="K3245" s="455">
        <f t="shared" ca="1" si="161"/>
        <v>-503759184.61273849</v>
      </c>
      <c r="L3245" s="455">
        <f t="shared" ca="1" si="162"/>
        <v>-121405963491.66997</v>
      </c>
      <c r="M3245" s="471">
        <f t="shared" si="164"/>
        <v>0.05</v>
      </c>
      <c r="N3245" s="475">
        <f t="shared" si="165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63"/>
        <v>-121405963491.66997</v>
      </c>
      <c r="J3246" s="455">
        <f t="array" ref="J3246">IFERROR(INDEX('Retirement Calculator'!J:J,MATCH('Isaac 401k'!N3246,'Retirement Calculator'!A:A,0),0),0)</f>
        <v>0</v>
      </c>
      <c r="K3246" s="455">
        <f t="shared" ca="1" si="161"/>
        <v>-505858181.2152915</v>
      </c>
      <c r="L3246" s="455">
        <f t="shared" ca="1" si="162"/>
        <v>-121911821672.88525</v>
      </c>
      <c r="M3246" s="471">
        <f t="shared" si="164"/>
        <v>0.05</v>
      </c>
      <c r="N3246" s="475">
        <f t="shared" si="165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63"/>
        <v>-121911821672.88525</v>
      </c>
      <c r="J3247" s="455">
        <f t="array" ref="J3247">IFERROR(INDEX('Retirement Calculator'!J:J,MATCH('Isaac 401k'!N3247,'Retirement Calculator'!A:A,0),0),0)</f>
        <v>0</v>
      </c>
      <c r="K3247" s="455">
        <f t="shared" ca="1" si="161"/>
        <v>-507965923.63702184</v>
      </c>
      <c r="L3247" s="455">
        <f t="shared" ca="1" si="162"/>
        <v>-122419787596.52228</v>
      </c>
      <c r="M3247" s="471">
        <f t="shared" si="164"/>
        <v>0.05</v>
      </c>
      <c r="N3247" s="475">
        <f t="shared" si="165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63"/>
        <v>-122419787596.52228</v>
      </c>
      <c r="J3248" s="455">
        <f t="array" ref="J3248">IFERROR(INDEX('Retirement Calculator'!J:J,MATCH('Isaac 401k'!N3248,'Retirement Calculator'!A:A,0),0),0)</f>
        <v>0</v>
      </c>
      <c r="K3248" s="455">
        <f t="shared" ca="1" si="161"/>
        <v>-510082448.31884283</v>
      </c>
      <c r="L3248" s="455">
        <f t="shared" ca="1" si="162"/>
        <v>-122929870044.84113</v>
      </c>
      <c r="M3248" s="471">
        <f t="shared" si="164"/>
        <v>0.05</v>
      </c>
      <c r="N3248" s="475">
        <f t="shared" si="165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63"/>
        <v>-122929870044.84113</v>
      </c>
      <c r="J3249" s="455">
        <f t="array" ref="J3249">IFERROR(INDEX('Retirement Calculator'!J:J,MATCH('Isaac 401k'!N3249,'Retirement Calculator'!A:A,0),0),0)</f>
        <v>0</v>
      </c>
      <c r="K3249" s="455">
        <f t="shared" ca="1" si="161"/>
        <v>-512207791.85350466</v>
      </c>
      <c r="L3249" s="455">
        <f t="shared" ca="1" si="162"/>
        <v>-123442077836.69463</v>
      </c>
      <c r="M3249" s="471">
        <f t="shared" si="164"/>
        <v>0.05</v>
      </c>
      <c r="N3249" s="475">
        <f t="shared" si="165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63"/>
        <v>-123442077836.69463</v>
      </c>
      <c r="J3250" s="455">
        <f t="array" ref="J3250">IFERROR(INDEX('Retirement Calculator'!J:J,MATCH('Isaac 401k'!N3250,'Retirement Calculator'!A:A,0),0),0)</f>
        <v>0</v>
      </c>
      <c r="K3250" s="455">
        <f t="shared" ca="1" si="161"/>
        <v>-514341990.98622769</v>
      </c>
      <c r="L3250" s="455">
        <f t="shared" ca="1" si="162"/>
        <v>-123956419827.68085</v>
      </c>
      <c r="M3250" s="471">
        <f t="shared" si="164"/>
        <v>0.05</v>
      </c>
      <c r="N3250" s="475">
        <f t="shared" si="165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63"/>
        <v>-123956419827.68085</v>
      </c>
      <c r="J3251" s="455">
        <f t="array" ref="J3251">IFERROR(INDEX('Retirement Calculator'!J:J,MATCH('Isaac 401k'!N3251,'Retirement Calculator'!A:A,0),0),0)</f>
        <v>0</v>
      </c>
      <c r="K3251" s="455">
        <f t="shared" ca="1" si="161"/>
        <v>-516485082.61533684</v>
      </c>
      <c r="L3251" s="455">
        <f t="shared" ca="1" si="162"/>
        <v>-124472904910.29619</v>
      </c>
      <c r="M3251" s="471">
        <f t="shared" si="164"/>
        <v>0.05</v>
      </c>
      <c r="N3251" s="475">
        <f t="shared" si="165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63"/>
        <v>-124472904910.29619</v>
      </c>
      <c r="J3252" s="455">
        <f t="array" ref="J3252">IFERROR(INDEX('Retirement Calculator'!J:J,MATCH('Isaac 401k'!N3252,'Retirement Calculator'!A:A,0),0),0)</f>
        <v>0</v>
      </c>
      <c r="K3252" s="455">
        <f t="shared" ca="1" si="161"/>
        <v>-518637103.7929008</v>
      </c>
      <c r="L3252" s="455">
        <f t="shared" ca="1" si="162"/>
        <v>-124991542014.0891</v>
      </c>
      <c r="M3252" s="471">
        <f t="shared" si="164"/>
        <v>0.05</v>
      </c>
      <c r="N3252" s="475">
        <f t="shared" si="165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63"/>
        <v>-124991542014.0891</v>
      </c>
      <c r="J3253" s="455">
        <f t="array" ref="J3253">IFERROR(INDEX('Retirement Calculator'!J:J,MATCH('Isaac 401k'!N3253,'Retirement Calculator'!A:A,0),0),0)</f>
        <v>0</v>
      </c>
      <c r="K3253" s="455">
        <f t="shared" ca="1" si="161"/>
        <v>-520798091.7253713</v>
      </c>
      <c r="L3253" s="455">
        <f t="shared" ca="1" si="162"/>
        <v>-125512340105.81447</v>
      </c>
      <c r="M3253" s="471">
        <f t="shared" si="164"/>
        <v>0.05</v>
      </c>
      <c r="N3253" s="475">
        <f t="shared" si="165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63"/>
        <v>-125512340105.81447</v>
      </c>
      <c r="J3254" s="455">
        <f t="array" ref="J3254">IFERROR(INDEX('Retirement Calculator'!J:J,MATCH('Isaac 401k'!N3254,'Retirement Calculator'!A:A,0),0),0)</f>
        <v>0</v>
      </c>
      <c r="K3254" s="455">
        <f t="shared" ca="1" si="161"/>
        <v>-522968083.77422702</v>
      </c>
      <c r="L3254" s="455">
        <f t="shared" ca="1" si="162"/>
        <v>-126035308189.5887</v>
      </c>
      <c r="M3254" s="471">
        <f t="shared" si="164"/>
        <v>0.05</v>
      </c>
      <c r="N3254" s="475">
        <f t="shared" si="165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63"/>
        <v>-126035308189.5887</v>
      </c>
      <c r="J3255" s="455">
        <f t="array" ref="J3255">IFERROR(INDEX('Retirement Calculator'!J:J,MATCH('Isaac 401k'!N3255,'Retirement Calculator'!A:A,0),0),0)</f>
        <v>0</v>
      </c>
      <c r="K3255" s="455">
        <f t="shared" ca="1" si="161"/>
        <v>-525147117.45661956</v>
      </c>
      <c r="L3255" s="455">
        <f t="shared" ca="1" si="162"/>
        <v>-126560455307.04532</v>
      </c>
      <c r="M3255" s="471">
        <f t="shared" si="164"/>
        <v>0.05</v>
      </c>
      <c r="N3255" s="475">
        <f t="shared" si="165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63"/>
        <v>-126560455307.04532</v>
      </c>
      <c r="J3256" s="455">
        <f t="array" ref="J3256">IFERROR(INDEX('Retirement Calculator'!J:J,MATCH('Isaac 401k'!N3256,'Retirement Calculator'!A:A,0),0),0)</f>
        <v>0</v>
      </c>
      <c r="K3256" s="455">
        <f t="shared" ca="1" si="161"/>
        <v>-527335230.44602215</v>
      </c>
      <c r="L3256" s="455">
        <f t="shared" ca="1" si="162"/>
        <v>-127087790537.49135</v>
      </c>
      <c r="M3256" s="471">
        <f t="shared" si="164"/>
        <v>0.05</v>
      </c>
      <c r="N3256" s="475">
        <f t="shared" si="165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63"/>
        <v>-127087790537.49135</v>
      </c>
      <c r="J3257" s="455">
        <f t="array" ref="J3257">IFERROR(INDEX('Retirement Calculator'!J:J,MATCH('Isaac 401k'!N3257,'Retirement Calculator'!A:A,0),0),0)</f>
        <v>0</v>
      </c>
      <c r="K3257" s="455">
        <f t="shared" ca="1" si="161"/>
        <v>-529532460.57288057</v>
      </c>
      <c r="L3257" s="455">
        <f t="shared" ca="1" si="162"/>
        <v>-127617322998.06422</v>
      </c>
      <c r="M3257" s="471">
        <f t="shared" si="164"/>
        <v>0.05</v>
      </c>
      <c r="N3257" s="475">
        <f t="shared" si="165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63"/>
        <v>-127617322998.06422</v>
      </c>
      <c r="J3258" s="455">
        <f t="array" ref="J3258">IFERROR(INDEX('Retirement Calculator'!J:J,MATCH('Isaac 401k'!N3258,'Retirement Calculator'!A:A,0),0),0)</f>
        <v>0</v>
      </c>
      <c r="K3258" s="455">
        <f t="shared" ca="1" si="161"/>
        <v>-531738845.82526767</v>
      </c>
      <c r="L3258" s="455">
        <f t="shared" ca="1" si="162"/>
        <v>-128149061843.8895</v>
      </c>
      <c r="M3258" s="471">
        <f t="shared" si="164"/>
        <v>0.05</v>
      </c>
      <c r="N3258" s="475">
        <f t="shared" si="165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63"/>
        <v>-128149061843.8895</v>
      </c>
      <c r="J3259" s="455">
        <f t="array" ref="J3259">IFERROR(INDEX('Retirement Calculator'!J:J,MATCH('Isaac 401k'!N3259,'Retirement Calculator'!A:A,0),0),0)</f>
        <v>0</v>
      </c>
      <c r="K3259" s="455">
        <f t="shared" ca="1" si="161"/>
        <v>-533954424.34953958</v>
      </c>
      <c r="L3259" s="455">
        <f t="shared" ca="1" si="162"/>
        <v>-128683016268.23903</v>
      </c>
      <c r="M3259" s="471">
        <f t="shared" si="164"/>
        <v>0.05</v>
      </c>
      <c r="N3259" s="475">
        <f t="shared" si="165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63"/>
        <v>-128683016268.23903</v>
      </c>
      <c r="J3260" s="455">
        <f t="array" ref="J3260">IFERROR(INDEX('Retirement Calculator'!J:J,MATCH('Isaac 401k'!N3260,'Retirement Calculator'!A:A,0),0),0)</f>
        <v>0</v>
      </c>
      <c r="K3260" s="455">
        <f t="shared" ca="1" si="161"/>
        <v>-536179234.45099592</v>
      </c>
      <c r="L3260" s="455">
        <f t="shared" ca="1" si="162"/>
        <v>-129219195502.69002</v>
      </c>
      <c r="M3260" s="471">
        <f t="shared" si="164"/>
        <v>0.05</v>
      </c>
      <c r="N3260" s="475">
        <f t="shared" si="165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63"/>
        <v>-129219195502.69002</v>
      </c>
      <c r="J3261" s="455">
        <f t="array" ref="J3261">IFERROR(INDEX('Retirement Calculator'!J:J,MATCH('Isaac 401k'!N3261,'Retirement Calculator'!A:A,0),0),0)</f>
        <v>0</v>
      </c>
      <c r="K3261" s="455">
        <f t="shared" ca="1" si="161"/>
        <v>-538413314.59454179</v>
      </c>
      <c r="L3261" s="455">
        <f t="shared" ca="1" si="162"/>
        <v>-129757608817.28456</v>
      </c>
      <c r="M3261" s="471">
        <f t="shared" si="164"/>
        <v>0.05</v>
      </c>
      <c r="N3261" s="475">
        <f t="shared" si="165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63"/>
        <v>-129757608817.28456</v>
      </c>
      <c r="J3262" s="455">
        <f t="array" ref="J3262">IFERROR(INDEX('Retirement Calculator'!J:J,MATCH('Isaac 401k'!N3262,'Retirement Calculator'!A:A,0),0),0)</f>
        <v>0</v>
      </c>
      <c r="K3262" s="455">
        <f t="shared" ca="1" si="161"/>
        <v>-540656703.40535235</v>
      </c>
      <c r="L3262" s="455">
        <f t="shared" ca="1" si="162"/>
        <v>-130298265520.68991</v>
      </c>
      <c r="M3262" s="471">
        <f t="shared" si="164"/>
        <v>0.05</v>
      </c>
      <c r="N3262" s="475">
        <f t="shared" si="165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63"/>
        <v>-130298265520.68991</v>
      </c>
      <c r="J3263" s="455">
        <f t="array" ref="J3263">IFERROR(INDEX('Retirement Calculator'!J:J,MATCH('Isaac 401k'!N3263,'Retirement Calculator'!A:A,0),0),0)</f>
        <v>0</v>
      </c>
      <c r="K3263" s="455">
        <f t="shared" ca="1" si="161"/>
        <v>-542909439.66954124</v>
      </c>
      <c r="L3263" s="455">
        <f t="shared" ca="1" si="162"/>
        <v>-130841174960.35945</v>
      </c>
      <c r="M3263" s="471">
        <f t="shared" si="164"/>
        <v>0.05</v>
      </c>
      <c r="N3263" s="475">
        <f t="shared" si="165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63"/>
        <v>-130841174960.35945</v>
      </c>
      <c r="J3264" s="455">
        <f t="array" ref="J3264">IFERROR(INDEX('Retirement Calculator'!J:J,MATCH('Isaac 401k'!N3264,'Retirement Calculator'!A:A,0),0),0)</f>
        <v>0</v>
      </c>
      <c r="K3264" s="455">
        <f t="shared" ca="1" si="161"/>
        <v>-545171562.334831</v>
      </c>
      <c r="L3264" s="455">
        <f t="shared" ca="1" si="162"/>
        <v>-131386346522.69427</v>
      </c>
      <c r="M3264" s="471">
        <f t="shared" si="164"/>
        <v>0.05</v>
      </c>
      <c r="N3264" s="475">
        <f t="shared" si="165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63"/>
        <v>-131386346522.69427</v>
      </c>
      <c r="J3265" s="455">
        <f t="array" ref="J3265">IFERROR(INDEX('Retirement Calculator'!J:J,MATCH('Isaac 401k'!N3265,'Retirement Calculator'!A:A,0),0),0)</f>
        <v>0</v>
      </c>
      <c r="K3265" s="455">
        <f t="shared" ca="1" si="161"/>
        <v>-547443110.51122618</v>
      </c>
      <c r="L3265" s="455">
        <f t="shared" ca="1" si="162"/>
        <v>-131933789633.20551</v>
      </c>
      <c r="M3265" s="471">
        <f t="shared" si="164"/>
        <v>0.05</v>
      </c>
      <c r="N3265" s="475">
        <f t="shared" si="165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63"/>
        <v>-131933789633.20551</v>
      </c>
      <c r="J3266" s="455">
        <f t="array" ref="J3266">IFERROR(INDEX('Retirement Calculator'!J:J,MATCH('Isaac 401k'!N3266,'Retirement Calculator'!A:A,0),0),0)</f>
        <v>0</v>
      </c>
      <c r="K3266" s="455">
        <f t="shared" ca="1" si="161"/>
        <v>-549724123.47168958</v>
      </c>
      <c r="L3266" s="455">
        <f t="shared" ca="1" si="162"/>
        <v>-132483513756.6772</v>
      </c>
      <c r="M3266" s="471">
        <f t="shared" si="164"/>
        <v>0.05</v>
      </c>
      <c r="N3266" s="475">
        <f t="shared" si="165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63"/>
        <v>-132483513756.6772</v>
      </c>
      <c r="J3267" s="455">
        <f t="array" ref="J3267">IFERROR(INDEX('Retirement Calculator'!J:J,MATCH('Isaac 401k'!N3267,'Retirement Calculator'!A:A,0),0),0)</f>
        <v>0</v>
      </c>
      <c r="K3267" s="455">
        <f t="shared" ca="1" si="161"/>
        <v>-552014640.65282154</v>
      </c>
      <c r="L3267" s="455">
        <f t="shared" ca="1" si="162"/>
        <v>-133035528397.33002</v>
      </c>
      <c r="M3267" s="471">
        <f t="shared" si="164"/>
        <v>0.05</v>
      </c>
      <c r="N3267" s="475">
        <f t="shared" si="165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63"/>
        <v>-133035528397.33002</v>
      </c>
      <c r="J3268" s="455">
        <f t="array" ref="J3268">IFERROR(INDEX('Retirement Calculator'!J:J,MATCH('Isaac 401k'!N3268,'Retirement Calculator'!A:A,0),0),0)</f>
        <v>0</v>
      </c>
      <c r="K3268" s="455">
        <f t="shared" ca="1" si="161"/>
        <v>-554314701.65554166</v>
      </c>
      <c r="L3268" s="455">
        <f t="shared" ca="1" si="162"/>
        <v>-133589843098.98557</v>
      </c>
      <c r="M3268" s="471">
        <f t="shared" si="164"/>
        <v>0.05</v>
      </c>
      <c r="N3268" s="475">
        <f t="shared" si="165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63"/>
        <v>-133589843098.98557</v>
      </c>
      <c r="J3269" s="455">
        <f t="array" ref="J3269">IFERROR(INDEX('Retirement Calculator'!J:J,MATCH('Isaac 401k'!N3269,'Retirement Calculator'!A:A,0),0),0)</f>
        <v>0</v>
      </c>
      <c r="K3269" s="455">
        <f t="shared" ca="1" si="161"/>
        <v>-556624346.24577308</v>
      </c>
      <c r="L3269" s="455">
        <f t="shared" ca="1" si="162"/>
        <v>-134146467445.23134</v>
      </c>
      <c r="M3269" s="471">
        <f t="shared" si="164"/>
        <v>0.05</v>
      </c>
      <c r="N3269" s="475">
        <f t="shared" si="165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63"/>
        <v>-134146467445.23134</v>
      </c>
      <c r="J3270" s="455">
        <f t="array" ref="J3270">IFERROR(INDEX('Retirement Calculator'!J:J,MATCH('Isaac 401k'!N3270,'Retirement Calculator'!A:A,0),0),0)</f>
        <v>0</v>
      </c>
      <c r="K3270" s="455">
        <f t="shared" ca="1" si="161"/>
        <v>-558943614.35513055</v>
      </c>
      <c r="L3270" s="455">
        <f t="shared" ca="1" si="162"/>
        <v>-134705411059.58647</v>
      </c>
      <c r="M3270" s="471">
        <f t="shared" si="164"/>
        <v>0.05</v>
      </c>
      <c r="N3270" s="475">
        <f t="shared" si="165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63"/>
        <v>-134705411059.58647</v>
      </c>
      <c r="J3271" s="455">
        <f t="array" ref="J3271">IFERROR(INDEX('Retirement Calculator'!J:J,MATCH('Isaac 401k'!N3271,'Retirement Calculator'!A:A,0),0),0)</f>
        <v>0</v>
      </c>
      <c r="K3271" s="455">
        <f t="shared" ca="1" si="161"/>
        <v>-561272546.08161032</v>
      </c>
      <c r="L3271" s="455">
        <f t="shared" ca="1" si="162"/>
        <v>-135266683605.66808</v>
      </c>
      <c r="M3271" s="471">
        <f t="shared" si="164"/>
        <v>0.05</v>
      </c>
      <c r="N3271" s="475">
        <f t="shared" si="165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63"/>
        <v>-135266683605.66808</v>
      </c>
      <c r="J3272" s="455">
        <f t="array" ref="J3272">IFERROR(INDEX('Retirement Calculator'!J:J,MATCH('Isaac 401k'!N3272,'Retirement Calculator'!A:A,0),0),0)</f>
        <v>0</v>
      </c>
      <c r="K3272" s="455">
        <f t="shared" ca="1" si="161"/>
        <v>-563611181.69028366</v>
      </c>
      <c r="L3272" s="455">
        <f t="shared" ca="1" si="162"/>
        <v>-135830294787.35835</v>
      </c>
      <c r="M3272" s="471">
        <f t="shared" si="164"/>
        <v>0.05</v>
      </c>
      <c r="N3272" s="475">
        <f t="shared" si="165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63"/>
        <v>-135830294787.35835</v>
      </c>
      <c r="J3273" s="455">
        <f t="array" ref="J3273">IFERROR(INDEX('Retirement Calculator'!J:J,MATCH('Isaac 401k'!N3273,'Retirement Calculator'!A:A,0),0),0)</f>
        <v>0</v>
      </c>
      <c r="K3273" s="455">
        <f t="shared" ca="1" si="161"/>
        <v>-565959561.61399317</v>
      </c>
      <c r="L3273" s="455">
        <f t="shared" ca="1" si="162"/>
        <v>-136396254348.97235</v>
      </c>
      <c r="M3273" s="471">
        <f t="shared" si="164"/>
        <v>0.05</v>
      </c>
      <c r="N3273" s="475">
        <f t="shared" si="165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63"/>
        <v>-136396254348.97235</v>
      </c>
      <c r="J3274" s="455">
        <f t="array" ref="J3274">IFERROR(INDEX('Retirement Calculator'!J:J,MATCH('Isaac 401k'!N3274,'Retirement Calculator'!A:A,0),0),0)</f>
        <v>0</v>
      </c>
      <c r="K3274" s="455">
        <f t="shared" ca="1" si="161"/>
        <v>-568317726.45405149</v>
      </c>
      <c r="L3274" s="455">
        <f t="shared" ca="1" si="162"/>
        <v>-136964572075.42641</v>
      </c>
      <c r="M3274" s="471">
        <f t="shared" si="164"/>
        <v>0.05</v>
      </c>
      <c r="N3274" s="475">
        <f t="shared" si="165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63"/>
        <v>-136964572075.42641</v>
      </c>
      <c r="J3275" s="455">
        <f t="array" ref="J3275">IFERROR(INDEX('Retirement Calculator'!J:J,MATCH('Isaac 401k'!N3275,'Retirement Calculator'!A:A,0),0),0)</f>
        <v>0</v>
      </c>
      <c r="K3275" s="455">
        <f t="shared" ca="1" si="161"/>
        <v>-570685716.98094332</v>
      </c>
      <c r="L3275" s="455">
        <f t="shared" ca="1" si="162"/>
        <v>-137535257792.40735</v>
      </c>
      <c r="M3275" s="471">
        <f t="shared" si="164"/>
        <v>0.05</v>
      </c>
      <c r="N3275" s="475">
        <f t="shared" si="165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63"/>
        <v>-137535257792.40735</v>
      </c>
      <c r="J3276" s="455">
        <f t="array" ref="J3276">IFERROR(INDEX('Retirement Calculator'!J:J,MATCH('Isaac 401k'!N3276,'Retirement Calculator'!A:A,0),0),0)</f>
        <v>0</v>
      </c>
      <c r="K3276" s="455">
        <f t="shared" ca="1" si="161"/>
        <v>-573063574.13503063</v>
      </c>
      <c r="L3276" s="455">
        <f t="shared" ca="1" si="162"/>
        <v>-138108321366.54239</v>
      </c>
      <c r="M3276" s="471">
        <f t="shared" si="164"/>
        <v>0.05</v>
      </c>
      <c r="N3276" s="475">
        <f t="shared" si="165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63"/>
        <v>-138108321366.54239</v>
      </c>
      <c r="J3277" s="455">
        <f t="array" ref="J3277">IFERROR(INDEX('Retirement Calculator'!J:J,MATCH('Isaac 401k'!N3277,'Retirement Calculator'!A:A,0),0),0)</f>
        <v>0</v>
      </c>
      <c r="K3277" s="455">
        <f t="shared" ca="1" si="161"/>
        <v>-575451339.02725995</v>
      </c>
      <c r="L3277" s="455">
        <f t="shared" ca="1" si="162"/>
        <v>-138683772705.56964</v>
      </c>
      <c r="M3277" s="471">
        <f t="shared" si="164"/>
        <v>0.05</v>
      </c>
      <c r="N3277" s="475">
        <f t="shared" si="165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63"/>
        <v>-138683772705.56964</v>
      </c>
      <c r="J3278" s="455">
        <f t="array" ref="J3278">IFERROR(INDEX('Retirement Calculator'!J:J,MATCH('Isaac 401k'!N3278,'Retirement Calculator'!A:A,0),0),0)</f>
        <v>0</v>
      </c>
      <c r="K3278" s="455">
        <f t="shared" ca="1" si="161"/>
        <v>-577849052.93987346</v>
      </c>
      <c r="L3278" s="455">
        <f t="shared" ca="1" si="162"/>
        <v>-139261621758.50952</v>
      </c>
      <c r="M3278" s="471">
        <f t="shared" si="164"/>
        <v>0.05</v>
      </c>
      <c r="N3278" s="475">
        <f t="shared" si="165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63"/>
        <v>-139261621758.50952</v>
      </c>
      <c r="J3279" s="455">
        <f t="array" ref="J3279">IFERROR(INDEX('Retirement Calculator'!J:J,MATCH('Isaac 401k'!N3279,'Retirement Calculator'!A:A,0),0),0)</f>
        <v>0</v>
      </c>
      <c r="K3279" s="455">
        <f t="shared" ca="1" si="161"/>
        <v>-580256757.32712305</v>
      </c>
      <c r="L3279" s="455">
        <f t="shared" ca="1" si="162"/>
        <v>-139841878515.83664</v>
      </c>
      <c r="M3279" s="471">
        <f t="shared" si="164"/>
        <v>0.05</v>
      </c>
      <c r="N3279" s="475">
        <f t="shared" si="165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63"/>
        <v>-139841878515.83664</v>
      </c>
      <c r="J3280" s="455">
        <f t="array" ref="J3280">IFERROR(INDEX('Retirement Calculator'!J:J,MATCH('Isaac 401k'!N3280,'Retirement Calculator'!A:A,0),0),0)</f>
        <v>0</v>
      </c>
      <c r="K3280" s="455">
        <f t="shared" ca="1" si="161"/>
        <v>-582674493.81598604</v>
      </c>
      <c r="L3280" s="455">
        <f t="shared" ca="1" si="162"/>
        <v>-140424553009.65262</v>
      </c>
      <c r="M3280" s="471">
        <f t="shared" si="164"/>
        <v>0.05</v>
      </c>
      <c r="N3280" s="475">
        <f t="shared" si="165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63"/>
        <v>-140424553009.65262</v>
      </c>
      <c r="J3281" s="455">
        <f t="array" ref="J3281">IFERROR(INDEX('Retirement Calculator'!J:J,MATCH('Isaac 401k'!N3281,'Retirement Calculator'!A:A,0),0),0)</f>
        <v>0</v>
      </c>
      <c r="K3281" s="455">
        <f t="shared" ca="1" si="161"/>
        <v>-585102304.20688593</v>
      </c>
      <c r="L3281" s="455">
        <f t="shared" ca="1" si="162"/>
        <v>-141009655313.8595</v>
      </c>
      <c r="M3281" s="471">
        <f t="shared" si="164"/>
        <v>0.05</v>
      </c>
      <c r="N3281" s="475">
        <f t="shared" si="165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63"/>
        <v>-141009655313.8595</v>
      </c>
      <c r="J3282" s="455">
        <f t="array" ref="J3282">IFERROR(INDEX('Retirement Calculator'!J:J,MATCH('Isaac 401k'!N3282,'Retirement Calculator'!A:A,0),0),0)</f>
        <v>0</v>
      </c>
      <c r="K3282" s="455">
        <f t="shared" ca="1" si="161"/>
        <v>-587540230.47441459</v>
      </c>
      <c r="L3282" s="455">
        <f t="shared" ca="1" si="162"/>
        <v>-141597195544.33392</v>
      </c>
      <c r="M3282" s="471">
        <f t="shared" si="164"/>
        <v>0.05</v>
      </c>
      <c r="N3282" s="475">
        <f t="shared" si="165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63"/>
        <v>-141597195544.33392</v>
      </c>
      <c r="J3283" s="455">
        <f t="array" ref="J3283">IFERROR(INDEX('Retirement Calculator'!J:J,MATCH('Isaac 401k'!N3283,'Retirement Calculator'!A:A,0),0),0)</f>
        <v>0</v>
      </c>
      <c r="K3283" s="455">
        <f t="shared" ca="1" si="161"/>
        <v>-589988314.76805806</v>
      </c>
      <c r="L3283" s="455">
        <f t="shared" ca="1" si="162"/>
        <v>-142187183859.10199</v>
      </c>
      <c r="M3283" s="471">
        <f t="shared" si="164"/>
        <v>0.05</v>
      </c>
      <c r="N3283" s="475">
        <f t="shared" si="165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63"/>
        <v>-142187183859.10199</v>
      </c>
      <c r="J3284" s="455">
        <f t="array" ref="J3284">IFERROR(INDEX('Retirement Calculator'!J:J,MATCH('Isaac 401k'!N3284,'Retirement Calculator'!A:A,0),0),0)</f>
        <v>0</v>
      </c>
      <c r="K3284" s="455">
        <f t="shared" ca="1" si="161"/>
        <v>-592446599.412925</v>
      </c>
      <c r="L3284" s="455">
        <f t="shared" ca="1" si="162"/>
        <v>-142779630458.51492</v>
      </c>
      <c r="M3284" s="471">
        <f t="shared" si="164"/>
        <v>0.05</v>
      </c>
      <c r="N3284" s="475">
        <f t="shared" si="165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63"/>
        <v>-142779630458.51492</v>
      </c>
      <c r="J3285" s="455">
        <f t="array" ref="J3285">IFERROR(INDEX('Retirement Calculator'!J:J,MATCH('Isaac 401k'!N3285,'Retirement Calculator'!A:A,0),0),0)</f>
        <v>0</v>
      </c>
      <c r="K3285" s="455">
        <f t="shared" ca="1" si="161"/>
        <v>-594915126.91047883</v>
      </c>
      <c r="L3285" s="455">
        <f t="shared" ca="1" si="162"/>
        <v>-143374545585.42542</v>
      </c>
      <c r="M3285" s="471">
        <f t="shared" si="164"/>
        <v>0.05</v>
      </c>
      <c r="N3285" s="475">
        <f t="shared" si="165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63"/>
        <v>-143374545585.42542</v>
      </c>
      <c r="J3286" s="455">
        <f t="array" ref="J3286">IFERROR(INDEX('Retirement Calculator'!J:J,MATCH('Isaac 401k'!N3286,'Retirement Calculator'!A:A,0),0),0)</f>
        <v>0</v>
      </c>
      <c r="K3286" s="455">
        <f t="shared" ca="1" si="161"/>
        <v>-597393939.93927252</v>
      </c>
      <c r="L3286" s="455">
        <f t="shared" ca="1" si="162"/>
        <v>-143971939525.36469</v>
      </c>
      <c r="M3286" s="471">
        <f t="shared" si="164"/>
        <v>0.05</v>
      </c>
      <c r="N3286" s="475">
        <f t="shared" si="165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63"/>
        <v>-143971939525.36469</v>
      </c>
      <c r="J3287" s="455">
        <f t="array" ref="J3287">IFERROR(INDEX('Retirement Calculator'!J:J,MATCH('Isaac 401k'!N3287,'Retirement Calculator'!A:A,0),0),0)</f>
        <v>0</v>
      </c>
      <c r="K3287" s="455">
        <f t="shared" ca="1" si="161"/>
        <v>-599883081.35568619</v>
      </c>
      <c r="L3287" s="455">
        <f t="shared" ca="1" si="162"/>
        <v>-144571822606.72037</v>
      </c>
      <c r="M3287" s="471">
        <f t="shared" si="164"/>
        <v>0.05</v>
      </c>
      <c r="N3287" s="475">
        <f t="shared" si="165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63"/>
        <v>-144571822606.72037</v>
      </c>
      <c r="J3288" s="455">
        <f t="array" ref="J3288">IFERROR(INDEX('Retirement Calculator'!J:J,MATCH('Isaac 401k'!N3288,'Retirement Calculator'!A:A,0),0),0)</f>
        <v>0</v>
      </c>
      <c r="K3288" s="455">
        <f t="shared" ca="1" si="161"/>
        <v>-602382594.19466817</v>
      </c>
      <c r="L3288" s="455">
        <f t="shared" ca="1" si="162"/>
        <v>-145174205200.91504</v>
      </c>
      <c r="M3288" s="471">
        <f t="shared" si="164"/>
        <v>0.05</v>
      </c>
      <c r="N3288" s="475">
        <f t="shared" si="165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63"/>
        <v>-145174205200.91504</v>
      </c>
      <c r="J3289" s="455">
        <f t="array" ref="J3289">IFERROR(INDEX('Retirement Calculator'!J:J,MATCH('Isaac 401k'!N3289,'Retirement Calculator'!A:A,0),0),0)</f>
        <v>0</v>
      </c>
      <c r="K3289" s="455">
        <f t="shared" ca="1" si="161"/>
        <v>-604892521.6704793</v>
      </c>
      <c r="L3289" s="455">
        <f t="shared" ca="1" si="162"/>
        <v>-145779097722.58551</v>
      </c>
      <c r="M3289" s="471">
        <f t="shared" si="164"/>
        <v>0.05</v>
      </c>
      <c r="N3289" s="475">
        <f t="shared" si="165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63"/>
        <v>-145779097722.58551</v>
      </c>
      <c r="J3290" s="455">
        <f t="array" ref="J3290">IFERROR(INDEX('Retirement Calculator'!J:J,MATCH('Isaac 401k'!N3290,'Retirement Calculator'!A:A,0),0),0)</f>
        <v>0</v>
      </c>
      <c r="K3290" s="455">
        <f t="shared" ca="1" si="161"/>
        <v>-607412907.17743957</v>
      </c>
      <c r="L3290" s="455">
        <f t="shared" ca="1" si="162"/>
        <v>-146386510629.76294</v>
      </c>
      <c r="M3290" s="471">
        <f t="shared" si="164"/>
        <v>0.05</v>
      </c>
      <c r="N3290" s="475">
        <f t="shared" si="165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63"/>
        <v>-146386510629.76294</v>
      </c>
      <c r="J3291" s="455">
        <f t="array" ref="J3291">IFERROR(INDEX('Retirement Calculator'!J:J,MATCH('Isaac 401k'!N3291,'Retirement Calculator'!A:A,0),0),0)</f>
        <v>0</v>
      </c>
      <c r="K3291" s="455">
        <f t="shared" ca="1" si="161"/>
        <v>-609943794.29067886</v>
      </c>
      <c r="L3291" s="455">
        <f t="shared" ca="1" si="162"/>
        <v>-146996454424.05362</v>
      </c>
      <c r="M3291" s="471">
        <f t="shared" si="164"/>
        <v>0.05</v>
      </c>
      <c r="N3291" s="475">
        <f t="shared" si="165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63"/>
        <v>-146996454424.05362</v>
      </c>
      <c r="J3292" s="455">
        <f t="array" ref="J3292">IFERROR(INDEX('Retirement Calculator'!J:J,MATCH('Isaac 401k'!N3292,'Retirement Calculator'!A:A,0),0),0)</f>
        <v>0</v>
      </c>
      <c r="K3292" s="455">
        <f t="shared" ca="1" si="161"/>
        <v>-612485226.76689005</v>
      </c>
      <c r="L3292" s="455">
        <f t="shared" ca="1" si="162"/>
        <v>-147608939650.8205</v>
      </c>
      <c r="M3292" s="471">
        <f t="shared" si="164"/>
        <v>0.05</v>
      </c>
      <c r="N3292" s="475">
        <f t="shared" si="165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63"/>
        <v>-147608939650.8205</v>
      </c>
      <c r="J3293" s="455">
        <f t="array" ref="J3293">IFERROR(INDEX('Retirement Calculator'!J:J,MATCH('Isaac 401k'!N3293,'Retirement Calculator'!A:A,0),0),0)</f>
        <v>0</v>
      </c>
      <c r="K3293" s="455">
        <f t="shared" ca="1" si="161"/>
        <v>-615037248.54508543</v>
      </c>
      <c r="L3293" s="455">
        <f t="shared" ca="1" si="162"/>
        <v>-148223976899.36557</v>
      </c>
      <c r="M3293" s="471">
        <f t="shared" si="164"/>
        <v>0.05</v>
      </c>
      <c r="N3293" s="475">
        <f t="shared" si="165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63"/>
        <v>-148223976899.36557</v>
      </c>
      <c r="J3294" s="455">
        <f t="array" ref="J3294">IFERROR(INDEX('Retirement Calculator'!J:J,MATCH('Isaac 401k'!N3294,'Retirement Calculator'!A:A,0),0),0)</f>
        <v>0</v>
      </c>
      <c r="K3294" s="455">
        <f t="shared" ca="1" si="161"/>
        <v>-617599903.74735653</v>
      </c>
      <c r="L3294" s="455">
        <f t="shared" ca="1" si="162"/>
        <v>-148841576803.11292</v>
      </c>
      <c r="M3294" s="471">
        <f t="shared" si="164"/>
        <v>0.05</v>
      </c>
      <c r="N3294" s="475">
        <f t="shared" si="165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63"/>
        <v>-148841576803.11292</v>
      </c>
      <c r="J3295" s="455">
        <f t="array" ref="J3295">IFERROR(INDEX('Retirement Calculator'!J:J,MATCH('Isaac 401k'!N3295,'Retirement Calculator'!A:A,0),0),0)</f>
        <v>0</v>
      </c>
      <c r="K3295" s="455">
        <f t="shared" ca="1" si="161"/>
        <v>-620173236.67963719</v>
      </c>
      <c r="L3295" s="455">
        <f t="shared" ca="1" si="162"/>
        <v>-149461750039.79254</v>
      </c>
      <c r="M3295" s="471">
        <f t="shared" si="164"/>
        <v>0.05</v>
      </c>
      <c r="N3295" s="475">
        <f t="shared" si="165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63"/>
        <v>-149461750039.79254</v>
      </c>
      <c r="J3296" s="455">
        <f t="array" ref="J3296">IFERROR(INDEX('Retirement Calculator'!J:J,MATCH('Isaac 401k'!N3296,'Retirement Calculator'!A:A,0),0),0)</f>
        <v>0</v>
      </c>
      <c r="K3296" s="455">
        <f t="shared" ca="1" si="161"/>
        <v>-622757291.83246887</v>
      </c>
      <c r="L3296" s="455">
        <f t="shared" ca="1" si="162"/>
        <v>-150084507331.625</v>
      </c>
      <c r="M3296" s="471">
        <f t="shared" si="164"/>
        <v>0.05</v>
      </c>
      <c r="N3296" s="475">
        <f t="shared" si="165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63"/>
        <v>-150084507331.625</v>
      </c>
      <c r="J3297" s="455">
        <f t="array" ref="J3297">IFERROR(INDEX('Retirement Calculator'!J:J,MATCH('Isaac 401k'!N3297,'Retirement Calculator'!A:A,0),0),0)</f>
        <v>0</v>
      </c>
      <c r="K3297" s="455">
        <f t="shared" ca="1" si="161"/>
        <v>-625352113.88177085</v>
      </c>
      <c r="L3297" s="455">
        <f t="shared" ca="1" si="162"/>
        <v>-150709859445.50677</v>
      </c>
      <c r="M3297" s="471">
        <f t="shared" si="164"/>
        <v>0.05</v>
      </c>
      <c r="N3297" s="475">
        <f t="shared" si="165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63"/>
        <v>-150709859445.50677</v>
      </c>
      <c r="J3298" s="455">
        <f t="array" ref="J3298">IFERROR(INDEX('Retirement Calculator'!J:J,MATCH('Isaac 401k'!N3298,'Retirement Calculator'!A:A,0),0),0)</f>
        <v>0</v>
      </c>
      <c r="K3298" s="455">
        <f t="shared" ca="1" si="161"/>
        <v>-627957747.68961155</v>
      </c>
      <c r="L3298" s="455">
        <f t="shared" ca="1" si="162"/>
        <v>-151337817193.19638</v>
      </c>
      <c r="M3298" s="471">
        <f t="shared" si="164"/>
        <v>0.05</v>
      </c>
      <c r="N3298" s="475">
        <f t="shared" si="165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63"/>
        <v>-151337817193.19638</v>
      </c>
      <c r="J3299" s="455">
        <f t="array" ref="J3299">IFERROR(INDEX('Retirement Calculator'!J:J,MATCH('Isaac 401k'!N3299,'Retirement Calculator'!A:A,0),0),0)</f>
        <v>0</v>
      </c>
      <c r="K3299" s="455">
        <f t="shared" ca="1" si="161"/>
        <v>-630574238.30498493</v>
      </c>
      <c r="L3299" s="455">
        <f t="shared" ca="1" si="162"/>
        <v>-151968391431.50137</v>
      </c>
      <c r="M3299" s="471">
        <f t="shared" si="164"/>
        <v>0.05</v>
      </c>
      <c r="N3299" s="475">
        <f t="shared" si="165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63"/>
        <v>-151968391431.50137</v>
      </c>
      <c r="J3300" s="455">
        <f t="array" ref="J3300">IFERROR(INDEX('Retirement Calculator'!J:J,MATCH('Isaac 401k'!N3300,'Retirement Calculator'!A:A,0),0),0)</f>
        <v>0</v>
      </c>
      <c r="K3300" s="455">
        <f t="shared" ca="1" si="161"/>
        <v>-633201630.964589</v>
      </c>
      <c r="L3300" s="455">
        <f t="shared" ca="1" si="162"/>
        <v>-152601593062.46597</v>
      </c>
      <c r="M3300" s="471">
        <f t="shared" si="164"/>
        <v>0.05</v>
      </c>
      <c r="N3300" s="475">
        <f t="shared" si="165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63"/>
        <v>-152601593062.46597</v>
      </c>
      <c r="J3301" s="455">
        <f t="array" ref="J3301">IFERROR(INDEX('Retirement Calculator'!J:J,MATCH('Isaac 401k'!N3301,'Retirement Calculator'!A:A,0),0),0)</f>
        <v>0</v>
      </c>
      <c r="K3301" s="455">
        <f t="shared" ca="1" si="161"/>
        <v>-635839971.09360826</v>
      </c>
      <c r="L3301" s="455">
        <f t="shared" ca="1" si="162"/>
        <v>-153237433033.55957</v>
      </c>
      <c r="M3301" s="471">
        <f t="shared" si="164"/>
        <v>0.05</v>
      </c>
      <c r="N3301" s="475">
        <f t="shared" si="165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63"/>
        <v>-153237433033.55957</v>
      </c>
      <c r="J3302" s="455">
        <f t="array" ref="J3302">IFERROR(INDEX('Retirement Calculator'!J:J,MATCH('Isaac 401k'!N3302,'Retirement Calculator'!A:A,0),0),0)</f>
        <v>0</v>
      </c>
      <c r="K3302" s="455">
        <f t="shared" ca="1" si="161"/>
        <v>-638489304.30649817</v>
      </c>
      <c r="L3302" s="455">
        <f t="shared" ca="1" si="162"/>
        <v>-153875922337.86606</v>
      </c>
      <c r="M3302" s="471">
        <f t="shared" si="164"/>
        <v>0.05</v>
      </c>
      <c r="N3302" s="475">
        <f t="shared" si="165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63"/>
        <v>-153875922337.86606</v>
      </c>
      <c r="J3303" s="455">
        <f t="array" ref="J3303">IFERROR(INDEX('Retirement Calculator'!J:J,MATCH('Isaac 401k'!N3303,'Retirement Calculator'!A:A,0),0),0)</f>
        <v>0</v>
      </c>
      <c r="K3303" s="455">
        <f t="shared" ca="1" si="161"/>
        <v>-641149676.40777528</v>
      </c>
      <c r="L3303" s="455">
        <f t="shared" ca="1" si="162"/>
        <v>-154517072014.27383</v>
      </c>
      <c r="M3303" s="471">
        <f t="shared" si="164"/>
        <v>0.05</v>
      </c>
      <c r="N3303" s="475">
        <f t="shared" si="165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63"/>
        <v>-154517072014.27383</v>
      </c>
      <c r="J3304" s="455">
        <f t="array" ref="J3304">IFERROR(INDEX('Retirement Calculator'!J:J,MATCH('Isaac 401k'!N3304,'Retirement Calculator'!A:A,0),0),0)</f>
        <v>0</v>
      </c>
      <c r="K3304" s="455">
        <f t="shared" ca="1" si="161"/>
        <v>-643821133.3928076</v>
      </c>
      <c r="L3304" s="455">
        <f t="shared" ca="1" si="162"/>
        <v>-155160893147.66666</v>
      </c>
      <c r="M3304" s="471">
        <f t="shared" si="164"/>
        <v>0.05</v>
      </c>
      <c r="N3304" s="475">
        <f t="shared" si="165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63"/>
        <v>-155160893147.66666</v>
      </c>
      <c r="J3305" s="455">
        <f t="array" ref="J3305">IFERROR(INDEX('Retirement Calculator'!J:J,MATCH('Isaac 401k'!N3305,'Retirement Calculator'!A:A,0),0),0)</f>
        <v>0</v>
      </c>
      <c r="K3305" s="455">
        <f t="shared" ca="1" si="161"/>
        <v>-646503721.44861102</v>
      </c>
      <c r="L3305" s="455">
        <f t="shared" ca="1" si="162"/>
        <v>-155807396869.11526</v>
      </c>
      <c r="M3305" s="471">
        <f t="shared" si="164"/>
        <v>0.05</v>
      </c>
      <c r="N3305" s="475">
        <f t="shared" si="165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63"/>
        <v>-155807396869.11526</v>
      </c>
      <c r="J3306" s="455">
        <f t="array" ref="J3306">IFERROR(INDEX('Retirement Calculator'!J:J,MATCH('Isaac 401k'!N3306,'Retirement Calculator'!A:A,0),0),0)</f>
        <v>0</v>
      </c>
      <c r="K3306" s="455">
        <f t="shared" ca="1" si="161"/>
        <v>-649197486.95464694</v>
      </c>
      <c r="L3306" s="455">
        <f t="shared" ca="1" si="162"/>
        <v>-156456594356.06992</v>
      </c>
      <c r="M3306" s="471">
        <f t="shared" si="164"/>
        <v>0.05</v>
      </c>
      <c r="N3306" s="475">
        <f t="shared" si="165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63"/>
        <v>-156456594356.06992</v>
      </c>
      <c r="J3307" s="455">
        <f t="array" ref="J3307">IFERROR(INDEX('Retirement Calculator'!J:J,MATCH('Isaac 401k'!N3307,'Retirement Calculator'!A:A,0),0),0)</f>
        <v>0</v>
      </c>
      <c r="K3307" s="455">
        <f t="shared" ca="1" si="161"/>
        <v>-651902476.4836247</v>
      </c>
      <c r="L3307" s="455">
        <f t="shared" ca="1" si="162"/>
        <v>-157108496832.55353</v>
      </c>
      <c r="M3307" s="471">
        <f t="shared" si="164"/>
        <v>0.05</v>
      </c>
      <c r="N3307" s="475">
        <f t="shared" si="165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63"/>
        <v>-157108496832.55353</v>
      </c>
      <c r="J3308" s="455">
        <f t="array" ref="J3308">IFERROR(INDEX('Retirement Calculator'!J:J,MATCH('Isaac 401k'!N3308,'Retirement Calculator'!A:A,0),0),0)</f>
        <v>0</v>
      </c>
      <c r="K3308" s="455">
        <f t="shared" ca="1" si="161"/>
        <v>-654618736.80230641</v>
      </c>
      <c r="L3308" s="455">
        <f t="shared" ca="1" si="162"/>
        <v>-157763115569.35583</v>
      </c>
      <c r="M3308" s="471">
        <f t="shared" si="164"/>
        <v>0.05</v>
      </c>
      <c r="N3308" s="475">
        <f t="shared" si="165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63"/>
        <v>-157763115569.35583</v>
      </c>
      <c r="J3309" s="455">
        <f t="array" ref="J3309">IFERROR(INDEX('Retirement Calculator'!J:J,MATCH('Isaac 401k'!N3309,'Retirement Calculator'!A:A,0),0),0)</f>
        <v>0</v>
      </c>
      <c r="K3309" s="455">
        <f t="shared" ca="1" si="161"/>
        <v>-657346314.872316</v>
      </c>
      <c r="L3309" s="455">
        <f t="shared" ca="1" si="162"/>
        <v>-158420461884.22815</v>
      </c>
      <c r="M3309" s="471">
        <f t="shared" si="164"/>
        <v>0.05</v>
      </c>
      <c r="N3309" s="475">
        <f t="shared" si="165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63"/>
        <v>-158420461884.22815</v>
      </c>
      <c r="J3310" s="455">
        <f t="array" ref="J3310">IFERROR(INDEX('Retirement Calculator'!J:J,MATCH('Isaac 401k'!N3310,'Retirement Calculator'!A:A,0),0),0)</f>
        <v>0</v>
      </c>
      <c r="K3310" s="455">
        <f t="shared" ca="1" si="161"/>
        <v>-660085257.8509506</v>
      </c>
      <c r="L3310" s="455">
        <f t="shared" ca="1" si="162"/>
        <v>-159080547142.0791</v>
      </c>
      <c r="M3310" s="471">
        <f t="shared" si="164"/>
        <v>0.05</v>
      </c>
      <c r="N3310" s="475">
        <f t="shared" si="165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63"/>
        <v>-159080547142.0791</v>
      </c>
      <c r="J3311" s="455">
        <f t="array" ref="J3311">IFERROR(INDEX('Retirement Calculator'!J:J,MATCH('Isaac 401k'!N3311,'Retirement Calculator'!A:A,0),0),0)</f>
        <v>0</v>
      </c>
      <c r="K3311" s="455">
        <f t="shared" ca="1" si="161"/>
        <v>-662835613.09199619</v>
      </c>
      <c r="L3311" s="455">
        <f t="shared" ca="1" si="162"/>
        <v>-159743382755.17111</v>
      </c>
      <c r="M3311" s="471">
        <f t="shared" si="164"/>
        <v>0.05</v>
      </c>
      <c r="N3311" s="475">
        <f t="shared" si="165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63"/>
        <v>-159743382755.17111</v>
      </c>
      <c r="J3312" s="455">
        <f t="array" ref="J3312">IFERROR(INDEX('Retirement Calculator'!J:J,MATCH('Isaac 401k'!N3312,'Retirement Calculator'!A:A,0),0),0)</f>
        <v>0</v>
      </c>
      <c r="K3312" s="455">
        <f t="shared" ca="1" si="161"/>
        <v>-665597428.14654624</v>
      </c>
      <c r="L3312" s="455">
        <f t="shared" ca="1" si="162"/>
        <v>-160408980183.31766</v>
      </c>
      <c r="M3312" s="471">
        <f t="shared" si="164"/>
        <v>0.05</v>
      </c>
      <c r="N3312" s="475">
        <f t="shared" si="165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63"/>
        <v>-160408980183.31766</v>
      </c>
      <c r="J3313" s="455">
        <f t="array" ref="J3313">IFERROR(INDEX('Retirement Calculator'!J:J,MATCH('Isaac 401k'!N3313,'Retirement Calculator'!A:A,0),0),0)</f>
        <v>0</v>
      </c>
      <c r="K3313" s="455">
        <f t="shared" ca="1" si="161"/>
        <v>-668370750.76382351</v>
      </c>
      <c r="L3313" s="455">
        <f t="shared" ca="1" si="162"/>
        <v>-161077350934.08148</v>
      </c>
      <c r="M3313" s="471">
        <f t="shared" si="164"/>
        <v>0.05</v>
      </c>
      <c r="N3313" s="475">
        <f t="shared" si="165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63"/>
        <v>-161077350934.08148</v>
      </c>
      <c r="J3314" s="455">
        <f t="array" ref="J3314">IFERROR(INDEX('Retirement Calculator'!J:J,MATCH('Isaac 401k'!N3314,'Retirement Calculator'!A:A,0),0),0)</f>
        <v>0</v>
      </c>
      <c r="K3314" s="455">
        <f t="shared" ca="1" si="161"/>
        <v>-671155628.89200616</v>
      </c>
      <c r="L3314" s="455">
        <f t="shared" ca="1" si="162"/>
        <v>-161748506562.97348</v>
      </c>
      <c r="M3314" s="471">
        <f t="shared" si="164"/>
        <v>0.05</v>
      </c>
      <c r="N3314" s="475">
        <f t="shared" si="165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63"/>
        <v>-161748506562.97348</v>
      </c>
      <c r="J3315" s="455">
        <f t="array" ref="J3315">IFERROR(INDEX('Retirement Calculator'!J:J,MATCH('Isaac 401k'!N3315,'Retirement Calculator'!A:A,0),0),0)</f>
        <v>0</v>
      </c>
      <c r="K3315" s="455">
        <f t="shared" ca="1" si="161"/>
        <v>-673952110.67905617</v>
      </c>
      <c r="L3315" s="455">
        <f t="shared" ca="1" si="162"/>
        <v>-162422458673.65253</v>
      </c>
      <c r="M3315" s="471">
        <f t="shared" si="164"/>
        <v>0.05</v>
      </c>
      <c r="N3315" s="475">
        <f t="shared" si="165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63"/>
        <v>-162422458673.65253</v>
      </c>
      <c r="J3316" s="455">
        <f t="array" ref="J3316">IFERROR(INDEX('Retirement Calculator'!J:J,MATCH('Isaac 401k'!N3316,'Retirement Calculator'!A:A,0),0),0)</f>
        <v>0</v>
      </c>
      <c r="K3316" s="455">
        <f t="shared" ca="1" si="161"/>
        <v>-676760244.47355223</v>
      </c>
      <c r="L3316" s="455">
        <f t="shared" ca="1" si="162"/>
        <v>-163099218918.12607</v>
      </c>
      <c r="M3316" s="471">
        <f t="shared" si="164"/>
        <v>0.05</v>
      </c>
      <c r="N3316" s="475">
        <f t="shared" si="165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63"/>
        <v>-163099218918.12607</v>
      </c>
      <c r="J3317" s="455">
        <f t="array" ref="J3317">IFERROR(INDEX('Retirement Calculator'!J:J,MATCH('Isaac 401k'!N3317,'Retirement Calculator'!A:A,0),0),0)</f>
        <v>0</v>
      </c>
      <c r="K3317" s="455">
        <f t="shared" ca="1" si="161"/>
        <v>-679580078.82552528</v>
      </c>
      <c r="L3317" s="455">
        <f t="shared" ca="1" si="162"/>
        <v>-163778798996.9516</v>
      </c>
      <c r="M3317" s="471">
        <f t="shared" si="164"/>
        <v>0.05</v>
      </c>
      <c r="N3317" s="475">
        <f t="shared" si="165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63"/>
        <v>-163778798996.9516</v>
      </c>
      <c r="J3318" s="455">
        <f t="array" ref="J3318">IFERROR(INDEX('Retirement Calculator'!J:J,MATCH('Isaac 401k'!N3318,'Retirement Calculator'!A:A,0),0),0)</f>
        <v>0</v>
      </c>
      <c r="K3318" s="455">
        <f t="shared" ca="1" si="161"/>
        <v>-682411662.48729837</v>
      </c>
      <c r="L3318" s="455">
        <f t="shared" ca="1" si="162"/>
        <v>-164461210659.4389</v>
      </c>
      <c r="M3318" s="471">
        <f t="shared" si="164"/>
        <v>0.05</v>
      </c>
      <c r="N3318" s="475">
        <f t="shared" si="165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63"/>
        <v>-164461210659.4389</v>
      </c>
      <c r="J3319" s="455">
        <f t="array" ref="J3319">IFERROR(INDEX('Retirement Calculator'!J:J,MATCH('Isaac 401k'!N3319,'Retirement Calculator'!A:A,0),0),0)</f>
        <v>0</v>
      </c>
      <c r="K3319" s="455">
        <f t="shared" ca="1" si="161"/>
        <v>-685255044.41432881</v>
      </c>
      <c r="L3319" s="455">
        <f t="shared" ca="1" si="162"/>
        <v>-165146465703.85324</v>
      </c>
      <c r="M3319" s="471">
        <f t="shared" si="164"/>
        <v>0.05</v>
      </c>
      <c r="N3319" s="475">
        <f t="shared" si="165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63"/>
        <v>-165146465703.85324</v>
      </c>
      <c r="J3320" s="455">
        <f t="array" ref="J3320">IFERROR(INDEX('Retirement Calculator'!J:J,MATCH('Isaac 401k'!N3320,'Retirement Calculator'!A:A,0),0),0)</f>
        <v>0</v>
      </c>
      <c r="K3320" s="455">
        <f t="shared" ca="1" si="161"/>
        <v>-688110273.76605511</v>
      </c>
      <c r="L3320" s="455">
        <f t="shared" ca="1" si="162"/>
        <v>-165834575977.61929</v>
      </c>
      <c r="M3320" s="471">
        <f t="shared" si="164"/>
        <v>0.05</v>
      </c>
      <c r="N3320" s="475">
        <f t="shared" si="165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63"/>
        <v>-165834575977.61929</v>
      </c>
      <c r="J3321" s="455">
        <f t="array" ref="J3321">IFERROR(INDEX('Retirement Calculator'!J:J,MATCH('Isaac 401k'!N3321,'Retirement Calculator'!A:A,0),0),0)</f>
        <v>0</v>
      </c>
      <c r="K3321" s="455">
        <f t="shared" ca="1" si="161"/>
        <v>-690977399.9067471</v>
      </c>
      <c r="L3321" s="455">
        <f t="shared" ca="1" si="162"/>
        <v>-166525553377.52603</v>
      </c>
      <c r="M3321" s="471">
        <f t="shared" si="164"/>
        <v>0.05</v>
      </c>
      <c r="N3321" s="475">
        <f t="shared" si="165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63"/>
        <v>-166525553377.52603</v>
      </c>
      <c r="J3322" s="455">
        <f t="array" ref="J3322">IFERROR(INDEX('Retirement Calculator'!J:J,MATCH('Isaac 401k'!N3322,'Retirement Calculator'!A:A,0),0),0)</f>
        <v>0</v>
      </c>
      <c r="K3322" s="455">
        <f t="shared" ca="1" si="161"/>
        <v>-693856472.40635848</v>
      </c>
      <c r="L3322" s="455">
        <f t="shared" ca="1" si="162"/>
        <v>-167219409849.9324</v>
      </c>
      <c r="M3322" s="471">
        <f t="shared" si="164"/>
        <v>0.05</v>
      </c>
      <c r="N3322" s="475">
        <f t="shared" si="165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63"/>
        <v>-167219409849.9324</v>
      </c>
      <c r="J3323" s="455">
        <f t="array" ref="J3323">IFERROR(INDEX('Retirement Calculator'!J:J,MATCH('Isaac 401k'!N3323,'Retirement Calculator'!A:A,0),0),0)</f>
        <v>0</v>
      </c>
      <c r="K3323" s="455">
        <f t="shared" ref="K3323:K3577" ca="1" si="166">IPMT(M3323/12,1,12,-I3323+J3323,,0)</f>
        <v>-696747541.04138505</v>
      </c>
      <c r="L3323" s="455">
        <f t="shared" ref="L3323:L3577" ca="1" si="167">I3323-J3323+K3323</f>
        <v>-167916157390.97379</v>
      </c>
      <c r="M3323" s="471">
        <f t="shared" si="164"/>
        <v>0.05</v>
      </c>
      <c r="N3323" s="475">
        <f t="shared" si="165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68">L3323</f>
        <v>-167916157390.97379</v>
      </c>
      <c r="J3324" s="455">
        <f t="array" ref="J3324">IFERROR(INDEX('Retirement Calculator'!J:J,MATCH('Isaac 401k'!N3324,'Retirement Calculator'!A:A,0),0),0)</f>
        <v>0</v>
      </c>
      <c r="K3324" s="455">
        <f t="shared" ca="1" si="166"/>
        <v>-699650655.79572415</v>
      </c>
      <c r="L3324" s="455">
        <f t="shared" ca="1" si="167"/>
        <v>-168615808046.7695</v>
      </c>
      <c r="M3324" s="471">
        <f t="shared" ref="M3324:M3578" si="169">M3323</f>
        <v>0.05</v>
      </c>
      <c r="N3324" s="475">
        <f t="shared" ref="N3324:N3578" si="170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68"/>
        <v>-168615808046.7695</v>
      </c>
      <c r="J3325" s="455">
        <f t="array" ref="J3325">IFERROR(INDEX('Retirement Calculator'!J:J,MATCH('Isaac 401k'!N3325,'Retirement Calculator'!A:A,0),0),0)</f>
        <v>0</v>
      </c>
      <c r="K3325" s="455">
        <f t="shared" ca="1" si="166"/>
        <v>-702565866.8615396</v>
      </c>
      <c r="L3325" s="455">
        <f t="shared" ca="1" si="167"/>
        <v>-169318373913.63104</v>
      </c>
      <c r="M3325" s="471">
        <f t="shared" si="169"/>
        <v>0.05</v>
      </c>
      <c r="N3325" s="475">
        <f t="shared" si="170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68"/>
        <v>-169318373913.63104</v>
      </c>
      <c r="J3326" s="455">
        <f t="array" ref="J3326">IFERROR(INDEX('Retirement Calculator'!J:J,MATCH('Isaac 401k'!N3326,'Retirement Calculator'!A:A,0),0),0)</f>
        <v>0</v>
      </c>
      <c r="K3326" s="455">
        <f t="shared" ca="1" si="166"/>
        <v>-705493224.64012933</v>
      </c>
      <c r="L3326" s="455">
        <f t="shared" ca="1" si="167"/>
        <v>-170023867138.27118</v>
      </c>
      <c r="M3326" s="471">
        <f t="shared" si="169"/>
        <v>0.05</v>
      </c>
      <c r="N3326" s="475">
        <f t="shared" si="170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68"/>
        <v>-170023867138.27118</v>
      </c>
      <c r="J3327" s="455">
        <f t="array" ref="J3327">IFERROR(INDEX('Retirement Calculator'!J:J,MATCH('Isaac 401k'!N3327,'Retirement Calculator'!A:A,0),0),0)</f>
        <v>0</v>
      </c>
      <c r="K3327" s="455">
        <f t="shared" ca="1" si="166"/>
        <v>-708432779.74279654</v>
      </c>
      <c r="L3327" s="455">
        <f t="shared" ca="1" si="167"/>
        <v>-170732299918.01398</v>
      </c>
      <c r="M3327" s="471">
        <f t="shared" si="169"/>
        <v>0.05</v>
      </c>
      <c r="N3327" s="475">
        <f t="shared" si="170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68"/>
        <v>-170732299918.01398</v>
      </c>
      <c r="J3328" s="455">
        <f t="array" ref="J3328">IFERROR(INDEX('Retirement Calculator'!J:J,MATCH('Isaac 401k'!N3328,'Retirement Calculator'!A:A,0),0),0)</f>
        <v>0</v>
      </c>
      <c r="K3328" s="455">
        <f t="shared" ca="1" si="166"/>
        <v>-711384582.99172485</v>
      </c>
      <c r="L3328" s="455">
        <f t="shared" ca="1" si="167"/>
        <v>-171443684501.00571</v>
      </c>
      <c r="M3328" s="471">
        <f t="shared" si="169"/>
        <v>0.05</v>
      </c>
      <c r="N3328" s="475">
        <f t="shared" si="170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68"/>
        <v>-171443684501.00571</v>
      </c>
      <c r="J3329" s="455">
        <f t="array" ref="J3329">IFERROR(INDEX('Retirement Calculator'!J:J,MATCH('Isaac 401k'!N3329,'Retirement Calculator'!A:A,0),0),0)</f>
        <v>0</v>
      </c>
      <c r="K3329" s="455">
        <f t="shared" ca="1" si="166"/>
        <v>-714348685.42085707</v>
      </c>
      <c r="L3329" s="455">
        <f t="shared" ca="1" si="167"/>
        <v>-172158033186.42657</v>
      </c>
      <c r="M3329" s="471">
        <f t="shared" si="169"/>
        <v>0.05</v>
      </c>
      <c r="N3329" s="475">
        <f t="shared" si="170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68"/>
        <v>-172158033186.42657</v>
      </c>
      <c r="J3330" s="455">
        <f t="array" ref="J3330">IFERROR(INDEX('Retirement Calculator'!J:J,MATCH('Isaac 401k'!N3330,'Retirement Calculator'!A:A,0),0),0)</f>
        <v>0</v>
      </c>
      <c r="K3330" s="455">
        <f t="shared" ca="1" si="166"/>
        <v>-717325138.27677739</v>
      </c>
      <c r="L3330" s="455">
        <f t="shared" ca="1" si="167"/>
        <v>-172875358324.70334</v>
      </c>
      <c r="M3330" s="471">
        <f t="shared" si="169"/>
        <v>0.05</v>
      </c>
      <c r="N3330" s="475">
        <f t="shared" si="170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68"/>
        <v>-172875358324.70334</v>
      </c>
      <c r="J3331" s="455">
        <f t="array" ref="J3331">IFERROR(INDEX('Retirement Calculator'!J:J,MATCH('Isaac 401k'!N3331,'Retirement Calculator'!A:A,0),0),0)</f>
        <v>0</v>
      </c>
      <c r="K3331" s="455">
        <f t="shared" ca="1" si="166"/>
        <v>-720313993.01959729</v>
      </c>
      <c r="L3331" s="455">
        <f t="shared" ca="1" si="167"/>
        <v>-173595672317.72293</v>
      </c>
      <c r="M3331" s="471">
        <f t="shared" si="169"/>
        <v>0.05</v>
      </c>
      <c r="N3331" s="475">
        <f t="shared" si="170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68"/>
        <v>-173595672317.72293</v>
      </c>
      <c r="J3332" s="455">
        <f t="array" ref="J3332">IFERROR(INDEX('Retirement Calculator'!J:J,MATCH('Isaac 401k'!N3332,'Retirement Calculator'!A:A,0),0),0)</f>
        <v>0</v>
      </c>
      <c r="K3332" s="455">
        <f t="shared" ca="1" si="166"/>
        <v>-723315301.32384551</v>
      </c>
      <c r="L3332" s="455">
        <f t="shared" ca="1" si="167"/>
        <v>-174318987619.04678</v>
      </c>
      <c r="M3332" s="471">
        <f t="shared" si="169"/>
        <v>0.05</v>
      </c>
      <c r="N3332" s="475">
        <f t="shared" si="170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68"/>
        <v>-174318987619.04678</v>
      </c>
      <c r="J3333" s="455">
        <f t="array" ref="J3333">IFERROR(INDEX('Retirement Calculator'!J:J,MATCH('Isaac 401k'!N3333,'Retirement Calculator'!A:A,0),0),0)</f>
        <v>0</v>
      </c>
      <c r="K3333" s="455">
        <f t="shared" ca="1" si="166"/>
        <v>-726329115.07936156</v>
      </c>
      <c r="L3333" s="455">
        <f t="shared" ca="1" si="167"/>
        <v>-175045316734.12616</v>
      </c>
      <c r="M3333" s="471">
        <f t="shared" si="169"/>
        <v>0.05</v>
      </c>
      <c r="N3333" s="475">
        <f t="shared" si="170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68"/>
        <v>-175045316734.12616</v>
      </c>
      <c r="J3334" s="455">
        <f t="array" ref="J3334">IFERROR(INDEX('Retirement Calculator'!J:J,MATCH('Isaac 401k'!N3334,'Retirement Calculator'!A:A,0),0),0)</f>
        <v>0</v>
      </c>
      <c r="K3334" s="455">
        <f t="shared" ca="1" si="166"/>
        <v>-729355486.39219236</v>
      </c>
      <c r="L3334" s="455">
        <f t="shared" ca="1" si="167"/>
        <v>-175774672220.51834</v>
      </c>
      <c r="M3334" s="471">
        <f t="shared" si="169"/>
        <v>0.05</v>
      </c>
      <c r="N3334" s="475">
        <f t="shared" si="170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68"/>
        <v>-175774672220.51834</v>
      </c>
      <c r="J3335" s="455">
        <f t="array" ref="J3335">IFERROR(INDEX('Retirement Calculator'!J:J,MATCH('Isaac 401k'!N3335,'Retirement Calculator'!A:A,0),0),0)</f>
        <v>0</v>
      </c>
      <c r="K3335" s="455">
        <f t="shared" ca="1" si="166"/>
        <v>-732394467.58549309</v>
      </c>
      <c r="L3335" s="455">
        <f t="shared" ca="1" si="167"/>
        <v>-176507066688.10382</v>
      </c>
      <c r="M3335" s="471">
        <f t="shared" si="169"/>
        <v>0.05</v>
      </c>
      <c r="N3335" s="475">
        <f t="shared" si="170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68"/>
        <v>-176507066688.10382</v>
      </c>
      <c r="J3336" s="455">
        <f t="array" ref="J3336">IFERROR(INDEX('Retirement Calculator'!J:J,MATCH('Isaac 401k'!N3336,'Retirement Calculator'!A:A,0),0),0)</f>
        <v>0</v>
      </c>
      <c r="K3336" s="455">
        <f t="shared" ca="1" si="166"/>
        <v>-735446111.20043254</v>
      </c>
      <c r="L3336" s="455">
        <f t="shared" ca="1" si="167"/>
        <v>-177242512799.30426</v>
      </c>
      <c r="M3336" s="471">
        <f t="shared" si="169"/>
        <v>0.05</v>
      </c>
      <c r="N3336" s="475">
        <f t="shared" si="170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68"/>
        <v>-177242512799.30426</v>
      </c>
      <c r="J3337" s="455">
        <f t="array" ref="J3337">IFERROR(INDEX('Retirement Calculator'!J:J,MATCH('Isaac 401k'!N3337,'Retirement Calculator'!A:A,0),0),0)</f>
        <v>0</v>
      </c>
      <c r="K3337" s="455">
        <f t="shared" ca="1" si="166"/>
        <v>-738510469.99710107</v>
      </c>
      <c r="L3337" s="455">
        <f t="shared" ca="1" si="167"/>
        <v>-177981023269.30136</v>
      </c>
      <c r="M3337" s="471">
        <f t="shared" si="169"/>
        <v>0.05</v>
      </c>
      <c r="N3337" s="475">
        <f t="shared" si="170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68"/>
        <v>-177981023269.30136</v>
      </c>
      <c r="J3338" s="455">
        <f t="array" ref="J3338">IFERROR(INDEX('Retirement Calculator'!J:J,MATCH('Isaac 401k'!N3338,'Retirement Calculator'!A:A,0),0),0)</f>
        <v>0</v>
      </c>
      <c r="K3338" s="455">
        <f t="shared" ca="1" si="166"/>
        <v>-741587596.95542228</v>
      </c>
      <c r="L3338" s="455">
        <f t="shared" ca="1" si="167"/>
        <v>-178722610866.25677</v>
      </c>
      <c r="M3338" s="471">
        <f t="shared" si="169"/>
        <v>0.05</v>
      </c>
      <c r="N3338" s="475">
        <f t="shared" si="170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68"/>
        <v>-178722610866.25677</v>
      </c>
      <c r="J3339" s="455">
        <f t="array" ref="J3339">IFERROR(INDEX('Retirement Calculator'!J:J,MATCH('Isaac 401k'!N3339,'Retirement Calculator'!A:A,0),0),0)</f>
        <v>0</v>
      </c>
      <c r="K3339" s="455">
        <f t="shared" ca="1" si="166"/>
        <v>-744677545.27606988</v>
      </c>
      <c r="L3339" s="455">
        <f t="shared" ca="1" si="167"/>
        <v>-179467288411.53284</v>
      </c>
      <c r="M3339" s="471">
        <f t="shared" si="169"/>
        <v>0.05</v>
      </c>
      <c r="N3339" s="475">
        <f t="shared" si="170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68"/>
        <v>-179467288411.53284</v>
      </c>
      <c r="J3340" s="455">
        <f t="array" ref="J3340">IFERROR(INDEX('Retirement Calculator'!J:J,MATCH('Isaac 401k'!N3340,'Retirement Calculator'!A:A,0),0),0)</f>
        <v>0</v>
      </c>
      <c r="K3340" s="455">
        <f t="shared" ca="1" si="166"/>
        <v>-747780368.38138676</v>
      </c>
      <c r="L3340" s="455">
        <f t="shared" ca="1" si="167"/>
        <v>-180215068779.91422</v>
      </c>
      <c r="M3340" s="471">
        <f t="shared" si="169"/>
        <v>0.05</v>
      </c>
      <c r="N3340" s="475">
        <f t="shared" si="170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68"/>
        <v>-180215068779.91422</v>
      </c>
      <c r="J3341" s="455">
        <f t="array" ref="J3341">IFERROR(INDEX('Retirement Calculator'!J:J,MATCH('Isaac 401k'!N3341,'Retirement Calculator'!A:A,0),0),0)</f>
        <v>0</v>
      </c>
      <c r="K3341" s="455">
        <f t="shared" ca="1" si="166"/>
        <v>-750896119.91630924</v>
      </c>
      <c r="L3341" s="455">
        <f t="shared" ca="1" si="167"/>
        <v>-180965964899.83054</v>
      </c>
      <c r="M3341" s="471">
        <f t="shared" si="169"/>
        <v>0.05</v>
      </c>
      <c r="N3341" s="475">
        <f t="shared" si="170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68"/>
        <v>-180965964899.83054</v>
      </c>
      <c r="J3342" s="455">
        <f t="array" ref="J3342">IFERROR(INDEX('Retirement Calculator'!J:J,MATCH('Isaac 401k'!N3342,'Retirement Calculator'!A:A,0),0),0)</f>
        <v>0</v>
      </c>
      <c r="K3342" s="455">
        <f t="shared" ca="1" si="166"/>
        <v>-754024853.74929392</v>
      </c>
      <c r="L3342" s="455">
        <f t="shared" ca="1" si="167"/>
        <v>-181719989753.57983</v>
      </c>
      <c r="M3342" s="471">
        <f t="shared" si="169"/>
        <v>0.05</v>
      </c>
      <c r="N3342" s="475">
        <f t="shared" si="170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68"/>
        <v>-181719989753.57983</v>
      </c>
      <c r="J3343" s="455">
        <f t="array" ref="J3343">IFERROR(INDEX('Retirement Calculator'!J:J,MATCH('Isaac 401k'!N3343,'Retirement Calculator'!A:A,0),0),0)</f>
        <v>0</v>
      </c>
      <c r="K3343" s="455">
        <f t="shared" ca="1" si="166"/>
        <v>-757166623.97324932</v>
      </c>
      <c r="L3343" s="455">
        <f t="shared" ca="1" si="167"/>
        <v>-182477156377.55307</v>
      </c>
      <c r="M3343" s="471">
        <f t="shared" si="169"/>
        <v>0.05</v>
      </c>
      <c r="N3343" s="475">
        <f t="shared" si="170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68"/>
        <v>-182477156377.55307</v>
      </c>
      <c r="J3344" s="455">
        <f t="array" ref="J3344">IFERROR(INDEX('Retirement Calculator'!J:J,MATCH('Isaac 401k'!N3344,'Retirement Calculator'!A:A,0),0),0)</f>
        <v>0</v>
      </c>
      <c r="K3344" s="455">
        <f t="shared" ca="1" si="166"/>
        <v>-760321484.90647113</v>
      </c>
      <c r="L3344" s="455">
        <f t="shared" ca="1" si="167"/>
        <v>-183237477862.45953</v>
      </c>
      <c r="M3344" s="471">
        <f t="shared" si="169"/>
        <v>0.05</v>
      </c>
      <c r="N3344" s="475">
        <f t="shared" si="170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68"/>
        <v>-183237477862.45953</v>
      </c>
      <c r="J3345" s="455">
        <f t="array" ref="J3345">IFERROR(INDEX('Retirement Calculator'!J:J,MATCH('Isaac 401k'!N3345,'Retirement Calculator'!A:A,0),0),0)</f>
        <v>0</v>
      </c>
      <c r="K3345" s="455">
        <f t="shared" ca="1" si="166"/>
        <v>-763489491.09358144</v>
      </c>
      <c r="L3345" s="455">
        <f t="shared" ca="1" si="167"/>
        <v>-184000967353.5531</v>
      </c>
      <c r="M3345" s="471">
        <f t="shared" si="169"/>
        <v>0.05</v>
      </c>
      <c r="N3345" s="475">
        <f t="shared" si="170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68"/>
        <v>-184000967353.5531</v>
      </c>
      <c r="J3346" s="455">
        <f t="array" ref="J3346">IFERROR(INDEX('Retirement Calculator'!J:J,MATCH('Isaac 401k'!N3346,'Retirement Calculator'!A:A,0),0),0)</f>
        <v>0</v>
      </c>
      <c r="K3346" s="455">
        <f t="shared" ca="1" si="166"/>
        <v>-766670697.30647123</v>
      </c>
      <c r="L3346" s="455">
        <f t="shared" ca="1" si="167"/>
        <v>-184767638050.85956</v>
      </c>
      <c r="M3346" s="471">
        <f t="shared" si="169"/>
        <v>0.05</v>
      </c>
      <c r="N3346" s="475">
        <f t="shared" si="170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68"/>
        <v>-184767638050.85956</v>
      </c>
      <c r="J3347" s="455">
        <f t="array" ref="J3347">IFERROR(INDEX('Retirement Calculator'!J:J,MATCH('Isaac 401k'!N3347,'Retirement Calculator'!A:A,0),0),0)</f>
        <v>0</v>
      </c>
      <c r="K3347" s="455">
        <f t="shared" ca="1" si="166"/>
        <v>-769865158.54524815</v>
      </c>
      <c r="L3347" s="455">
        <f t="shared" ca="1" si="167"/>
        <v>-185537503209.40482</v>
      </c>
      <c r="M3347" s="471">
        <f t="shared" si="169"/>
        <v>0.05</v>
      </c>
      <c r="N3347" s="475">
        <f t="shared" si="170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68"/>
        <v>-185537503209.40482</v>
      </c>
      <c r="J3348" s="455">
        <f t="array" ref="J3348">IFERROR(INDEX('Retirement Calculator'!J:J,MATCH('Isaac 401k'!N3348,'Retirement Calculator'!A:A,0),0),0)</f>
        <v>0</v>
      </c>
      <c r="K3348" s="455">
        <f t="shared" ca="1" si="166"/>
        <v>-773072930.03918672</v>
      </c>
      <c r="L3348" s="455">
        <f t="shared" ca="1" si="167"/>
        <v>-186310576139.444</v>
      </c>
      <c r="M3348" s="471">
        <f t="shared" si="169"/>
        <v>0.05</v>
      </c>
      <c r="N3348" s="475">
        <f t="shared" si="170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68"/>
        <v>-186310576139.444</v>
      </c>
      <c r="J3349" s="455">
        <f t="array" ref="J3349">IFERROR(INDEX('Retirement Calculator'!J:J,MATCH('Isaac 401k'!N3349,'Retirement Calculator'!A:A,0),0),0)</f>
        <v>0</v>
      </c>
      <c r="K3349" s="455">
        <f t="shared" ca="1" si="166"/>
        <v>-776294067.24768329</v>
      </c>
      <c r="L3349" s="455">
        <f t="shared" ca="1" si="167"/>
        <v>-187086870206.69168</v>
      </c>
      <c r="M3349" s="471">
        <f t="shared" si="169"/>
        <v>0.05</v>
      </c>
      <c r="N3349" s="475">
        <f t="shared" si="170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68"/>
        <v>-187086870206.69168</v>
      </c>
      <c r="J3350" s="455">
        <f t="array" ref="J3350">IFERROR(INDEX('Retirement Calculator'!J:J,MATCH('Isaac 401k'!N3350,'Retirement Calculator'!A:A,0),0),0)</f>
        <v>0</v>
      </c>
      <c r="K3350" s="455">
        <f t="shared" ca="1" si="166"/>
        <v>-779528625.86121535</v>
      </c>
      <c r="L3350" s="455">
        <f t="shared" ca="1" si="167"/>
        <v>-187866398832.55289</v>
      </c>
      <c r="M3350" s="471">
        <f t="shared" si="169"/>
        <v>0.05</v>
      </c>
      <c r="N3350" s="475">
        <f t="shared" si="170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68"/>
        <v>-187866398832.55289</v>
      </c>
      <c r="J3351" s="455">
        <f t="array" ref="J3351">IFERROR(INDEX('Retirement Calculator'!J:J,MATCH('Isaac 401k'!N3351,'Retirement Calculator'!A:A,0),0),0)</f>
        <v>0</v>
      </c>
      <c r="K3351" s="455">
        <f t="shared" ca="1" si="166"/>
        <v>-782776661.80230367</v>
      </c>
      <c r="L3351" s="455">
        <f t="shared" ca="1" si="167"/>
        <v>-188649175494.35519</v>
      </c>
      <c r="M3351" s="471">
        <f t="shared" si="169"/>
        <v>0.05</v>
      </c>
      <c r="N3351" s="475">
        <f t="shared" si="170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68"/>
        <v>-188649175494.35519</v>
      </c>
      <c r="J3352" s="455">
        <f t="array" ref="J3352">IFERROR(INDEX('Retirement Calculator'!J:J,MATCH('Isaac 401k'!N3352,'Retirement Calculator'!A:A,0),0),0)</f>
        <v>0</v>
      </c>
      <c r="K3352" s="455">
        <f t="shared" ca="1" si="166"/>
        <v>-786038231.22648001</v>
      </c>
      <c r="L3352" s="455">
        <f t="shared" ca="1" si="167"/>
        <v>-189435213725.58167</v>
      </c>
      <c r="M3352" s="471">
        <f t="shared" si="169"/>
        <v>0.05</v>
      </c>
      <c r="N3352" s="475">
        <f t="shared" si="170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68"/>
        <v>-189435213725.58167</v>
      </c>
      <c r="J3353" s="455">
        <f t="array" ref="J3353">IFERROR(INDEX('Retirement Calculator'!J:J,MATCH('Isaac 401k'!N3353,'Retirement Calculator'!A:A,0),0),0)</f>
        <v>0</v>
      </c>
      <c r="K3353" s="455">
        <f t="shared" ca="1" si="166"/>
        <v>-789313390.5232569</v>
      </c>
      <c r="L3353" s="455">
        <f t="shared" ca="1" si="167"/>
        <v>-190224527116.10492</v>
      </c>
      <c r="M3353" s="471">
        <f t="shared" si="169"/>
        <v>0.05</v>
      </c>
      <c r="N3353" s="475">
        <f t="shared" si="170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68"/>
        <v>-190224527116.10492</v>
      </c>
      <c r="J3354" s="455">
        <f t="array" ref="J3354">IFERROR(INDEX('Retirement Calculator'!J:J,MATCH('Isaac 401k'!N3354,'Retirement Calculator'!A:A,0),0),0)</f>
        <v>0</v>
      </c>
      <c r="K3354" s="455">
        <f t="shared" ca="1" si="166"/>
        <v>-792602196.31710386</v>
      </c>
      <c r="L3354" s="455">
        <f t="shared" ca="1" si="167"/>
        <v>-191017129312.42203</v>
      </c>
      <c r="M3354" s="471">
        <f t="shared" si="169"/>
        <v>0.05</v>
      </c>
      <c r="N3354" s="475">
        <f t="shared" si="170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68"/>
        <v>-191017129312.42203</v>
      </c>
      <c r="J3355" s="455">
        <f t="array" ref="J3355">IFERROR(INDEX('Retirement Calculator'!J:J,MATCH('Isaac 401k'!N3355,'Retirement Calculator'!A:A,0),0),0)</f>
        <v>0</v>
      </c>
      <c r="K3355" s="455">
        <f t="shared" ca="1" si="166"/>
        <v>-795904705.46842515</v>
      </c>
      <c r="L3355" s="455">
        <f t="shared" ca="1" si="167"/>
        <v>-191813034017.89044</v>
      </c>
      <c r="M3355" s="471">
        <f t="shared" si="169"/>
        <v>0.05</v>
      </c>
      <c r="N3355" s="475">
        <f t="shared" si="170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68"/>
        <v>-191813034017.89044</v>
      </c>
      <c r="J3356" s="455">
        <f t="array" ref="J3356">IFERROR(INDEX('Retirement Calculator'!J:J,MATCH('Isaac 401k'!N3356,'Retirement Calculator'!A:A,0),0),0)</f>
        <v>0</v>
      </c>
      <c r="K3356" s="455">
        <f t="shared" ca="1" si="166"/>
        <v>-799220975.07454348</v>
      </c>
      <c r="L3356" s="455">
        <f t="shared" ca="1" si="167"/>
        <v>-192612254992.965</v>
      </c>
      <c r="M3356" s="471">
        <f t="shared" si="169"/>
        <v>0.05</v>
      </c>
      <c r="N3356" s="475">
        <f t="shared" si="170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68"/>
        <v>-192612254992.965</v>
      </c>
      <c r="J3357" s="455">
        <f t="array" ref="J3357">IFERROR(INDEX('Retirement Calculator'!J:J,MATCH('Isaac 401k'!N3357,'Retirement Calculator'!A:A,0),0),0)</f>
        <v>0</v>
      </c>
      <c r="K3357" s="455">
        <f t="shared" ca="1" si="166"/>
        <v>-802551062.47068751</v>
      </c>
      <c r="L3357" s="455">
        <f t="shared" ca="1" si="167"/>
        <v>-193414806055.43567</v>
      </c>
      <c r="M3357" s="471">
        <f t="shared" si="169"/>
        <v>0.05</v>
      </c>
      <c r="N3357" s="475">
        <f t="shared" si="170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68"/>
        <v>-193414806055.43567</v>
      </c>
      <c r="J3358" s="455">
        <f t="array" ref="J3358">IFERROR(INDEX('Retirement Calculator'!J:J,MATCH('Isaac 401k'!N3358,'Retirement Calculator'!A:A,0),0),0)</f>
        <v>0</v>
      </c>
      <c r="K3358" s="455">
        <f t="shared" ca="1" si="166"/>
        <v>-805895025.23098195</v>
      </c>
      <c r="L3358" s="455">
        <f t="shared" ca="1" si="167"/>
        <v>-194220701080.66666</v>
      </c>
      <c r="M3358" s="471">
        <f t="shared" si="169"/>
        <v>0.05</v>
      </c>
      <c r="N3358" s="475">
        <f t="shared" si="170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68"/>
        <v>-194220701080.66666</v>
      </c>
      <c r="J3359" s="455">
        <f t="array" ref="J3359">IFERROR(INDEX('Retirement Calculator'!J:J,MATCH('Isaac 401k'!N3359,'Retirement Calculator'!A:A,0),0),0)</f>
        <v>0</v>
      </c>
      <c r="K3359" s="455">
        <f t="shared" ca="1" si="166"/>
        <v>-809252921.16944444</v>
      </c>
      <c r="L3359" s="455">
        <f t="shared" ca="1" si="167"/>
        <v>-195029954001.83609</v>
      </c>
      <c r="M3359" s="471">
        <f t="shared" si="169"/>
        <v>0.05</v>
      </c>
      <c r="N3359" s="475">
        <f t="shared" si="170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68"/>
        <v>-195029954001.83609</v>
      </c>
      <c r="J3360" s="455">
        <f t="array" ref="J3360">IFERROR(INDEX('Retirement Calculator'!J:J,MATCH('Isaac 401k'!N3360,'Retirement Calculator'!A:A,0),0),0)</f>
        <v>0</v>
      </c>
      <c r="K3360" s="455">
        <f t="shared" ca="1" si="166"/>
        <v>-812624808.34098375</v>
      </c>
      <c r="L3360" s="455">
        <f t="shared" ca="1" si="167"/>
        <v>-195842578810.17706</v>
      </c>
      <c r="M3360" s="471">
        <f t="shared" si="169"/>
        <v>0.05</v>
      </c>
      <c r="N3360" s="475">
        <f t="shared" si="170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68"/>
        <v>-195842578810.17706</v>
      </c>
      <c r="J3361" s="455">
        <f t="array" ref="J3361">IFERROR(INDEX('Retirement Calculator'!J:J,MATCH('Isaac 401k'!N3361,'Retirement Calculator'!A:A,0),0),0)</f>
        <v>0</v>
      </c>
      <c r="K3361" s="455">
        <f t="shared" ca="1" si="166"/>
        <v>-816010745.04240441</v>
      </c>
      <c r="L3361" s="455">
        <f t="shared" ca="1" si="167"/>
        <v>-196658589555.21948</v>
      </c>
      <c r="M3361" s="471">
        <f t="shared" si="169"/>
        <v>0.05</v>
      </c>
      <c r="N3361" s="475">
        <f t="shared" si="170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68"/>
        <v>-196658589555.21948</v>
      </c>
      <c r="J3362" s="455">
        <f t="array" ref="J3362">IFERROR(INDEX('Retirement Calculator'!J:J,MATCH('Isaac 401k'!N3362,'Retirement Calculator'!A:A,0),0),0)</f>
        <v>0</v>
      </c>
      <c r="K3362" s="455">
        <f t="shared" ca="1" si="166"/>
        <v>-819410789.81341445</v>
      </c>
      <c r="L3362" s="455">
        <f t="shared" ca="1" si="167"/>
        <v>-197478000345.0329</v>
      </c>
      <c r="M3362" s="471">
        <f t="shared" si="169"/>
        <v>0.05</v>
      </c>
      <c r="N3362" s="475">
        <f t="shared" si="170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68"/>
        <v>-197478000345.0329</v>
      </c>
      <c r="J3363" s="455">
        <f t="array" ref="J3363">IFERROR(INDEX('Retirement Calculator'!J:J,MATCH('Isaac 401k'!N3363,'Retirement Calculator'!A:A,0),0),0)</f>
        <v>0</v>
      </c>
      <c r="K3363" s="455">
        <f t="shared" ca="1" si="166"/>
        <v>-822825001.43763709</v>
      </c>
      <c r="L3363" s="455">
        <f t="shared" ca="1" si="167"/>
        <v>-198300825346.47052</v>
      </c>
      <c r="M3363" s="471">
        <f t="shared" si="169"/>
        <v>0.05</v>
      </c>
      <c r="N3363" s="475">
        <f t="shared" si="170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68"/>
        <v>-198300825346.47052</v>
      </c>
      <c r="J3364" s="455">
        <f t="array" ref="J3364">IFERROR(INDEX('Retirement Calculator'!J:J,MATCH('Isaac 401k'!N3364,'Retirement Calculator'!A:A,0),0),0)</f>
        <v>0</v>
      </c>
      <c r="K3364" s="455">
        <f t="shared" ca="1" si="166"/>
        <v>-826253438.94362712</v>
      </c>
      <c r="L3364" s="455">
        <f t="shared" ca="1" si="167"/>
        <v>-199127078785.41415</v>
      </c>
      <c r="M3364" s="471">
        <f t="shared" si="169"/>
        <v>0.05</v>
      </c>
      <c r="N3364" s="475">
        <f t="shared" si="170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68"/>
        <v>-199127078785.41415</v>
      </c>
      <c r="J3365" s="455">
        <f t="array" ref="J3365">IFERROR(INDEX('Retirement Calculator'!J:J,MATCH('Isaac 401k'!N3365,'Retirement Calculator'!A:A,0),0),0)</f>
        <v>0</v>
      </c>
      <c r="K3365" s="455">
        <f t="shared" ca="1" si="166"/>
        <v>-829696161.6058923</v>
      </c>
      <c r="L3365" s="455">
        <f t="shared" ca="1" si="167"/>
        <v>-199956774947.02005</v>
      </c>
      <c r="M3365" s="471">
        <f t="shared" si="169"/>
        <v>0.05</v>
      </c>
      <c r="N3365" s="475">
        <f t="shared" si="170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68"/>
        <v>-199956774947.02005</v>
      </c>
      <c r="J3366" s="455">
        <f t="array" ref="J3366">IFERROR(INDEX('Retirement Calculator'!J:J,MATCH('Isaac 401k'!N3366,'Retirement Calculator'!A:A,0),0),0)</f>
        <v>0</v>
      </c>
      <c r="K3366" s="455">
        <f t="shared" ca="1" si="166"/>
        <v>-833153228.94591689</v>
      </c>
      <c r="L3366" s="455">
        <f t="shared" ca="1" si="167"/>
        <v>-200789928175.96597</v>
      </c>
      <c r="M3366" s="471">
        <f t="shared" si="169"/>
        <v>0.05</v>
      </c>
      <c r="N3366" s="475">
        <f t="shared" si="170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68"/>
        <v>-200789928175.96597</v>
      </c>
      <c r="J3367" s="455">
        <f t="array" ref="J3367">IFERROR(INDEX('Retirement Calculator'!J:J,MATCH('Isaac 401k'!N3367,'Retirement Calculator'!A:A,0),0),0)</f>
        <v>0</v>
      </c>
      <c r="K3367" s="455">
        <f t="shared" ca="1" si="166"/>
        <v>-836624700.73319149</v>
      </c>
      <c r="L3367" s="455">
        <f t="shared" ca="1" si="167"/>
        <v>-201626552876.69916</v>
      </c>
      <c r="M3367" s="471">
        <f t="shared" si="169"/>
        <v>0.05</v>
      </c>
      <c r="N3367" s="475">
        <f t="shared" si="170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68"/>
        <v>-201626552876.69916</v>
      </c>
      <c r="J3368" s="455">
        <f t="array" ref="J3368">IFERROR(INDEX('Retirement Calculator'!J:J,MATCH('Isaac 401k'!N3368,'Retirement Calculator'!A:A,0),0),0)</f>
        <v>0</v>
      </c>
      <c r="K3368" s="455">
        <f t="shared" ca="1" si="166"/>
        <v>-840110636.98624647</v>
      </c>
      <c r="L3368" s="455">
        <f t="shared" ca="1" si="167"/>
        <v>-202466663513.68539</v>
      </c>
      <c r="M3368" s="471">
        <f t="shared" si="169"/>
        <v>0.05</v>
      </c>
      <c r="N3368" s="475">
        <f t="shared" si="170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68"/>
        <v>-202466663513.68539</v>
      </c>
      <c r="J3369" s="455">
        <f t="array" ref="J3369">IFERROR(INDEX('Retirement Calculator'!J:J,MATCH('Isaac 401k'!N3369,'Retirement Calculator'!A:A,0),0),0)</f>
        <v>0</v>
      </c>
      <c r="K3369" s="455">
        <f t="shared" ca="1" si="166"/>
        <v>-843611097.97368908</v>
      </c>
      <c r="L3369" s="455">
        <f t="shared" ca="1" si="167"/>
        <v>-203310274611.65909</v>
      </c>
      <c r="M3369" s="471">
        <f t="shared" si="169"/>
        <v>0.05</v>
      </c>
      <c r="N3369" s="475">
        <f t="shared" si="170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68"/>
        <v>-203310274611.65909</v>
      </c>
      <c r="J3370" s="455">
        <f t="array" ref="J3370">IFERROR(INDEX('Retirement Calculator'!J:J,MATCH('Isaac 401k'!N3370,'Retirement Calculator'!A:A,0),0),0)</f>
        <v>0</v>
      </c>
      <c r="K3370" s="455">
        <f t="shared" ca="1" si="166"/>
        <v>-847126144.2152462</v>
      </c>
      <c r="L3370" s="455">
        <f t="shared" ca="1" si="167"/>
        <v>-204157400755.87433</v>
      </c>
      <c r="M3370" s="471">
        <f t="shared" si="169"/>
        <v>0.05</v>
      </c>
      <c r="N3370" s="475">
        <f t="shared" si="170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68"/>
        <v>-204157400755.87433</v>
      </c>
      <c r="J3371" s="455">
        <f t="array" ref="J3371">IFERROR(INDEX('Retirement Calculator'!J:J,MATCH('Isaac 401k'!N3371,'Retirement Calculator'!A:A,0),0),0)</f>
        <v>0</v>
      </c>
      <c r="K3371" s="455">
        <f t="shared" ca="1" si="166"/>
        <v>-850655836.48280966</v>
      </c>
      <c r="L3371" s="455">
        <f t="shared" ca="1" si="167"/>
        <v>-205008056592.35715</v>
      </c>
      <c r="M3371" s="471">
        <f t="shared" si="169"/>
        <v>0.05</v>
      </c>
      <c r="N3371" s="475">
        <f t="shared" si="170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68"/>
        <v>-205008056592.35715</v>
      </c>
      <c r="J3372" s="455">
        <f t="array" ref="J3372">IFERROR(INDEX('Retirement Calculator'!J:J,MATCH('Isaac 401k'!N3372,'Retirement Calculator'!A:A,0),0),0)</f>
        <v>0</v>
      </c>
      <c r="K3372" s="455">
        <f t="shared" ca="1" si="166"/>
        <v>-854200235.80148816</v>
      </c>
      <c r="L3372" s="455">
        <f t="shared" ca="1" si="167"/>
        <v>-205862256828.15863</v>
      </c>
      <c r="M3372" s="471">
        <f t="shared" si="169"/>
        <v>0.05</v>
      </c>
      <c r="N3372" s="475">
        <f t="shared" si="170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68"/>
        <v>-205862256828.15863</v>
      </c>
      <c r="J3373" s="455">
        <f t="array" ref="J3373">IFERROR(INDEX('Retirement Calculator'!J:J,MATCH('Isaac 401k'!N3373,'Retirement Calculator'!A:A,0),0),0)</f>
        <v>0</v>
      </c>
      <c r="K3373" s="455">
        <f t="shared" ca="1" si="166"/>
        <v>-857759403.45066094</v>
      </c>
      <c r="L3373" s="455">
        <f t="shared" ca="1" si="167"/>
        <v>-206720016231.60928</v>
      </c>
      <c r="M3373" s="471">
        <f t="shared" si="169"/>
        <v>0.05</v>
      </c>
      <c r="N3373" s="475">
        <f t="shared" si="170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68"/>
        <v>-206720016231.60928</v>
      </c>
      <c r="J3374" s="455">
        <f t="array" ref="J3374">IFERROR(INDEX('Retirement Calculator'!J:J,MATCH('Isaac 401k'!N3374,'Retirement Calculator'!A:A,0),0),0)</f>
        <v>0</v>
      </c>
      <c r="K3374" s="455">
        <f t="shared" ca="1" si="166"/>
        <v>-861333400.96503866</v>
      </c>
      <c r="L3374" s="455">
        <f t="shared" ca="1" si="167"/>
        <v>-207581349632.57431</v>
      </c>
      <c r="M3374" s="471">
        <f t="shared" si="169"/>
        <v>0.05</v>
      </c>
      <c r="N3374" s="475">
        <f t="shared" si="170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68"/>
        <v>-207581349632.57431</v>
      </c>
      <c r="J3375" s="455">
        <f t="array" ref="J3375">IFERROR(INDEX('Retirement Calculator'!J:J,MATCH('Isaac 401k'!N3375,'Retirement Calculator'!A:A,0),0),0)</f>
        <v>0</v>
      </c>
      <c r="K3375" s="455">
        <f t="shared" ca="1" si="166"/>
        <v>-864922290.13572633</v>
      </c>
      <c r="L3375" s="455">
        <f t="shared" ca="1" si="167"/>
        <v>-208446271922.71002</v>
      </c>
      <c r="M3375" s="471">
        <f t="shared" si="169"/>
        <v>0.05</v>
      </c>
      <c r="N3375" s="475">
        <f t="shared" si="170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68"/>
        <v>-208446271922.71002</v>
      </c>
      <c r="J3376" s="455">
        <f t="array" ref="J3376">IFERROR(INDEX('Retirement Calculator'!J:J,MATCH('Isaac 401k'!N3376,'Retirement Calculator'!A:A,0),0),0)</f>
        <v>0</v>
      </c>
      <c r="K3376" s="455">
        <f t="shared" ca="1" si="166"/>
        <v>-868526133.01129174</v>
      </c>
      <c r="L3376" s="455">
        <f t="shared" ca="1" si="167"/>
        <v>-209314798055.72131</v>
      </c>
      <c r="M3376" s="471">
        <f t="shared" si="169"/>
        <v>0.05</v>
      </c>
      <c r="N3376" s="475">
        <f t="shared" si="170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68"/>
        <v>-209314798055.72131</v>
      </c>
      <c r="J3377" s="455">
        <f t="array" ref="J3377">IFERROR(INDEX('Retirement Calculator'!J:J,MATCH('Isaac 401k'!N3377,'Retirement Calculator'!A:A,0),0),0)</f>
        <v>0</v>
      </c>
      <c r="K3377" s="455">
        <f t="shared" ca="1" si="166"/>
        <v>-872144991.89883876</v>
      </c>
      <c r="L3377" s="455">
        <f t="shared" ca="1" si="167"/>
        <v>-210186943047.62015</v>
      </c>
      <c r="M3377" s="471">
        <f t="shared" si="169"/>
        <v>0.05</v>
      </c>
      <c r="N3377" s="475">
        <f t="shared" si="170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68"/>
        <v>-210186943047.62015</v>
      </c>
      <c r="J3378" s="455">
        <f t="array" ref="J3378">IFERROR(INDEX('Retirement Calculator'!J:J,MATCH('Isaac 401k'!N3378,'Retirement Calculator'!A:A,0),0),0)</f>
        <v>0</v>
      </c>
      <c r="K3378" s="455">
        <f t="shared" ca="1" si="166"/>
        <v>-875778929.36508393</v>
      </c>
      <c r="L3378" s="455">
        <f t="shared" ca="1" si="167"/>
        <v>-211062721976.98523</v>
      </c>
      <c r="M3378" s="471">
        <f t="shared" si="169"/>
        <v>0.05</v>
      </c>
      <c r="N3378" s="475">
        <f t="shared" si="170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68"/>
        <v>-211062721976.98523</v>
      </c>
      <c r="J3379" s="455">
        <f t="array" ref="J3379">IFERROR(INDEX('Retirement Calculator'!J:J,MATCH('Isaac 401k'!N3379,'Retirement Calculator'!A:A,0),0),0)</f>
        <v>0</v>
      </c>
      <c r="K3379" s="455">
        <f t="shared" ca="1" si="166"/>
        <v>-879428008.23743844</v>
      </c>
      <c r="L3379" s="455">
        <f t="shared" ca="1" si="167"/>
        <v>-211942149985.22266</v>
      </c>
      <c r="M3379" s="471">
        <f t="shared" si="169"/>
        <v>0.05</v>
      </c>
      <c r="N3379" s="475">
        <f t="shared" si="170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68"/>
        <v>-211942149985.22266</v>
      </c>
      <c r="J3380" s="455">
        <f t="array" ref="J3380">IFERROR(INDEX('Retirement Calculator'!J:J,MATCH('Isaac 401k'!N3380,'Retirement Calculator'!A:A,0),0),0)</f>
        <v>0</v>
      </c>
      <c r="K3380" s="455">
        <f t="shared" ca="1" si="166"/>
        <v>-883092291.60509443</v>
      </c>
      <c r="L3380" s="455">
        <f t="shared" ca="1" si="167"/>
        <v>-212825242276.82776</v>
      </c>
      <c r="M3380" s="471">
        <f t="shared" si="169"/>
        <v>0.05</v>
      </c>
      <c r="N3380" s="475">
        <f t="shared" si="170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68"/>
        <v>-212825242276.82776</v>
      </c>
      <c r="J3381" s="455">
        <f t="array" ref="J3381">IFERROR(INDEX('Retirement Calculator'!J:J,MATCH('Isaac 401k'!N3381,'Retirement Calculator'!A:A,0),0),0)</f>
        <v>0</v>
      </c>
      <c r="K3381" s="455">
        <f t="shared" ca="1" si="166"/>
        <v>-886771842.82011569</v>
      </c>
      <c r="L3381" s="455">
        <f t="shared" ca="1" si="167"/>
        <v>-213712014119.64789</v>
      </c>
      <c r="M3381" s="471">
        <f t="shared" si="169"/>
        <v>0.05</v>
      </c>
      <c r="N3381" s="475">
        <f t="shared" si="170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68"/>
        <v>-213712014119.64789</v>
      </c>
      <c r="J3382" s="455">
        <f t="array" ref="J3382">IFERROR(INDEX('Retirement Calculator'!J:J,MATCH('Isaac 401k'!N3382,'Retirement Calculator'!A:A,0),0),0)</f>
        <v>0</v>
      </c>
      <c r="K3382" s="455">
        <f t="shared" ca="1" si="166"/>
        <v>-890466725.49853289</v>
      </c>
      <c r="L3382" s="455">
        <f t="shared" ca="1" si="167"/>
        <v>-214602480845.14642</v>
      </c>
      <c r="M3382" s="471">
        <f t="shared" si="169"/>
        <v>0.05</v>
      </c>
      <c r="N3382" s="475">
        <f t="shared" si="170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68"/>
        <v>-214602480845.14642</v>
      </c>
      <c r="J3383" s="455">
        <f t="array" ref="J3383">IFERROR(INDEX('Retirement Calculator'!J:J,MATCH('Isaac 401k'!N3383,'Retirement Calculator'!A:A,0),0),0)</f>
        <v>0</v>
      </c>
      <c r="K3383" s="455">
        <f t="shared" ca="1" si="166"/>
        <v>-894177003.52144337</v>
      </c>
      <c r="L3383" s="455">
        <f t="shared" ca="1" si="167"/>
        <v>-215496657848.66788</v>
      </c>
      <c r="M3383" s="471">
        <f t="shared" si="169"/>
        <v>0.05</v>
      </c>
      <c r="N3383" s="475">
        <f t="shared" si="170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68"/>
        <v>-215496657848.66788</v>
      </c>
      <c r="J3384" s="455">
        <f t="array" ref="J3384">IFERROR(INDEX('Retirement Calculator'!J:J,MATCH('Isaac 401k'!N3384,'Retirement Calculator'!A:A,0),0),0)</f>
        <v>0</v>
      </c>
      <c r="K3384" s="455">
        <f t="shared" ca="1" si="166"/>
        <v>-897902741.03611612</v>
      </c>
      <c r="L3384" s="455">
        <f t="shared" ca="1" si="167"/>
        <v>-216394560589.70398</v>
      </c>
      <c r="M3384" s="471">
        <f t="shared" si="169"/>
        <v>0.05</v>
      </c>
      <c r="N3384" s="475">
        <f t="shared" si="170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68"/>
        <v>-216394560589.70398</v>
      </c>
      <c r="J3385" s="455">
        <f t="array" ref="J3385">IFERROR(INDEX('Retirement Calculator'!J:J,MATCH('Isaac 401k'!N3385,'Retirement Calculator'!A:A,0),0),0)</f>
        <v>0</v>
      </c>
      <c r="K3385" s="455">
        <f t="shared" ca="1" si="166"/>
        <v>-901644002.45709991</v>
      </c>
      <c r="L3385" s="455">
        <f t="shared" ca="1" si="167"/>
        <v>-217296204592.16107</v>
      </c>
      <c r="M3385" s="471">
        <f t="shared" si="169"/>
        <v>0.05</v>
      </c>
      <c r="N3385" s="475">
        <f t="shared" si="170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68"/>
        <v>-217296204592.16107</v>
      </c>
      <c r="J3386" s="455">
        <f t="array" ref="J3386">IFERROR(INDEX('Retirement Calculator'!J:J,MATCH('Isaac 401k'!N3386,'Retirement Calculator'!A:A,0),0),0)</f>
        <v>0</v>
      </c>
      <c r="K3386" s="455">
        <f t="shared" ca="1" si="166"/>
        <v>-905400852.46733773</v>
      </c>
      <c r="L3386" s="455">
        <f t="shared" ca="1" si="167"/>
        <v>-218201605444.62842</v>
      </c>
      <c r="M3386" s="471">
        <f t="shared" si="169"/>
        <v>0.05</v>
      </c>
      <c r="N3386" s="475">
        <f t="shared" si="170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68"/>
        <v>-218201605444.62842</v>
      </c>
      <c r="J3387" s="455">
        <f t="array" ref="J3387">IFERROR(INDEX('Retirement Calculator'!J:J,MATCH('Isaac 401k'!N3387,'Retirement Calculator'!A:A,0),0),0)</f>
        <v>0</v>
      </c>
      <c r="K3387" s="455">
        <f t="shared" ca="1" si="166"/>
        <v>-909173356.01928496</v>
      </c>
      <c r="L3387" s="455">
        <f t="shared" ca="1" si="167"/>
        <v>-219110778800.64771</v>
      </c>
      <c r="M3387" s="471">
        <f t="shared" si="169"/>
        <v>0.05</v>
      </c>
      <c r="N3387" s="475">
        <f t="shared" si="170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68"/>
        <v>-219110778800.64771</v>
      </c>
      <c r="J3388" s="455">
        <f t="array" ref="J3388">IFERROR(INDEX('Retirement Calculator'!J:J,MATCH('Isaac 401k'!N3388,'Retirement Calculator'!A:A,0),0),0)</f>
        <v>0</v>
      </c>
      <c r="K3388" s="455">
        <f t="shared" ca="1" si="166"/>
        <v>-912961578.33603203</v>
      </c>
      <c r="L3388" s="455">
        <f t="shared" ca="1" si="167"/>
        <v>-220023740378.98373</v>
      </c>
      <c r="M3388" s="471">
        <f t="shared" si="169"/>
        <v>0.05</v>
      </c>
      <c r="N3388" s="475">
        <f t="shared" si="170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68"/>
        <v>-220023740378.98373</v>
      </c>
      <c r="J3389" s="455">
        <f t="array" ref="J3389">IFERROR(INDEX('Retirement Calculator'!J:J,MATCH('Isaac 401k'!N3389,'Retirement Calculator'!A:A,0),0),0)</f>
        <v>0</v>
      </c>
      <c r="K3389" s="455">
        <f t="shared" ca="1" si="166"/>
        <v>-916765584.91243231</v>
      </c>
      <c r="L3389" s="455">
        <f t="shared" ca="1" si="167"/>
        <v>-220940505963.89618</v>
      </c>
      <c r="M3389" s="471">
        <f t="shared" si="169"/>
        <v>0.05</v>
      </c>
      <c r="N3389" s="475">
        <f t="shared" si="170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68"/>
        <v>-220940505963.89618</v>
      </c>
      <c r="J3390" s="455">
        <f t="array" ref="J3390">IFERROR(INDEX('Retirement Calculator'!J:J,MATCH('Isaac 401k'!N3390,'Retirement Calculator'!A:A,0),0),0)</f>
        <v>0</v>
      </c>
      <c r="K3390" s="455">
        <f t="shared" ca="1" si="166"/>
        <v>-920585441.51623416</v>
      </c>
      <c r="L3390" s="455">
        <f t="shared" ca="1" si="167"/>
        <v>-221861091405.41241</v>
      </c>
      <c r="M3390" s="471">
        <f t="shared" si="169"/>
        <v>0.05</v>
      </c>
      <c r="N3390" s="475">
        <f t="shared" si="170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68"/>
        <v>-221861091405.41241</v>
      </c>
      <c r="J3391" s="455">
        <f t="array" ref="J3391">IFERROR(INDEX('Retirement Calculator'!J:J,MATCH('Isaac 401k'!N3391,'Retirement Calculator'!A:A,0),0),0)</f>
        <v>0</v>
      </c>
      <c r="K3391" s="455">
        <f t="shared" ca="1" si="166"/>
        <v>-924421214.1892184</v>
      </c>
      <c r="L3391" s="455">
        <f t="shared" ca="1" si="167"/>
        <v>-222785512619.60162</v>
      </c>
      <c r="M3391" s="471">
        <f t="shared" si="169"/>
        <v>0.05</v>
      </c>
      <c r="N3391" s="475">
        <f t="shared" si="170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68"/>
        <v>-222785512619.60162</v>
      </c>
      <c r="J3392" s="455">
        <f t="array" ref="J3392">IFERROR(INDEX('Retirement Calculator'!J:J,MATCH('Isaac 401k'!N3392,'Retirement Calculator'!A:A,0),0),0)</f>
        <v>0</v>
      </c>
      <c r="K3392" s="455">
        <f t="shared" ca="1" si="166"/>
        <v>-928272969.24834001</v>
      </c>
      <c r="L3392" s="455">
        <f t="shared" ca="1" si="167"/>
        <v>-223713785588.84998</v>
      </c>
      <c r="M3392" s="471">
        <f t="shared" si="169"/>
        <v>0.05</v>
      </c>
      <c r="N3392" s="475">
        <f t="shared" si="170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68"/>
        <v>-223713785588.84998</v>
      </c>
      <c r="J3393" s="455">
        <f t="array" ref="J3393">IFERROR(INDEX('Retirement Calculator'!J:J,MATCH('Isaac 401k'!N3393,'Retirement Calculator'!A:A,0),0),0)</f>
        <v>0</v>
      </c>
      <c r="K3393" s="455">
        <f t="shared" ca="1" si="166"/>
        <v>-932140773.28687489</v>
      </c>
      <c r="L3393" s="455">
        <f t="shared" ca="1" si="167"/>
        <v>-224645926362.13684</v>
      </c>
      <c r="M3393" s="471">
        <f t="shared" si="169"/>
        <v>0.05</v>
      </c>
      <c r="N3393" s="475">
        <f t="shared" si="170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68"/>
        <v>-224645926362.13684</v>
      </c>
      <c r="J3394" s="455">
        <f t="array" ref="J3394">IFERROR(INDEX('Retirement Calculator'!J:J,MATCH('Isaac 401k'!N3394,'Retirement Calculator'!A:A,0),0),0)</f>
        <v>0</v>
      </c>
      <c r="K3394" s="455">
        <f t="shared" ca="1" si="166"/>
        <v>-936024693.17557025</v>
      </c>
      <c r="L3394" s="455">
        <f t="shared" ca="1" si="167"/>
        <v>-225581951055.31241</v>
      </c>
      <c r="M3394" s="471">
        <f t="shared" si="169"/>
        <v>0.05</v>
      </c>
      <c r="N3394" s="475">
        <f t="shared" si="170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68"/>
        <v>-225581951055.31241</v>
      </c>
      <c r="J3395" s="455">
        <f t="array" ref="J3395">IFERROR(INDEX('Retirement Calculator'!J:J,MATCH('Isaac 401k'!N3395,'Retirement Calculator'!A:A,0),0),0)</f>
        <v>0</v>
      </c>
      <c r="K3395" s="455">
        <f t="shared" ca="1" si="166"/>
        <v>-939924796.06380165</v>
      </c>
      <c r="L3395" s="455">
        <f t="shared" ca="1" si="167"/>
        <v>-226521875851.37622</v>
      </c>
      <c r="M3395" s="471">
        <f t="shared" si="169"/>
        <v>0.05</v>
      </c>
      <c r="N3395" s="475">
        <f t="shared" si="170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68"/>
        <v>-226521875851.37622</v>
      </c>
      <c r="J3396" s="455">
        <f t="array" ref="J3396">IFERROR(INDEX('Retirement Calculator'!J:J,MATCH('Isaac 401k'!N3396,'Retirement Calculator'!A:A,0),0),0)</f>
        <v>0</v>
      </c>
      <c r="K3396" s="455">
        <f t="shared" ca="1" si="166"/>
        <v>-943841149.38073409</v>
      </c>
      <c r="L3396" s="455">
        <f t="shared" ca="1" si="167"/>
        <v>-227465717000.75696</v>
      </c>
      <c r="M3396" s="471">
        <f t="shared" si="169"/>
        <v>0.05</v>
      </c>
      <c r="N3396" s="475">
        <f t="shared" si="170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68"/>
        <v>-227465717000.75696</v>
      </c>
      <c r="J3397" s="455">
        <f t="array" ref="J3397">IFERROR(INDEX('Retirement Calculator'!J:J,MATCH('Isaac 401k'!N3397,'Retirement Calculator'!A:A,0),0),0)</f>
        <v>0</v>
      </c>
      <c r="K3397" s="455">
        <f t="shared" ca="1" si="166"/>
        <v>-947773820.83648729</v>
      </c>
      <c r="L3397" s="455">
        <f t="shared" ca="1" si="167"/>
        <v>-228413490821.59344</v>
      </c>
      <c r="M3397" s="471">
        <f t="shared" si="169"/>
        <v>0.05</v>
      </c>
      <c r="N3397" s="475">
        <f t="shared" si="170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68"/>
        <v>-228413490821.59344</v>
      </c>
      <c r="J3398" s="455">
        <f t="array" ref="J3398">IFERROR(INDEX('Retirement Calculator'!J:J,MATCH('Isaac 401k'!N3398,'Retirement Calculator'!A:A,0),0),0)</f>
        <v>0</v>
      </c>
      <c r="K3398" s="455">
        <f t="shared" ca="1" si="166"/>
        <v>-951722878.42330599</v>
      </c>
      <c r="L3398" s="455">
        <f t="shared" ca="1" si="167"/>
        <v>-229365213700.01675</v>
      </c>
      <c r="M3398" s="471">
        <f t="shared" si="169"/>
        <v>0.05</v>
      </c>
      <c r="N3398" s="475">
        <f t="shared" si="170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68"/>
        <v>-229365213700.01675</v>
      </c>
      <c r="J3399" s="455">
        <f t="array" ref="J3399">IFERROR(INDEX('Retirement Calculator'!J:J,MATCH('Isaac 401k'!N3399,'Retirement Calculator'!A:A,0),0),0)</f>
        <v>0</v>
      </c>
      <c r="K3399" s="455">
        <f t="shared" ca="1" si="166"/>
        <v>-955688390.41673648</v>
      </c>
      <c r="L3399" s="455">
        <f t="shared" ca="1" si="167"/>
        <v>-230320902090.4335</v>
      </c>
      <c r="M3399" s="471">
        <f t="shared" si="169"/>
        <v>0.05</v>
      </c>
      <c r="N3399" s="475">
        <f t="shared" si="170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68"/>
        <v>-230320902090.4335</v>
      </c>
      <c r="J3400" s="455">
        <f t="array" ref="J3400">IFERROR(INDEX('Retirement Calculator'!J:J,MATCH('Isaac 401k'!N3400,'Retirement Calculator'!A:A,0),0),0)</f>
        <v>0</v>
      </c>
      <c r="K3400" s="455">
        <f t="shared" ca="1" si="166"/>
        <v>-959670425.37680626</v>
      </c>
      <c r="L3400" s="455">
        <f t="shared" ca="1" si="167"/>
        <v>-231280572515.8103</v>
      </c>
      <c r="M3400" s="471">
        <f t="shared" si="169"/>
        <v>0.05</v>
      </c>
      <c r="N3400" s="475">
        <f t="shared" si="170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68"/>
        <v>-231280572515.8103</v>
      </c>
      <c r="J3401" s="455">
        <f t="array" ref="J3401">IFERROR(INDEX('Retirement Calculator'!J:J,MATCH('Isaac 401k'!N3401,'Retirement Calculator'!A:A,0),0),0)</f>
        <v>0</v>
      </c>
      <c r="K3401" s="455">
        <f t="shared" ca="1" si="166"/>
        <v>-963669052.14920962</v>
      </c>
      <c r="L3401" s="455">
        <f t="shared" ca="1" si="167"/>
        <v>-232244241567.9595</v>
      </c>
      <c r="M3401" s="471">
        <f t="shared" si="169"/>
        <v>0.05</v>
      </c>
      <c r="N3401" s="475">
        <f t="shared" si="170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68"/>
        <v>-232244241567.9595</v>
      </c>
      <c r="J3402" s="455">
        <f t="array" ref="J3402">IFERROR(INDEX('Retirement Calculator'!J:J,MATCH('Isaac 401k'!N3402,'Retirement Calculator'!A:A,0),0),0)</f>
        <v>0</v>
      </c>
      <c r="K3402" s="455">
        <f t="shared" ca="1" si="166"/>
        <v>-967684339.86649776</v>
      </c>
      <c r="L3402" s="455">
        <f t="shared" ca="1" si="167"/>
        <v>-233211925907.82599</v>
      </c>
      <c r="M3402" s="471">
        <f t="shared" si="169"/>
        <v>0.05</v>
      </c>
      <c r="N3402" s="475">
        <f t="shared" si="170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68"/>
        <v>-233211925907.82599</v>
      </c>
      <c r="J3403" s="455">
        <f t="array" ref="J3403">IFERROR(INDEX('Retirement Calculator'!J:J,MATCH('Isaac 401k'!N3403,'Retirement Calculator'!A:A,0),0),0)</f>
        <v>0</v>
      </c>
      <c r="K3403" s="455">
        <f t="shared" ca="1" si="166"/>
        <v>-971716357.94927502</v>
      </c>
      <c r="L3403" s="455">
        <f t="shared" ca="1" si="167"/>
        <v>-234183642265.77527</v>
      </c>
      <c r="M3403" s="471">
        <f t="shared" si="169"/>
        <v>0.05</v>
      </c>
      <c r="N3403" s="475">
        <f t="shared" si="170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68"/>
        <v>-234183642265.77527</v>
      </c>
      <c r="J3404" s="455">
        <f t="array" ref="J3404">IFERROR(INDEX('Retirement Calculator'!J:J,MATCH('Isaac 401k'!N3404,'Retirement Calculator'!A:A,0),0),0)</f>
        <v>0</v>
      </c>
      <c r="K3404" s="455">
        <f t="shared" ca="1" si="166"/>
        <v>-975765176.10739708</v>
      </c>
      <c r="L3404" s="455">
        <f t="shared" ca="1" si="167"/>
        <v>-235159407441.88266</v>
      </c>
      <c r="M3404" s="471">
        <f t="shared" si="169"/>
        <v>0.05</v>
      </c>
      <c r="N3404" s="475">
        <f t="shared" si="170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68"/>
        <v>-235159407441.88266</v>
      </c>
      <c r="J3405" s="455">
        <f t="array" ref="J3405">IFERROR(INDEX('Retirement Calculator'!J:J,MATCH('Isaac 401k'!N3405,'Retirement Calculator'!A:A,0),0),0)</f>
        <v>0</v>
      </c>
      <c r="K3405" s="455">
        <f t="shared" ca="1" si="166"/>
        <v>-979830864.3411777</v>
      </c>
      <c r="L3405" s="455">
        <f t="shared" ca="1" si="167"/>
        <v>-236139238306.22385</v>
      </c>
      <c r="M3405" s="471">
        <f t="shared" si="169"/>
        <v>0.05</v>
      </c>
      <c r="N3405" s="475">
        <f t="shared" si="170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68"/>
        <v>-236139238306.22385</v>
      </c>
      <c r="J3406" s="455">
        <f t="array" ref="J3406">IFERROR(INDEX('Retirement Calculator'!J:J,MATCH('Isaac 401k'!N3406,'Retirement Calculator'!A:A,0),0),0)</f>
        <v>0</v>
      </c>
      <c r="K3406" s="455">
        <f t="shared" ca="1" si="166"/>
        <v>-983913492.9425993</v>
      </c>
      <c r="L3406" s="455">
        <f t="shared" ca="1" si="167"/>
        <v>-237123151799.16644</v>
      </c>
      <c r="M3406" s="471">
        <f t="shared" si="169"/>
        <v>0.05</v>
      </c>
      <c r="N3406" s="475">
        <f t="shared" si="170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68"/>
        <v>-237123151799.16644</v>
      </c>
      <c r="J3407" s="455">
        <f t="array" ref="J3407">IFERROR(INDEX('Retirement Calculator'!J:J,MATCH('Isaac 401k'!N3407,'Retirement Calculator'!A:A,0),0),0)</f>
        <v>0</v>
      </c>
      <c r="K3407" s="455">
        <f t="shared" ca="1" si="166"/>
        <v>-988013132.49652696</v>
      </c>
      <c r="L3407" s="455">
        <f t="shared" ca="1" si="167"/>
        <v>-238111164931.66296</v>
      </c>
      <c r="M3407" s="471">
        <f t="shared" si="169"/>
        <v>0.05</v>
      </c>
      <c r="N3407" s="475">
        <f t="shared" si="170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68"/>
        <v>-238111164931.66296</v>
      </c>
      <c r="J3408" s="455">
        <f t="array" ref="J3408">IFERROR(INDEX('Retirement Calculator'!J:J,MATCH('Isaac 401k'!N3408,'Retirement Calculator'!A:A,0),0),0)</f>
        <v>0</v>
      </c>
      <c r="K3408" s="455">
        <f t="shared" ca="1" si="166"/>
        <v>-992129853.88192904</v>
      </c>
      <c r="L3408" s="455">
        <f t="shared" ca="1" si="167"/>
        <v>-239103294785.54489</v>
      </c>
      <c r="M3408" s="471">
        <f t="shared" si="169"/>
        <v>0.05</v>
      </c>
      <c r="N3408" s="475">
        <f t="shared" si="170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68"/>
        <v>-239103294785.54489</v>
      </c>
      <c r="J3409" s="455">
        <f t="array" ref="J3409">IFERROR(INDEX('Retirement Calculator'!J:J,MATCH('Isaac 401k'!N3409,'Retirement Calculator'!A:A,0),0),0)</f>
        <v>0</v>
      </c>
      <c r="K3409" s="455">
        <f t="shared" ca="1" si="166"/>
        <v>-996263728.27310383</v>
      </c>
      <c r="L3409" s="455">
        <f t="shared" ca="1" si="167"/>
        <v>-240099558513.81799</v>
      </c>
      <c r="M3409" s="471">
        <f t="shared" si="169"/>
        <v>0.05</v>
      </c>
      <c r="N3409" s="475">
        <f t="shared" si="170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68"/>
        <v>-240099558513.81799</v>
      </c>
      <c r="J3410" s="455">
        <f t="array" ref="J3410">IFERROR(INDEX('Retirement Calculator'!J:J,MATCH('Isaac 401k'!N3410,'Retirement Calculator'!A:A,0),0),0)</f>
        <v>0</v>
      </c>
      <c r="K3410" s="455">
        <f t="shared" ca="1" si="166"/>
        <v>-1000414827.1409081</v>
      </c>
      <c r="L3410" s="455">
        <f t="shared" ca="1" si="167"/>
        <v>-241099973340.95889</v>
      </c>
      <c r="M3410" s="471">
        <f t="shared" si="169"/>
        <v>0.05</v>
      </c>
      <c r="N3410" s="475">
        <f t="shared" si="170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68"/>
        <v>-241099973340.95889</v>
      </c>
      <c r="J3411" s="455">
        <f t="array" ref="J3411">IFERROR(INDEX('Retirement Calculator'!J:J,MATCH('Isaac 401k'!N3411,'Retirement Calculator'!A:A,0),0),0)</f>
        <v>0</v>
      </c>
      <c r="K3411" s="455">
        <f t="shared" ca="1" si="166"/>
        <v>-1004583222.2539953</v>
      </c>
      <c r="L3411" s="455">
        <f t="shared" ca="1" si="167"/>
        <v>-242104556563.21289</v>
      </c>
      <c r="M3411" s="471">
        <f t="shared" si="169"/>
        <v>0.05</v>
      </c>
      <c r="N3411" s="475">
        <f t="shared" si="170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68"/>
        <v>-242104556563.21289</v>
      </c>
      <c r="J3412" s="455">
        <f t="array" ref="J3412">IFERROR(INDEX('Retirement Calculator'!J:J,MATCH('Isaac 401k'!N3412,'Retirement Calculator'!A:A,0),0),0)</f>
        <v>0</v>
      </c>
      <c r="K3412" s="455">
        <f t="shared" ca="1" si="166"/>
        <v>-1008768985.6800537</v>
      </c>
      <c r="L3412" s="455">
        <f t="shared" ca="1" si="167"/>
        <v>-243113325548.89294</v>
      </c>
      <c r="M3412" s="471">
        <f t="shared" si="169"/>
        <v>0.05</v>
      </c>
      <c r="N3412" s="475">
        <f t="shared" si="170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68"/>
        <v>-243113325548.89294</v>
      </c>
      <c r="J3413" s="455">
        <f t="array" ref="J3413">IFERROR(INDEX('Retirement Calculator'!J:J,MATCH('Isaac 401k'!N3413,'Retirement Calculator'!A:A,0),0),0)</f>
        <v>0</v>
      </c>
      <c r="K3413" s="455">
        <f t="shared" ca="1" si="166"/>
        <v>-1012972189.7870541</v>
      </c>
      <c r="L3413" s="455">
        <f t="shared" ca="1" si="167"/>
        <v>-244126297738.67999</v>
      </c>
      <c r="M3413" s="471">
        <f t="shared" si="169"/>
        <v>0.05</v>
      </c>
      <c r="N3413" s="475">
        <f t="shared" si="170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68"/>
        <v>-244126297738.67999</v>
      </c>
      <c r="J3414" s="455">
        <f t="array" ref="J3414">IFERROR(INDEX('Retirement Calculator'!J:J,MATCH('Isaac 401k'!N3414,'Retirement Calculator'!A:A,0),0),0)</f>
        <v>0</v>
      </c>
      <c r="K3414" s="455">
        <f t="shared" ca="1" si="166"/>
        <v>-1017192907.2444999</v>
      </c>
      <c r="L3414" s="455">
        <f t="shared" ca="1" si="167"/>
        <v>-245143490645.9245</v>
      </c>
      <c r="M3414" s="471">
        <f t="shared" si="169"/>
        <v>0.05</v>
      </c>
      <c r="N3414" s="475">
        <f t="shared" si="170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68"/>
        <v>-245143490645.9245</v>
      </c>
      <c r="J3415" s="455">
        <f t="array" ref="J3415">IFERROR(INDEX('Retirement Calculator'!J:J,MATCH('Isaac 401k'!N3415,'Retirement Calculator'!A:A,0),0),0)</f>
        <v>0</v>
      </c>
      <c r="K3415" s="455">
        <f t="shared" ca="1" si="166"/>
        <v>-1021431211.0246854</v>
      </c>
      <c r="L3415" s="455">
        <f t="shared" ca="1" si="167"/>
        <v>-246164921856.94919</v>
      </c>
      <c r="M3415" s="471">
        <f t="shared" si="169"/>
        <v>0.05</v>
      </c>
      <c r="N3415" s="475">
        <f t="shared" si="170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68"/>
        <v>-246164921856.94919</v>
      </c>
      <c r="J3416" s="455">
        <f t="array" ref="J3416">IFERROR(INDEX('Retirement Calculator'!J:J,MATCH('Isaac 401k'!N3416,'Retirement Calculator'!A:A,0),0),0)</f>
        <v>0</v>
      </c>
      <c r="K3416" s="455">
        <f t="shared" ca="1" si="166"/>
        <v>-1025687174.403955</v>
      </c>
      <c r="L3416" s="455">
        <f t="shared" ca="1" si="167"/>
        <v>-247190609031.35315</v>
      </c>
      <c r="M3416" s="471">
        <f t="shared" si="169"/>
        <v>0.05</v>
      </c>
      <c r="N3416" s="475">
        <f t="shared" si="170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68"/>
        <v>-247190609031.35315</v>
      </c>
      <c r="J3417" s="455">
        <f t="array" ref="J3417">IFERROR(INDEX('Retirement Calculator'!J:J,MATCH('Isaac 401k'!N3417,'Retirement Calculator'!A:A,0),0),0)</f>
        <v>0</v>
      </c>
      <c r="K3417" s="455">
        <f t="shared" ca="1" si="166"/>
        <v>-1029960870.9639716</v>
      </c>
      <c r="L3417" s="455">
        <f t="shared" ca="1" si="167"/>
        <v>-248220569902.31711</v>
      </c>
      <c r="M3417" s="471">
        <f t="shared" si="169"/>
        <v>0.05</v>
      </c>
      <c r="N3417" s="475">
        <f t="shared" si="170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68"/>
        <v>-248220569902.31711</v>
      </c>
      <c r="J3418" s="455">
        <f t="array" ref="J3418">IFERROR(INDEX('Retirement Calculator'!J:J,MATCH('Isaac 401k'!N3418,'Retirement Calculator'!A:A,0),0),0)</f>
        <v>0</v>
      </c>
      <c r="K3418" s="455">
        <f t="shared" ca="1" si="166"/>
        <v>-1034252374.5929879</v>
      </c>
      <c r="L3418" s="455">
        <f t="shared" ca="1" si="167"/>
        <v>-249254822276.9101</v>
      </c>
      <c r="M3418" s="471">
        <f t="shared" si="169"/>
        <v>0.05</v>
      </c>
      <c r="N3418" s="475">
        <f t="shared" si="170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68"/>
        <v>-249254822276.9101</v>
      </c>
      <c r="J3419" s="455">
        <f t="array" ref="J3419">IFERROR(INDEX('Retirement Calculator'!J:J,MATCH('Isaac 401k'!N3419,'Retirement Calculator'!A:A,0),0),0)</f>
        <v>0</v>
      </c>
      <c r="K3419" s="455">
        <f t="shared" ca="1" si="166"/>
        <v>-1038561759.4871254</v>
      </c>
      <c r="L3419" s="455">
        <f t="shared" ca="1" si="167"/>
        <v>-250293384036.39722</v>
      </c>
      <c r="M3419" s="471">
        <f t="shared" si="169"/>
        <v>0.05</v>
      </c>
      <c r="N3419" s="475">
        <f t="shared" si="170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68"/>
        <v>-250293384036.39722</v>
      </c>
      <c r="J3420" s="455">
        <f t="array" ref="J3420">IFERROR(INDEX('Retirement Calculator'!J:J,MATCH('Isaac 401k'!N3420,'Retirement Calculator'!A:A,0),0),0)</f>
        <v>0</v>
      </c>
      <c r="K3420" s="455">
        <f t="shared" ca="1" si="166"/>
        <v>-1042889100.1516552</v>
      </c>
      <c r="L3420" s="455">
        <f t="shared" ca="1" si="167"/>
        <v>-251336273136.54886</v>
      </c>
      <c r="M3420" s="471">
        <f t="shared" si="169"/>
        <v>0.05</v>
      </c>
      <c r="N3420" s="475">
        <f t="shared" si="170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68"/>
        <v>-251336273136.54886</v>
      </c>
      <c r="J3421" s="455">
        <f t="array" ref="J3421">IFERROR(INDEX('Retirement Calculator'!J:J,MATCH('Isaac 401k'!N3421,'Retirement Calculator'!A:A,0),0),0)</f>
        <v>0</v>
      </c>
      <c r="K3421" s="455">
        <f t="shared" ca="1" si="166"/>
        <v>-1047234471.4022869</v>
      </c>
      <c r="L3421" s="455">
        <f t="shared" ca="1" si="167"/>
        <v>-252383507607.95114</v>
      </c>
      <c r="M3421" s="471">
        <f t="shared" si="169"/>
        <v>0.05</v>
      </c>
      <c r="N3421" s="475">
        <f t="shared" si="170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68"/>
        <v>-252383507607.95114</v>
      </c>
      <c r="J3422" s="455">
        <f t="array" ref="J3422">IFERROR(INDEX('Retirement Calculator'!J:J,MATCH('Isaac 401k'!N3422,'Retirement Calculator'!A:A,0),0),0)</f>
        <v>0</v>
      </c>
      <c r="K3422" s="455">
        <f t="shared" ca="1" si="166"/>
        <v>-1051597948.3664631</v>
      </c>
      <c r="L3422" s="455">
        <f t="shared" ca="1" si="167"/>
        <v>-253435105556.3176</v>
      </c>
      <c r="M3422" s="471">
        <f t="shared" si="169"/>
        <v>0.05</v>
      </c>
      <c r="N3422" s="475">
        <f t="shared" si="170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68"/>
        <v>-253435105556.3176</v>
      </c>
      <c r="J3423" s="455">
        <f t="array" ref="J3423">IFERROR(INDEX('Retirement Calculator'!J:J,MATCH('Isaac 401k'!N3423,'Retirement Calculator'!A:A,0),0),0)</f>
        <v>0</v>
      </c>
      <c r="K3423" s="455">
        <f t="shared" ca="1" si="166"/>
        <v>-1055979606.4846567</v>
      </c>
      <c r="L3423" s="455">
        <f t="shared" ca="1" si="167"/>
        <v>-254491085162.80225</v>
      </c>
      <c r="M3423" s="471">
        <f t="shared" si="169"/>
        <v>0.05</v>
      </c>
      <c r="N3423" s="475">
        <f t="shared" si="170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68"/>
        <v>-254491085162.80225</v>
      </c>
      <c r="J3424" s="455">
        <f t="array" ref="J3424">IFERROR(INDEX('Retirement Calculator'!J:J,MATCH('Isaac 401k'!N3424,'Retirement Calculator'!A:A,0),0),0)</f>
        <v>0</v>
      </c>
      <c r="K3424" s="455">
        <f t="shared" ca="1" si="166"/>
        <v>-1060379521.511676</v>
      </c>
      <c r="L3424" s="455">
        <f t="shared" ca="1" si="167"/>
        <v>-255551464684.31393</v>
      </c>
      <c r="M3424" s="471">
        <f t="shared" si="169"/>
        <v>0.05</v>
      </c>
      <c r="N3424" s="475">
        <f t="shared" si="170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68"/>
        <v>-255551464684.31393</v>
      </c>
      <c r="J3425" s="455">
        <f t="array" ref="J3425">IFERROR(INDEX('Retirement Calculator'!J:J,MATCH('Isaac 401k'!N3425,'Retirement Calculator'!A:A,0),0),0)</f>
        <v>0</v>
      </c>
      <c r="K3425" s="455">
        <f t="shared" ca="1" si="166"/>
        <v>-1064797769.5179749</v>
      </c>
      <c r="L3425" s="455">
        <f t="shared" ca="1" si="167"/>
        <v>-256616262453.83191</v>
      </c>
      <c r="M3425" s="471">
        <f t="shared" si="169"/>
        <v>0.05</v>
      </c>
      <c r="N3425" s="475">
        <f t="shared" si="170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68"/>
        <v>-256616262453.83191</v>
      </c>
      <c r="J3426" s="455">
        <f t="array" ref="J3426">IFERROR(INDEX('Retirement Calculator'!J:J,MATCH('Isaac 401k'!N3426,'Retirement Calculator'!A:A,0),0),0)</f>
        <v>0</v>
      </c>
      <c r="K3426" s="455">
        <f t="shared" ca="1" si="166"/>
        <v>-1069234426.8909664</v>
      </c>
      <c r="L3426" s="455">
        <f t="shared" ca="1" si="167"/>
        <v>-257685496880.72287</v>
      </c>
      <c r="M3426" s="471">
        <f t="shared" si="169"/>
        <v>0.05</v>
      </c>
      <c r="N3426" s="475">
        <f t="shared" si="170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68"/>
        <v>-257685496880.72287</v>
      </c>
      <c r="J3427" s="455">
        <f t="array" ref="J3427">IFERROR(INDEX('Retirement Calculator'!J:J,MATCH('Isaac 401k'!N3427,'Retirement Calculator'!A:A,0),0),0)</f>
        <v>0</v>
      </c>
      <c r="K3427" s="455">
        <f t="shared" ca="1" si="166"/>
        <v>-1073689570.3363453</v>
      </c>
      <c r="L3427" s="455">
        <f t="shared" ca="1" si="167"/>
        <v>-258759186451.0592</v>
      </c>
      <c r="M3427" s="471">
        <f t="shared" si="169"/>
        <v>0.05</v>
      </c>
      <c r="N3427" s="475">
        <f t="shared" si="170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68"/>
        <v>-258759186451.0592</v>
      </c>
      <c r="J3428" s="455">
        <f t="array" ref="J3428">IFERROR(INDEX('Retirement Calculator'!J:J,MATCH('Isaac 401k'!N3428,'Retirement Calculator'!A:A,0),0),0)</f>
        <v>0</v>
      </c>
      <c r="K3428" s="455">
        <f t="shared" ca="1" si="166"/>
        <v>-1078163276.8794134</v>
      </c>
      <c r="L3428" s="455">
        <f t="shared" ca="1" si="167"/>
        <v>-259837349727.93863</v>
      </c>
      <c r="M3428" s="471">
        <f t="shared" si="169"/>
        <v>0.05</v>
      </c>
      <c r="N3428" s="475">
        <f t="shared" si="170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68"/>
        <v>-259837349727.93863</v>
      </c>
      <c r="J3429" s="455">
        <f t="array" ref="J3429">IFERROR(INDEX('Retirement Calculator'!J:J,MATCH('Isaac 401k'!N3429,'Retirement Calculator'!A:A,0),0),0)</f>
        <v>0</v>
      </c>
      <c r="K3429" s="455">
        <f t="shared" ca="1" si="166"/>
        <v>-1082655623.866411</v>
      </c>
      <c r="L3429" s="455">
        <f t="shared" ca="1" si="167"/>
        <v>-260920005351.80505</v>
      </c>
      <c r="M3429" s="471">
        <f t="shared" si="169"/>
        <v>0.05</v>
      </c>
      <c r="N3429" s="475">
        <f t="shared" si="170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68"/>
        <v>-260920005351.80505</v>
      </c>
      <c r="J3430" s="455">
        <f t="array" ref="J3430">IFERROR(INDEX('Retirement Calculator'!J:J,MATCH('Isaac 401k'!N3430,'Retirement Calculator'!A:A,0),0),0)</f>
        <v>0</v>
      </c>
      <c r="K3430" s="455">
        <f t="shared" ca="1" si="166"/>
        <v>-1087166688.9658542</v>
      </c>
      <c r="L3430" s="455">
        <f t="shared" ca="1" si="167"/>
        <v>-262007172040.7709</v>
      </c>
      <c r="M3430" s="471">
        <f t="shared" si="169"/>
        <v>0.05</v>
      </c>
      <c r="N3430" s="475">
        <f t="shared" si="170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68"/>
        <v>-262007172040.7709</v>
      </c>
      <c r="J3431" s="455">
        <f t="array" ref="J3431">IFERROR(INDEX('Retirement Calculator'!J:J,MATCH('Isaac 401k'!N3431,'Retirement Calculator'!A:A,0),0),0)</f>
        <v>0</v>
      </c>
      <c r="K3431" s="455">
        <f t="shared" ca="1" si="166"/>
        <v>-1091696550.1698787</v>
      </c>
      <c r="L3431" s="455">
        <f t="shared" ca="1" si="167"/>
        <v>-263098868590.9408</v>
      </c>
      <c r="M3431" s="471">
        <f t="shared" si="169"/>
        <v>0.05</v>
      </c>
      <c r="N3431" s="475">
        <f t="shared" si="170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68"/>
        <v>-263098868590.9408</v>
      </c>
      <c r="J3432" s="455">
        <f t="array" ref="J3432">IFERROR(INDEX('Retirement Calculator'!J:J,MATCH('Isaac 401k'!N3432,'Retirement Calculator'!A:A,0),0),0)</f>
        <v>0</v>
      </c>
      <c r="K3432" s="455">
        <f t="shared" ca="1" si="166"/>
        <v>-1096245285.7955866</v>
      </c>
      <c r="L3432" s="455">
        <f t="shared" ca="1" si="167"/>
        <v>-264195113876.73639</v>
      </c>
      <c r="M3432" s="471">
        <f t="shared" si="169"/>
        <v>0.05</v>
      </c>
      <c r="N3432" s="475">
        <f t="shared" si="170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68"/>
        <v>-264195113876.73639</v>
      </c>
      <c r="J3433" s="455">
        <f t="array" ref="J3433">IFERROR(INDEX('Retirement Calculator'!J:J,MATCH('Isaac 401k'!N3433,'Retirement Calculator'!A:A,0),0),0)</f>
        <v>0</v>
      </c>
      <c r="K3433" s="455">
        <f t="shared" ca="1" si="166"/>
        <v>-1100812974.4864016</v>
      </c>
      <c r="L3433" s="455">
        <f t="shared" ca="1" si="167"/>
        <v>-265295926851.22278</v>
      </c>
      <c r="M3433" s="471">
        <f t="shared" si="169"/>
        <v>0.05</v>
      </c>
      <c r="N3433" s="475">
        <f t="shared" si="170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68"/>
        <v>-265295926851.22278</v>
      </c>
      <c r="J3434" s="455">
        <f t="array" ref="J3434">IFERROR(INDEX('Retirement Calculator'!J:J,MATCH('Isaac 401k'!N3434,'Retirement Calculator'!A:A,0),0),0)</f>
        <v>0</v>
      </c>
      <c r="K3434" s="455">
        <f t="shared" ca="1" si="166"/>
        <v>-1105399695.2134283</v>
      </c>
      <c r="L3434" s="455">
        <f t="shared" ca="1" si="167"/>
        <v>-266401326546.43622</v>
      </c>
      <c r="M3434" s="471">
        <f t="shared" si="169"/>
        <v>0.05</v>
      </c>
      <c r="N3434" s="475">
        <f t="shared" si="170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68"/>
        <v>-266401326546.43622</v>
      </c>
      <c r="J3435" s="455">
        <f t="array" ref="J3435">IFERROR(INDEX('Retirement Calculator'!J:J,MATCH('Isaac 401k'!N3435,'Retirement Calculator'!A:A,0),0),0)</f>
        <v>0</v>
      </c>
      <c r="K3435" s="455">
        <f t="shared" ca="1" si="166"/>
        <v>-1110005527.2768173</v>
      </c>
      <c r="L3435" s="455">
        <f t="shared" ca="1" si="167"/>
        <v>-267511332073.71304</v>
      </c>
      <c r="M3435" s="471">
        <f t="shared" si="169"/>
        <v>0.05</v>
      </c>
      <c r="N3435" s="475">
        <f t="shared" si="170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68"/>
        <v>-267511332073.71304</v>
      </c>
      <c r="J3436" s="455">
        <f t="array" ref="J3436">IFERROR(INDEX('Retirement Calculator'!J:J,MATCH('Isaac 401k'!N3436,'Retirement Calculator'!A:A,0),0),0)</f>
        <v>0</v>
      </c>
      <c r="K3436" s="455">
        <f t="shared" ca="1" si="166"/>
        <v>-1114630550.3071377</v>
      </c>
      <c r="L3436" s="455">
        <f t="shared" ca="1" si="167"/>
        <v>-268625962624.02017</v>
      </c>
      <c r="M3436" s="471">
        <f t="shared" si="169"/>
        <v>0.05</v>
      </c>
      <c r="N3436" s="475">
        <f t="shared" si="170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68"/>
        <v>-268625962624.02017</v>
      </c>
      <c r="J3437" s="455">
        <f t="array" ref="J3437">IFERROR(INDEX('Retirement Calculator'!J:J,MATCH('Isaac 401k'!N3437,'Retirement Calculator'!A:A,0),0),0)</f>
        <v>0</v>
      </c>
      <c r="K3437" s="455">
        <f t="shared" ca="1" si="166"/>
        <v>-1119274844.2667508</v>
      </c>
      <c r="L3437" s="455">
        <f t="shared" ca="1" si="167"/>
        <v>-269745237468.28693</v>
      </c>
      <c r="M3437" s="471">
        <f t="shared" si="169"/>
        <v>0.05</v>
      </c>
      <c r="N3437" s="475">
        <f t="shared" si="170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68"/>
        <v>-269745237468.28693</v>
      </c>
      <c r="J3438" s="455">
        <f t="array" ref="J3438">IFERROR(INDEX('Retirement Calculator'!J:J,MATCH('Isaac 401k'!N3438,'Retirement Calculator'!A:A,0),0),0)</f>
        <v>0</v>
      </c>
      <c r="K3438" s="455">
        <f t="shared" ca="1" si="166"/>
        <v>-1123938489.4511955</v>
      </c>
      <c r="L3438" s="455">
        <f t="shared" ca="1" si="167"/>
        <v>-270869175957.73813</v>
      </c>
      <c r="M3438" s="471">
        <f t="shared" si="169"/>
        <v>0.05</v>
      </c>
      <c r="N3438" s="475">
        <f t="shared" si="170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68"/>
        <v>-270869175957.73813</v>
      </c>
      <c r="J3439" s="455">
        <f t="array" ref="J3439">IFERROR(INDEX('Retirement Calculator'!J:J,MATCH('Isaac 401k'!N3439,'Retirement Calculator'!A:A,0),0),0)</f>
        <v>0</v>
      </c>
      <c r="K3439" s="455">
        <f t="shared" ca="1" si="166"/>
        <v>-1128621566.4905753</v>
      </c>
      <c r="L3439" s="455">
        <f t="shared" ca="1" si="167"/>
        <v>-271997797524.2287</v>
      </c>
      <c r="M3439" s="471">
        <f t="shared" si="169"/>
        <v>0.05</v>
      </c>
      <c r="N3439" s="475">
        <f t="shared" si="170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68"/>
        <v>-271997797524.2287</v>
      </c>
      <c r="J3440" s="455">
        <f t="array" ref="J3440">IFERROR(INDEX('Retirement Calculator'!J:J,MATCH('Isaac 401k'!N3440,'Retirement Calculator'!A:A,0),0),0)</f>
        <v>0</v>
      </c>
      <c r="K3440" s="455">
        <f t="shared" ca="1" si="166"/>
        <v>-1133324156.3509529</v>
      </c>
      <c r="L3440" s="455">
        <f t="shared" ca="1" si="167"/>
        <v>-273131121680.57965</v>
      </c>
      <c r="M3440" s="471">
        <f t="shared" si="169"/>
        <v>0.05</v>
      </c>
      <c r="N3440" s="475">
        <f t="shared" si="170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68"/>
        <v>-273131121680.57965</v>
      </c>
      <c r="J3441" s="455">
        <f t="array" ref="J3441">IFERROR(INDEX('Retirement Calculator'!J:J,MATCH('Isaac 401k'!N3441,'Retirement Calculator'!A:A,0),0),0)</f>
        <v>0</v>
      </c>
      <c r="K3441" s="455">
        <f t="shared" ca="1" si="166"/>
        <v>-1138046340.3357484</v>
      </c>
      <c r="L3441" s="455">
        <f t="shared" ca="1" si="167"/>
        <v>-274269168020.91541</v>
      </c>
      <c r="M3441" s="471">
        <f t="shared" si="169"/>
        <v>0.05</v>
      </c>
      <c r="N3441" s="475">
        <f t="shared" si="170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68"/>
        <v>-274269168020.91541</v>
      </c>
      <c r="J3442" s="455">
        <f t="array" ref="J3442">IFERROR(INDEX('Retirement Calculator'!J:J,MATCH('Isaac 401k'!N3442,'Retirement Calculator'!A:A,0),0),0)</f>
        <v>0</v>
      </c>
      <c r="K3442" s="455">
        <f t="shared" ca="1" si="166"/>
        <v>-1142788200.0871475</v>
      </c>
      <c r="L3442" s="455">
        <f t="shared" ca="1" si="167"/>
        <v>-275411956221.00256</v>
      </c>
      <c r="M3442" s="471">
        <f t="shared" si="169"/>
        <v>0.05</v>
      </c>
      <c r="N3442" s="475">
        <f t="shared" si="170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68"/>
        <v>-275411956221.00256</v>
      </c>
      <c r="J3443" s="455">
        <f t="array" ref="J3443">IFERROR(INDEX('Retirement Calculator'!J:J,MATCH('Isaac 401k'!N3443,'Retirement Calculator'!A:A,0),0),0)</f>
        <v>0</v>
      </c>
      <c r="K3443" s="455">
        <f t="shared" ca="1" si="166"/>
        <v>-1147549817.5875106</v>
      </c>
      <c r="L3443" s="455">
        <f t="shared" ca="1" si="167"/>
        <v>-276559506038.59009</v>
      </c>
      <c r="M3443" s="471">
        <f t="shared" si="169"/>
        <v>0.05</v>
      </c>
      <c r="N3443" s="475">
        <f t="shared" si="170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68"/>
        <v>-276559506038.59009</v>
      </c>
      <c r="J3444" s="455">
        <f t="array" ref="J3444">IFERROR(INDEX('Retirement Calculator'!J:J,MATCH('Isaac 401k'!N3444,'Retirement Calculator'!A:A,0),0),0)</f>
        <v>0</v>
      </c>
      <c r="K3444" s="455">
        <f t="shared" ca="1" si="166"/>
        <v>-1152331275.1607921</v>
      </c>
      <c r="L3444" s="455">
        <f t="shared" ca="1" si="167"/>
        <v>-277711837313.75085</v>
      </c>
      <c r="M3444" s="471">
        <f t="shared" si="169"/>
        <v>0.05</v>
      </c>
      <c r="N3444" s="475">
        <f t="shared" si="170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68"/>
        <v>-277711837313.75085</v>
      </c>
      <c r="J3445" s="455">
        <f t="array" ref="J3445">IFERROR(INDEX('Retirement Calculator'!J:J,MATCH('Isaac 401k'!N3445,'Retirement Calculator'!A:A,0),0),0)</f>
        <v>0</v>
      </c>
      <c r="K3445" s="455">
        <f t="shared" ca="1" si="166"/>
        <v>-1157132655.4739618</v>
      </c>
      <c r="L3445" s="455">
        <f t="shared" ca="1" si="167"/>
        <v>-278868969969.22479</v>
      </c>
      <c r="M3445" s="471">
        <f t="shared" si="169"/>
        <v>0.05</v>
      </c>
      <c r="N3445" s="475">
        <f t="shared" si="170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68"/>
        <v>-278868969969.22479</v>
      </c>
      <c r="J3446" s="455">
        <f t="array" ref="J3446">IFERROR(INDEX('Retirement Calculator'!J:J,MATCH('Isaac 401k'!N3446,'Retirement Calculator'!A:A,0),0),0)</f>
        <v>0</v>
      </c>
      <c r="K3446" s="455">
        <f t="shared" ca="1" si="166"/>
        <v>-1161954041.5384367</v>
      </c>
      <c r="L3446" s="455">
        <f t="shared" ca="1" si="167"/>
        <v>-280030924010.76324</v>
      </c>
      <c r="M3446" s="471">
        <f t="shared" si="169"/>
        <v>0.05</v>
      </c>
      <c r="N3446" s="475">
        <f t="shared" si="170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68"/>
        <v>-280030924010.76324</v>
      </c>
      <c r="J3447" s="455">
        <f t="array" ref="J3447">IFERROR(INDEX('Retirement Calculator'!J:J,MATCH('Isaac 401k'!N3447,'Retirement Calculator'!A:A,0),0),0)</f>
        <v>0</v>
      </c>
      <c r="K3447" s="455">
        <f t="shared" ca="1" si="166"/>
        <v>-1166795516.7115135</v>
      </c>
      <c r="L3447" s="455">
        <f t="shared" ca="1" si="167"/>
        <v>-281197719527.47473</v>
      </c>
      <c r="M3447" s="471">
        <f t="shared" si="169"/>
        <v>0.05</v>
      </c>
      <c r="N3447" s="475">
        <f t="shared" si="170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68"/>
        <v>-281197719527.47473</v>
      </c>
      <c r="J3448" s="455">
        <f t="array" ref="J3448">IFERROR(INDEX('Retirement Calculator'!J:J,MATCH('Isaac 401k'!N3448,'Retirement Calculator'!A:A,0),0),0)</f>
        <v>0</v>
      </c>
      <c r="K3448" s="455">
        <f t="shared" ca="1" si="166"/>
        <v>-1171657164.6978114</v>
      </c>
      <c r="L3448" s="455">
        <f t="shared" ca="1" si="167"/>
        <v>-282369376692.17255</v>
      </c>
      <c r="M3448" s="471">
        <f t="shared" si="169"/>
        <v>0.05</v>
      </c>
      <c r="N3448" s="475">
        <f t="shared" si="170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68"/>
        <v>-282369376692.17255</v>
      </c>
      <c r="J3449" s="455">
        <f t="array" ref="J3449">IFERROR(INDEX('Retirement Calculator'!J:J,MATCH('Isaac 401k'!N3449,'Retirement Calculator'!A:A,0),0),0)</f>
        <v>0</v>
      </c>
      <c r="K3449" s="455">
        <f t="shared" ca="1" si="166"/>
        <v>-1176539069.550719</v>
      </c>
      <c r="L3449" s="455">
        <f t="shared" ca="1" si="167"/>
        <v>-283545915761.72327</v>
      </c>
      <c r="M3449" s="471">
        <f t="shared" si="169"/>
        <v>0.05</v>
      </c>
      <c r="N3449" s="475">
        <f t="shared" si="170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68"/>
        <v>-283545915761.72327</v>
      </c>
      <c r="J3450" s="455">
        <f t="array" ref="J3450">IFERROR(INDEX('Retirement Calculator'!J:J,MATCH('Isaac 401k'!N3450,'Retirement Calculator'!A:A,0),0),0)</f>
        <v>0</v>
      </c>
      <c r="K3450" s="455">
        <f t="shared" ca="1" si="166"/>
        <v>-1181441315.673847</v>
      </c>
      <c r="L3450" s="455">
        <f t="shared" ca="1" si="167"/>
        <v>-284727357077.39709</v>
      </c>
      <c r="M3450" s="471">
        <f t="shared" si="169"/>
        <v>0.05</v>
      </c>
      <c r="N3450" s="475">
        <f t="shared" si="170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68"/>
        <v>-284727357077.39709</v>
      </c>
      <c r="J3451" s="455">
        <f t="array" ref="J3451">IFERROR(INDEX('Retirement Calculator'!J:J,MATCH('Isaac 401k'!N3451,'Retirement Calculator'!A:A,0),0),0)</f>
        <v>0</v>
      </c>
      <c r="K3451" s="455">
        <f t="shared" ca="1" si="166"/>
        <v>-1186363987.8224878</v>
      </c>
      <c r="L3451" s="455">
        <f t="shared" ca="1" si="167"/>
        <v>-285913721065.2196</v>
      </c>
      <c r="M3451" s="471">
        <f t="shared" si="169"/>
        <v>0.05</v>
      </c>
      <c r="N3451" s="475">
        <f t="shared" si="170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68"/>
        <v>-285913721065.2196</v>
      </c>
      <c r="J3452" s="455">
        <f t="array" ref="J3452">IFERROR(INDEX('Retirement Calculator'!J:J,MATCH('Isaac 401k'!N3452,'Retirement Calculator'!A:A,0),0),0)</f>
        <v>0</v>
      </c>
      <c r="K3452" s="455">
        <f t="shared" ca="1" si="166"/>
        <v>-1191307171.1050816</v>
      </c>
      <c r="L3452" s="455">
        <f t="shared" ca="1" si="167"/>
        <v>-287105028236.32471</v>
      </c>
      <c r="M3452" s="471">
        <f t="shared" si="169"/>
        <v>0.05</v>
      </c>
      <c r="N3452" s="475">
        <f t="shared" si="170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68"/>
        <v>-287105028236.32471</v>
      </c>
      <c r="J3453" s="455">
        <f t="array" ref="J3453">IFERROR(INDEX('Retirement Calculator'!J:J,MATCH('Isaac 401k'!N3453,'Retirement Calculator'!A:A,0),0),0)</f>
        <v>0</v>
      </c>
      <c r="K3453" s="455">
        <f t="shared" ca="1" si="166"/>
        <v>-1196270950.9846864</v>
      </c>
      <c r="L3453" s="455">
        <f t="shared" ca="1" si="167"/>
        <v>-288301299187.30939</v>
      </c>
      <c r="M3453" s="471">
        <f t="shared" si="169"/>
        <v>0.05</v>
      </c>
      <c r="N3453" s="475">
        <f t="shared" si="170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68"/>
        <v>-288301299187.30939</v>
      </c>
      <c r="J3454" s="455">
        <f t="array" ref="J3454">IFERROR(INDEX('Retirement Calculator'!J:J,MATCH('Isaac 401k'!N3454,'Retirement Calculator'!A:A,0),0),0)</f>
        <v>0</v>
      </c>
      <c r="K3454" s="455">
        <f t="shared" ca="1" si="166"/>
        <v>-1201255413.2804558</v>
      </c>
      <c r="L3454" s="455">
        <f t="shared" ca="1" si="167"/>
        <v>-289502554600.58984</v>
      </c>
      <c r="M3454" s="471">
        <f t="shared" si="169"/>
        <v>0.05</v>
      </c>
      <c r="N3454" s="475">
        <f t="shared" si="170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68"/>
        <v>-289502554600.58984</v>
      </c>
      <c r="J3455" s="455">
        <f t="array" ref="J3455">IFERROR(INDEX('Retirement Calculator'!J:J,MATCH('Isaac 401k'!N3455,'Retirement Calculator'!A:A,0),0),0)</f>
        <v>0</v>
      </c>
      <c r="K3455" s="455">
        <f t="shared" ca="1" si="166"/>
        <v>-1206260644.1691244</v>
      </c>
      <c r="L3455" s="455">
        <f t="shared" ca="1" si="167"/>
        <v>-290708815244.75897</v>
      </c>
      <c r="M3455" s="471">
        <f t="shared" si="169"/>
        <v>0.05</v>
      </c>
      <c r="N3455" s="475">
        <f t="shared" si="170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68"/>
        <v>-290708815244.75897</v>
      </c>
      <c r="J3456" s="455">
        <f t="array" ref="J3456">IFERROR(INDEX('Retirement Calculator'!J:J,MATCH('Isaac 401k'!N3456,'Retirement Calculator'!A:A,0),0),0)</f>
        <v>0</v>
      </c>
      <c r="K3456" s="455">
        <f t="shared" ca="1" si="166"/>
        <v>-1211286730.1864958</v>
      </c>
      <c r="L3456" s="455">
        <f t="shared" ca="1" si="167"/>
        <v>-291920101974.9455</v>
      </c>
      <c r="M3456" s="471">
        <f t="shared" si="169"/>
        <v>0.05</v>
      </c>
      <c r="N3456" s="475">
        <f t="shared" si="170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68"/>
        <v>-291920101974.9455</v>
      </c>
      <c r="J3457" s="455">
        <f t="array" ref="J3457">IFERROR(INDEX('Retirement Calculator'!J:J,MATCH('Isaac 401k'!N3457,'Retirement Calculator'!A:A,0),0),0)</f>
        <v>0</v>
      </c>
      <c r="K3457" s="455">
        <f t="shared" ca="1" si="166"/>
        <v>-1216333758.2289395</v>
      </c>
      <c r="L3457" s="455">
        <f t="shared" ca="1" si="167"/>
        <v>-293136435733.17444</v>
      </c>
      <c r="M3457" s="471">
        <f t="shared" si="169"/>
        <v>0.05</v>
      </c>
      <c r="N3457" s="475">
        <f t="shared" si="170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68"/>
        <v>-293136435733.17444</v>
      </c>
      <c r="J3458" s="455">
        <f t="array" ref="J3458">IFERROR(INDEX('Retirement Calculator'!J:J,MATCH('Isaac 401k'!N3458,'Retirement Calculator'!A:A,0),0),0)</f>
        <v>0</v>
      </c>
      <c r="K3458" s="455">
        <f t="shared" ca="1" si="166"/>
        <v>-1221401815.5548935</v>
      </c>
      <c r="L3458" s="455">
        <f t="shared" ca="1" si="167"/>
        <v>-294357837548.72931</v>
      </c>
      <c r="M3458" s="471">
        <f t="shared" si="169"/>
        <v>0.05</v>
      </c>
      <c r="N3458" s="475">
        <f t="shared" si="170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68"/>
        <v>-294357837548.72931</v>
      </c>
      <c r="J3459" s="455">
        <f t="array" ref="J3459">IFERROR(INDEX('Retirement Calculator'!J:J,MATCH('Isaac 401k'!N3459,'Retirement Calculator'!A:A,0),0),0)</f>
        <v>0</v>
      </c>
      <c r="K3459" s="455">
        <f t="shared" ca="1" si="166"/>
        <v>-1226490989.7863722</v>
      </c>
      <c r="L3459" s="455">
        <f t="shared" ca="1" si="167"/>
        <v>-295584328538.51569</v>
      </c>
      <c r="M3459" s="471">
        <f t="shared" si="169"/>
        <v>0.05</v>
      </c>
      <c r="N3459" s="475">
        <f t="shared" si="170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68"/>
        <v>-295584328538.51569</v>
      </c>
      <c r="J3460" s="455">
        <f t="array" ref="J3460">IFERROR(INDEX('Retirement Calculator'!J:J,MATCH('Isaac 401k'!N3460,'Retirement Calculator'!A:A,0),0),0)</f>
        <v>0</v>
      </c>
      <c r="K3460" s="455">
        <f t="shared" ca="1" si="166"/>
        <v>-1231601368.9104819</v>
      </c>
      <c r="L3460" s="455">
        <f t="shared" ca="1" si="167"/>
        <v>-296815929907.42615</v>
      </c>
      <c r="M3460" s="471">
        <f t="shared" si="169"/>
        <v>0.05</v>
      </c>
      <c r="N3460" s="475">
        <f t="shared" si="170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68"/>
        <v>-296815929907.42615</v>
      </c>
      <c r="J3461" s="455">
        <f t="array" ref="J3461">IFERROR(INDEX('Retirement Calculator'!J:J,MATCH('Isaac 401k'!N3461,'Retirement Calculator'!A:A,0),0),0)</f>
        <v>0</v>
      </c>
      <c r="K3461" s="455">
        <f t="shared" ca="1" si="166"/>
        <v>-1236733041.2809422</v>
      </c>
      <c r="L3461" s="455">
        <f t="shared" ca="1" si="167"/>
        <v>-298052662948.70709</v>
      </c>
      <c r="M3461" s="471">
        <f t="shared" si="169"/>
        <v>0.05</v>
      </c>
      <c r="N3461" s="475">
        <f t="shared" si="170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68"/>
        <v>-298052662948.70709</v>
      </c>
      <c r="J3462" s="455">
        <f t="array" ref="J3462">IFERROR(INDEX('Retirement Calculator'!J:J,MATCH('Isaac 401k'!N3462,'Retirement Calculator'!A:A,0),0),0)</f>
        <v>0</v>
      </c>
      <c r="K3462" s="455">
        <f t="shared" ca="1" si="166"/>
        <v>-1241886095.6196129</v>
      </c>
      <c r="L3462" s="455">
        <f t="shared" ca="1" si="167"/>
        <v>-299294549044.32672</v>
      </c>
      <c r="M3462" s="471">
        <f t="shared" si="169"/>
        <v>0.05</v>
      </c>
      <c r="N3462" s="475">
        <f t="shared" si="170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68"/>
        <v>-299294549044.32672</v>
      </c>
      <c r="J3463" s="455">
        <f t="array" ref="J3463">IFERROR(INDEX('Retirement Calculator'!J:J,MATCH('Isaac 401k'!N3463,'Retirement Calculator'!A:A,0),0),0)</f>
        <v>0</v>
      </c>
      <c r="K3463" s="455">
        <f t="shared" ca="1" si="166"/>
        <v>-1247060621.018028</v>
      </c>
      <c r="L3463" s="455">
        <f t="shared" ca="1" si="167"/>
        <v>-300541609665.34473</v>
      </c>
      <c r="M3463" s="471">
        <f t="shared" si="169"/>
        <v>0.05</v>
      </c>
      <c r="N3463" s="475">
        <f t="shared" si="170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68"/>
        <v>-300541609665.34473</v>
      </c>
      <c r="J3464" s="455">
        <f t="array" ref="J3464">IFERROR(INDEX('Retirement Calculator'!J:J,MATCH('Isaac 401k'!N3464,'Retirement Calculator'!A:A,0),0),0)</f>
        <v>0</v>
      </c>
      <c r="K3464" s="455">
        <f t="shared" ca="1" si="166"/>
        <v>-1252256706.9389362</v>
      </c>
      <c r="L3464" s="455">
        <f t="shared" ca="1" si="167"/>
        <v>-301793866372.28369</v>
      </c>
      <c r="M3464" s="471">
        <f t="shared" si="169"/>
        <v>0.05</v>
      </c>
      <c r="N3464" s="475">
        <f t="shared" si="170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68"/>
        <v>-301793866372.28369</v>
      </c>
      <c r="J3465" s="455">
        <f t="array" ref="J3465">IFERROR(INDEX('Retirement Calculator'!J:J,MATCH('Isaac 401k'!N3465,'Retirement Calculator'!A:A,0),0),0)</f>
        <v>0</v>
      </c>
      <c r="K3465" s="455">
        <f t="shared" ca="1" si="166"/>
        <v>-1257474443.2178488</v>
      </c>
      <c r="L3465" s="455">
        <f t="shared" ca="1" si="167"/>
        <v>-303051340815.50153</v>
      </c>
      <c r="M3465" s="471">
        <f t="shared" si="169"/>
        <v>0.05</v>
      </c>
      <c r="N3465" s="475">
        <f t="shared" si="170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68"/>
        <v>-303051340815.50153</v>
      </c>
      <c r="J3466" s="455">
        <f t="array" ref="J3466">IFERROR(INDEX('Retirement Calculator'!J:J,MATCH('Isaac 401k'!N3466,'Retirement Calculator'!A:A,0),0),0)</f>
        <v>0</v>
      </c>
      <c r="K3466" s="455">
        <f t="shared" ca="1" si="166"/>
        <v>-1262713920.0645897</v>
      </c>
      <c r="L3466" s="455">
        <f t="shared" ca="1" si="167"/>
        <v>-304314054735.5661</v>
      </c>
      <c r="M3466" s="471">
        <f t="shared" si="169"/>
        <v>0.05</v>
      </c>
      <c r="N3466" s="475">
        <f t="shared" si="170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68"/>
        <v>-304314054735.5661</v>
      </c>
      <c r="J3467" s="455">
        <f t="array" ref="J3467">IFERROR(INDEX('Retirement Calculator'!J:J,MATCH('Isaac 401k'!N3467,'Retirement Calculator'!A:A,0),0),0)</f>
        <v>0</v>
      </c>
      <c r="K3467" s="455">
        <f t="shared" ca="1" si="166"/>
        <v>-1267975228.0648587</v>
      </c>
      <c r="L3467" s="455">
        <f t="shared" ca="1" si="167"/>
        <v>-305582029963.63098</v>
      </c>
      <c r="M3467" s="471">
        <f t="shared" si="169"/>
        <v>0.05</v>
      </c>
      <c r="N3467" s="475">
        <f t="shared" si="170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68"/>
        <v>-305582029963.63098</v>
      </c>
      <c r="J3468" s="455">
        <f t="array" ref="J3468">IFERROR(INDEX('Retirement Calculator'!J:J,MATCH('Isaac 401k'!N3468,'Retirement Calculator'!A:A,0),0),0)</f>
        <v>0</v>
      </c>
      <c r="K3468" s="455">
        <f t="shared" ca="1" si="166"/>
        <v>-1273258458.1817958</v>
      </c>
      <c r="L3468" s="455">
        <f t="shared" ca="1" si="167"/>
        <v>-306855288421.81281</v>
      </c>
      <c r="M3468" s="471">
        <f t="shared" si="169"/>
        <v>0.05</v>
      </c>
      <c r="N3468" s="475">
        <f t="shared" si="170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68"/>
        <v>-306855288421.81281</v>
      </c>
      <c r="J3469" s="455">
        <f t="array" ref="J3469">IFERROR(INDEX('Retirement Calculator'!J:J,MATCH('Isaac 401k'!N3469,'Retirement Calculator'!A:A,0),0),0)</f>
        <v>0</v>
      </c>
      <c r="K3469" s="455">
        <f t="shared" ca="1" si="166"/>
        <v>-1278563701.7575533</v>
      </c>
      <c r="L3469" s="455">
        <f t="shared" ca="1" si="167"/>
        <v>-308133852123.57037</v>
      </c>
      <c r="M3469" s="471">
        <f t="shared" si="169"/>
        <v>0.05</v>
      </c>
      <c r="N3469" s="475">
        <f t="shared" si="170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68"/>
        <v>-308133852123.57037</v>
      </c>
      <c r="J3470" s="455">
        <f t="array" ref="J3470">IFERROR(INDEX('Retirement Calculator'!J:J,MATCH('Isaac 401k'!N3470,'Retirement Calculator'!A:A,0),0),0)</f>
        <v>0</v>
      </c>
      <c r="K3470" s="455">
        <f t="shared" ca="1" si="166"/>
        <v>-1283891050.5148766</v>
      </c>
      <c r="L3470" s="455">
        <f t="shared" ca="1" si="167"/>
        <v>-309417743174.08527</v>
      </c>
      <c r="M3470" s="471">
        <f t="shared" si="169"/>
        <v>0.05</v>
      </c>
      <c r="N3470" s="475">
        <f t="shared" si="170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68"/>
        <v>-309417743174.08527</v>
      </c>
      <c r="J3471" s="455">
        <f t="array" ref="J3471">IFERROR(INDEX('Retirement Calculator'!J:J,MATCH('Isaac 401k'!N3471,'Retirement Calculator'!A:A,0),0),0)</f>
        <v>0</v>
      </c>
      <c r="K3471" s="455">
        <f t="shared" ca="1" si="166"/>
        <v>-1289240596.5586886</v>
      </c>
      <c r="L3471" s="455">
        <f t="shared" ca="1" si="167"/>
        <v>-310706983770.64398</v>
      </c>
      <c r="M3471" s="471">
        <f t="shared" si="169"/>
        <v>0.05</v>
      </c>
      <c r="N3471" s="475">
        <f t="shared" si="170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68"/>
        <v>-310706983770.64398</v>
      </c>
      <c r="J3472" s="455">
        <f t="array" ref="J3472">IFERROR(INDEX('Retirement Calculator'!J:J,MATCH('Isaac 401k'!N3472,'Retirement Calculator'!A:A,0),0),0)</f>
        <v>0</v>
      </c>
      <c r="K3472" s="455">
        <f t="shared" ca="1" si="166"/>
        <v>-1294612432.3776832</v>
      </c>
      <c r="L3472" s="455">
        <f t="shared" ca="1" si="167"/>
        <v>-312001596203.02167</v>
      </c>
      <c r="M3472" s="471">
        <f t="shared" si="169"/>
        <v>0.05</v>
      </c>
      <c r="N3472" s="475">
        <f t="shared" si="170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68"/>
        <v>-312001596203.02167</v>
      </c>
      <c r="J3473" s="455">
        <f t="array" ref="J3473">IFERROR(INDEX('Retirement Calculator'!J:J,MATCH('Isaac 401k'!N3473,'Retirement Calculator'!A:A,0),0),0)</f>
        <v>0</v>
      </c>
      <c r="K3473" s="455">
        <f t="shared" ca="1" si="166"/>
        <v>-1300006650.8459237</v>
      </c>
      <c r="L3473" s="455">
        <f t="shared" ca="1" si="167"/>
        <v>-313301602853.86761</v>
      </c>
      <c r="M3473" s="471">
        <f t="shared" si="169"/>
        <v>0.05</v>
      </c>
      <c r="N3473" s="475">
        <f t="shared" si="170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68"/>
        <v>-313301602853.86761</v>
      </c>
      <c r="J3474" s="455">
        <f t="array" ref="J3474">IFERROR(INDEX('Retirement Calculator'!J:J,MATCH('Isaac 401k'!N3474,'Retirement Calculator'!A:A,0),0),0)</f>
        <v>0</v>
      </c>
      <c r="K3474" s="455">
        <f t="shared" ca="1" si="166"/>
        <v>-1305423345.2244484</v>
      </c>
      <c r="L3474" s="455">
        <f t="shared" ca="1" si="167"/>
        <v>-314607026199.09204</v>
      </c>
      <c r="M3474" s="471">
        <f t="shared" si="169"/>
        <v>0.05</v>
      </c>
      <c r="N3474" s="475">
        <f t="shared" si="170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68"/>
        <v>-314607026199.09204</v>
      </c>
      <c r="J3475" s="455">
        <f t="array" ref="J3475">IFERROR(INDEX('Retirement Calculator'!J:J,MATCH('Isaac 401k'!N3475,'Retirement Calculator'!A:A,0),0),0)</f>
        <v>0</v>
      </c>
      <c r="K3475" s="455">
        <f t="shared" ca="1" si="166"/>
        <v>-1310862609.1628835</v>
      </c>
      <c r="L3475" s="455">
        <f t="shared" ca="1" si="167"/>
        <v>-315917888808.25494</v>
      </c>
      <c r="M3475" s="471">
        <f t="shared" si="169"/>
        <v>0.05</v>
      </c>
      <c r="N3475" s="475">
        <f t="shared" si="170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68"/>
        <v>-315917888808.25494</v>
      </c>
      <c r="J3476" s="455">
        <f t="array" ref="J3476">IFERROR(INDEX('Retirement Calculator'!J:J,MATCH('Isaac 401k'!N3476,'Retirement Calculator'!A:A,0),0),0)</f>
        <v>0</v>
      </c>
      <c r="K3476" s="455">
        <f t="shared" ca="1" si="166"/>
        <v>-1316324536.7010622</v>
      </c>
      <c r="L3476" s="455">
        <f t="shared" ca="1" si="167"/>
        <v>-317234213344.95599</v>
      </c>
      <c r="M3476" s="471">
        <f t="shared" si="169"/>
        <v>0.05</v>
      </c>
      <c r="N3476" s="475">
        <f t="shared" si="170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68"/>
        <v>-317234213344.95599</v>
      </c>
      <c r="J3477" s="455">
        <f t="array" ref="J3477">IFERROR(INDEX('Retirement Calculator'!J:J,MATCH('Isaac 401k'!N3477,'Retirement Calculator'!A:A,0),0),0)</f>
        <v>0</v>
      </c>
      <c r="K3477" s="455">
        <f t="shared" ca="1" si="166"/>
        <v>-1321809222.2706499</v>
      </c>
      <c r="L3477" s="455">
        <f t="shared" ca="1" si="167"/>
        <v>-318556022567.22662</v>
      </c>
      <c r="M3477" s="471">
        <f t="shared" si="169"/>
        <v>0.05</v>
      </c>
      <c r="N3477" s="475">
        <f t="shared" si="170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68"/>
        <v>-318556022567.22662</v>
      </c>
      <c r="J3478" s="455">
        <f t="array" ref="J3478">IFERROR(INDEX('Retirement Calculator'!J:J,MATCH('Isaac 401k'!N3478,'Retirement Calculator'!A:A,0),0),0)</f>
        <v>0</v>
      </c>
      <c r="K3478" s="455">
        <f t="shared" ca="1" si="166"/>
        <v>-1327316760.6967776</v>
      </c>
      <c r="L3478" s="455">
        <f t="shared" ca="1" si="167"/>
        <v>-319883339327.9234</v>
      </c>
      <c r="M3478" s="471">
        <f t="shared" si="169"/>
        <v>0.05</v>
      </c>
      <c r="N3478" s="475">
        <f t="shared" si="170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68"/>
        <v>-319883339327.9234</v>
      </c>
      <c r="J3479" s="455">
        <f t="array" ref="J3479">IFERROR(INDEX('Retirement Calculator'!J:J,MATCH('Isaac 401k'!N3479,'Retirement Calculator'!A:A,0),0),0)</f>
        <v>0</v>
      </c>
      <c r="K3479" s="455">
        <f t="shared" ca="1" si="166"/>
        <v>-1332847247.1996808</v>
      </c>
      <c r="L3479" s="455">
        <f t="shared" ca="1" si="167"/>
        <v>-321216186575.12311</v>
      </c>
      <c r="M3479" s="471">
        <f t="shared" si="169"/>
        <v>0.05</v>
      </c>
      <c r="N3479" s="475">
        <f t="shared" si="170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68"/>
        <v>-321216186575.12311</v>
      </c>
      <c r="J3480" s="455">
        <f t="array" ref="J3480">IFERROR(INDEX('Retirement Calculator'!J:J,MATCH('Isaac 401k'!N3480,'Retirement Calculator'!A:A,0),0),0)</f>
        <v>0</v>
      </c>
      <c r="K3480" s="455">
        <f t="shared" ca="1" si="166"/>
        <v>-1338400777.3963463</v>
      </c>
      <c r="L3480" s="455">
        <f t="shared" ca="1" si="167"/>
        <v>-322554587352.51947</v>
      </c>
      <c r="M3480" s="471">
        <f t="shared" si="169"/>
        <v>0.05</v>
      </c>
      <c r="N3480" s="475">
        <f t="shared" si="170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68"/>
        <v>-322554587352.51947</v>
      </c>
      <c r="J3481" s="455">
        <f t="array" ref="J3481">IFERROR(INDEX('Retirement Calculator'!J:J,MATCH('Isaac 401k'!N3481,'Retirement Calculator'!A:A,0),0),0)</f>
        <v>0</v>
      </c>
      <c r="K3481" s="455">
        <f t="shared" ca="1" si="166"/>
        <v>-1343977447.3021646</v>
      </c>
      <c r="L3481" s="455">
        <f t="shared" ca="1" si="167"/>
        <v>-323898564799.82166</v>
      </c>
      <c r="M3481" s="471">
        <f t="shared" si="169"/>
        <v>0.05</v>
      </c>
      <c r="N3481" s="475">
        <f t="shared" si="170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68"/>
        <v>-323898564799.82166</v>
      </c>
      <c r="J3482" s="455">
        <f t="array" ref="J3482">IFERROR(INDEX('Retirement Calculator'!J:J,MATCH('Isaac 401k'!N3482,'Retirement Calculator'!A:A,0),0),0)</f>
        <v>0</v>
      </c>
      <c r="K3482" s="455">
        <f t="shared" ca="1" si="166"/>
        <v>-1349577353.3325901</v>
      </c>
      <c r="L3482" s="455">
        <f t="shared" ca="1" si="167"/>
        <v>-325248142153.15424</v>
      </c>
      <c r="M3482" s="471">
        <f t="shared" si="169"/>
        <v>0.05</v>
      </c>
      <c r="N3482" s="475">
        <f t="shared" si="170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68"/>
        <v>-325248142153.15424</v>
      </c>
      <c r="J3483" s="455">
        <f t="array" ref="J3483">IFERROR(INDEX('Retirement Calculator'!J:J,MATCH('Isaac 401k'!N3483,'Retirement Calculator'!A:A,0),0),0)</f>
        <v>0</v>
      </c>
      <c r="K3483" s="455">
        <f t="shared" ca="1" si="166"/>
        <v>-1355200592.3048093</v>
      </c>
      <c r="L3483" s="455">
        <f t="shared" ca="1" si="167"/>
        <v>-326603342745.45905</v>
      </c>
      <c r="M3483" s="471">
        <f t="shared" si="169"/>
        <v>0.05</v>
      </c>
      <c r="N3483" s="475">
        <f t="shared" si="170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68"/>
        <v>-326603342745.45905</v>
      </c>
      <c r="J3484" s="455">
        <f t="array" ref="J3484">IFERROR(INDEX('Retirement Calculator'!J:J,MATCH('Isaac 401k'!N3484,'Retirement Calculator'!A:A,0),0),0)</f>
        <v>0</v>
      </c>
      <c r="K3484" s="455">
        <f t="shared" ca="1" si="166"/>
        <v>-1360847261.4394126</v>
      </c>
      <c r="L3484" s="455">
        <f t="shared" ca="1" si="167"/>
        <v>-327964190006.89844</v>
      </c>
      <c r="M3484" s="471">
        <f t="shared" si="169"/>
        <v>0.05</v>
      </c>
      <c r="N3484" s="475">
        <f t="shared" si="170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68"/>
        <v>-327964190006.89844</v>
      </c>
      <c r="J3485" s="455">
        <f t="array" ref="J3485">IFERROR(INDEX('Retirement Calculator'!J:J,MATCH('Isaac 401k'!N3485,'Retirement Calculator'!A:A,0),0),0)</f>
        <v>0</v>
      </c>
      <c r="K3485" s="455">
        <f t="shared" ca="1" si="166"/>
        <v>-1366517458.3620768</v>
      </c>
      <c r="L3485" s="455">
        <f t="shared" ca="1" si="167"/>
        <v>-329330707465.2605</v>
      </c>
      <c r="M3485" s="471">
        <f t="shared" si="169"/>
        <v>0.05</v>
      </c>
      <c r="N3485" s="475">
        <f t="shared" si="170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68"/>
        <v>-329330707465.2605</v>
      </c>
      <c r="J3486" s="455">
        <f t="array" ref="J3486">IFERROR(INDEX('Retirement Calculator'!J:J,MATCH('Isaac 401k'!N3486,'Retirement Calculator'!A:A,0),0),0)</f>
        <v>0</v>
      </c>
      <c r="K3486" s="455">
        <f t="shared" ca="1" si="166"/>
        <v>-1372211281.105252</v>
      </c>
      <c r="L3486" s="455">
        <f t="shared" ca="1" si="167"/>
        <v>-330702918746.36572</v>
      </c>
      <c r="M3486" s="471">
        <f t="shared" si="169"/>
        <v>0.05</v>
      </c>
      <c r="N3486" s="475">
        <f t="shared" si="170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68"/>
        <v>-330702918746.36572</v>
      </c>
      <c r="J3487" s="455">
        <f t="array" ref="J3487">IFERROR(INDEX('Retirement Calculator'!J:J,MATCH('Isaac 401k'!N3487,'Retirement Calculator'!A:A,0),0),0)</f>
        <v>0</v>
      </c>
      <c r="K3487" s="455">
        <f t="shared" ca="1" si="166"/>
        <v>-1377928828.1098571</v>
      </c>
      <c r="L3487" s="455">
        <f t="shared" ca="1" si="167"/>
        <v>-332080847574.47559</v>
      </c>
      <c r="M3487" s="471">
        <f t="shared" si="169"/>
        <v>0.05</v>
      </c>
      <c r="N3487" s="475">
        <f t="shared" si="170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68"/>
        <v>-332080847574.47559</v>
      </c>
      <c r="J3488" s="455">
        <f t="array" ref="J3488">IFERROR(INDEX('Retirement Calculator'!J:J,MATCH('Isaac 401k'!N3488,'Retirement Calculator'!A:A,0),0),0)</f>
        <v>0</v>
      </c>
      <c r="K3488" s="455">
        <f t="shared" ca="1" si="166"/>
        <v>-1383670198.2269816</v>
      </c>
      <c r="L3488" s="455">
        <f t="shared" ca="1" si="167"/>
        <v>-333464517772.70258</v>
      </c>
      <c r="M3488" s="471">
        <f t="shared" si="169"/>
        <v>0.05</v>
      </c>
      <c r="N3488" s="475">
        <f t="shared" si="170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68"/>
        <v>-333464517772.70258</v>
      </c>
      <c r="J3489" s="455">
        <f t="array" ref="J3489">IFERROR(INDEX('Retirement Calculator'!J:J,MATCH('Isaac 401k'!N3489,'Retirement Calculator'!A:A,0),0),0)</f>
        <v>0</v>
      </c>
      <c r="K3489" s="455">
        <f t="shared" ca="1" si="166"/>
        <v>-1389435490.719594</v>
      </c>
      <c r="L3489" s="455">
        <f t="shared" ca="1" si="167"/>
        <v>-334853953263.42218</v>
      </c>
      <c r="M3489" s="471">
        <f t="shared" si="169"/>
        <v>0.05</v>
      </c>
      <c r="N3489" s="475">
        <f t="shared" si="170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68"/>
        <v>-334853953263.42218</v>
      </c>
      <c r="J3490" s="455">
        <f t="array" ref="J3490">IFERROR(INDEX('Retirement Calculator'!J:J,MATCH('Isaac 401k'!N3490,'Retirement Calculator'!A:A,0),0),0)</f>
        <v>0</v>
      </c>
      <c r="K3490" s="455">
        <f t="shared" ca="1" si="166"/>
        <v>-1395224805.2642591</v>
      </c>
      <c r="L3490" s="455">
        <f t="shared" ca="1" si="167"/>
        <v>-336249178068.68646</v>
      </c>
      <c r="M3490" s="471">
        <f t="shared" si="169"/>
        <v>0.05</v>
      </c>
      <c r="N3490" s="475">
        <f t="shared" si="170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68"/>
        <v>-336249178068.68646</v>
      </c>
      <c r="J3491" s="455">
        <f t="array" ref="J3491">IFERROR(INDEX('Retirement Calculator'!J:J,MATCH('Isaac 401k'!N3491,'Retirement Calculator'!A:A,0),0),0)</f>
        <v>0</v>
      </c>
      <c r="K3491" s="455">
        <f t="shared" ca="1" si="166"/>
        <v>-1401038241.9528604</v>
      </c>
      <c r="L3491" s="455">
        <f t="shared" ca="1" si="167"/>
        <v>-337650216310.63934</v>
      </c>
      <c r="M3491" s="471">
        <f t="shared" si="169"/>
        <v>0.05</v>
      </c>
      <c r="N3491" s="475">
        <f t="shared" si="170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68"/>
        <v>-337650216310.63934</v>
      </c>
      <c r="J3492" s="455">
        <f t="array" ref="J3492">IFERROR(INDEX('Retirement Calculator'!J:J,MATCH('Isaac 401k'!N3492,'Retirement Calculator'!A:A,0),0),0)</f>
        <v>0</v>
      </c>
      <c r="K3492" s="455">
        <f t="shared" ca="1" si="166"/>
        <v>-1406875901.2943306</v>
      </c>
      <c r="L3492" s="455">
        <f t="shared" ca="1" si="167"/>
        <v>-339057092211.93365</v>
      </c>
      <c r="M3492" s="471">
        <f t="shared" si="169"/>
        <v>0.05</v>
      </c>
      <c r="N3492" s="475">
        <f t="shared" si="170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68"/>
        <v>-339057092211.93365</v>
      </c>
      <c r="J3493" s="455">
        <f t="array" ref="J3493">IFERROR(INDEX('Retirement Calculator'!J:J,MATCH('Isaac 401k'!N3493,'Retirement Calculator'!A:A,0),0),0)</f>
        <v>0</v>
      </c>
      <c r="K3493" s="455">
        <f t="shared" ca="1" si="166"/>
        <v>-1412737884.2163901</v>
      </c>
      <c r="L3493" s="455">
        <f t="shared" ca="1" si="167"/>
        <v>-340469830096.15002</v>
      </c>
      <c r="M3493" s="471">
        <f t="shared" si="169"/>
        <v>0.05</v>
      </c>
      <c r="N3493" s="475">
        <f t="shared" si="170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68"/>
        <v>-340469830096.15002</v>
      </c>
      <c r="J3494" s="455">
        <f t="array" ref="J3494">IFERROR(INDEX('Retirement Calculator'!J:J,MATCH('Isaac 401k'!N3494,'Retirement Calculator'!A:A,0),0),0)</f>
        <v>0</v>
      </c>
      <c r="K3494" s="455">
        <f t="shared" ca="1" si="166"/>
        <v>-1418624292.0672917</v>
      </c>
      <c r="L3494" s="455">
        <f t="shared" ca="1" si="167"/>
        <v>-341888454388.21735</v>
      </c>
      <c r="M3494" s="471">
        <f t="shared" si="169"/>
        <v>0.05</v>
      </c>
      <c r="N3494" s="475">
        <f t="shared" si="170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68"/>
        <v>-341888454388.21735</v>
      </c>
      <c r="J3495" s="455">
        <f t="array" ref="J3495">IFERROR(INDEX('Retirement Calculator'!J:J,MATCH('Isaac 401k'!N3495,'Retirement Calculator'!A:A,0),0),0)</f>
        <v>0</v>
      </c>
      <c r="K3495" s="455">
        <f t="shared" ca="1" si="166"/>
        <v>-1424535226.6175723</v>
      </c>
      <c r="L3495" s="455">
        <f t="shared" ca="1" si="167"/>
        <v>-343312989614.8349</v>
      </c>
      <c r="M3495" s="471">
        <f t="shared" si="169"/>
        <v>0.05</v>
      </c>
      <c r="N3495" s="475">
        <f t="shared" si="170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68"/>
        <v>-343312989614.8349</v>
      </c>
      <c r="J3496" s="455">
        <f t="array" ref="J3496">IFERROR(INDEX('Retirement Calculator'!J:J,MATCH('Isaac 401k'!N3496,'Retirement Calculator'!A:A,0),0),0)</f>
        <v>0</v>
      </c>
      <c r="K3496" s="455">
        <f t="shared" ca="1" si="166"/>
        <v>-1430470790.0618122</v>
      </c>
      <c r="L3496" s="455">
        <f t="shared" ca="1" si="167"/>
        <v>-344743460404.89673</v>
      </c>
      <c r="M3496" s="471">
        <f t="shared" si="169"/>
        <v>0.05</v>
      </c>
      <c r="N3496" s="475">
        <f t="shared" si="170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68"/>
        <v>-344743460404.89673</v>
      </c>
      <c r="J3497" s="455">
        <f t="array" ref="J3497">IFERROR(INDEX('Retirement Calculator'!J:J,MATCH('Isaac 401k'!N3497,'Retirement Calculator'!A:A,0),0),0)</f>
        <v>0</v>
      </c>
      <c r="K3497" s="455">
        <f t="shared" ca="1" si="166"/>
        <v>-1436431085.0204029</v>
      </c>
      <c r="L3497" s="455">
        <f t="shared" ca="1" si="167"/>
        <v>-346179891489.91711</v>
      </c>
      <c r="M3497" s="471">
        <f t="shared" si="169"/>
        <v>0.05</v>
      </c>
      <c r="N3497" s="475">
        <f t="shared" si="170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68"/>
        <v>-346179891489.91711</v>
      </c>
      <c r="J3498" s="455">
        <f t="array" ref="J3498">IFERROR(INDEX('Retirement Calculator'!J:J,MATCH('Isaac 401k'!N3498,'Retirement Calculator'!A:A,0),0),0)</f>
        <v>0</v>
      </c>
      <c r="K3498" s="455">
        <f t="shared" ca="1" si="166"/>
        <v>-1442416214.5413213</v>
      </c>
      <c r="L3498" s="455">
        <f t="shared" ca="1" si="167"/>
        <v>-347622307704.45844</v>
      </c>
      <c r="M3498" s="471">
        <f t="shared" si="169"/>
        <v>0.05</v>
      </c>
      <c r="N3498" s="475">
        <f t="shared" si="170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68"/>
        <v>-347622307704.45844</v>
      </c>
      <c r="J3499" s="455">
        <f t="array" ref="J3499">IFERROR(INDEX('Retirement Calculator'!J:J,MATCH('Isaac 401k'!N3499,'Retirement Calculator'!A:A,0),0),0)</f>
        <v>0</v>
      </c>
      <c r="K3499" s="455">
        <f t="shared" ca="1" si="166"/>
        <v>-1448426282.1019101</v>
      </c>
      <c r="L3499" s="455">
        <f t="shared" ca="1" si="167"/>
        <v>-349070733986.56036</v>
      </c>
      <c r="M3499" s="471">
        <f t="shared" si="169"/>
        <v>0.05</v>
      </c>
      <c r="N3499" s="475">
        <f t="shared" si="170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68"/>
        <v>-349070733986.56036</v>
      </c>
      <c r="J3500" s="455">
        <f t="array" ref="J3500">IFERROR(INDEX('Retirement Calculator'!J:J,MATCH('Isaac 401k'!N3500,'Retirement Calculator'!A:A,0),0),0)</f>
        <v>0</v>
      </c>
      <c r="K3500" s="455">
        <f t="shared" ca="1" si="166"/>
        <v>-1454461391.6106682</v>
      </c>
      <c r="L3500" s="455">
        <f t="shared" ca="1" si="167"/>
        <v>-350525195378.17102</v>
      </c>
      <c r="M3500" s="471">
        <f t="shared" si="169"/>
        <v>0.05</v>
      </c>
      <c r="N3500" s="475">
        <f t="shared" si="170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68"/>
        <v>-350525195378.17102</v>
      </c>
      <c r="J3501" s="455">
        <f t="array" ref="J3501">IFERROR(INDEX('Retirement Calculator'!J:J,MATCH('Isaac 401k'!N3501,'Retirement Calculator'!A:A,0),0),0)</f>
        <v>0</v>
      </c>
      <c r="K3501" s="455">
        <f t="shared" ca="1" si="166"/>
        <v>-1460521647.4090459</v>
      </c>
      <c r="L3501" s="455">
        <f t="shared" ca="1" si="167"/>
        <v>-351985717025.58008</v>
      </c>
      <c r="M3501" s="471">
        <f t="shared" si="169"/>
        <v>0.05</v>
      </c>
      <c r="N3501" s="475">
        <f t="shared" si="170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68"/>
        <v>-351985717025.58008</v>
      </c>
      <c r="J3502" s="455">
        <f t="array" ref="J3502">IFERROR(INDEX('Retirement Calculator'!J:J,MATCH('Isaac 401k'!N3502,'Retirement Calculator'!A:A,0),0),0)</f>
        <v>0</v>
      </c>
      <c r="K3502" s="455">
        <f t="shared" ca="1" si="166"/>
        <v>-1466607154.2732503</v>
      </c>
      <c r="L3502" s="455">
        <f t="shared" ca="1" si="167"/>
        <v>-353452324179.85333</v>
      </c>
      <c r="M3502" s="471">
        <f t="shared" si="169"/>
        <v>0.05</v>
      </c>
      <c r="N3502" s="475">
        <f t="shared" si="170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68"/>
        <v>-353452324179.85333</v>
      </c>
      <c r="J3503" s="455">
        <f t="array" ref="J3503">IFERROR(INDEX('Retirement Calculator'!J:J,MATCH('Isaac 401k'!N3503,'Retirement Calculator'!A:A,0),0),0)</f>
        <v>0</v>
      </c>
      <c r="K3503" s="455">
        <f t="shared" ca="1" si="166"/>
        <v>-1472718017.4160554</v>
      </c>
      <c r="L3503" s="455">
        <f t="shared" ca="1" si="167"/>
        <v>-354925042197.26941</v>
      </c>
      <c r="M3503" s="471">
        <f t="shared" si="169"/>
        <v>0.05</v>
      </c>
      <c r="N3503" s="475">
        <f t="shared" si="170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68"/>
        <v>-354925042197.26941</v>
      </c>
      <c r="J3504" s="455">
        <f t="array" ref="J3504">IFERROR(INDEX('Retirement Calculator'!J:J,MATCH('Isaac 401k'!N3504,'Retirement Calculator'!A:A,0),0),0)</f>
        <v>0</v>
      </c>
      <c r="K3504" s="455">
        <f t="shared" ca="1" si="166"/>
        <v>-1478854342.4886224</v>
      </c>
      <c r="L3504" s="455">
        <f t="shared" ca="1" si="167"/>
        <v>-356403896539.75806</v>
      </c>
      <c r="M3504" s="471">
        <f t="shared" si="169"/>
        <v>0.05</v>
      </c>
      <c r="N3504" s="475">
        <f t="shared" si="170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68"/>
        <v>-356403896539.75806</v>
      </c>
      <c r="J3505" s="455">
        <f t="array" ref="J3505">IFERROR(INDEX('Retirement Calculator'!J:J,MATCH('Isaac 401k'!N3505,'Retirement Calculator'!A:A,0),0),0)</f>
        <v>0</v>
      </c>
      <c r="K3505" s="455">
        <f t="shared" ca="1" si="166"/>
        <v>-1485016235.5823252</v>
      </c>
      <c r="L3505" s="455">
        <f t="shared" ca="1" si="167"/>
        <v>-357888912775.34039</v>
      </c>
      <c r="M3505" s="471">
        <f t="shared" si="169"/>
        <v>0.05</v>
      </c>
      <c r="N3505" s="475">
        <f t="shared" si="170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68"/>
        <v>-357888912775.34039</v>
      </c>
      <c r="J3506" s="455">
        <f t="array" ref="J3506">IFERROR(INDEX('Retirement Calculator'!J:J,MATCH('Isaac 401k'!N3506,'Retirement Calculator'!A:A,0),0),0)</f>
        <v>0</v>
      </c>
      <c r="K3506" s="455">
        <f t="shared" ca="1" si="166"/>
        <v>-1491203803.2305849</v>
      </c>
      <c r="L3506" s="455">
        <f t="shared" ca="1" si="167"/>
        <v>-359380116578.57098</v>
      </c>
      <c r="M3506" s="471">
        <f t="shared" si="169"/>
        <v>0.05</v>
      </c>
      <c r="N3506" s="475">
        <f t="shared" si="170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68"/>
        <v>-359380116578.57098</v>
      </c>
      <c r="J3507" s="455">
        <f t="array" ref="J3507">IFERROR(INDEX('Retirement Calculator'!J:J,MATCH('Isaac 401k'!N3507,'Retirement Calculator'!A:A,0),0),0)</f>
        <v>0</v>
      </c>
      <c r="K3507" s="455">
        <f t="shared" ca="1" si="166"/>
        <v>-1497417152.4107125</v>
      </c>
      <c r="L3507" s="455">
        <f t="shared" ca="1" si="167"/>
        <v>-360877533730.98169</v>
      </c>
      <c r="M3507" s="471">
        <f t="shared" si="169"/>
        <v>0.05</v>
      </c>
      <c r="N3507" s="475">
        <f t="shared" si="170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68"/>
        <v>-360877533730.98169</v>
      </c>
      <c r="J3508" s="455">
        <f t="array" ref="J3508">IFERROR(INDEX('Retirement Calculator'!J:J,MATCH('Isaac 401k'!N3508,'Retirement Calculator'!A:A,0),0),0)</f>
        <v>0</v>
      </c>
      <c r="K3508" s="455">
        <f t="shared" ca="1" si="166"/>
        <v>-1503656390.5457571</v>
      </c>
      <c r="L3508" s="455">
        <f t="shared" ca="1" si="167"/>
        <v>-362381190121.52747</v>
      </c>
      <c r="M3508" s="471">
        <f t="shared" si="169"/>
        <v>0.05</v>
      </c>
      <c r="N3508" s="475">
        <f t="shared" si="170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68"/>
        <v>-362381190121.52747</v>
      </c>
      <c r="J3509" s="455">
        <f t="array" ref="J3509">IFERROR(INDEX('Retirement Calculator'!J:J,MATCH('Isaac 401k'!N3509,'Retirement Calculator'!A:A,0),0),0)</f>
        <v>0</v>
      </c>
      <c r="K3509" s="455">
        <f t="shared" ca="1" si="166"/>
        <v>-1509921625.5063643</v>
      </c>
      <c r="L3509" s="455">
        <f t="shared" ca="1" si="167"/>
        <v>-363891111747.03381</v>
      </c>
      <c r="M3509" s="471">
        <f t="shared" si="169"/>
        <v>0.05</v>
      </c>
      <c r="N3509" s="475">
        <f t="shared" si="170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68"/>
        <v>-363891111747.03381</v>
      </c>
      <c r="J3510" s="455">
        <f t="array" ref="J3510">IFERROR(INDEX('Retirement Calculator'!J:J,MATCH('Isaac 401k'!N3510,'Retirement Calculator'!A:A,0),0),0)</f>
        <v>0</v>
      </c>
      <c r="K3510" s="455">
        <f t="shared" ca="1" si="166"/>
        <v>-1516212965.6126409</v>
      </c>
      <c r="L3510" s="455">
        <f t="shared" ca="1" si="167"/>
        <v>-365407324712.64648</v>
      </c>
      <c r="M3510" s="471">
        <f t="shared" si="169"/>
        <v>0.05</v>
      </c>
      <c r="N3510" s="475">
        <f t="shared" si="170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68"/>
        <v>-365407324712.64648</v>
      </c>
      <c r="J3511" s="455">
        <f t="array" ref="J3511">IFERROR(INDEX('Retirement Calculator'!J:J,MATCH('Isaac 401k'!N3511,'Retirement Calculator'!A:A,0),0),0)</f>
        <v>0</v>
      </c>
      <c r="K3511" s="455">
        <f t="shared" ca="1" si="166"/>
        <v>-1522530519.6360271</v>
      </c>
      <c r="L3511" s="455">
        <f t="shared" ca="1" si="167"/>
        <v>-366929855232.28253</v>
      </c>
      <c r="M3511" s="471">
        <f t="shared" si="169"/>
        <v>0.05</v>
      </c>
      <c r="N3511" s="475">
        <f t="shared" si="170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68"/>
        <v>-366929855232.28253</v>
      </c>
      <c r="J3512" s="455">
        <f t="array" ref="J3512">IFERROR(INDEX('Retirement Calculator'!J:J,MATCH('Isaac 401k'!N3512,'Retirement Calculator'!A:A,0),0),0)</f>
        <v>0</v>
      </c>
      <c r="K3512" s="455">
        <f t="shared" ca="1" si="166"/>
        <v>-1528874396.8011773</v>
      </c>
      <c r="L3512" s="455">
        <f t="shared" ca="1" si="167"/>
        <v>-368458729629.08368</v>
      </c>
      <c r="M3512" s="471">
        <f t="shared" si="169"/>
        <v>0.05</v>
      </c>
      <c r="N3512" s="475">
        <f t="shared" si="170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68"/>
        <v>-368458729629.08368</v>
      </c>
      <c r="J3513" s="455">
        <f t="array" ref="J3513">IFERROR(INDEX('Retirement Calculator'!J:J,MATCH('Isaac 401k'!N3513,'Retirement Calculator'!A:A,0),0),0)</f>
        <v>0</v>
      </c>
      <c r="K3513" s="455">
        <f t="shared" ca="1" si="166"/>
        <v>-1535244706.7878487</v>
      </c>
      <c r="L3513" s="455">
        <f t="shared" ca="1" si="167"/>
        <v>-369993974335.87152</v>
      </c>
      <c r="M3513" s="471">
        <f t="shared" si="169"/>
        <v>0.05</v>
      </c>
      <c r="N3513" s="475">
        <f t="shared" si="170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68"/>
        <v>-369993974335.87152</v>
      </c>
      <c r="J3514" s="455">
        <f t="array" ref="J3514">IFERROR(INDEX('Retirement Calculator'!J:J,MATCH('Isaac 401k'!N3514,'Retirement Calculator'!A:A,0),0),0)</f>
        <v>0</v>
      </c>
      <c r="K3514" s="455">
        <f t="shared" ca="1" si="166"/>
        <v>-1541641559.7327981</v>
      </c>
      <c r="L3514" s="455">
        <f t="shared" ca="1" si="167"/>
        <v>-371535615895.60431</v>
      </c>
      <c r="M3514" s="471">
        <f t="shared" si="169"/>
        <v>0.05</v>
      </c>
      <c r="N3514" s="475">
        <f t="shared" si="170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68"/>
        <v>-371535615895.60431</v>
      </c>
      <c r="J3515" s="455">
        <f t="array" ref="J3515">IFERROR(INDEX('Retirement Calculator'!J:J,MATCH('Isaac 401k'!N3515,'Retirement Calculator'!A:A,0),0),0)</f>
        <v>0</v>
      </c>
      <c r="K3515" s="455">
        <f t="shared" ca="1" si="166"/>
        <v>-1548065066.2316847</v>
      </c>
      <c r="L3515" s="455">
        <f t="shared" ca="1" si="167"/>
        <v>-373083680961.836</v>
      </c>
      <c r="M3515" s="471">
        <f t="shared" si="169"/>
        <v>0.05</v>
      </c>
      <c r="N3515" s="475">
        <f t="shared" si="170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68"/>
        <v>-373083680961.836</v>
      </c>
      <c r="J3516" s="455">
        <f t="array" ref="J3516">IFERROR(INDEX('Retirement Calculator'!J:J,MATCH('Isaac 401k'!N3516,'Retirement Calculator'!A:A,0),0),0)</f>
        <v>0</v>
      </c>
      <c r="K3516" s="455">
        <f t="shared" ca="1" si="166"/>
        <v>-1554515337.3409834</v>
      </c>
      <c r="L3516" s="455">
        <f t="shared" ca="1" si="167"/>
        <v>-374638196299.177</v>
      </c>
      <c r="M3516" s="471">
        <f t="shared" si="169"/>
        <v>0.05</v>
      </c>
      <c r="N3516" s="475">
        <f t="shared" si="170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68"/>
        <v>-374638196299.177</v>
      </c>
      <c r="J3517" s="455">
        <f t="array" ref="J3517">IFERROR(INDEX('Retirement Calculator'!J:J,MATCH('Isaac 401k'!N3517,'Retirement Calculator'!A:A,0),0),0)</f>
        <v>0</v>
      </c>
      <c r="K3517" s="455">
        <f t="shared" ca="1" si="166"/>
        <v>-1560992484.5799041</v>
      </c>
      <c r="L3517" s="455">
        <f t="shared" ca="1" si="167"/>
        <v>-376199188783.7569</v>
      </c>
      <c r="M3517" s="471">
        <f t="shared" si="169"/>
        <v>0.05</v>
      </c>
      <c r="N3517" s="475">
        <f t="shared" si="170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68"/>
        <v>-376199188783.7569</v>
      </c>
      <c r="J3518" s="455">
        <f t="array" ref="J3518">IFERROR(INDEX('Retirement Calculator'!J:J,MATCH('Isaac 401k'!N3518,'Retirement Calculator'!A:A,0),0),0)</f>
        <v>0</v>
      </c>
      <c r="K3518" s="455">
        <f t="shared" ca="1" si="166"/>
        <v>-1567496619.9323204</v>
      </c>
      <c r="L3518" s="455">
        <f t="shared" ca="1" si="167"/>
        <v>-377766685403.68921</v>
      </c>
      <c r="M3518" s="471">
        <f t="shared" si="169"/>
        <v>0.05</v>
      </c>
      <c r="N3518" s="475">
        <f t="shared" si="170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68"/>
        <v>-377766685403.68921</v>
      </c>
      <c r="J3519" s="455">
        <f t="array" ref="J3519">IFERROR(INDEX('Retirement Calculator'!J:J,MATCH('Isaac 401k'!N3519,'Retirement Calculator'!A:A,0),0),0)</f>
        <v>0</v>
      </c>
      <c r="K3519" s="455">
        <f t="shared" ca="1" si="166"/>
        <v>-1574027855.8487051</v>
      </c>
      <c r="L3519" s="455">
        <f t="shared" ca="1" si="167"/>
        <v>-379340713259.5379</v>
      </c>
      <c r="M3519" s="471">
        <f t="shared" si="169"/>
        <v>0.05</v>
      </c>
      <c r="N3519" s="475">
        <f t="shared" si="170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68"/>
        <v>-379340713259.5379</v>
      </c>
      <c r="J3520" s="455">
        <f t="array" ref="J3520">IFERROR(INDEX('Retirement Calculator'!J:J,MATCH('Isaac 401k'!N3520,'Retirement Calculator'!A:A,0),0),0)</f>
        <v>0</v>
      </c>
      <c r="K3520" s="455">
        <f t="shared" ca="1" si="166"/>
        <v>-1580586305.2480745</v>
      </c>
      <c r="L3520" s="455">
        <f t="shared" ca="1" si="167"/>
        <v>-380921299564.78595</v>
      </c>
      <c r="M3520" s="471">
        <f t="shared" si="169"/>
        <v>0.05</v>
      </c>
      <c r="N3520" s="475">
        <f t="shared" si="170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68"/>
        <v>-380921299564.78595</v>
      </c>
      <c r="J3521" s="455">
        <f t="array" ref="J3521">IFERROR(INDEX('Retirement Calculator'!J:J,MATCH('Isaac 401k'!N3521,'Retirement Calculator'!A:A,0),0),0)</f>
        <v>0</v>
      </c>
      <c r="K3521" s="455">
        <f t="shared" ca="1" si="166"/>
        <v>-1587172081.5199413</v>
      </c>
      <c r="L3521" s="455">
        <f t="shared" ca="1" si="167"/>
        <v>-382508471646.30591</v>
      </c>
      <c r="M3521" s="471">
        <f t="shared" si="169"/>
        <v>0.05</v>
      </c>
      <c r="N3521" s="475">
        <f t="shared" si="170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68"/>
        <v>-382508471646.30591</v>
      </c>
      <c r="J3522" s="455">
        <f t="array" ref="J3522">IFERROR(INDEX('Retirement Calculator'!J:J,MATCH('Isaac 401k'!N3522,'Retirement Calculator'!A:A,0),0),0)</f>
        <v>0</v>
      </c>
      <c r="K3522" s="455">
        <f t="shared" ca="1" si="166"/>
        <v>-1593785298.5262747</v>
      </c>
      <c r="L3522" s="455">
        <f t="shared" ca="1" si="167"/>
        <v>-384102256944.83215</v>
      </c>
      <c r="M3522" s="471">
        <f t="shared" si="169"/>
        <v>0.05</v>
      </c>
      <c r="N3522" s="475">
        <f t="shared" si="170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68"/>
        <v>-384102256944.83215</v>
      </c>
      <c r="J3523" s="455">
        <f t="array" ref="J3523">IFERROR(INDEX('Retirement Calculator'!J:J,MATCH('Isaac 401k'!N3523,'Retirement Calculator'!A:A,0),0),0)</f>
        <v>0</v>
      </c>
      <c r="K3523" s="455">
        <f t="shared" ca="1" si="166"/>
        <v>-1600426070.6034672</v>
      </c>
      <c r="L3523" s="455">
        <f t="shared" ca="1" si="167"/>
        <v>-385702683015.43561</v>
      </c>
      <c r="M3523" s="471">
        <f t="shared" si="169"/>
        <v>0.05</v>
      </c>
      <c r="N3523" s="475">
        <f t="shared" si="170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68"/>
        <v>-385702683015.43561</v>
      </c>
      <c r="J3524" s="455">
        <f t="array" ref="J3524">IFERROR(INDEX('Retirement Calculator'!J:J,MATCH('Isaac 401k'!N3524,'Retirement Calculator'!A:A,0),0),0)</f>
        <v>0</v>
      </c>
      <c r="K3524" s="455">
        <f t="shared" ca="1" si="166"/>
        <v>-1607094512.5643151</v>
      </c>
      <c r="L3524" s="455">
        <f t="shared" ca="1" si="167"/>
        <v>-387309777527.99994</v>
      </c>
      <c r="M3524" s="471">
        <f t="shared" si="169"/>
        <v>0.05</v>
      </c>
      <c r="N3524" s="475">
        <f t="shared" si="170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68"/>
        <v>-387309777527.99994</v>
      </c>
      <c r="J3525" s="455">
        <f t="array" ref="J3525">IFERROR(INDEX('Retirement Calculator'!J:J,MATCH('Isaac 401k'!N3525,'Retirement Calculator'!A:A,0),0),0)</f>
        <v>0</v>
      </c>
      <c r="K3525" s="455">
        <f t="shared" ca="1" si="166"/>
        <v>-1613790739.6999998</v>
      </c>
      <c r="L3525" s="455">
        <f t="shared" ca="1" si="167"/>
        <v>-388923568267.69995</v>
      </c>
      <c r="M3525" s="471">
        <f t="shared" si="169"/>
        <v>0.05</v>
      </c>
      <c r="N3525" s="475">
        <f t="shared" si="170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68"/>
        <v>-388923568267.69995</v>
      </c>
      <c r="J3526" s="455">
        <f t="array" ref="J3526">IFERROR(INDEX('Retirement Calculator'!J:J,MATCH('Isaac 401k'!N3526,'Retirement Calculator'!A:A,0),0),0)</f>
        <v>0</v>
      </c>
      <c r="K3526" s="455">
        <f t="shared" ca="1" si="166"/>
        <v>-1620514867.782083</v>
      </c>
      <c r="L3526" s="455">
        <f t="shared" ca="1" si="167"/>
        <v>-390544083135.48206</v>
      </c>
      <c r="M3526" s="471">
        <f t="shared" si="169"/>
        <v>0.05</v>
      </c>
      <c r="N3526" s="475">
        <f t="shared" si="170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68"/>
        <v>-390544083135.48206</v>
      </c>
      <c r="J3527" s="455">
        <f t="array" ref="J3527">IFERROR(INDEX('Retirement Calculator'!J:J,MATCH('Isaac 401k'!N3527,'Retirement Calculator'!A:A,0),0),0)</f>
        <v>0</v>
      </c>
      <c r="K3527" s="455">
        <f t="shared" ca="1" si="166"/>
        <v>-1627267013.0645084</v>
      </c>
      <c r="L3527" s="455">
        <f t="shared" ca="1" si="167"/>
        <v>-392171350148.54657</v>
      </c>
      <c r="M3527" s="471">
        <f t="shared" si="169"/>
        <v>0.05</v>
      </c>
      <c r="N3527" s="475">
        <f t="shared" si="170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68"/>
        <v>-392171350148.54657</v>
      </c>
      <c r="J3528" s="455">
        <f t="array" ref="J3528">IFERROR(INDEX('Retirement Calculator'!J:J,MATCH('Isaac 401k'!N3528,'Retirement Calculator'!A:A,0),0),0)</f>
        <v>0</v>
      </c>
      <c r="K3528" s="455">
        <f t="shared" ca="1" si="166"/>
        <v>-1634047292.2856107</v>
      </c>
      <c r="L3528" s="455">
        <f t="shared" ca="1" si="167"/>
        <v>-393805397440.83215</v>
      </c>
      <c r="M3528" s="471">
        <f t="shared" si="169"/>
        <v>0.05</v>
      </c>
      <c r="N3528" s="475">
        <f t="shared" si="170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68"/>
        <v>-393805397440.83215</v>
      </c>
      <c r="J3529" s="455">
        <f t="array" ref="J3529">IFERROR(INDEX('Retirement Calculator'!J:J,MATCH('Isaac 401k'!N3529,'Retirement Calculator'!A:A,0),0),0)</f>
        <v>0</v>
      </c>
      <c r="K3529" s="455">
        <f t="shared" ca="1" si="166"/>
        <v>-1640855822.6701341</v>
      </c>
      <c r="L3529" s="455">
        <f t="shared" ca="1" si="167"/>
        <v>-395446253263.50226</v>
      </c>
      <c r="M3529" s="471">
        <f t="shared" si="169"/>
        <v>0.05</v>
      </c>
      <c r="N3529" s="475">
        <f t="shared" si="170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68"/>
        <v>-395446253263.50226</v>
      </c>
      <c r="J3530" s="455">
        <f t="array" ref="J3530">IFERROR(INDEX('Retirement Calculator'!J:J,MATCH('Isaac 401k'!N3530,'Retirement Calculator'!A:A,0),0),0)</f>
        <v>0</v>
      </c>
      <c r="K3530" s="455">
        <f t="shared" ca="1" si="166"/>
        <v>-1647692721.9312594</v>
      </c>
      <c r="L3530" s="455">
        <f t="shared" ca="1" si="167"/>
        <v>-397093945985.43353</v>
      </c>
      <c r="M3530" s="471">
        <f t="shared" si="169"/>
        <v>0.05</v>
      </c>
      <c r="N3530" s="475">
        <f t="shared" si="170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68"/>
        <v>-397093945985.43353</v>
      </c>
      <c r="J3531" s="455">
        <f t="array" ref="J3531">IFERROR(INDEX('Retirement Calculator'!J:J,MATCH('Isaac 401k'!N3531,'Retirement Calculator'!A:A,0),0),0)</f>
        <v>0</v>
      </c>
      <c r="K3531" s="455">
        <f t="shared" ca="1" si="166"/>
        <v>-1654558108.2726398</v>
      </c>
      <c r="L3531" s="455">
        <f t="shared" ca="1" si="167"/>
        <v>-398748504093.70618</v>
      </c>
      <c r="M3531" s="471">
        <f t="shared" si="169"/>
        <v>0.05</v>
      </c>
      <c r="N3531" s="475">
        <f t="shared" si="170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68"/>
        <v>-398748504093.70618</v>
      </c>
      <c r="J3532" s="455">
        <f t="array" ref="J3532">IFERROR(INDEX('Retirement Calculator'!J:J,MATCH('Isaac 401k'!N3532,'Retirement Calculator'!A:A,0),0),0)</f>
        <v>0</v>
      </c>
      <c r="K3532" s="455">
        <f t="shared" ca="1" si="166"/>
        <v>-1661452100.3904424</v>
      </c>
      <c r="L3532" s="455">
        <f t="shared" ca="1" si="167"/>
        <v>-400409956194.09662</v>
      </c>
      <c r="M3532" s="471">
        <f t="shared" si="169"/>
        <v>0.05</v>
      </c>
      <c r="N3532" s="475">
        <f t="shared" si="170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68"/>
        <v>-400409956194.09662</v>
      </c>
      <c r="J3533" s="455">
        <f t="array" ref="J3533">IFERROR(INDEX('Retirement Calculator'!J:J,MATCH('Isaac 401k'!N3533,'Retirement Calculator'!A:A,0),0),0)</f>
        <v>0</v>
      </c>
      <c r="K3533" s="455">
        <f t="shared" ca="1" si="166"/>
        <v>-1668374817.4754026</v>
      </c>
      <c r="L3533" s="455">
        <f t="shared" ca="1" si="167"/>
        <v>-402078331011.57202</v>
      </c>
      <c r="M3533" s="471">
        <f t="shared" si="169"/>
        <v>0.05</v>
      </c>
      <c r="N3533" s="475">
        <f t="shared" si="170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68"/>
        <v>-402078331011.57202</v>
      </c>
      <c r="J3534" s="455">
        <f t="array" ref="J3534">IFERROR(INDEX('Retirement Calculator'!J:J,MATCH('Isaac 401k'!N3534,'Retirement Calculator'!A:A,0),0),0)</f>
        <v>0</v>
      </c>
      <c r="K3534" s="455">
        <f t="shared" ca="1" si="166"/>
        <v>-1675326379.2148833</v>
      </c>
      <c r="L3534" s="455">
        <f t="shared" ca="1" si="167"/>
        <v>-403753657390.78693</v>
      </c>
      <c r="M3534" s="471">
        <f t="shared" si="169"/>
        <v>0.05</v>
      </c>
      <c r="N3534" s="475">
        <f t="shared" si="170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68"/>
        <v>-403753657390.78693</v>
      </c>
      <c r="J3535" s="455">
        <f t="array" ref="J3535">IFERROR(INDEX('Retirement Calculator'!J:J,MATCH('Isaac 401k'!N3535,'Retirement Calculator'!A:A,0),0),0)</f>
        <v>0</v>
      </c>
      <c r="K3535" s="455">
        <f t="shared" ca="1" si="166"/>
        <v>-1682306905.7949455</v>
      </c>
      <c r="L3535" s="455">
        <f t="shared" ca="1" si="167"/>
        <v>-405435964296.58185</v>
      </c>
      <c r="M3535" s="471">
        <f t="shared" si="169"/>
        <v>0.05</v>
      </c>
      <c r="N3535" s="475">
        <f t="shared" si="170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68"/>
        <v>-405435964296.58185</v>
      </c>
      <c r="J3536" s="455">
        <f t="array" ref="J3536">IFERROR(INDEX('Retirement Calculator'!J:J,MATCH('Isaac 401k'!N3536,'Retirement Calculator'!A:A,0),0),0)</f>
        <v>0</v>
      </c>
      <c r="K3536" s="455">
        <f t="shared" ca="1" si="166"/>
        <v>-1689316517.9024243</v>
      </c>
      <c r="L3536" s="455">
        <f t="shared" ca="1" si="167"/>
        <v>-407125280814.48425</v>
      </c>
      <c r="M3536" s="471">
        <f t="shared" si="169"/>
        <v>0.05</v>
      </c>
      <c r="N3536" s="475">
        <f t="shared" si="170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68"/>
        <v>-407125280814.48425</v>
      </c>
      <c r="J3537" s="455">
        <f t="array" ref="J3537">IFERROR(INDEX('Retirement Calculator'!J:J,MATCH('Isaac 401k'!N3537,'Retirement Calculator'!A:A,0),0),0)</f>
        <v>0</v>
      </c>
      <c r="K3537" s="455">
        <f t="shared" ca="1" si="166"/>
        <v>-1696355336.7270176</v>
      </c>
      <c r="L3537" s="455">
        <f t="shared" ca="1" si="167"/>
        <v>-408821636151.21124</v>
      </c>
      <c r="M3537" s="471">
        <f t="shared" si="169"/>
        <v>0.05</v>
      </c>
      <c r="N3537" s="475">
        <f t="shared" si="170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68"/>
        <v>-408821636151.21124</v>
      </c>
      <c r="J3538" s="455">
        <f t="array" ref="J3538">IFERROR(INDEX('Retirement Calculator'!J:J,MATCH('Isaac 401k'!N3538,'Retirement Calculator'!A:A,0),0),0)</f>
        <v>0</v>
      </c>
      <c r="K3538" s="455">
        <f t="shared" ca="1" si="166"/>
        <v>-1703423483.9633801</v>
      </c>
      <c r="L3538" s="455">
        <f t="shared" ca="1" si="167"/>
        <v>-410525059635.17462</v>
      </c>
      <c r="M3538" s="471">
        <f t="shared" si="169"/>
        <v>0.05</v>
      </c>
      <c r="N3538" s="475">
        <f t="shared" si="170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68"/>
        <v>-410525059635.17462</v>
      </c>
      <c r="J3539" s="455">
        <f t="array" ref="J3539">IFERROR(INDEX('Retirement Calculator'!J:J,MATCH('Isaac 401k'!N3539,'Retirement Calculator'!A:A,0),0),0)</f>
        <v>0</v>
      </c>
      <c r="K3539" s="455">
        <f t="shared" ca="1" si="166"/>
        <v>-1710521081.8132277</v>
      </c>
      <c r="L3539" s="455">
        <f t="shared" ca="1" si="167"/>
        <v>-412235580716.98785</v>
      </c>
      <c r="M3539" s="471">
        <f t="shared" si="169"/>
        <v>0.05</v>
      </c>
      <c r="N3539" s="475">
        <f t="shared" si="170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68"/>
        <v>-412235580716.98785</v>
      </c>
      <c r="J3540" s="455">
        <f t="array" ref="J3540">IFERROR(INDEX('Retirement Calculator'!J:J,MATCH('Isaac 401k'!N3540,'Retirement Calculator'!A:A,0),0),0)</f>
        <v>0</v>
      </c>
      <c r="K3540" s="455">
        <f t="shared" ca="1" si="166"/>
        <v>-1717648252.9874494</v>
      </c>
      <c r="L3540" s="455">
        <f t="shared" ca="1" si="167"/>
        <v>-413953228969.97528</v>
      </c>
      <c r="M3540" s="471">
        <f t="shared" si="169"/>
        <v>0.05</v>
      </c>
      <c r="N3540" s="475">
        <f t="shared" si="170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68"/>
        <v>-413953228969.97528</v>
      </c>
      <c r="J3541" s="455">
        <f t="array" ref="J3541">IFERROR(INDEX('Retirement Calculator'!J:J,MATCH('Isaac 401k'!N3541,'Retirement Calculator'!A:A,0),0),0)</f>
        <v>0</v>
      </c>
      <c r="K3541" s="455">
        <f t="shared" ca="1" si="166"/>
        <v>-1724805120.7082303</v>
      </c>
      <c r="L3541" s="455">
        <f t="shared" ca="1" si="167"/>
        <v>-415678034090.68353</v>
      </c>
      <c r="M3541" s="471">
        <f t="shared" si="169"/>
        <v>0.05</v>
      </c>
      <c r="N3541" s="475">
        <f t="shared" si="170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68"/>
        <v>-415678034090.68353</v>
      </c>
      <c r="J3542" s="455">
        <f t="array" ref="J3542">IFERROR(INDEX('Retirement Calculator'!J:J,MATCH('Isaac 401k'!N3542,'Retirement Calculator'!A:A,0),0),0)</f>
        <v>0</v>
      </c>
      <c r="K3542" s="455">
        <f t="shared" ca="1" si="166"/>
        <v>-1731991808.7111814</v>
      </c>
      <c r="L3542" s="455">
        <f t="shared" ca="1" si="167"/>
        <v>-417410025899.39471</v>
      </c>
      <c r="M3542" s="471">
        <f t="shared" si="169"/>
        <v>0.05</v>
      </c>
      <c r="N3542" s="475">
        <f t="shared" si="170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68"/>
        <v>-417410025899.39471</v>
      </c>
      <c r="J3543" s="455">
        <f t="array" ref="J3543">IFERROR(INDEX('Retirement Calculator'!J:J,MATCH('Isaac 401k'!N3543,'Retirement Calculator'!A:A,0),0),0)</f>
        <v>0</v>
      </c>
      <c r="K3543" s="455">
        <f t="shared" ca="1" si="166"/>
        <v>-1739208441.247478</v>
      </c>
      <c r="L3543" s="455">
        <f t="shared" ca="1" si="167"/>
        <v>-419149234340.64221</v>
      </c>
      <c r="M3543" s="471">
        <f t="shared" si="169"/>
        <v>0.05</v>
      </c>
      <c r="N3543" s="475">
        <f t="shared" si="170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68"/>
        <v>-419149234340.64221</v>
      </c>
      <c r="J3544" s="455">
        <f t="array" ref="J3544">IFERROR(INDEX('Retirement Calculator'!J:J,MATCH('Isaac 401k'!N3544,'Retirement Calculator'!A:A,0),0),0)</f>
        <v>0</v>
      </c>
      <c r="K3544" s="455">
        <f t="shared" ca="1" si="166"/>
        <v>-1746455143.0860093</v>
      </c>
      <c r="L3544" s="455">
        <f t="shared" ca="1" si="167"/>
        <v>-420895689483.72821</v>
      </c>
      <c r="M3544" s="471">
        <f t="shared" si="169"/>
        <v>0.05</v>
      </c>
      <c r="N3544" s="475">
        <f t="shared" si="170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68"/>
        <v>-420895689483.72821</v>
      </c>
      <c r="J3545" s="455">
        <f t="array" ref="J3545">IFERROR(INDEX('Retirement Calculator'!J:J,MATCH('Isaac 401k'!N3545,'Retirement Calculator'!A:A,0),0),0)</f>
        <v>0</v>
      </c>
      <c r="K3545" s="455">
        <f t="shared" ca="1" si="166"/>
        <v>-1753732039.5155342</v>
      </c>
      <c r="L3545" s="455">
        <f t="shared" ca="1" si="167"/>
        <v>-422649421523.24377</v>
      </c>
      <c r="M3545" s="471">
        <f t="shared" si="169"/>
        <v>0.05</v>
      </c>
      <c r="N3545" s="475">
        <f t="shared" si="170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68"/>
        <v>-422649421523.24377</v>
      </c>
      <c r="J3546" s="455">
        <f t="array" ref="J3546">IFERROR(INDEX('Retirement Calculator'!J:J,MATCH('Isaac 401k'!N3546,'Retirement Calculator'!A:A,0),0),0)</f>
        <v>0</v>
      </c>
      <c r="K3546" s="455">
        <f t="shared" ca="1" si="166"/>
        <v>-1761039256.346849</v>
      </c>
      <c r="L3546" s="455">
        <f t="shared" ca="1" si="167"/>
        <v>-424410460779.59064</v>
      </c>
      <c r="M3546" s="471">
        <f t="shared" si="169"/>
        <v>0.05</v>
      </c>
      <c r="N3546" s="475">
        <f t="shared" si="170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68"/>
        <v>-424410460779.59064</v>
      </c>
      <c r="J3547" s="455">
        <f t="array" ref="J3547">IFERROR(INDEX('Retirement Calculator'!J:J,MATCH('Isaac 401k'!N3547,'Retirement Calculator'!A:A,0),0),0)</f>
        <v>0</v>
      </c>
      <c r="K3547" s="455">
        <f t="shared" ca="1" si="166"/>
        <v>-1768376919.9149609</v>
      </c>
      <c r="L3547" s="455">
        <f t="shared" ca="1" si="167"/>
        <v>-426178837699.50562</v>
      </c>
      <c r="M3547" s="471">
        <f t="shared" si="169"/>
        <v>0.05</v>
      </c>
      <c r="N3547" s="475">
        <f t="shared" si="170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68"/>
        <v>-426178837699.50562</v>
      </c>
      <c r="J3548" s="455">
        <f t="array" ref="J3548">IFERROR(INDEX('Retirement Calculator'!J:J,MATCH('Isaac 401k'!N3548,'Retirement Calculator'!A:A,0),0),0)</f>
        <v>0</v>
      </c>
      <c r="K3548" s="455">
        <f t="shared" ca="1" si="166"/>
        <v>-1775745157.0812733</v>
      </c>
      <c r="L3548" s="455">
        <f t="shared" ca="1" si="167"/>
        <v>-427954582856.58691</v>
      </c>
      <c r="M3548" s="471">
        <f t="shared" si="169"/>
        <v>0.05</v>
      </c>
      <c r="N3548" s="475">
        <f t="shared" si="170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68"/>
        <v>-427954582856.58691</v>
      </c>
      <c r="J3549" s="455">
        <f t="array" ref="J3549">IFERROR(INDEX('Retirement Calculator'!J:J,MATCH('Isaac 401k'!N3549,'Retirement Calculator'!A:A,0),0),0)</f>
        <v>0</v>
      </c>
      <c r="K3549" s="455">
        <f t="shared" ca="1" si="166"/>
        <v>-1783144095.2357788</v>
      </c>
      <c r="L3549" s="455">
        <f t="shared" ca="1" si="167"/>
        <v>-429737726951.82269</v>
      </c>
      <c r="M3549" s="471">
        <f t="shared" si="169"/>
        <v>0.05</v>
      </c>
      <c r="N3549" s="475">
        <f t="shared" si="170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68"/>
        <v>-429737726951.82269</v>
      </c>
      <c r="J3550" s="455">
        <f t="array" ref="J3550">IFERROR(INDEX('Retirement Calculator'!J:J,MATCH('Isaac 401k'!N3550,'Retirement Calculator'!A:A,0),0),0)</f>
        <v>0</v>
      </c>
      <c r="K3550" s="455">
        <f t="shared" ca="1" si="166"/>
        <v>-1790573862.2992609</v>
      </c>
      <c r="L3550" s="455">
        <f t="shared" ca="1" si="167"/>
        <v>-431528300814.12195</v>
      </c>
      <c r="M3550" s="471">
        <f t="shared" si="169"/>
        <v>0.05</v>
      </c>
      <c r="N3550" s="475">
        <f t="shared" si="170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68"/>
        <v>-431528300814.12195</v>
      </c>
      <c r="J3551" s="455">
        <f t="array" ref="J3551">IFERROR(INDEX('Retirement Calculator'!J:J,MATCH('Isaac 401k'!N3551,'Retirement Calculator'!A:A,0),0),0)</f>
        <v>0</v>
      </c>
      <c r="K3551" s="455">
        <f t="shared" ca="1" si="166"/>
        <v>-1798034586.725508</v>
      </c>
      <c r="L3551" s="455">
        <f t="shared" ca="1" si="167"/>
        <v>-433326335400.84747</v>
      </c>
      <c r="M3551" s="471">
        <f t="shared" si="169"/>
        <v>0.05</v>
      </c>
      <c r="N3551" s="475">
        <f t="shared" si="170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68"/>
        <v>-433326335400.84747</v>
      </c>
      <c r="J3552" s="455">
        <f t="array" ref="J3552">IFERROR(INDEX('Retirement Calculator'!J:J,MATCH('Isaac 401k'!N3552,'Retirement Calculator'!A:A,0),0),0)</f>
        <v>0</v>
      </c>
      <c r="K3552" s="455">
        <f t="shared" ca="1" si="166"/>
        <v>-1805526397.5035312</v>
      </c>
      <c r="L3552" s="455">
        <f t="shared" ca="1" si="167"/>
        <v>-435131861798.35101</v>
      </c>
      <c r="M3552" s="471">
        <f t="shared" si="169"/>
        <v>0.05</v>
      </c>
      <c r="N3552" s="475">
        <f t="shared" si="170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68"/>
        <v>-435131861798.35101</v>
      </c>
      <c r="J3553" s="455">
        <f t="array" ref="J3553">IFERROR(INDEX('Retirement Calculator'!J:J,MATCH('Isaac 401k'!N3553,'Retirement Calculator'!A:A,0),0),0)</f>
        <v>0</v>
      </c>
      <c r="K3553" s="455">
        <f t="shared" ca="1" si="166"/>
        <v>-1813049424.1597958</v>
      </c>
      <c r="L3553" s="455">
        <f t="shared" ca="1" si="167"/>
        <v>-436944911222.5108</v>
      </c>
      <c r="M3553" s="471">
        <f t="shared" si="169"/>
        <v>0.05</v>
      </c>
      <c r="N3553" s="475">
        <f t="shared" si="170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68"/>
        <v>-436944911222.5108</v>
      </c>
      <c r="J3554" s="455">
        <f t="array" ref="J3554">IFERROR(INDEX('Retirement Calculator'!J:J,MATCH('Isaac 401k'!N3554,'Retirement Calculator'!A:A,0),0),0)</f>
        <v>0</v>
      </c>
      <c r="K3554" s="455">
        <f t="shared" ca="1" si="166"/>
        <v>-1820603796.7604616</v>
      </c>
      <c r="L3554" s="455">
        <f t="shared" ca="1" si="167"/>
        <v>-438765515019.27124</v>
      </c>
      <c r="M3554" s="471">
        <f t="shared" si="169"/>
        <v>0.05</v>
      </c>
      <c r="N3554" s="475">
        <f t="shared" si="170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68"/>
        <v>-438765515019.27124</v>
      </c>
      <c r="J3555" s="455">
        <f t="array" ref="J3555">IFERROR(INDEX('Retirement Calculator'!J:J,MATCH('Isaac 401k'!N3555,'Retirement Calculator'!A:A,0),0),0)</f>
        <v>0</v>
      </c>
      <c r="K3555" s="455">
        <f t="shared" ca="1" si="166"/>
        <v>-1828189645.9136302</v>
      </c>
      <c r="L3555" s="455">
        <f t="shared" ca="1" si="167"/>
        <v>-440593704665.18488</v>
      </c>
      <c r="M3555" s="471">
        <f t="shared" si="169"/>
        <v>0.05</v>
      </c>
      <c r="N3555" s="475">
        <f t="shared" si="170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68"/>
        <v>-440593704665.18488</v>
      </c>
      <c r="J3556" s="455">
        <f t="array" ref="J3556">IFERROR(INDEX('Retirement Calculator'!J:J,MATCH('Isaac 401k'!N3556,'Retirement Calculator'!A:A,0),0),0)</f>
        <v>0</v>
      </c>
      <c r="K3556" s="455">
        <f t="shared" ca="1" si="166"/>
        <v>-1835807102.7716036</v>
      </c>
      <c r="L3556" s="455">
        <f t="shared" ca="1" si="167"/>
        <v>-442429511767.95648</v>
      </c>
      <c r="M3556" s="471">
        <f t="shared" si="169"/>
        <v>0.05</v>
      </c>
      <c r="N3556" s="475">
        <f t="shared" si="170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68"/>
        <v>-442429511767.95648</v>
      </c>
      <c r="J3557" s="455">
        <f t="array" ref="J3557">IFERROR(INDEX('Retirement Calculator'!J:J,MATCH('Isaac 401k'!N3557,'Retirement Calculator'!A:A,0),0),0)</f>
        <v>0</v>
      </c>
      <c r="K3557" s="455">
        <f t="shared" ca="1" si="166"/>
        <v>-1843456299.0331519</v>
      </c>
      <c r="L3557" s="455">
        <f t="shared" ca="1" si="167"/>
        <v>-444272968066.98962</v>
      </c>
      <c r="M3557" s="471">
        <f t="shared" si="169"/>
        <v>0.05</v>
      </c>
      <c r="N3557" s="475">
        <f t="shared" si="170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68"/>
        <v>-444272968066.98962</v>
      </c>
      <c r="J3558" s="455">
        <f t="array" ref="J3558">IFERROR(INDEX('Retirement Calculator'!J:J,MATCH('Isaac 401k'!N3558,'Retirement Calculator'!A:A,0),0),0)</f>
        <v>0</v>
      </c>
      <c r="K3558" s="455">
        <f t="shared" ca="1" si="166"/>
        <v>-1851137366.9457901</v>
      </c>
      <c r="L3558" s="455">
        <f t="shared" ca="1" si="167"/>
        <v>-446124105433.93542</v>
      </c>
      <c r="M3558" s="471">
        <f t="shared" si="169"/>
        <v>0.05</v>
      </c>
      <c r="N3558" s="475">
        <f t="shared" si="170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68"/>
        <v>-446124105433.93542</v>
      </c>
      <c r="J3559" s="455">
        <f t="array" ref="J3559">IFERROR(INDEX('Retirement Calculator'!J:J,MATCH('Isaac 401k'!N3559,'Retirement Calculator'!A:A,0),0),0)</f>
        <v>0</v>
      </c>
      <c r="K3559" s="455">
        <f t="shared" ca="1" si="166"/>
        <v>-1858850439.3080645</v>
      </c>
      <c r="L3559" s="455">
        <f t="shared" ca="1" si="167"/>
        <v>-447982955873.24347</v>
      </c>
      <c r="M3559" s="471">
        <f t="shared" si="169"/>
        <v>0.05</v>
      </c>
      <c r="N3559" s="475">
        <f t="shared" si="170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68"/>
        <v>-447982955873.24347</v>
      </c>
      <c r="J3560" s="455">
        <f t="array" ref="J3560">IFERROR(INDEX('Retirement Calculator'!J:J,MATCH('Isaac 401k'!N3560,'Retirement Calculator'!A:A,0),0),0)</f>
        <v>0</v>
      </c>
      <c r="K3560" s="455">
        <f t="shared" ca="1" si="166"/>
        <v>-1866595649.4718478</v>
      </c>
      <c r="L3560" s="455">
        <f t="shared" ca="1" si="167"/>
        <v>-449849551522.71533</v>
      </c>
      <c r="M3560" s="471">
        <f t="shared" si="169"/>
        <v>0.05</v>
      </c>
      <c r="N3560" s="475">
        <f t="shared" si="170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68"/>
        <v>-449849551522.71533</v>
      </c>
      <c r="J3561" s="455">
        <f t="array" ref="J3561">IFERROR(INDEX('Retirement Calculator'!J:J,MATCH('Isaac 401k'!N3561,'Retirement Calculator'!A:A,0),0),0)</f>
        <v>0</v>
      </c>
      <c r="K3561" s="455">
        <f t="shared" ca="1" si="166"/>
        <v>-1874373131.3446472</v>
      </c>
      <c r="L3561" s="455">
        <f t="shared" ca="1" si="167"/>
        <v>-451723924654.06</v>
      </c>
      <c r="M3561" s="471">
        <f t="shared" si="169"/>
        <v>0.05</v>
      </c>
      <c r="N3561" s="475">
        <f t="shared" si="170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68"/>
        <v>-451723924654.06</v>
      </c>
      <c r="J3562" s="455">
        <f t="array" ref="J3562">IFERROR(INDEX('Retirement Calculator'!J:J,MATCH('Isaac 401k'!N3562,'Retirement Calculator'!A:A,0),0),0)</f>
        <v>0</v>
      </c>
      <c r="K3562" s="455">
        <f t="shared" ca="1" si="166"/>
        <v>-1882183019.3919165</v>
      </c>
      <c r="L3562" s="455">
        <f t="shared" ca="1" si="167"/>
        <v>-453606107673.4519</v>
      </c>
      <c r="M3562" s="471">
        <f t="shared" si="169"/>
        <v>0.05</v>
      </c>
      <c r="N3562" s="475">
        <f t="shared" si="170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68"/>
        <v>-453606107673.4519</v>
      </c>
      <c r="J3563" s="455">
        <f t="array" ref="J3563">IFERROR(INDEX('Retirement Calculator'!J:J,MATCH('Isaac 401k'!N3563,'Retirement Calculator'!A:A,0),0),0)</f>
        <v>0</v>
      </c>
      <c r="K3563" s="455">
        <f t="shared" ca="1" si="166"/>
        <v>-1890025448.6393831</v>
      </c>
      <c r="L3563" s="455">
        <f t="shared" ca="1" si="167"/>
        <v>-455496133122.09131</v>
      </c>
      <c r="M3563" s="471">
        <f t="shared" si="169"/>
        <v>0.05</v>
      </c>
      <c r="N3563" s="475">
        <f t="shared" si="170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68"/>
        <v>-455496133122.09131</v>
      </c>
      <c r="J3564" s="455">
        <f t="array" ref="J3564">IFERROR(INDEX('Retirement Calculator'!J:J,MATCH('Isaac 401k'!N3564,'Retirement Calculator'!A:A,0),0),0)</f>
        <v>0</v>
      </c>
      <c r="K3564" s="455">
        <f t="shared" ca="1" si="166"/>
        <v>-1897900554.6753807</v>
      </c>
      <c r="L3564" s="455">
        <f t="shared" ca="1" si="167"/>
        <v>-457394033676.76666</v>
      </c>
      <c r="M3564" s="471">
        <f t="shared" si="169"/>
        <v>0.05</v>
      </c>
      <c r="N3564" s="475">
        <f t="shared" si="170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68"/>
        <v>-457394033676.76666</v>
      </c>
      <c r="J3565" s="455">
        <f t="array" ref="J3565">IFERROR(INDEX('Retirement Calculator'!J:J,MATCH('Isaac 401k'!N3565,'Retirement Calculator'!A:A,0),0),0)</f>
        <v>0</v>
      </c>
      <c r="K3565" s="455">
        <f t="shared" ca="1" si="166"/>
        <v>-1905808473.6531944</v>
      </c>
      <c r="L3565" s="455">
        <f t="shared" ca="1" si="167"/>
        <v>-459299842150.41986</v>
      </c>
      <c r="M3565" s="471">
        <f t="shared" si="169"/>
        <v>0.05</v>
      </c>
      <c r="N3565" s="475">
        <f t="shared" si="170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68"/>
        <v>-459299842150.41986</v>
      </c>
      <c r="J3566" s="455">
        <f t="array" ref="J3566">IFERROR(INDEX('Retirement Calculator'!J:J,MATCH('Isaac 401k'!N3566,'Retirement Calculator'!A:A,0),0),0)</f>
        <v>0</v>
      </c>
      <c r="K3566" s="455">
        <f t="shared" ca="1" si="166"/>
        <v>-1913749342.2934163</v>
      </c>
      <c r="L3566" s="455">
        <f t="shared" ca="1" si="167"/>
        <v>-461213591492.71326</v>
      </c>
      <c r="M3566" s="471">
        <f t="shared" si="169"/>
        <v>0.05</v>
      </c>
      <c r="N3566" s="475">
        <f t="shared" si="170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68"/>
        <v>-461213591492.71326</v>
      </c>
      <c r="J3567" s="455">
        <f t="array" ref="J3567">IFERROR(INDEX('Retirement Calculator'!J:J,MATCH('Isaac 401k'!N3567,'Retirement Calculator'!A:A,0),0),0)</f>
        <v>0</v>
      </c>
      <c r="K3567" s="455">
        <f t="shared" ca="1" si="166"/>
        <v>-1921723297.8863049</v>
      </c>
      <c r="L3567" s="455">
        <f t="shared" ca="1" si="167"/>
        <v>-463135314790.59955</v>
      </c>
      <c r="M3567" s="471">
        <f t="shared" si="169"/>
        <v>0.05</v>
      </c>
      <c r="N3567" s="475">
        <f t="shared" si="170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68"/>
        <v>-463135314790.59955</v>
      </c>
      <c r="J3568" s="455">
        <f t="array" ref="J3568">IFERROR(INDEX('Retirement Calculator'!J:J,MATCH('Isaac 401k'!N3568,'Retirement Calculator'!A:A,0),0),0)</f>
        <v>0</v>
      </c>
      <c r="K3568" s="455">
        <f t="shared" ca="1" si="166"/>
        <v>-1929730478.2941647</v>
      </c>
      <c r="L3568" s="455">
        <f t="shared" ca="1" si="167"/>
        <v>-465065045268.89374</v>
      </c>
      <c r="M3568" s="471">
        <f t="shared" si="169"/>
        <v>0.05</v>
      </c>
      <c r="N3568" s="475">
        <f t="shared" si="170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68"/>
        <v>-465065045268.89374</v>
      </c>
      <c r="J3569" s="455">
        <f t="array" ref="J3569">IFERROR(INDEX('Retirement Calculator'!J:J,MATCH('Isaac 401k'!N3569,'Retirement Calculator'!A:A,0),0),0)</f>
        <v>0</v>
      </c>
      <c r="K3569" s="455">
        <f t="shared" ca="1" si="166"/>
        <v>-1937771021.9537241</v>
      </c>
      <c r="L3569" s="455">
        <f t="shared" ca="1" si="167"/>
        <v>-467002816290.84747</v>
      </c>
      <c r="M3569" s="471">
        <f t="shared" si="169"/>
        <v>0.05</v>
      </c>
      <c r="N3569" s="475">
        <f t="shared" si="170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68"/>
        <v>-467002816290.84747</v>
      </c>
      <c r="J3570" s="455">
        <f t="array" ref="J3570">IFERROR(INDEX('Retirement Calculator'!J:J,MATCH('Isaac 401k'!N3570,'Retirement Calculator'!A:A,0),0),0)</f>
        <v>0</v>
      </c>
      <c r="K3570" s="455">
        <f t="shared" ca="1" si="166"/>
        <v>-1945845067.8785312</v>
      </c>
      <c r="L3570" s="455">
        <f t="shared" ca="1" si="167"/>
        <v>-468948661358.72601</v>
      </c>
      <c r="M3570" s="471">
        <f t="shared" si="169"/>
        <v>0.05</v>
      </c>
      <c r="N3570" s="475">
        <f t="shared" si="170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68"/>
        <v>-468948661358.72601</v>
      </c>
      <c r="J3571" s="455">
        <f t="array" ref="J3571">IFERROR(INDEX('Retirement Calculator'!J:J,MATCH('Isaac 401k'!N3571,'Retirement Calculator'!A:A,0),0),0)</f>
        <v>0</v>
      </c>
      <c r="K3571" s="455">
        <f t="shared" ca="1" si="166"/>
        <v>-1953952755.6613581</v>
      </c>
      <c r="L3571" s="455">
        <f t="shared" ca="1" si="167"/>
        <v>-470902614114.38739</v>
      </c>
      <c r="M3571" s="471">
        <f t="shared" si="169"/>
        <v>0.05</v>
      </c>
      <c r="N3571" s="475">
        <f t="shared" si="170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68"/>
        <v>-470902614114.38739</v>
      </c>
      <c r="J3572" s="455">
        <f t="array" ref="J3572">IFERROR(INDEX('Retirement Calculator'!J:J,MATCH('Isaac 401k'!N3572,'Retirement Calculator'!A:A,0),0),0)</f>
        <v>0</v>
      </c>
      <c r="K3572" s="455">
        <f t="shared" ca="1" si="166"/>
        <v>-1962094225.476614</v>
      </c>
      <c r="L3572" s="455">
        <f t="shared" ca="1" si="167"/>
        <v>-472864708339.86401</v>
      </c>
      <c r="M3572" s="471">
        <f t="shared" si="169"/>
        <v>0.05</v>
      </c>
      <c r="N3572" s="475">
        <f t="shared" si="170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68"/>
        <v>-472864708339.86401</v>
      </c>
      <c r="J3573" s="455">
        <f t="array" ref="J3573">IFERROR(INDEX('Retirement Calculator'!J:J,MATCH('Isaac 401k'!N3573,'Retirement Calculator'!A:A,0),0),0)</f>
        <v>0</v>
      </c>
      <c r="K3573" s="455">
        <f t="shared" ca="1" si="166"/>
        <v>-1970269618.0827668</v>
      </c>
      <c r="L3573" s="455">
        <f t="shared" ca="1" si="167"/>
        <v>-474834977957.94678</v>
      </c>
      <c r="M3573" s="471">
        <f t="shared" si="169"/>
        <v>0.05</v>
      </c>
      <c r="N3573" s="475">
        <f t="shared" si="170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68"/>
        <v>-474834977957.94678</v>
      </c>
      <c r="J3574" s="455">
        <f t="array" ref="J3574">IFERROR(INDEX('Retirement Calculator'!J:J,MATCH('Isaac 401k'!N3574,'Retirement Calculator'!A:A,0),0),0)</f>
        <v>0</v>
      </c>
      <c r="K3574" s="455">
        <f t="shared" ca="1" si="166"/>
        <v>-1978479074.8247783</v>
      </c>
      <c r="L3574" s="455">
        <f t="shared" ca="1" si="167"/>
        <v>-476813457032.77155</v>
      </c>
      <c r="M3574" s="471">
        <f t="shared" si="169"/>
        <v>0.05</v>
      </c>
      <c r="N3574" s="475">
        <f t="shared" si="170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68"/>
        <v>-476813457032.77155</v>
      </c>
      <c r="J3575" s="455">
        <f t="array" ref="J3575">IFERROR(INDEX('Retirement Calculator'!J:J,MATCH('Isaac 401k'!N3575,'Retirement Calculator'!A:A,0),0),0)</f>
        <v>0</v>
      </c>
      <c r="K3575" s="455">
        <f t="shared" ca="1" si="166"/>
        <v>-1986722737.636548</v>
      </c>
      <c r="L3575" s="455">
        <f t="shared" ca="1" si="167"/>
        <v>-478800179770.40808</v>
      </c>
      <c r="M3575" s="471">
        <f t="shared" si="169"/>
        <v>0.05</v>
      </c>
      <c r="N3575" s="475">
        <f t="shared" si="170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68"/>
        <v>-478800179770.40808</v>
      </c>
      <c r="J3576" s="455">
        <f t="array" ref="J3576">IFERROR(INDEX('Retirement Calculator'!J:J,MATCH('Isaac 401k'!N3576,'Retirement Calculator'!A:A,0),0),0)</f>
        <v>0</v>
      </c>
      <c r="K3576" s="455">
        <f t="shared" ca="1" si="166"/>
        <v>-1995000749.0433667</v>
      </c>
      <c r="L3576" s="455">
        <f t="shared" ca="1" si="167"/>
        <v>-480795180519.45148</v>
      </c>
      <c r="M3576" s="471">
        <f t="shared" si="169"/>
        <v>0.05</v>
      </c>
      <c r="N3576" s="475">
        <f t="shared" si="170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68"/>
        <v>-480795180519.45148</v>
      </c>
      <c r="J3577" s="455">
        <f t="array" ref="J3577">IFERROR(INDEX('Retirement Calculator'!J:J,MATCH('Isaac 401k'!N3577,'Retirement Calculator'!A:A,0),0),0)</f>
        <v>0</v>
      </c>
      <c r="K3577" s="455">
        <f t="shared" ca="1" si="166"/>
        <v>-2003313252.164381</v>
      </c>
      <c r="L3577" s="455">
        <f t="shared" ca="1" si="167"/>
        <v>-482798493771.61584</v>
      </c>
      <c r="M3577" s="471">
        <f t="shared" si="169"/>
        <v>0.05</v>
      </c>
      <c r="N3577" s="475">
        <f t="shared" si="170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68"/>
        <v>-482798493771.61584</v>
      </c>
      <c r="J3578" s="455">
        <f t="array" ref="J3578">IFERROR(INDEX('Retirement Calculator'!J:J,MATCH('Isaac 401k'!N3578,'Retirement Calculator'!A:A,0),0),0)</f>
        <v>0</v>
      </c>
      <c r="K3578" s="455">
        <f t="shared" ref="K3578:K3832" ca="1" si="171">IPMT(M3578/12,1,12,-I3578+J3578,,0)</f>
        <v>-2011660390.715066</v>
      </c>
      <c r="L3578" s="455">
        <f t="shared" ref="L3578:L3832" ca="1" si="172">I3578-J3578+K3578</f>
        <v>-484810154162.33093</v>
      </c>
      <c r="M3578" s="471">
        <f t="shared" si="169"/>
        <v>0.05</v>
      </c>
      <c r="N3578" s="475">
        <f t="shared" si="170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73">L3578</f>
        <v>-484810154162.33093</v>
      </c>
      <c r="J3579" s="455">
        <f t="array" ref="J3579">IFERROR(INDEX('Retirement Calculator'!J:J,MATCH('Isaac 401k'!N3579,'Retirement Calculator'!A:A,0),0),0)</f>
        <v>0</v>
      </c>
      <c r="K3579" s="455">
        <f t="shared" ca="1" si="171"/>
        <v>-2020042309.0097125</v>
      </c>
      <c r="L3579" s="455">
        <f t="shared" ca="1" si="172"/>
        <v>-486830196471.34064</v>
      </c>
      <c r="M3579" s="471">
        <f t="shared" ref="M3579:M3833" si="174">M3578</f>
        <v>0.05</v>
      </c>
      <c r="N3579" s="475">
        <f t="shared" ref="N3579:N3833" si="175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73"/>
        <v>-486830196471.34064</v>
      </c>
      <c r="J3580" s="455">
        <f t="array" ref="J3580">IFERROR(INDEX('Retirement Calculator'!J:J,MATCH('Isaac 401k'!N3580,'Retirement Calculator'!A:A,0),0),0)</f>
        <v>0</v>
      </c>
      <c r="K3580" s="455">
        <f t="shared" ca="1" si="171"/>
        <v>-2028459151.9639194</v>
      </c>
      <c r="L3580" s="455">
        <f t="shared" ca="1" si="172"/>
        <v>-488858655623.30457</v>
      </c>
      <c r="M3580" s="471">
        <f t="shared" si="174"/>
        <v>0.05</v>
      </c>
      <c r="N3580" s="475">
        <f t="shared" si="175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73"/>
        <v>-488858655623.30457</v>
      </c>
      <c r="J3581" s="455">
        <f t="array" ref="J3581">IFERROR(INDEX('Retirement Calculator'!J:J,MATCH('Isaac 401k'!N3581,'Retirement Calculator'!A:A,0),0),0)</f>
        <v>0</v>
      </c>
      <c r="K3581" s="455">
        <f t="shared" ca="1" si="171"/>
        <v>-2036911065.0971024</v>
      </c>
      <c r="L3581" s="455">
        <f t="shared" ca="1" si="172"/>
        <v>-490895566688.40167</v>
      </c>
      <c r="M3581" s="471">
        <f t="shared" si="174"/>
        <v>0.05</v>
      </c>
      <c r="N3581" s="475">
        <f t="shared" si="175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73"/>
        <v>-490895566688.40167</v>
      </c>
      <c r="J3582" s="455">
        <f t="array" ref="J3582">IFERROR(INDEX('Retirement Calculator'!J:J,MATCH('Isaac 401k'!N3582,'Retirement Calculator'!A:A,0),0),0)</f>
        <v>0</v>
      </c>
      <c r="K3582" s="455">
        <f t="shared" ca="1" si="171"/>
        <v>-2045398194.5350068</v>
      </c>
      <c r="L3582" s="455">
        <f t="shared" ca="1" si="172"/>
        <v>-492940964882.93671</v>
      </c>
      <c r="M3582" s="471">
        <f t="shared" si="174"/>
        <v>0.05</v>
      </c>
      <c r="N3582" s="475">
        <f t="shared" si="175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73"/>
        <v>-492940964882.93671</v>
      </c>
      <c r="J3583" s="455">
        <f t="array" ref="J3583">IFERROR(INDEX('Retirement Calculator'!J:J,MATCH('Isaac 401k'!N3583,'Retirement Calculator'!A:A,0),0),0)</f>
        <v>0</v>
      </c>
      <c r="K3583" s="455">
        <f t="shared" ca="1" si="171"/>
        <v>-2053920687.0122364</v>
      </c>
      <c r="L3583" s="455">
        <f t="shared" ca="1" si="172"/>
        <v>-494994885569.94891</v>
      </c>
      <c r="M3583" s="471">
        <f t="shared" si="174"/>
        <v>0.05</v>
      </c>
      <c r="N3583" s="475">
        <f t="shared" si="175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73"/>
        <v>-494994885569.94891</v>
      </c>
      <c r="J3584" s="455">
        <f t="array" ref="J3584">IFERROR(INDEX('Retirement Calculator'!J:J,MATCH('Isaac 401k'!N3584,'Retirement Calculator'!A:A,0),0),0)</f>
        <v>0</v>
      </c>
      <c r="K3584" s="455">
        <f t="shared" ca="1" si="171"/>
        <v>-2062478689.8747869</v>
      </c>
      <c r="L3584" s="455">
        <f t="shared" ca="1" si="172"/>
        <v>-497057364259.82373</v>
      </c>
      <c r="M3584" s="471">
        <f t="shared" si="174"/>
        <v>0.05</v>
      </c>
      <c r="N3584" s="475">
        <f t="shared" si="175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73"/>
        <v>-497057364259.82373</v>
      </c>
      <c r="J3585" s="455">
        <f t="array" ref="J3585">IFERROR(INDEX('Retirement Calculator'!J:J,MATCH('Isaac 401k'!N3585,'Retirement Calculator'!A:A,0),0),0)</f>
        <v>0</v>
      </c>
      <c r="K3585" s="455">
        <f t="shared" ca="1" si="171"/>
        <v>-2071072351.0825989</v>
      </c>
      <c r="L3585" s="455">
        <f t="shared" ca="1" si="172"/>
        <v>-499128436610.90631</v>
      </c>
      <c r="M3585" s="471">
        <f t="shared" si="174"/>
        <v>0.05</v>
      </c>
      <c r="N3585" s="475">
        <f t="shared" si="175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73"/>
        <v>-499128436610.90631</v>
      </c>
      <c r="J3586" s="455">
        <f t="array" ref="J3586">IFERROR(INDEX('Retirement Calculator'!J:J,MATCH('Isaac 401k'!N3586,'Retirement Calculator'!A:A,0),0),0)</f>
        <v>0</v>
      </c>
      <c r="K3586" s="455">
        <f t="shared" ca="1" si="171"/>
        <v>-2079701819.2121098</v>
      </c>
      <c r="L3586" s="455">
        <f t="shared" ca="1" si="172"/>
        <v>-501208138430.11841</v>
      </c>
      <c r="M3586" s="471">
        <f t="shared" si="174"/>
        <v>0.05</v>
      </c>
      <c r="N3586" s="475">
        <f t="shared" si="175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73"/>
        <v>-501208138430.11841</v>
      </c>
      <c r="J3587" s="455">
        <f t="array" ref="J3587">IFERROR(INDEX('Retirement Calculator'!J:J,MATCH('Isaac 401k'!N3587,'Retirement Calculator'!A:A,0),0),0)</f>
        <v>0</v>
      </c>
      <c r="K3587" s="455">
        <f t="shared" ca="1" si="171"/>
        <v>-2088367243.4588268</v>
      </c>
      <c r="L3587" s="455">
        <f t="shared" ca="1" si="172"/>
        <v>-503296505673.57721</v>
      </c>
      <c r="M3587" s="471">
        <f t="shared" si="174"/>
        <v>0.05</v>
      </c>
      <c r="N3587" s="475">
        <f t="shared" si="175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73"/>
        <v>-503296505673.57721</v>
      </c>
      <c r="J3588" s="455">
        <f t="array" ref="J3588">IFERROR(INDEX('Retirement Calculator'!J:J,MATCH('Isaac 401k'!N3588,'Retirement Calculator'!A:A,0),0),0)</f>
        <v>0</v>
      </c>
      <c r="K3588" s="455">
        <f t="shared" ca="1" si="171"/>
        <v>-2097068773.639905</v>
      </c>
      <c r="L3588" s="455">
        <f t="shared" ca="1" si="172"/>
        <v>-505393574447.2171</v>
      </c>
      <c r="M3588" s="471">
        <f t="shared" si="174"/>
        <v>0.05</v>
      </c>
      <c r="N3588" s="475">
        <f t="shared" si="175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73"/>
        <v>-505393574447.2171</v>
      </c>
      <c r="J3589" s="455">
        <f t="array" ref="J3589">IFERROR(INDEX('Retirement Calculator'!J:J,MATCH('Isaac 401k'!N3589,'Retirement Calculator'!A:A,0),0),0)</f>
        <v>0</v>
      </c>
      <c r="K3589" s="455">
        <f t="shared" ca="1" si="171"/>
        <v>-2105806560.196738</v>
      </c>
      <c r="L3589" s="455">
        <f t="shared" ca="1" si="172"/>
        <v>-507499381007.41382</v>
      </c>
      <c r="M3589" s="471">
        <f t="shared" si="174"/>
        <v>0.05</v>
      </c>
      <c r="N3589" s="475">
        <f t="shared" si="175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73"/>
        <v>-507499381007.41382</v>
      </c>
      <c r="J3590" s="455">
        <f t="array" ref="J3590">IFERROR(INDEX('Retirement Calculator'!J:J,MATCH('Isaac 401k'!N3590,'Retirement Calculator'!A:A,0),0),0)</f>
        <v>0</v>
      </c>
      <c r="K3590" s="455">
        <f t="shared" ca="1" si="171"/>
        <v>-2114580754.1975574</v>
      </c>
      <c r="L3590" s="455">
        <f t="shared" ca="1" si="172"/>
        <v>-509613961761.61139</v>
      </c>
      <c r="M3590" s="471">
        <f t="shared" si="174"/>
        <v>0.05</v>
      </c>
      <c r="N3590" s="475">
        <f t="shared" si="175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73"/>
        <v>-509613961761.61139</v>
      </c>
      <c r="J3591" s="455">
        <f t="array" ref="J3591">IFERROR(INDEX('Retirement Calculator'!J:J,MATCH('Isaac 401k'!N3591,'Retirement Calculator'!A:A,0),0),0)</f>
        <v>0</v>
      </c>
      <c r="K3591" s="455">
        <f t="shared" ca="1" si="171"/>
        <v>-2123391507.3400474</v>
      </c>
      <c r="L3591" s="455">
        <f t="shared" ca="1" si="172"/>
        <v>-511737353268.95142</v>
      </c>
      <c r="M3591" s="471">
        <f t="shared" si="174"/>
        <v>0.05</v>
      </c>
      <c r="N3591" s="475">
        <f t="shared" si="175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73"/>
        <v>-511737353268.95142</v>
      </c>
      <c r="J3592" s="455">
        <f t="array" ref="J3592">IFERROR(INDEX('Retirement Calculator'!J:J,MATCH('Isaac 401k'!N3592,'Retirement Calculator'!A:A,0),0),0)</f>
        <v>0</v>
      </c>
      <c r="K3592" s="455">
        <f t="shared" ca="1" si="171"/>
        <v>-2132238971.9539642</v>
      </c>
      <c r="L3592" s="455">
        <f t="shared" ca="1" si="172"/>
        <v>-513869592240.9054</v>
      </c>
      <c r="M3592" s="471">
        <f t="shared" si="174"/>
        <v>0.05</v>
      </c>
      <c r="N3592" s="475">
        <f t="shared" si="175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73"/>
        <v>-513869592240.9054</v>
      </c>
      <c r="J3593" s="455">
        <f t="array" ref="J3593">IFERROR(INDEX('Retirement Calculator'!J:J,MATCH('Isaac 401k'!N3593,'Retirement Calculator'!A:A,0),0),0)</f>
        <v>0</v>
      </c>
      <c r="K3593" s="455">
        <f t="shared" ca="1" si="171"/>
        <v>-2141123301.0037723</v>
      </c>
      <c r="L3593" s="455">
        <f t="shared" ca="1" si="172"/>
        <v>-516010715541.90918</v>
      </c>
      <c r="M3593" s="471">
        <f t="shared" si="174"/>
        <v>0.05</v>
      </c>
      <c r="N3593" s="475">
        <f t="shared" si="175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73"/>
        <v>-516010715541.90918</v>
      </c>
      <c r="J3594" s="455">
        <f t="array" ref="J3594">IFERROR(INDEX('Retirement Calculator'!J:J,MATCH('Isaac 401k'!N3594,'Retirement Calculator'!A:A,0),0),0)</f>
        <v>0</v>
      </c>
      <c r="K3594" s="455">
        <f t="shared" ca="1" si="171"/>
        <v>-2150044648.0912886</v>
      </c>
      <c r="L3594" s="455">
        <f t="shared" ca="1" si="172"/>
        <v>-518160760190.00049</v>
      </c>
      <c r="M3594" s="471">
        <f t="shared" si="174"/>
        <v>0.05</v>
      </c>
      <c r="N3594" s="475">
        <f t="shared" si="175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73"/>
        <v>-518160760190.00049</v>
      </c>
      <c r="J3595" s="455">
        <f t="array" ref="J3595">IFERROR(INDEX('Retirement Calculator'!J:J,MATCH('Isaac 401k'!N3595,'Retirement Calculator'!A:A,0),0),0)</f>
        <v>0</v>
      </c>
      <c r="K3595" s="455">
        <f t="shared" ca="1" si="171"/>
        <v>-2159003167.4583354</v>
      </c>
      <c r="L3595" s="455">
        <f t="shared" ca="1" si="172"/>
        <v>-520319763357.4588</v>
      </c>
      <c r="M3595" s="471">
        <f t="shared" si="174"/>
        <v>0.05</v>
      </c>
      <c r="N3595" s="475">
        <f t="shared" si="175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73"/>
        <v>-520319763357.4588</v>
      </c>
      <c r="J3596" s="455">
        <f t="array" ref="J3596">IFERROR(INDEX('Retirement Calculator'!J:J,MATCH('Isaac 401k'!N3596,'Retirement Calculator'!A:A,0),0),0)</f>
        <v>0</v>
      </c>
      <c r="K3596" s="455">
        <f t="shared" ca="1" si="171"/>
        <v>-2167999013.9894118</v>
      </c>
      <c r="L3596" s="455">
        <f t="shared" ca="1" si="172"/>
        <v>-522487762371.44824</v>
      </c>
      <c r="M3596" s="471">
        <f t="shared" si="174"/>
        <v>0.05</v>
      </c>
      <c r="N3596" s="475">
        <f t="shared" si="175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73"/>
        <v>-522487762371.44824</v>
      </c>
      <c r="J3597" s="455">
        <f t="array" ref="J3597">IFERROR(INDEX('Retirement Calculator'!J:J,MATCH('Isaac 401k'!N3597,'Retirement Calculator'!A:A,0),0),0)</f>
        <v>0</v>
      </c>
      <c r="K3597" s="455">
        <f t="shared" ca="1" si="171"/>
        <v>-2177032343.2143674</v>
      </c>
      <c r="L3597" s="455">
        <f t="shared" ca="1" si="172"/>
        <v>-524664794714.6626</v>
      </c>
      <c r="M3597" s="471">
        <f t="shared" si="174"/>
        <v>0.05</v>
      </c>
      <c r="N3597" s="475">
        <f t="shared" si="175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73"/>
        <v>-524664794714.6626</v>
      </c>
      <c r="J3598" s="455">
        <f t="array" ref="J3598">IFERROR(INDEX('Retirement Calculator'!J:J,MATCH('Isaac 401k'!N3598,'Retirement Calculator'!A:A,0),0),0)</f>
        <v>0</v>
      </c>
      <c r="K3598" s="455">
        <f t="shared" ca="1" si="171"/>
        <v>-2186103311.3110943</v>
      </c>
      <c r="L3598" s="455">
        <f t="shared" ca="1" si="172"/>
        <v>-526850898025.97369</v>
      </c>
      <c r="M3598" s="471">
        <f t="shared" si="174"/>
        <v>0.05</v>
      </c>
      <c r="N3598" s="475">
        <f t="shared" si="175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73"/>
        <v>-526850898025.97369</v>
      </c>
      <c r="J3599" s="455">
        <f t="array" ref="J3599">IFERROR(INDEX('Retirement Calculator'!J:J,MATCH('Isaac 401k'!N3599,'Retirement Calculator'!A:A,0),0),0)</f>
        <v>0</v>
      </c>
      <c r="K3599" s="455">
        <f t="shared" ca="1" si="171"/>
        <v>-2195212075.1082239</v>
      </c>
      <c r="L3599" s="455">
        <f t="shared" ca="1" si="172"/>
        <v>-529046110101.08191</v>
      </c>
      <c r="M3599" s="471">
        <f t="shared" si="174"/>
        <v>0.05</v>
      </c>
      <c r="N3599" s="475">
        <f t="shared" si="175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73"/>
        <v>-529046110101.08191</v>
      </c>
      <c r="J3600" s="455">
        <f t="array" ref="J3600">IFERROR(INDEX('Retirement Calculator'!J:J,MATCH('Isaac 401k'!N3600,'Retirement Calculator'!A:A,0),0),0)</f>
        <v>0</v>
      </c>
      <c r="K3600" s="455">
        <f t="shared" ca="1" si="171"/>
        <v>-2204358792.087841</v>
      </c>
      <c r="L3600" s="455">
        <f t="shared" ca="1" si="172"/>
        <v>-531250468893.16974</v>
      </c>
      <c r="M3600" s="471">
        <f t="shared" si="174"/>
        <v>0.05</v>
      </c>
      <c r="N3600" s="475">
        <f t="shared" si="175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73"/>
        <v>-531250468893.16974</v>
      </c>
      <c r="J3601" s="455">
        <f t="array" ref="J3601">IFERROR(INDEX('Retirement Calculator'!J:J,MATCH('Isaac 401k'!N3601,'Retirement Calculator'!A:A,0),0),0)</f>
        <v>0</v>
      </c>
      <c r="K3601" s="455">
        <f t="shared" ca="1" si="171"/>
        <v>-2213543620.3882074</v>
      </c>
      <c r="L3601" s="455">
        <f t="shared" ca="1" si="172"/>
        <v>-533464012513.55792</v>
      </c>
      <c r="M3601" s="471">
        <f t="shared" si="174"/>
        <v>0.05</v>
      </c>
      <c r="N3601" s="475">
        <f t="shared" si="175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73"/>
        <v>-533464012513.55792</v>
      </c>
      <c r="J3602" s="455">
        <f t="array" ref="J3602">IFERROR(INDEX('Retirement Calculator'!J:J,MATCH('Isaac 401k'!N3602,'Retirement Calculator'!A:A,0),0),0)</f>
        <v>0</v>
      </c>
      <c r="K3602" s="455">
        <f t="shared" ca="1" si="171"/>
        <v>-2222766718.8064909</v>
      </c>
      <c r="L3602" s="455">
        <f t="shared" ca="1" si="172"/>
        <v>-535686779232.36444</v>
      </c>
      <c r="M3602" s="471">
        <f t="shared" si="174"/>
        <v>0.05</v>
      </c>
      <c r="N3602" s="475">
        <f t="shared" si="175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73"/>
        <v>-535686779232.36444</v>
      </c>
      <c r="J3603" s="455">
        <f t="array" ref="J3603">IFERROR(INDEX('Retirement Calculator'!J:J,MATCH('Isaac 401k'!N3603,'Retirement Calculator'!A:A,0),0),0)</f>
        <v>0</v>
      </c>
      <c r="K3603" s="455">
        <f t="shared" ca="1" si="171"/>
        <v>-2232028246.8015184</v>
      </c>
      <c r="L3603" s="455">
        <f t="shared" ca="1" si="172"/>
        <v>-537918807479.16595</v>
      </c>
      <c r="M3603" s="471">
        <f t="shared" si="174"/>
        <v>0.05</v>
      </c>
      <c r="N3603" s="475">
        <f t="shared" si="175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73"/>
        <v>-537918807479.16595</v>
      </c>
      <c r="J3604" s="455">
        <f t="array" ref="J3604">IFERROR(INDEX('Retirement Calculator'!J:J,MATCH('Isaac 401k'!N3604,'Retirement Calculator'!A:A,0),0),0)</f>
        <v>0</v>
      </c>
      <c r="K3604" s="455">
        <f t="shared" ca="1" si="171"/>
        <v>-2241328364.4965248</v>
      </c>
      <c r="L3604" s="455">
        <f t="shared" ca="1" si="172"/>
        <v>-540160135843.66248</v>
      </c>
      <c r="M3604" s="471">
        <f t="shared" si="174"/>
        <v>0.05</v>
      </c>
      <c r="N3604" s="475">
        <f t="shared" si="175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73"/>
        <v>-540160135843.66248</v>
      </c>
      <c r="J3605" s="455">
        <f t="array" ref="J3605">IFERROR(INDEX('Retirement Calculator'!J:J,MATCH('Isaac 401k'!N3605,'Retirement Calculator'!A:A,0),0),0)</f>
        <v>0</v>
      </c>
      <c r="K3605" s="455">
        <f t="shared" ca="1" si="171"/>
        <v>-2250667232.6819272</v>
      </c>
      <c r="L3605" s="455">
        <f t="shared" ca="1" si="172"/>
        <v>-542410803076.34442</v>
      </c>
      <c r="M3605" s="471">
        <f t="shared" si="174"/>
        <v>0.05</v>
      </c>
      <c r="N3605" s="475">
        <f t="shared" si="175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73"/>
        <v>-542410803076.34442</v>
      </c>
      <c r="J3606" s="455">
        <f t="array" ref="J3606">IFERROR(INDEX('Retirement Calculator'!J:J,MATCH('Isaac 401k'!N3606,'Retirement Calculator'!A:A,0),0),0)</f>
        <v>0</v>
      </c>
      <c r="K3606" s="455">
        <f t="shared" ca="1" si="171"/>
        <v>-2260045012.8181019</v>
      </c>
      <c r="L3606" s="455">
        <f t="shared" ca="1" si="172"/>
        <v>-544670848089.16254</v>
      </c>
      <c r="M3606" s="471">
        <f t="shared" si="174"/>
        <v>0.05</v>
      </c>
      <c r="N3606" s="475">
        <f t="shared" si="175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73"/>
        <v>-544670848089.16254</v>
      </c>
      <c r="J3607" s="455">
        <f t="array" ref="J3607">IFERROR(INDEX('Retirement Calculator'!J:J,MATCH('Isaac 401k'!N3607,'Retirement Calculator'!A:A,0),0),0)</f>
        <v>0</v>
      </c>
      <c r="K3607" s="455">
        <f t="shared" ca="1" si="171"/>
        <v>-2269461867.038177</v>
      </c>
      <c r="L3607" s="455">
        <f t="shared" ca="1" si="172"/>
        <v>-546940309956.20068</v>
      </c>
      <c r="M3607" s="471">
        <f t="shared" si="174"/>
        <v>0.05</v>
      </c>
      <c r="N3607" s="475">
        <f t="shared" si="175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73"/>
        <v>-546940309956.20068</v>
      </c>
      <c r="J3608" s="455">
        <f t="array" ref="J3608">IFERROR(INDEX('Retirement Calculator'!J:J,MATCH('Isaac 401k'!N3608,'Retirement Calculator'!A:A,0),0),0)</f>
        <v>0</v>
      </c>
      <c r="K3608" s="455">
        <f t="shared" ca="1" si="171"/>
        <v>-2278917958.1508365</v>
      </c>
      <c r="L3608" s="455">
        <f t="shared" ca="1" si="172"/>
        <v>-549219227914.3515</v>
      </c>
      <c r="M3608" s="471">
        <f t="shared" si="174"/>
        <v>0.05</v>
      </c>
      <c r="N3608" s="475">
        <f t="shared" si="175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73"/>
        <v>-549219227914.3515</v>
      </c>
      <c r="J3609" s="455">
        <f t="array" ref="J3609">IFERROR(INDEX('Retirement Calculator'!J:J,MATCH('Isaac 401k'!N3609,'Retirement Calculator'!A:A,0),0),0)</f>
        <v>0</v>
      </c>
      <c r="K3609" s="455">
        <f t="shared" ca="1" si="171"/>
        <v>-2288413449.6431313</v>
      </c>
      <c r="L3609" s="455">
        <f t="shared" ca="1" si="172"/>
        <v>-551507641363.99463</v>
      </c>
      <c r="M3609" s="471">
        <f t="shared" si="174"/>
        <v>0.05</v>
      </c>
      <c r="N3609" s="475">
        <f t="shared" si="175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73"/>
        <v>-551507641363.99463</v>
      </c>
      <c r="J3610" s="455">
        <f t="array" ref="J3610">IFERROR(INDEX('Retirement Calculator'!J:J,MATCH('Isaac 401k'!N3610,'Retirement Calculator'!A:A,0),0),0)</f>
        <v>0</v>
      </c>
      <c r="K3610" s="455">
        <f t="shared" ca="1" si="171"/>
        <v>-2297948505.683311</v>
      </c>
      <c r="L3610" s="455">
        <f t="shared" ca="1" si="172"/>
        <v>-553805589869.67798</v>
      </c>
      <c r="M3610" s="471">
        <f t="shared" si="174"/>
        <v>0.05</v>
      </c>
      <c r="N3610" s="475">
        <f t="shared" si="175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73"/>
        <v>-553805589869.67798</v>
      </c>
      <c r="J3611" s="455">
        <f t="array" ref="J3611">IFERROR(INDEX('Retirement Calculator'!J:J,MATCH('Isaac 401k'!N3611,'Retirement Calculator'!A:A,0),0),0)</f>
        <v>0</v>
      </c>
      <c r="K3611" s="455">
        <f t="shared" ca="1" si="171"/>
        <v>-2307523291.1236582</v>
      </c>
      <c r="L3611" s="455">
        <f t="shared" ca="1" si="172"/>
        <v>-556113113160.80164</v>
      </c>
      <c r="M3611" s="471">
        <f t="shared" si="174"/>
        <v>0.05</v>
      </c>
      <c r="N3611" s="475">
        <f t="shared" si="175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73"/>
        <v>-556113113160.80164</v>
      </c>
      <c r="J3612" s="455">
        <f t="array" ref="J3612">IFERROR(INDEX('Retirement Calculator'!J:J,MATCH('Isaac 401k'!N3612,'Retirement Calculator'!A:A,0),0),0)</f>
        <v>0</v>
      </c>
      <c r="K3612" s="455">
        <f t="shared" ca="1" si="171"/>
        <v>-2317137971.5033402</v>
      </c>
      <c r="L3612" s="455">
        <f t="shared" ca="1" si="172"/>
        <v>-558430251132.30493</v>
      </c>
      <c r="M3612" s="471">
        <f t="shared" si="174"/>
        <v>0.05</v>
      </c>
      <c r="N3612" s="475">
        <f t="shared" si="175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73"/>
        <v>-558430251132.30493</v>
      </c>
      <c r="J3613" s="455">
        <f t="array" ref="J3613">IFERROR(INDEX('Retirement Calculator'!J:J,MATCH('Isaac 401k'!N3613,'Retirement Calculator'!A:A,0),0),0)</f>
        <v>0</v>
      </c>
      <c r="K3613" s="455">
        <f t="shared" ca="1" si="171"/>
        <v>-2326792713.0512705</v>
      </c>
      <c r="L3613" s="455">
        <f t="shared" ca="1" si="172"/>
        <v>-560757043845.3562</v>
      </c>
      <c r="M3613" s="471">
        <f t="shared" si="174"/>
        <v>0.05</v>
      </c>
      <c r="N3613" s="475">
        <f t="shared" si="175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73"/>
        <v>-560757043845.3562</v>
      </c>
      <c r="J3614" s="455">
        <f t="array" ref="J3614">IFERROR(INDEX('Retirement Calculator'!J:J,MATCH('Isaac 401k'!N3614,'Retirement Calculator'!A:A,0),0),0)</f>
        <v>0</v>
      </c>
      <c r="K3614" s="455">
        <f t="shared" ca="1" si="171"/>
        <v>-2336487682.6889839</v>
      </c>
      <c r="L3614" s="455">
        <f t="shared" ca="1" si="172"/>
        <v>-563093531528.04517</v>
      </c>
      <c r="M3614" s="471">
        <f t="shared" si="174"/>
        <v>0.05</v>
      </c>
      <c r="N3614" s="475">
        <f t="shared" si="175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73"/>
        <v>-563093531528.04517</v>
      </c>
      <c r="J3615" s="455">
        <f t="array" ref="J3615">IFERROR(INDEX('Retirement Calculator'!J:J,MATCH('Isaac 401k'!N3615,'Retirement Calculator'!A:A,0),0),0)</f>
        <v>0</v>
      </c>
      <c r="K3615" s="455">
        <f t="shared" ca="1" si="171"/>
        <v>-2346223048.0335217</v>
      </c>
      <c r="L3615" s="455">
        <f t="shared" ca="1" si="172"/>
        <v>-565439754576.07874</v>
      </c>
      <c r="M3615" s="471">
        <f t="shared" si="174"/>
        <v>0.05</v>
      </c>
      <c r="N3615" s="475">
        <f t="shared" si="175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73"/>
        <v>-565439754576.07874</v>
      </c>
      <c r="J3616" s="455">
        <f t="array" ref="J3616">IFERROR(INDEX('Retirement Calculator'!J:J,MATCH('Isaac 401k'!N3616,'Retirement Calculator'!A:A,0),0),0)</f>
        <v>0</v>
      </c>
      <c r="K3616" s="455">
        <f t="shared" ca="1" si="171"/>
        <v>-2355998977.4003282</v>
      </c>
      <c r="L3616" s="455">
        <f t="shared" ca="1" si="172"/>
        <v>-567795753553.479</v>
      </c>
      <c r="M3616" s="471">
        <f t="shared" si="174"/>
        <v>0.05</v>
      </c>
      <c r="N3616" s="475">
        <f t="shared" si="175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73"/>
        <v>-567795753553.479</v>
      </c>
      <c r="J3617" s="455">
        <f t="array" ref="J3617">IFERROR(INDEX('Retirement Calculator'!J:J,MATCH('Isaac 401k'!N3617,'Retirement Calculator'!A:A,0),0),0)</f>
        <v>0</v>
      </c>
      <c r="K3617" s="455">
        <f t="shared" ca="1" si="171"/>
        <v>-2365815639.8061624</v>
      </c>
      <c r="L3617" s="455">
        <f t="shared" ca="1" si="172"/>
        <v>-570161569193.28516</v>
      </c>
      <c r="M3617" s="471">
        <f t="shared" si="174"/>
        <v>0.05</v>
      </c>
      <c r="N3617" s="475">
        <f t="shared" si="175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73"/>
        <v>-570161569193.28516</v>
      </c>
      <c r="J3618" s="455">
        <f t="array" ref="J3618">IFERROR(INDEX('Retirement Calculator'!J:J,MATCH('Isaac 401k'!N3618,'Retirement Calculator'!A:A,0),0),0)</f>
        <v>0</v>
      </c>
      <c r="K3618" s="455">
        <f t="shared" ca="1" si="171"/>
        <v>-2375673204.9720216</v>
      </c>
      <c r="L3618" s="455">
        <f t="shared" ca="1" si="172"/>
        <v>-572537242398.2572</v>
      </c>
      <c r="M3618" s="471">
        <f t="shared" si="174"/>
        <v>0.05</v>
      </c>
      <c r="N3618" s="475">
        <f t="shared" si="175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73"/>
        <v>-572537242398.2572</v>
      </c>
      <c r="J3619" s="455">
        <f t="array" ref="J3619">IFERROR(INDEX('Retirement Calculator'!J:J,MATCH('Isaac 401k'!N3619,'Retirement Calculator'!A:A,0),0),0)</f>
        <v>0</v>
      </c>
      <c r="K3619" s="455">
        <f t="shared" ca="1" si="171"/>
        <v>-2385571843.3260717</v>
      </c>
      <c r="L3619" s="455">
        <f t="shared" ca="1" si="172"/>
        <v>-574922814241.58325</v>
      </c>
      <c r="M3619" s="471">
        <f t="shared" si="174"/>
        <v>0.05</v>
      </c>
      <c r="N3619" s="475">
        <f t="shared" si="175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73"/>
        <v>-574922814241.58325</v>
      </c>
      <c r="J3620" s="455">
        <f t="array" ref="J3620">IFERROR(INDEX('Retirement Calculator'!J:J,MATCH('Isaac 401k'!N3620,'Retirement Calculator'!A:A,0),0),0)</f>
        <v>0</v>
      </c>
      <c r="K3620" s="455">
        <f t="shared" ca="1" si="171"/>
        <v>-2395511726.006597</v>
      </c>
      <c r="L3620" s="455">
        <f t="shared" ca="1" si="172"/>
        <v>-577318325967.58984</v>
      </c>
      <c r="M3620" s="471">
        <f t="shared" si="174"/>
        <v>0.05</v>
      </c>
      <c r="N3620" s="475">
        <f t="shared" si="175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73"/>
        <v>-577318325967.58984</v>
      </c>
      <c r="J3621" s="455">
        <f t="array" ref="J3621">IFERROR(INDEX('Retirement Calculator'!J:J,MATCH('Isaac 401k'!N3621,'Retirement Calculator'!A:A,0),0),0)</f>
        <v>0</v>
      </c>
      <c r="K3621" s="455">
        <f t="shared" ca="1" si="171"/>
        <v>-2405493024.8649578</v>
      </c>
      <c r="L3621" s="455">
        <f t="shared" ca="1" si="172"/>
        <v>-579723818992.45483</v>
      </c>
      <c r="M3621" s="471">
        <f t="shared" si="174"/>
        <v>0.05</v>
      </c>
      <c r="N3621" s="475">
        <f t="shared" si="175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73"/>
        <v>-579723818992.45483</v>
      </c>
      <c r="J3622" s="455">
        <f t="array" ref="J3622">IFERROR(INDEX('Retirement Calculator'!J:J,MATCH('Isaac 401k'!N3622,'Retirement Calculator'!A:A,0),0),0)</f>
        <v>0</v>
      </c>
      <c r="K3622" s="455">
        <f t="shared" ca="1" si="171"/>
        <v>-2415515912.4685616</v>
      </c>
      <c r="L3622" s="455">
        <f t="shared" ca="1" si="172"/>
        <v>-582139334904.92334</v>
      </c>
      <c r="M3622" s="471">
        <f t="shared" si="174"/>
        <v>0.05</v>
      </c>
      <c r="N3622" s="475">
        <f t="shared" si="175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73"/>
        <v>-582139334904.92334</v>
      </c>
      <c r="J3623" s="455">
        <f t="array" ref="J3623">IFERROR(INDEX('Retirement Calculator'!J:J,MATCH('Isaac 401k'!N3623,'Retirement Calculator'!A:A,0),0),0)</f>
        <v>0</v>
      </c>
      <c r="K3623" s="455">
        <f t="shared" ca="1" si="171"/>
        <v>-2425580562.103847</v>
      </c>
      <c r="L3623" s="455">
        <f t="shared" ca="1" si="172"/>
        <v>-584564915467.02722</v>
      </c>
      <c r="M3623" s="471">
        <f t="shared" si="174"/>
        <v>0.05</v>
      </c>
      <c r="N3623" s="475">
        <f t="shared" si="175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73"/>
        <v>-584564915467.02722</v>
      </c>
      <c r="J3624" s="455">
        <f t="array" ref="J3624">IFERROR(INDEX('Retirement Calculator'!J:J,MATCH('Isaac 401k'!N3624,'Retirement Calculator'!A:A,0),0),0)</f>
        <v>0</v>
      </c>
      <c r="K3624" s="455">
        <f t="shared" ca="1" si="171"/>
        <v>-2435687147.7792802</v>
      </c>
      <c r="L3624" s="455">
        <f t="shared" ca="1" si="172"/>
        <v>-587000602614.80652</v>
      </c>
      <c r="M3624" s="471">
        <f t="shared" si="174"/>
        <v>0.05</v>
      </c>
      <c r="N3624" s="475">
        <f t="shared" si="175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73"/>
        <v>-587000602614.80652</v>
      </c>
      <c r="J3625" s="455">
        <f t="array" ref="J3625">IFERROR(INDEX('Retirement Calculator'!J:J,MATCH('Isaac 401k'!N3625,'Retirement Calculator'!A:A,0),0),0)</f>
        <v>0</v>
      </c>
      <c r="K3625" s="455">
        <f t="shared" ca="1" si="171"/>
        <v>-2445835844.2283607</v>
      </c>
      <c r="L3625" s="455">
        <f t="shared" ca="1" si="172"/>
        <v>-589446438459.03491</v>
      </c>
      <c r="M3625" s="471">
        <f t="shared" si="174"/>
        <v>0.05</v>
      </c>
      <c r="N3625" s="475">
        <f t="shared" si="175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73"/>
        <v>-589446438459.03491</v>
      </c>
      <c r="J3626" s="455">
        <f t="array" ref="J3626">IFERROR(INDEX('Retirement Calculator'!J:J,MATCH('Isaac 401k'!N3626,'Retirement Calculator'!A:A,0),0),0)</f>
        <v>0</v>
      </c>
      <c r="K3626" s="455">
        <f t="shared" ca="1" si="171"/>
        <v>-2456026826.9126453</v>
      </c>
      <c r="L3626" s="455">
        <f t="shared" ca="1" si="172"/>
        <v>-591902465285.94751</v>
      </c>
      <c r="M3626" s="471">
        <f t="shared" si="174"/>
        <v>0.05</v>
      </c>
      <c r="N3626" s="475">
        <f t="shared" si="175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73"/>
        <v>-591902465285.94751</v>
      </c>
      <c r="J3627" s="455">
        <f t="array" ref="J3627">IFERROR(INDEX('Retirement Calculator'!J:J,MATCH('Isaac 401k'!N3627,'Retirement Calculator'!A:A,0),0),0)</f>
        <v>0</v>
      </c>
      <c r="K3627" s="455">
        <f t="shared" ca="1" si="171"/>
        <v>-2466260272.0247812</v>
      </c>
      <c r="L3627" s="455">
        <f t="shared" ca="1" si="172"/>
        <v>-594368725557.97229</v>
      </c>
      <c r="M3627" s="471">
        <f t="shared" si="174"/>
        <v>0.05</v>
      </c>
      <c r="N3627" s="475">
        <f t="shared" si="175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73"/>
        <v>-594368725557.97229</v>
      </c>
      <c r="J3628" s="455">
        <f t="array" ref="J3628">IFERROR(INDEX('Retirement Calculator'!J:J,MATCH('Isaac 401k'!N3628,'Retirement Calculator'!A:A,0),0),0)</f>
        <v>0</v>
      </c>
      <c r="K3628" s="455">
        <f t="shared" ca="1" si="171"/>
        <v>-2476536356.4915514</v>
      </c>
      <c r="L3628" s="455">
        <f t="shared" ca="1" si="172"/>
        <v>-596845261914.46387</v>
      </c>
      <c r="M3628" s="471">
        <f t="shared" si="174"/>
        <v>0.05</v>
      </c>
      <c r="N3628" s="475">
        <f t="shared" si="175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73"/>
        <v>-596845261914.46387</v>
      </c>
      <c r="J3629" s="455">
        <f t="array" ref="J3629">IFERROR(INDEX('Retirement Calculator'!J:J,MATCH('Isaac 401k'!N3629,'Retirement Calculator'!A:A,0),0),0)</f>
        <v>0</v>
      </c>
      <c r="K3629" s="455">
        <f t="shared" ca="1" si="171"/>
        <v>-2486855257.9769325</v>
      </c>
      <c r="L3629" s="455">
        <f t="shared" ca="1" si="172"/>
        <v>-599332117172.4408</v>
      </c>
      <c r="M3629" s="471">
        <f t="shared" si="174"/>
        <v>0.05</v>
      </c>
      <c r="N3629" s="475">
        <f t="shared" si="175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73"/>
        <v>-599332117172.4408</v>
      </c>
      <c r="J3630" s="455">
        <f t="array" ref="J3630">IFERROR(INDEX('Retirement Calculator'!J:J,MATCH('Isaac 401k'!N3630,'Retirement Calculator'!A:A,0),0),0)</f>
        <v>0</v>
      </c>
      <c r="K3630" s="455">
        <f t="shared" ca="1" si="171"/>
        <v>-2497217154.88517</v>
      </c>
      <c r="L3630" s="455">
        <f t="shared" ca="1" si="172"/>
        <v>-601829334327.32593</v>
      </c>
      <c r="M3630" s="471">
        <f t="shared" si="174"/>
        <v>0.05</v>
      </c>
      <c r="N3630" s="475">
        <f t="shared" si="175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73"/>
        <v>-601829334327.32593</v>
      </c>
      <c r="J3631" s="455">
        <f t="array" ref="J3631">IFERROR(INDEX('Retirement Calculator'!J:J,MATCH('Isaac 401k'!N3631,'Retirement Calculator'!A:A,0),0),0)</f>
        <v>0</v>
      </c>
      <c r="K3631" s="455">
        <f t="shared" ca="1" si="171"/>
        <v>-2507622226.3638582</v>
      </c>
      <c r="L3631" s="455">
        <f t="shared" ca="1" si="172"/>
        <v>-604336956553.68982</v>
      </c>
      <c r="M3631" s="471">
        <f t="shared" si="174"/>
        <v>0.05</v>
      </c>
      <c r="N3631" s="475">
        <f t="shared" si="175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73"/>
        <v>-604336956553.68982</v>
      </c>
      <c r="J3632" s="455">
        <f t="array" ref="J3632">IFERROR(INDEX('Retirement Calculator'!J:J,MATCH('Isaac 401k'!N3632,'Retirement Calculator'!A:A,0),0),0)</f>
        <v>0</v>
      </c>
      <c r="K3632" s="455">
        <f t="shared" ca="1" si="171"/>
        <v>-2518070652.3070407</v>
      </c>
      <c r="L3632" s="455">
        <f t="shared" ca="1" si="172"/>
        <v>-606855027205.99683</v>
      </c>
      <c r="M3632" s="471">
        <f t="shared" si="174"/>
        <v>0.05</v>
      </c>
      <c r="N3632" s="475">
        <f t="shared" si="175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73"/>
        <v>-606855027205.99683</v>
      </c>
      <c r="J3633" s="455">
        <f t="array" ref="J3633">IFERROR(INDEX('Retirement Calculator'!J:J,MATCH('Isaac 401k'!N3633,'Retirement Calculator'!A:A,0),0),0)</f>
        <v>0</v>
      </c>
      <c r="K3633" s="455">
        <f t="shared" ca="1" si="171"/>
        <v>-2528562613.3583202</v>
      </c>
      <c r="L3633" s="455">
        <f t="shared" ca="1" si="172"/>
        <v>-609383589819.3551</v>
      </c>
      <c r="M3633" s="471">
        <f t="shared" si="174"/>
        <v>0.05</v>
      </c>
      <c r="N3633" s="475">
        <f t="shared" si="175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73"/>
        <v>-609383589819.3551</v>
      </c>
      <c r="J3634" s="455">
        <f t="array" ref="J3634">IFERROR(INDEX('Retirement Calculator'!J:J,MATCH('Isaac 401k'!N3634,'Retirement Calculator'!A:A,0),0),0)</f>
        <v>0</v>
      </c>
      <c r="K3634" s="455">
        <f t="shared" ca="1" si="171"/>
        <v>-2539098290.9139795</v>
      </c>
      <c r="L3634" s="455">
        <f t="shared" ca="1" si="172"/>
        <v>-611922688110.26904</v>
      </c>
      <c r="M3634" s="471">
        <f t="shared" si="174"/>
        <v>0.05</v>
      </c>
      <c r="N3634" s="475">
        <f t="shared" si="175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73"/>
        <v>-611922688110.26904</v>
      </c>
      <c r="J3635" s="455">
        <f t="array" ref="J3635">IFERROR(INDEX('Retirement Calculator'!J:J,MATCH('Isaac 401k'!N3635,'Retirement Calculator'!A:A,0),0),0)</f>
        <v>0</v>
      </c>
      <c r="K3635" s="455">
        <f t="shared" ca="1" si="171"/>
        <v>-2549677867.126121</v>
      </c>
      <c r="L3635" s="455">
        <f t="shared" ca="1" si="172"/>
        <v>-614472365977.39514</v>
      </c>
      <c r="M3635" s="471">
        <f t="shared" si="174"/>
        <v>0.05</v>
      </c>
      <c r="N3635" s="475">
        <f t="shared" si="175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73"/>
        <v>-614472365977.39514</v>
      </c>
      <c r="J3636" s="455">
        <f t="array" ref="J3636">IFERROR(INDEX('Retirement Calculator'!J:J,MATCH('Isaac 401k'!N3636,'Retirement Calculator'!A:A,0),0),0)</f>
        <v>0</v>
      </c>
      <c r="K3636" s="455">
        <f t="shared" ca="1" si="171"/>
        <v>-2560301524.9058132</v>
      </c>
      <c r="L3636" s="455">
        <f t="shared" ca="1" si="172"/>
        <v>-617032667502.3009</v>
      </c>
      <c r="M3636" s="471">
        <f t="shared" si="174"/>
        <v>0.05</v>
      </c>
      <c r="N3636" s="475">
        <f t="shared" si="175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73"/>
        <v>-617032667502.3009</v>
      </c>
      <c r="J3637" s="455">
        <f t="array" ref="J3637">IFERROR(INDEX('Retirement Calculator'!J:J,MATCH('Isaac 401k'!N3637,'Retirement Calculator'!A:A,0),0),0)</f>
        <v>0</v>
      </c>
      <c r="K3637" s="455">
        <f t="shared" ca="1" si="171"/>
        <v>-2570969447.9262538</v>
      </c>
      <c r="L3637" s="455">
        <f t="shared" ca="1" si="172"/>
        <v>-619603636950.22717</v>
      </c>
      <c r="M3637" s="471">
        <f t="shared" si="174"/>
        <v>0.05</v>
      </c>
      <c r="N3637" s="475">
        <f t="shared" si="175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73"/>
        <v>-619603636950.22717</v>
      </c>
      <c r="J3638" s="455">
        <f t="array" ref="J3638">IFERROR(INDEX('Retirement Calculator'!J:J,MATCH('Isaac 401k'!N3638,'Retirement Calculator'!A:A,0),0),0)</f>
        <v>0</v>
      </c>
      <c r="K3638" s="455">
        <f t="shared" ca="1" si="171"/>
        <v>-2581681820.6259465</v>
      </c>
      <c r="L3638" s="455">
        <f t="shared" ca="1" si="172"/>
        <v>-622185318770.85315</v>
      </c>
      <c r="M3638" s="471">
        <f t="shared" si="174"/>
        <v>0.05</v>
      </c>
      <c r="N3638" s="475">
        <f t="shared" si="175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73"/>
        <v>-622185318770.85315</v>
      </c>
      <c r="J3639" s="455">
        <f t="array" ref="J3639">IFERROR(INDEX('Retirement Calculator'!J:J,MATCH('Isaac 401k'!N3639,'Retirement Calculator'!A:A,0),0),0)</f>
        <v>0</v>
      </c>
      <c r="K3639" s="455">
        <f t="shared" ca="1" si="171"/>
        <v>-2592438828.2118883</v>
      </c>
      <c r="L3639" s="455">
        <f t="shared" ca="1" si="172"/>
        <v>-624777757599.06506</v>
      </c>
      <c r="M3639" s="471">
        <f t="shared" si="174"/>
        <v>0.05</v>
      </c>
      <c r="N3639" s="475">
        <f t="shared" si="175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73"/>
        <v>-624777757599.06506</v>
      </c>
      <c r="J3640" s="455">
        <f t="array" ref="J3640">IFERROR(INDEX('Retirement Calculator'!J:J,MATCH('Isaac 401k'!N3640,'Retirement Calculator'!A:A,0),0),0)</f>
        <v>0</v>
      </c>
      <c r="K3640" s="455">
        <f t="shared" ca="1" si="171"/>
        <v>-2603240656.6627712</v>
      </c>
      <c r="L3640" s="455">
        <f t="shared" ca="1" si="172"/>
        <v>-627380998255.72778</v>
      </c>
      <c r="M3640" s="471">
        <f t="shared" si="174"/>
        <v>0.05</v>
      </c>
      <c r="N3640" s="475">
        <f t="shared" si="175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73"/>
        <v>-627380998255.72778</v>
      </c>
      <c r="J3641" s="455">
        <f t="array" ref="J3641">IFERROR(INDEX('Retirement Calculator'!J:J,MATCH('Isaac 401k'!N3641,'Retirement Calculator'!A:A,0),0),0)</f>
        <v>0</v>
      </c>
      <c r="K3641" s="455">
        <f t="shared" ca="1" si="171"/>
        <v>-2614087492.7321992</v>
      </c>
      <c r="L3641" s="455">
        <f t="shared" ca="1" si="172"/>
        <v>-629995085748.45996</v>
      </c>
      <c r="M3641" s="471">
        <f t="shared" si="174"/>
        <v>0.05</v>
      </c>
      <c r="N3641" s="475">
        <f t="shared" si="175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73"/>
        <v>-629995085748.45996</v>
      </c>
      <c r="J3642" s="455">
        <f t="array" ref="J3642">IFERROR(INDEX('Retirement Calculator'!J:J,MATCH('Isaac 401k'!N3642,'Retirement Calculator'!A:A,0),0),0)</f>
        <v>0</v>
      </c>
      <c r="K3642" s="455">
        <f t="shared" ca="1" si="171"/>
        <v>-2624979523.9519167</v>
      </c>
      <c r="L3642" s="455">
        <f t="shared" ca="1" si="172"/>
        <v>-632620065272.41187</v>
      </c>
      <c r="M3642" s="471">
        <f t="shared" si="174"/>
        <v>0.05</v>
      </c>
      <c r="N3642" s="475">
        <f t="shared" si="175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73"/>
        <v>-632620065272.41187</v>
      </c>
      <c r="J3643" s="455">
        <f t="array" ref="J3643">IFERROR(INDEX('Retirement Calculator'!J:J,MATCH('Isaac 401k'!N3643,'Retirement Calculator'!A:A,0),0),0)</f>
        <v>0</v>
      </c>
      <c r="K3643" s="455">
        <f t="shared" ca="1" si="171"/>
        <v>-2635916938.6350493</v>
      </c>
      <c r="L3643" s="455">
        <f t="shared" ca="1" si="172"/>
        <v>-635255982211.04688</v>
      </c>
      <c r="M3643" s="471">
        <f t="shared" si="174"/>
        <v>0.05</v>
      </c>
      <c r="N3643" s="475">
        <f t="shared" si="175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73"/>
        <v>-635255982211.04688</v>
      </c>
      <c r="J3644" s="455">
        <f t="array" ref="J3644">IFERROR(INDEX('Retirement Calculator'!J:J,MATCH('Isaac 401k'!N3644,'Retirement Calculator'!A:A,0),0),0)</f>
        <v>0</v>
      </c>
      <c r="K3644" s="455">
        <f t="shared" ca="1" si="171"/>
        <v>-2646899925.8793621</v>
      </c>
      <c r="L3644" s="455">
        <f t="shared" ca="1" si="172"/>
        <v>-637902882136.92627</v>
      </c>
      <c r="M3644" s="471">
        <f t="shared" si="174"/>
        <v>0.05</v>
      </c>
      <c r="N3644" s="475">
        <f t="shared" si="175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73"/>
        <v>-637902882136.92627</v>
      </c>
      <c r="J3645" s="455">
        <f t="array" ref="J3645">IFERROR(INDEX('Retirement Calculator'!J:J,MATCH('Isaac 401k'!N3645,'Retirement Calculator'!A:A,0),0),0)</f>
        <v>0</v>
      </c>
      <c r="K3645" s="455">
        <f t="shared" ca="1" si="171"/>
        <v>-2657928675.5705261</v>
      </c>
      <c r="L3645" s="455">
        <f t="shared" ca="1" si="172"/>
        <v>-640560810812.49683</v>
      </c>
      <c r="M3645" s="471">
        <f t="shared" si="174"/>
        <v>0.05</v>
      </c>
      <c r="N3645" s="475">
        <f t="shared" si="175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73"/>
        <v>-640560810812.49683</v>
      </c>
      <c r="J3646" s="455">
        <f t="array" ref="J3646">IFERROR(INDEX('Retirement Calculator'!J:J,MATCH('Isaac 401k'!N3646,'Retirement Calculator'!A:A,0),0),0)</f>
        <v>0</v>
      </c>
      <c r="K3646" s="455">
        <f t="shared" ca="1" si="171"/>
        <v>-2669003378.3854036</v>
      </c>
      <c r="L3646" s="455">
        <f t="shared" ca="1" si="172"/>
        <v>-643229814190.8822</v>
      </c>
      <c r="M3646" s="471">
        <f t="shared" si="174"/>
        <v>0.05</v>
      </c>
      <c r="N3646" s="475">
        <f t="shared" si="175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73"/>
        <v>-643229814190.8822</v>
      </c>
      <c r="J3647" s="455">
        <f t="array" ref="J3647">IFERROR(INDEX('Retirement Calculator'!J:J,MATCH('Isaac 401k'!N3647,'Retirement Calculator'!A:A,0),0),0)</f>
        <v>0</v>
      </c>
      <c r="K3647" s="455">
        <f t="shared" ca="1" si="171"/>
        <v>-2680124225.7953424</v>
      </c>
      <c r="L3647" s="455">
        <f t="shared" ca="1" si="172"/>
        <v>-645909938416.67749</v>
      </c>
      <c r="M3647" s="471">
        <f t="shared" si="174"/>
        <v>0.05</v>
      </c>
      <c r="N3647" s="475">
        <f t="shared" si="175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73"/>
        <v>-645909938416.67749</v>
      </c>
      <c r="J3648" s="455">
        <f t="array" ref="J3648">IFERROR(INDEX('Retirement Calculator'!J:J,MATCH('Isaac 401k'!N3648,'Retirement Calculator'!A:A,0),0),0)</f>
        <v>0</v>
      </c>
      <c r="K3648" s="455">
        <f t="shared" ca="1" si="171"/>
        <v>-2691291410.0694895</v>
      </c>
      <c r="L3648" s="455">
        <f t="shared" ca="1" si="172"/>
        <v>-648601229826.74695</v>
      </c>
      <c r="M3648" s="471">
        <f t="shared" si="174"/>
        <v>0.05</v>
      </c>
      <c r="N3648" s="475">
        <f t="shared" si="175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73"/>
        <v>-648601229826.74695</v>
      </c>
      <c r="J3649" s="455">
        <f t="array" ref="J3649">IFERROR(INDEX('Retirement Calculator'!J:J,MATCH('Isaac 401k'!N3649,'Retirement Calculator'!A:A,0),0),0)</f>
        <v>0</v>
      </c>
      <c r="K3649" s="455">
        <f t="shared" ca="1" si="171"/>
        <v>-2702505124.2781124</v>
      </c>
      <c r="L3649" s="455">
        <f t="shared" ca="1" si="172"/>
        <v>-651303734951.02502</v>
      </c>
      <c r="M3649" s="471">
        <f t="shared" si="174"/>
        <v>0.05</v>
      </c>
      <c r="N3649" s="475">
        <f t="shared" si="175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73"/>
        <v>-651303734951.02502</v>
      </c>
      <c r="J3650" s="455">
        <f t="array" ref="J3650">IFERROR(INDEX('Retirement Calculator'!J:J,MATCH('Isaac 401k'!N3650,'Retirement Calculator'!A:A,0),0),0)</f>
        <v>0</v>
      </c>
      <c r="K3650" s="455">
        <f t="shared" ca="1" si="171"/>
        <v>-2713765562.2959375</v>
      </c>
      <c r="L3650" s="455">
        <f t="shared" ca="1" si="172"/>
        <v>-654017500513.32092</v>
      </c>
      <c r="M3650" s="471">
        <f t="shared" si="174"/>
        <v>0.05</v>
      </c>
      <c r="N3650" s="475">
        <f t="shared" si="175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73"/>
        <v>-654017500513.32092</v>
      </c>
      <c r="J3651" s="455">
        <f t="array" ref="J3651">IFERROR(INDEX('Retirement Calculator'!J:J,MATCH('Isaac 401k'!N3651,'Retirement Calculator'!A:A,0),0),0)</f>
        <v>0</v>
      </c>
      <c r="K3651" s="455">
        <f t="shared" ca="1" si="171"/>
        <v>-2725072918.8055038</v>
      </c>
      <c r="L3651" s="455">
        <f t="shared" ca="1" si="172"/>
        <v>-656742573432.12646</v>
      </c>
      <c r="M3651" s="471">
        <f t="shared" si="174"/>
        <v>0.05</v>
      </c>
      <c r="N3651" s="475">
        <f t="shared" si="175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73"/>
        <v>-656742573432.12646</v>
      </c>
      <c r="J3652" s="455">
        <f t="array" ref="J3652">IFERROR(INDEX('Retirement Calculator'!J:J,MATCH('Isaac 401k'!N3652,'Retirement Calculator'!A:A,0),0),0)</f>
        <v>0</v>
      </c>
      <c r="K3652" s="455">
        <f t="shared" ca="1" si="171"/>
        <v>-2736427389.3005271</v>
      </c>
      <c r="L3652" s="455">
        <f t="shared" ca="1" si="172"/>
        <v>-659479000821.427</v>
      </c>
      <c r="M3652" s="471">
        <f t="shared" si="174"/>
        <v>0.05</v>
      </c>
      <c r="N3652" s="475">
        <f t="shared" si="175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73"/>
        <v>-659479000821.427</v>
      </c>
      <c r="J3653" s="455">
        <f t="array" ref="J3653">IFERROR(INDEX('Retirement Calculator'!J:J,MATCH('Isaac 401k'!N3653,'Retirement Calculator'!A:A,0),0),0)</f>
        <v>0</v>
      </c>
      <c r="K3653" s="455">
        <f t="shared" ca="1" si="171"/>
        <v>-2747829170.0892792</v>
      </c>
      <c r="L3653" s="455">
        <f t="shared" ca="1" si="172"/>
        <v>-662226829991.51624</v>
      </c>
      <c r="M3653" s="471">
        <f t="shared" si="174"/>
        <v>0.05</v>
      </c>
      <c r="N3653" s="475">
        <f t="shared" si="175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73"/>
        <v>-662226829991.51624</v>
      </c>
      <c r="J3654" s="455">
        <f t="array" ref="J3654">IFERROR(INDEX('Retirement Calculator'!J:J,MATCH('Isaac 401k'!N3654,'Retirement Calculator'!A:A,0),0),0)</f>
        <v>0</v>
      </c>
      <c r="K3654" s="455">
        <f t="shared" ca="1" si="171"/>
        <v>-2759278458.2979841</v>
      </c>
      <c r="L3654" s="455">
        <f t="shared" ca="1" si="172"/>
        <v>-664986108449.81421</v>
      </c>
      <c r="M3654" s="471">
        <f t="shared" si="174"/>
        <v>0.05</v>
      </c>
      <c r="N3654" s="475">
        <f t="shared" si="175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73"/>
        <v>-664986108449.81421</v>
      </c>
      <c r="J3655" s="455">
        <f t="array" ref="J3655">IFERROR(INDEX('Retirement Calculator'!J:J,MATCH('Isaac 401k'!N3655,'Retirement Calculator'!A:A,0),0),0)</f>
        <v>0</v>
      </c>
      <c r="K3655" s="455">
        <f t="shared" ca="1" si="171"/>
        <v>-2770775451.8742256</v>
      </c>
      <c r="L3655" s="455">
        <f t="shared" ca="1" si="172"/>
        <v>-667756883901.68848</v>
      </c>
      <c r="M3655" s="471">
        <f t="shared" si="174"/>
        <v>0.05</v>
      </c>
      <c r="N3655" s="475">
        <f t="shared" si="175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73"/>
        <v>-667756883901.68848</v>
      </c>
      <c r="J3656" s="455">
        <f t="array" ref="J3656">IFERROR(INDEX('Retirement Calculator'!J:J,MATCH('Isaac 401k'!N3656,'Retirement Calculator'!A:A,0),0),0)</f>
        <v>0</v>
      </c>
      <c r="K3656" s="455">
        <f t="shared" ca="1" si="171"/>
        <v>-2782320349.5903687</v>
      </c>
      <c r="L3656" s="455">
        <f t="shared" ca="1" si="172"/>
        <v>-670539204251.27881</v>
      </c>
      <c r="M3656" s="471">
        <f t="shared" si="174"/>
        <v>0.05</v>
      </c>
      <c r="N3656" s="475">
        <f t="shared" si="175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73"/>
        <v>-670539204251.27881</v>
      </c>
      <c r="J3657" s="455">
        <f t="array" ref="J3657">IFERROR(INDEX('Retirement Calculator'!J:J,MATCH('Isaac 401k'!N3657,'Retirement Calculator'!A:A,0),0),0)</f>
        <v>0</v>
      </c>
      <c r="K3657" s="455">
        <f t="shared" ca="1" si="171"/>
        <v>-2793913351.0469952</v>
      </c>
      <c r="L3657" s="455">
        <f t="shared" ca="1" si="172"/>
        <v>-673333117602.32581</v>
      </c>
      <c r="M3657" s="471">
        <f t="shared" si="174"/>
        <v>0.05</v>
      </c>
      <c r="N3657" s="475">
        <f t="shared" si="175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73"/>
        <v>-673333117602.32581</v>
      </c>
      <c r="J3658" s="455">
        <f t="array" ref="J3658">IFERROR(INDEX('Retirement Calculator'!J:J,MATCH('Isaac 401k'!N3658,'Retirement Calculator'!A:A,0),0),0)</f>
        <v>0</v>
      </c>
      <c r="K3658" s="455">
        <f t="shared" ca="1" si="171"/>
        <v>-2805554656.6763573</v>
      </c>
      <c r="L3658" s="455">
        <f t="shared" ca="1" si="172"/>
        <v>-676138672259.0022</v>
      </c>
      <c r="M3658" s="471">
        <f t="shared" si="174"/>
        <v>0.05</v>
      </c>
      <c r="N3658" s="475">
        <f t="shared" si="175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73"/>
        <v>-676138672259.0022</v>
      </c>
      <c r="J3659" s="455">
        <f t="array" ref="J3659">IFERROR(INDEX('Retirement Calculator'!J:J,MATCH('Isaac 401k'!N3659,'Retirement Calculator'!A:A,0),0),0)</f>
        <v>0</v>
      </c>
      <c r="K3659" s="455">
        <f t="shared" ca="1" si="171"/>
        <v>-2817244467.7458425</v>
      </c>
      <c r="L3659" s="455">
        <f t="shared" ca="1" si="172"/>
        <v>-678955916726.74805</v>
      </c>
      <c r="M3659" s="471">
        <f t="shared" si="174"/>
        <v>0.05</v>
      </c>
      <c r="N3659" s="475">
        <f t="shared" si="175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73"/>
        <v>-678955916726.74805</v>
      </c>
      <c r="J3660" s="455">
        <f t="array" ref="J3660">IFERROR(INDEX('Retirement Calculator'!J:J,MATCH('Isaac 401k'!N3660,'Retirement Calculator'!A:A,0),0),0)</f>
        <v>0</v>
      </c>
      <c r="K3660" s="455">
        <f t="shared" ca="1" si="171"/>
        <v>-2828982986.3614502</v>
      </c>
      <c r="L3660" s="455">
        <f t="shared" ca="1" si="172"/>
        <v>-681784899713.1095</v>
      </c>
      <c r="M3660" s="471">
        <f t="shared" si="174"/>
        <v>0.05</v>
      </c>
      <c r="N3660" s="475">
        <f t="shared" si="175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73"/>
        <v>-681784899713.1095</v>
      </c>
      <c r="J3661" s="455">
        <f t="array" ref="J3661">IFERROR(INDEX('Retirement Calculator'!J:J,MATCH('Isaac 401k'!N3661,'Retirement Calculator'!A:A,0),0),0)</f>
        <v>0</v>
      </c>
      <c r="K3661" s="455">
        <f t="shared" ca="1" si="171"/>
        <v>-2840770415.4712896</v>
      </c>
      <c r="L3661" s="455">
        <f t="shared" ca="1" si="172"/>
        <v>-684625670128.58081</v>
      </c>
      <c r="M3661" s="471">
        <f t="shared" si="174"/>
        <v>0.05</v>
      </c>
      <c r="N3661" s="475">
        <f t="shared" si="175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73"/>
        <v>-684625670128.58081</v>
      </c>
      <c r="J3662" s="455">
        <f t="array" ref="J3662">IFERROR(INDEX('Retirement Calculator'!J:J,MATCH('Isaac 401k'!N3662,'Retirement Calculator'!A:A,0),0),0)</f>
        <v>0</v>
      </c>
      <c r="K3662" s="455">
        <f t="shared" ca="1" si="171"/>
        <v>-2852606958.8690867</v>
      </c>
      <c r="L3662" s="455">
        <f t="shared" ca="1" si="172"/>
        <v>-687478277087.44995</v>
      </c>
      <c r="M3662" s="471">
        <f t="shared" si="174"/>
        <v>0.05</v>
      </c>
      <c r="N3662" s="475">
        <f t="shared" si="175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73"/>
        <v>-687478277087.44995</v>
      </c>
      <c r="J3663" s="455">
        <f t="array" ref="J3663">IFERROR(INDEX('Retirement Calculator'!J:J,MATCH('Isaac 401k'!N3663,'Retirement Calculator'!A:A,0),0),0)</f>
        <v>0</v>
      </c>
      <c r="K3663" s="455">
        <f t="shared" ca="1" si="171"/>
        <v>-2864492821.1977081</v>
      </c>
      <c r="L3663" s="455">
        <f t="shared" ca="1" si="172"/>
        <v>-690342769908.64771</v>
      </c>
      <c r="M3663" s="471">
        <f t="shared" si="174"/>
        <v>0.05</v>
      </c>
      <c r="N3663" s="475">
        <f t="shared" si="175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73"/>
        <v>-690342769908.64771</v>
      </c>
      <c r="J3664" s="455">
        <f t="array" ref="J3664">IFERROR(INDEX('Retirement Calculator'!J:J,MATCH('Isaac 401k'!N3664,'Retirement Calculator'!A:A,0),0),0)</f>
        <v>0</v>
      </c>
      <c r="K3664" s="455">
        <f t="shared" ca="1" si="171"/>
        <v>-2876428207.9526987</v>
      </c>
      <c r="L3664" s="455">
        <f t="shared" ca="1" si="172"/>
        <v>-693219198116.60046</v>
      </c>
      <c r="M3664" s="471">
        <f t="shared" si="174"/>
        <v>0.05</v>
      </c>
      <c r="N3664" s="475">
        <f t="shared" si="175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73"/>
        <v>-693219198116.60046</v>
      </c>
      <c r="J3665" s="455">
        <f t="array" ref="J3665">IFERROR(INDEX('Retirement Calculator'!J:J,MATCH('Isaac 401k'!N3665,'Retirement Calculator'!A:A,0),0),0)</f>
        <v>0</v>
      </c>
      <c r="K3665" s="455">
        <f t="shared" ca="1" si="171"/>
        <v>-2888413325.4858351</v>
      </c>
      <c r="L3665" s="455">
        <f t="shared" ca="1" si="172"/>
        <v>-696107611442.0863</v>
      </c>
      <c r="M3665" s="471">
        <f t="shared" si="174"/>
        <v>0.05</v>
      </c>
      <c r="N3665" s="475">
        <f t="shared" si="175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73"/>
        <v>-696107611442.0863</v>
      </c>
      <c r="J3666" s="455">
        <f t="array" ref="J3666">IFERROR(INDEX('Retirement Calculator'!J:J,MATCH('Isaac 401k'!N3666,'Retirement Calculator'!A:A,0),0),0)</f>
        <v>0</v>
      </c>
      <c r="K3666" s="455">
        <f t="shared" ca="1" si="171"/>
        <v>-2900448381.0086927</v>
      </c>
      <c r="L3666" s="455">
        <f t="shared" ca="1" si="172"/>
        <v>-699008059823.09497</v>
      </c>
      <c r="M3666" s="471">
        <f t="shared" si="174"/>
        <v>0.05</v>
      </c>
      <c r="N3666" s="475">
        <f t="shared" si="175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73"/>
        <v>-699008059823.09497</v>
      </c>
      <c r="J3667" s="455">
        <f t="array" ref="J3667">IFERROR(INDEX('Retirement Calculator'!J:J,MATCH('Isaac 401k'!N3667,'Retirement Calculator'!A:A,0),0),0)</f>
        <v>0</v>
      </c>
      <c r="K3667" s="455">
        <f t="shared" ca="1" si="171"/>
        <v>-2912533582.5962291</v>
      </c>
      <c r="L3667" s="455">
        <f t="shared" ca="1" si="172"/>
        <v>-701920593405.69116</v>
      </c>
      <c r="M3667" s="471">
        <f t="shared" si="174"/>
        <v>0.05</v>
      </c>
      <c r="N3667" s="475">
        <f t="shared" si="175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73"/>
        <v>-701920593405.69116</v>
      </c>
      <c r="J3668" s="455">
        <f t="array" ref="J3668">IFERROR(INDEX('Retirement Calculator'!J:J,MATCH('Isaac 401k'!N3668,'Retirement Calculator'!A:A,0),0),0)</f>
        <v>0</v>
      </c>
      <c r="K3668" s="455">
        <f t="shared" ca="1" si="171"/>
        <v>-2924669139.1903796</v>
      </c>
      <c r="L3668" s="455">
        <f t="shared" ca="1" si="172"/>
        <v>-704845262544.88159</v>
      </c>
      <c r="M3668" s="471">
        <f t="shared" si="174"/>
        <v>0.05</v>
      </c>
      <c r="N3668" s="475">
        <f t="shared" si="175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73"/>
        <v>-704845262544.88159</v>
      </c>
      <c r="J3669" s="455">
        <f t="array" ref="J3669">IFERROR(INDEX('Retirement Calculator'!J:J,MATCH('Isaac 401k'!N3669,'Retirement Calculator'!A:A,0),0),0)</f>
        <v>0</v>
      </c>
      <c r="K3669" s="455">
        <f t="shared" ca="1" si="171"/>
        <v>-2936855260.6036735</v>
      </c>
      <c r="L3669" s="455">
        <f t="shared" ca="1" si="172"/>
        <v>-707782117805.48523</v>
      </c>
      <c r="M3669" s="471">
        <f t="shared" si="174"/>
        <v>0.05</v>
      </c>
      <c r="N3669" s="475">
        <f t="shared" si="175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73"/>
        <v>-707782117805.48523</v>
      </c>
      <c r="J3670" s="455">
        <f t="array" ref="J3670">IFERROR(INDEX('Retirement Calculator'!J:J,MATCH('Isaac 401k'!N3670,'Retirement Calculator'!A:A,0),0),0)</f>
        <v>0</v>
      </c>
      <c r="K3670" s="455">
        <f t="shared" ca="1" si="171"/>
        <v>-2949092157.5228553</v>
      </c>
      <c r="L3670" s="455">
        <f t="shared" ca="1" si="172"/>
        <v>-710731209963.00806</v>
      </c>
      <c r="M3670" s="471">
        <f t="shared" si="174"/>
        <v>0.05</v>
      </c>
      <c r="N3670" s="475">
        <f t="shared" si="175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73"/>
        <v>-710731209963.00806</v>
      </c>
      <c r="J3671" s="455">
        <f t="array" ref="J3671">IFERROR(INDEX('Retirement Calculator'!J:J,MATCH('Isaac 401k'!N3671,'Retirement Calculator'!A:A,0),0),0)</f>
        <v>0</v>
      </c>
      <c r="K3671" s="455">
        <f t="shared" ca="1" si="171"/>
        <v>-2961380041.5125337</v>
      </c>
      <c r="L3671" s="455">
        <f t="shared" ca="1" si="172"/>
        <v>-713692590004.52063</v>
      </c>
      <c r="M3671" s="471">
        <f t="shared" si="174"/>
        <v>0.05</v>
      </c>
      <c r="N3671" s="475">
        <f t="shared" si="175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73"/>
        <v>-713692590004.52063</v>
      </c>
      <c r="J3672" s="455">
        <f t="array" ref="J3672">IFERROR(INDEX('Retirement Calculator'!J:J,MATCH('Isaac 401k'!N3672,'Retirement Calculator'!A:A,0),0),0)</f>
        <v>0</v>
      </c>
      <c r="K3672" s="455">
        <f t="shared" ca="1" si="171"/>
        <v>-2973719125.018836</v>
      </c>
      <c r="L3672" s="455">
        <f t="shared" ca="1" si="172"/>
        <v>-716666309129.53943</v>
      </c>
      <c r="M3672" s="471">
        <f t="shared" si="174"/>
        <v>0.05</v>
      </c>
      <c r="N3672" s="475">
        <f t="shared" si="175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73"/>
        <v>-716666309129.53943</v>
      </c>
      <c r="J3673" s="455">
        <f t="array" ref="J3673">IFERROR(INDEX('Retirement Calculator'!J:J,MATCH('Isaac 401k'!N3673,'Retirement Calculator'!A:A,0),0),0)</f>
        <v>0</v>
      </c>
      <c r="K3673" s="455">
        <f t="shared" ca="1" si="171"/>
        <v>-2986109621.3730807</v>
      </c>
      <c r="L3673" s="455">
        <f t="shared" ca="1" si="172"/>
        <v>-719652418750.91248</v>
      </c>
      <c r="M3673" s="471">
        <f t="shared" si="174"/>
        <v>0.05</v>
      </c>
      <c r="N3673" s="475">
        <f t="shared" si="175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73"/>
        <v>-719652418750.91248</v>
      </c>
      <c r="J3674" s="455">
        <f t="array" ref="J3674">IFERROR(INDEX('Retirement Calculator'!J:J,MATCH('Isaac 401k'!N3674,'Retirement Calculator'!A:A,0),0),0)</f>
        <v>0</v>
      </c>
      <c r="K3674" s="455">
        <f t="shared" ca="1" si="171"/>
        <v>-2998551744.7954688</v>
      </c>
      <c r="L3674" s="455">
        <f t="shared" ca="1" si="172"/>
        <v>-722650970495.70789</v>
      </c>
      <c r="M3674" s="471">
        <f t="shared" si="174"/>
        <v>0.05</v>
      </c>
      <c r="N3674" s="475">
        <f t="shared" si="175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73"/>
        <v>-722650970495.70789</v>
      </c>
      <c r="J3675" s="455">
        <f t="array" ref="J3675">IFERROR(INDEX('Retirement Calculator'!J:J,MATCH('Isaac 401k'!N3675,'Retirement Calculator'!A:A,0),0),0)</f>
        <v>0</v>
      </c>
      <c r="K3675" s="455">
        <f t="shared" ca="1" si="171"/>
        <v>-3011045710.3987827</v>
      </c>
      <c r="L3675" s="455">
        <f t="shared" ca="1" si="172"/>
        <v>-725662016206.10669</v>
      </c>
      <c r="M3675" s="471">
        <f t="shared" si="174"/>
        <v>0.05</v>
      </c>
      <c r="N3675" s="475">
        <f t="shared" si="175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73"/>
        <v>-725662016206.10669</v>
      </c>
      <c r="J3676" s="455">
        <f t="array" ref="J3676">IFERROR(INDEX('Retirement Calculator'!J:J,MATCH('Isaac 401k'!N3676,'Retirement Calculator'!A:A,0),0),0)</f>
        <v>0</v>
      </c>
      <c r="K3676" s="455">
        <f t="shared" ca="1" si="171"/>
        <v>-3023591734.192111</v>
      </c>
      <c r="L3676" s="455">
        <f t="shared" ca="1" si="172"/>
        <v>-728685607940.29883</v>
      </c>
      <c r="M3676" s="471">
        <f t="shared" si="174"/>
        <v>0.05</v>
      </c>
      <c r="N3676" s="475">
        <f t="shared" si="175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73"/>
        <v>-728685607940.29883</v>
      </c>
      <c r="J3677" s="455">
        <f t="array" ref="J3677">IFERROR(INDEX('Retirement Calculator'!J:J,MATCH('Isaac 401k'!N3677,'Retirement Calculator'!A:A,0),0),0)</f>
        <v>0</v>
      </c>
      <c r="K3677" s="455">
        <f t="shared" ca="1" si="171"/>
        <v>-3036190033.0845785</v>
      </c>
      <c r="L3677" s="455">
        <f t="shared" ca="1" si="172"/>
        <v>-731721797973.38342</v>
      </c>
      <c r="M3677" s="471">
        <f t="shared" si="174"/>
        <v>0.05</v>
      </c>
      <c r="N3677" s="475">
        <f t="shared" si="175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73"/>
        <v>-731721797973.38342</v>
      </c>
      <c r="J3678" s="455">
        <f t="array" ref="J3678">IFERROR(INDEX('Retirement Calculator'!J:J,MATCH('Isaac 401k'!N3678,'Retirement Calculator'!A:A,0),0),0)</f>
        <v>0</v>
      </c>
      <c r="K3678" s="455">
        <f t="shared" ca="1" si="171"/>
        <v>-3048840824.8890977</v>
      </c>
      <c r="L3678" s="455">
        <f t="shared" ca="1" si="172"/>
        <v>-734770638798.27246</v>
      </c>
      <c r="M3678" s="471">
        <f t="shared" si="174"/>
        <v>0.05</v>
      </c>
      <c r="N3678" s="475">
        <f t="shared" si="175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73"/>
        <v>-734770638798.27246</v>
      </c>
      <c r="J3679" s="455">
        <f t="array" ref="J3679">IFERROR(INDEX('Retirement Calculator'!J:J,MATCH('Isaac 401k'!N3679,'Retirement Calculator'!A:A,0),0),0)</f>
        <v>0</v>
      </c>
      <c r="K3679" s="455">
        <f t="shared" ca="1" si="171"/>
        <v>-3061544328.3261352</v>
      </c>
      <c r="L3679" s="455">
        <f t="shared" ca="1" si="172"/>
        <v>-737832183126.59863</v>
      </c>
      <c r="M3679" s="471">
        <f t="shared" si="174"/>
        <v>0.05</v>
      </c>
      <c r="N3679" s="475">
        <f t="shared" si="175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73"/>
        <v>-737832183126.59863</v>
      </c>
      <c r="J3680" s="455">
        <f t="array" ref="J3680">IFERROR(INDEX('Retirement Calculator'!J:J,MATCH('Isaac 401k'!N3680,'Retirement Calculator'!A:A,0),0),0)</f>
        <v>0</v>
      </c>
      <c r="K3680" s="455">
        <f t="shared" ca="1" si="171"/>
        <v>-3074300763.0274944</v>
      </c>
      <c r="L3680" s="455">
        <f t="shared" ca="1" si="172"/>
        <v>-740906483889.6261</v>
      </c>
      <c r="M3680" s="471">
        <f t="shared" si="174"/>
        <v>0.05</v>
      </c>
      <c r="N3680" s="475">
        <f t="shared" si="175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73"/>
        <v>-740906483889.6261</v>
      </c>
      <c r="J3681" s="455">
        <f t="array" ref="J3681">IFERROR(INDEX('Retirement Calculator'!J:J,MATCH('Isaac 401k'!N3681,'Retirement Calculator'!A:A,0),0),0)</f>
        <v>0</v>
      </c>
      <c r="K3681" s="455">
        <f t="shared" ca="1" si="171"/>
        <v>-3087110349.5401087</v>
      </c>
      <c r="L3681" s="455">
        <f t="shared" ca="1" si="172"/>
        <v>-743993594239.16626</v>
      </c>
      <c r="M3681" s="471">
        <f t="shared" si="174"/>
        <v>0.05</v>
      </c>
      <c r="N3681" s="475">
        <f t="shared" si="175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73"/>
        <v>-743993594239.16626</v>
      </c>
      <c r="J3682" s="455">
        <f t="array" ref="J3682">IFERROR(INDEX('Retirement Calculator'!J:J,MATCH('Isaac 401k'!N3682,'Retirement Calculator'!A:A,0),0),0)</f>
        <v>0</v>
      </c>
      <c r="K3682" s="455">
        <f t="shared" ca="1" si="171"/>
        <v>-3099973309.3298593</v>
      </c>
      <c r="L3682" s="455">
        <f t="shared" ca="1" si="172"/>
        <v>-747093567548.49609</v>
      </c>
      <c r="M3682" s="471">
        <f t="shared" si="174"/>
        <v>0.05</v>
      </c>
      <c r="N3682" s="475">
        <f t="shared" si="175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73"/>
        <v>-747093567548.49609</v>
      </c>
      <c r="J3683" s="455">
        <f t="array" ref="J3683">IFERROR(INDEX('Retirement Calculator'!J:J,MATCH('Isaac 401k'!N3683,'Retirement Calculator'!A:A,0),0),0)</f>
        <v>0</v>
      </c>
      <c r="K3683" s="455">
        <f t="shared" ca="1" si="171"/>
        <v>-3112889864.7854004</v>
      </c>
      <c r="L3683" s="455">
        <f t="shared" ca="1" si="172"/>
        <v>-750206457413.28149</v>
      </c>
      <c r="M3683" s="471">
        <f t="shared" si="174"/>
        <v>0.05</v>
      </c>
      <c r="N3683" s="475">
        <f t="shared" si="175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73"/>
        <v>-750206457413.28149</v>
      </c>
      <c r="J3684" s="455">
        <f t="array" ref="J3684">IFERROR(INDEX('Retirement Calculator'!J:J,MATCH('Isaac 401k'!N3684,'Retirement Calculator'!A:A,0),0),0)</f>
        <v>0</v>
      </c>
      <c r="K3684" s="455">
        <f t="shared" ca="1" si="171"/>
        <v>-3125860239.2220063</v>
      </c>
      <c r="L3684" s="455">
        <f t="shared" ca="1" si="172"/>
        <v>-753332317652.50354</v>
      </c>
      <c r="M3684" s="471">
        <f t="shared" si="174"/>
        <v>0.05</v>
      </c>
      <c r="N3684" s="475">
        <f t="shared" si="175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73"/>
        <v>-753332317652.50354</v>
      </c>
      <c r="J3685" s="455">
        <f t="array" ref="J3685">IFERROR(INDEX('Retirement Calculator'!J:J,MATCH('Isaac 401k'!N3685,'Retirement Calculator'!A:A,0),0),0)</f>
        <v>0</v>
      </c>
      <c r="K3685" s="455">
        <f t="shared" ca="1" si="171"/>
        <v>-3138884656.8854313</v>
      </c>
      <c r="L3685" s="455">
        <f t="shared" ca="1" si="172"/>
        <v>-756471202309.38892</v>
      </c>
      <c r="M3685" s="471">
        <f t="shared" si="174"/>
        <v>0.05</v>
      </c>
      <c r="N3685" s="475">
        <f t="shared" si="175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73"/>
        <v>-756471202309.38892</v>
      </c>
      <c r="J3686" s="455">
        <f t="array" ref="J3686">IFERROR(INDEX('Retirement Calculator'!J:J,MATCH('Isaac 401k'!N3686,'Retirement Calculator'!A:A,0),0),0)</f>
        <v>0</v>
      </c>
      <c r="K3686" s="455">
        <f t="shared" ca="1" si="171"/>
        <v>-3151963342.9557872</v>
      </c>
      <c r="L3686" s="455">
        <f t="shared" ca="1" si="172"/>
        <v>-759623165652.34473</v>
      </c>
      <c r="M3686" s="471">
        <f t="shared" si="174"/>
        <v>0.05</v>
      </c>
      <c r="N3686" s="475">
        <f t="shared" si="175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73"/>
        <v>-759623165652.34473</v>
      </c>
      <c r="J3687" s="455">
        <f t="array" ref="J3687">IFERROR(INDEX('Retirement Calculator'!J:J,MATCH('Isaac 401k'!N3687,'Retirement Calculator'!A:A,0),0),0)</f>
        <v>0</v>
      </c>
      <c r="K3687" s="455">
        <f t="shared" ca="1" si="171"/>
        <v>-3165096523.5514364</v>
      </c>
      <c r="L3687" s="455">
        <f t="shared" ca="1" si="172"/>
        <v>-762788262175.89612</v>
      </c>
      <c r="M3687" s="471">
        <f t="shared" si="174"/>
        <v>0.05</v>
      </c>
      <c r="N3687" s="475">
        <f t="shared" si="175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73"/>
        <v>-762788262175.89612</v>
      </c>
      <c r="J3688" s="455">
        <f t="array" ref="J3688">IFERROR(INDEX('Retirement Calculator'!J:J,MATCH('Isaac 401k'!N3688,'Retirement Calculator'!A:A,0),0),0)</f>
        <v>0</v>
      </c>
      <c r="K3688" s="455">
        <f t="shared" ca="1" si="171"/>
        <v>-3178284425.7329006</v>
      </c>
      <c r="L3688" s="455">
        <f t="shared" ca="1" si="172"/>
        <v>-765966546601.62903</v>
      </c>
      <c r="M3688" s="471">
        <f t="shared" si="174"/>
        <v>0.05</v>
      </c>
      <c r="N3688" s="475">
        <f t="shared" si="175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73"/>
        <v>-765966546601.62903</v>
      </c>
      <c r="J3689" s="455">
        <f t="array" ref="J3689">IFERROR(INDEX('Retirement Calculator'!J:J,MATCH('Isaac 401k'!N3689,'Retirement Calculator'!A:A,0),0),0)</f>
        <v>0</v>
      </c>
      <c r="K3689" s="455">
        <f t="shared" ca="1" si="171"/>
        <v>-3191527277.5067878</v>
      </c>
      <c r="L3689" s="455">
        <f t="shared" ca="1" si="172"/>
        <v>-769158073879.13586</v>
      </c>
      <c r="M3689" s="471">
        <f t="shared" si="174"/>
        <v>0.05</v>
      </c>
      <c r="N3689" s="475">
        <f t="shared" si="175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73"/>
        <v>-769158073879.13586</v>
      </c>
      <c r="J3690" s="455">
        <f t="array" ref="J3690">IFERROR(INDEX('Retirement Calculator'!J:J,MATCH('Isaac 401k'!N3690,'Retirement Calculator'!A:A,0),0),0)</f>
        <v>0</v>
      </c>
      <c r="K3690" s="455">
        <f t="shared" ca="1" si="171"/>
        <v>-3204825307.8297329</v>
      </c>
      <c r="L3690" s="455">
        <f t="shared" ca="1" si="172"/>
        <v>-772362899186.96558</v>
      </c>
      <c r="M3690" s="471">
        <f t="shared" si="174"/>
        <v>0.05</v>
      </c>
      <c r="N3690" s="475">
        <f t="shared" si="175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73"/>
        <v>-772362899186.96558</v>
      </c>
      <c r="J3691" s="455">
        <f t="array" ref="J3691">IFERROR(INDEX('Retirement Calculator'!J:J,MATCH('Isaac 401k'!N3691,'Retirement Calculator'!A:A,0),0),0)</f>
        <v>0</v>
      </c>
      <c r="K3691" s="455">
        <f t="shared" ca="1" si="171"/>
        <v>-3218178746.6123567</v>
      </c>
      <c r="L3691" s="455">
        <f t="shared" ca="1" si="172"/>
        <v>-775581077933.57788</v>
      </c>
      <c r="M3691" s="471">
        <f t="shared" si="174"/>
        <v>0.05</v>
      </c>
      <c r="N3691" s="475">
        <f t="shared" si="175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73"/>
        <v>-775581077933.57788</v>
      </c>
      <c r="J3692" s="455">
        <f t="array" ref="J3692">IFERROR(INDEX('Retirement Calculator'!J:J,MATCH('Isaac 401k'!N3692,'Retirement Calculator'!A:A,0),0),0)</f>
        <v>0</v>
      </c>
      <c r="K3692" s="455">
        <f t="shared" ca="1" si="171"/>
        <v>-3231587824.7232413</v>
      </c>
      <c r="L3692" s="455">
        <f t="shared" ca="1" si="172"/>
        <v>-778812665758.30115</v>
      </c>
      <c r="M3692" s="471">
        <f t="shared" si="174"/>
        <v>0.05</v>
      </c>
      <c r="N3692" s="475">
        <f t="shared" si="175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73"/>
        <v>-778812665758.30115</v>
      </c>
      <c r="J3693" s="455">
        <f t="array" ref="J3693">IFERROR(INDEX('Retirement Calculator'!J:J,MATCH('Isaac 401k'!N3693,'Retirement Calculator'!A:A,0),0),0)</f>
        <v>0</v>
      </c>
      <c r="K3693" s="455">
        <f t="shared" ca="1" si="171"/>
        <v>-3245052773.9929214</v>
      </c>
      <c r="L3693" s="455">
        <f t="shared" ca="1" si="172"/>
        <v>-782057718532.29407</v>
      </c>
      <c r="M3693" s="471">
        <f t="shared" si="174"/>
        <v>0.05</v>
      </c>
      <c r="N3693" s="475">
        <f t="shared" si="175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73"/>
        <v>-782057718532.29407</v>
      </c>
      <c r="J3694" s="455">
        <f t="array" ref="J3694">IFERROR(INDEX('Retirement Calculator'!J:J,MATCH('Isaac 401k'!N3694,'Retirement Calculator'!A:A,0),0),0)</f>
        <v>0</v>
      </c>
      <c r="K3694" s="455">
        <f t="shared" ca="1" si="171"/>
        <v>-3258573827.2178917</v>
      </c>
      <c r="L3694" s="455">
        <f t="shared" ca="1" si="172"/>
        <v>-785316292359.51196</v>
      </c>
      <c r="M3694" s="471">
        <f t="shared" si="174"/>
        <v>0.05</v>
      </c>
      <c r="N3694" s="475">
        <f t="shared" si="175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73"/>
        <v>-785316292359.51196</v>
      </c>
      <c r="J3695" s="455">
        <f t="array" ref="J3695">IFERROR(INDEX('Retirement Calculator'!J:J,MATCH('Isaac 401k'!N3695,'Retirement Calculator'!A:A,0),0),0)</f>
        <v>0</v>
      </c>
      <c r="K3695" s="455">
        <f t="shared" ca="1" si="171"/>
        <v>-3272151218.1646333</v>
      </c>
      <c r="L3695" s="455">
        <f t="shared" ca="1" si="172"/>
        <v>-788588443577.67664</v>
      </c>
      <c r="M3695" s="471">
        <f t="shared" si="174"/>
        <v>0.05</v>
      </c>
      <c r="N3695" s="475">
        <f t="shared" si="175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73"/>
        <v>-788588443577.67664</v>
      </c>
      <c r="J3696" s="455">
        <f t="array" ref="J3696">IFERROR(INDEX('Retirement Calculator'!J:J,MATCH('Isaac 401k'!N3696,'Retirement Calculator'!A:A,0),0),0)</f>
        <v>0</v>
      </c>
      <c r="K3696" s="455">
        <f t="shared" ca="1" si="171"/>
        <v>-3285785181.5736527</v>
      </c>
      <c r="L3696" s="455">
        <f t="shared" ca="1" si="172"/>
        <v>-791874228759.25024</v>
      </c>
      <c r="M3696" s="471">
        <f t="shared" si="174"/>
        <v>0.05</v>
      </c>
      <c r="N3696" s="475">
        <f t="shared" si="175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73"/>
        <v>-791874228759.25024</v>
      </c>
      <c r="J3697" s="455">
        <f t="array" ref="J3697">IFERROR(INDEX('Retirement Calculator'!J:J,MATCH('Isaac 401k'!N3697,'Retirement Calculator'!A:A,0),0),0)</f>
        <v>0</v>
      </c>
      <c r="K3697" s="455">
        <f t="shared" ca="1" si="171"/>
        <v>-3299475953.1635427</v>
      </c>
      <c r="L3697" s="455">
        <f t="shared" ca="1" si="172"/>
        <v>-795173704712.41382</v>
      </c>
      <c r="M3697" s="471">
        <f t="shared" si="174"/>
        <v>0.05</v>
      </c>
      <c r="N3697" s="475">
        <f t="shared" si="175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73"/>
        <v>-795173704712.41382</v>
      </c>
      <c r="J3698" s="455">
        <f t="array" ref="J3698">IFERROR(INDEX('Retirement Calculator'!J:J,MATCH('Isaac 401k'!N3698,'Retirement Calculator'!A:A,0),0),0)</f>
        <v>0</v>
      </c>
      <c r="K3698" s="455">
        <f t="shared" ca="1" si="171"/>
        <v>-3313223769.6350574</v>
      </c>
      <c r="L3698" s="455">
        <f t="shared" ca="1" si="172"/>
        <v>-798486928482.04883</v>
      </c>
      <c r="M3698" s="471">
        <f t="shared" si="174"/>
        <v>0.05</v>
      </c>
      <c r="N3698" s="475">
        <f t="shared" si="175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73"/>
        <v>-798486928482.04883</v>
      </c>
      <c r="J3699" s="455">
        <f t="array" ref="J3699">IFERROR(INDEX('Retirement Calculator'!J:J,MATCH('Isaac 401k'!N3699,'Retirement Calculator'!A:A,0),0),0)</f>
        <v>0</v>
      </c>
      <c r="K3699" s="455">
        <f t="shared" ca="1" si="171"/>
        <v>-3327028868.6752033</v>
      </c>
      <c r="L3699" s="455">
        <f t="shared" ca="1" si="172"/>
        <v>-801813957350.724</v>
      </c>
      <c r="M3699" s="471">
        <f t="shared" si="174"/>
        <v>0.05</v>
      </c>
      <c r="N3699" s="475">
        <f t="shared" si="175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73"/>
        <v>-801813957350.724</v>
      </c>
      <c r="J3700" s="455">
        <f t="array" ref="J3700">IFERROR(INDEX('Retirement Calculator'!J:J,MATCH('Isaac 401k'!N3700,'Retirement Calculator'!A:A,0),0),0)</f>
        <v>0</v>
      </c>
      <c r="K3700" s="455">
        <f t="shared" ca="1" si="171"/>
        <v>-3340891488.96135</v>
      </c>
      <c r="L3700" s="455">
        <f t="shared" ca="1" si="172"/>
        <v>-805154848839.6853</v>
      </c>
      <c r="M3700" s="471">
        <f t="shared" si="174"/>
        <v>0.05</v>
      </c>
      <c r="N3700" s="475">
        <f t="shared" si="175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73"/>
        <v>-805154848839.6853</v>
      </c>
      <c r="J3701" s="455">
        <f t="array" ref="J3701">IFERROR(INDEX('Retirement Calculator'!J:J,MATCH('Isaac 401k'!N3701,'Retirement Calculator'!A:A,0),0),0)</f>
        <v>0</v>
      </c>
      <c r="K3701" s="455">
        <f t="shared" ca="1" si="171"/>
        <v>-3354811870.1653552</v>
      </c>
      <c r="L3701" s="455">
        <f t="shared" ca="1" si="172"/>
        <v>-808509660709.85071</v>
      </c>
      <c r="M3701" s="471">
        <f t="shared" si="174"/>
        <v>0.05</v>
      </c>
      <c r="N3701" s="475">
        <f t="shared" si="175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73"/>
        <v>-808509660709.85071</v>
      </c>
      <c r="J3702" s="455">
        <f t="array" ref="J3702">IFERROR(INDEX('Retirement Calculator'!J:J,MATCH('Isaac 401k'!N3702,'Retirement Calculator'!A:A,0),0),0)</f>
        <v>0</v>
      </c>
      <c r="K3702" s="455">
        <f t="shared" ca="1" si="171"/>
        <v>-3368790252.9577112</v>
      </c>
      <c r="L3702" s="455">
        <f t="shared" ca="1" si="172"/>
        <v>-811878450962.80847</v>
      </c>
      <c r="M3702" s="471">
        <f t="shared" si="174"/>
        <v>0.05</v>
      </c>
      <c r="N3702" s="475">
        <f t="shared" si="175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73"/>
        <v>-811878450962.80847</v>
      </c>
      <c r="J3703" s="455">
        <f t="array" ref="J3703">IFERROR(INDEX('Retirement Calculator'!J:J,MATCH('Isaac 401k'!N3703,'Retirement Calculator'!A:A,0),0),0)</f>
        <v>0</v>
      </c>
      <c r="K3703" s="455">
        <f t="shared" ca="1" si="171"/>
        <v>-3382826879.0117021</v>
      </c>
      <c r="L3703" s="455">
        <f t="shared" ca="1" si="172"/>
        <v>-815261277841.82019</v>
      </c>
      <c r="M3703" s="471">
        <f t="shared" si="174"/>
        <v>0.05</v>
      </c>
      <c r="N3703" s="475">
        <f t="shared" si="175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73"/>
        <v>-815261277841.82019</v>
      </c>
      <c r="J3704" s="455">
        <f t="array" ref="J3704">IFERROR(INDEX('Retirement Calculator'!J:J,MATCH('Isaac 401k'!N3704,'Retirement Calculator'!A:A,0),0),0)</f>
        <v>0</v>
      </c>
      <c r="K3704" s="455">
        <f t="shared" ca="1" si="171"/>
        <v>-3396921991.0075841</v>
      </c>
      <c r="L3704" s="455">
        <f t="shared" ca="1" si="172"/>
        <v>-818658199832.82776</v>
      </c>
      <c r="M3704" s="471">
        <f t="shared" si="174"/>
        <v>0.05</v>
      </c>
      <c r="N3704" s="475">
        <f t="shared" si="175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73"/>
        <v>-818658199832.82776</v>
      </c>
      <c r="J3705" s="455">
        <f t="array" ref="J3705">IFERROR(INDEX('Retirement Calculator'!J:J,MATCH('Isaac 401k'!N3705,'Retirement Calculator'!A:A,0),0),0)</f>
        <v>0</v>
      </c>
      <c r="K3705" s="455">
        <f t="shared" ca="1" si="171"/>
        <v>-3411075832.6367822</v>
      </c>
      <c r="L3705" s="455">
        <f t="shared" ca="1" si="172"/>
        <v>-822069275665.4646</v>
      </c>
      <c r="M3705" s="471">
        <f t="shared" si="174"/>
        <v>0.05</v>
      </c>
      <c r="N3705" s="475">
        <f t="shared" si="175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73"/>
        <v>-822069275665.4646</v>
      </c>
      <c r="J3706" s="455">
        <f t="array" ref="J3706">IFERROR(INDEX('Retirement Calculator'!J:J,MATCH('Isaac 401k'!N3706,'Retirement Calculator'!A:A,0),0),0)</f>
        <v>0</v>
      </c>
      <c r="K3706" s="455">
        <f t="shared" ca="1" si="171"/>
        <v>-3425288648.6061025</v>
      </c>
      <c r="L3706" s="455">
        <f t="shared" ca="1" si="172"/>
        <v>-825494564314.07068</v>
      </c>
      <c r="M3706" s="471">
        <f t="shared" si="174"/>
        <v>0.05</v>
      </c>
      <c r="N3706" s="475">
        <f t="shared" si="175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73"/>
        <v>-825494564314.07068</v>
      </c>
      <c r="J3707" s="455">
        <f t="array" ref="J3707">IFERROR(INDEX('Retirement Calculator'!J:J,MATCH('Isaac 401k'!N3707,'Retirement Calculator'!A:A,0),0),0)</f>
        <v>0</v>
      </c>
      <c r="K3707" s="455">
        <f t="shared" ca="1" si="171"/>
        <v>-3439560684.6419611</v>
      </c>
      <c r="L3707" s="455">
        <f t="shared" ca="1" si="172"/>
        <v>-828934124998.71265</v>
      </c>
      <c r="M3707" s="471">
        <f t="shared" si="174"/>
        <v>0.05</v>
      </c>
      <c r="N3707" s="475">
        <f t="shared" si="175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73"/>
        <v>-828934124998.71265</v>
      </c>
      <c r="J3708" s="455">
        <f t="array" ref="J3708">IFERROR(INDEX('Retirement Calculator'!J:J,MATCH('Isaac 401k'!N3708,'Retirement Calculator'!A:A,0),0),0)</f>
        <v>0</v>
      </c>
      <c r="K3708" s="455">
        <f t="shared" ca="1" si="171"/>
        <v>-3453892187.4946361</v>
      </c>
      <c r="L3708" s="455">
        <f t="shared" ca="1" si="172"/>
        <v>-832388017186.20728</v>
      </c>
      <c r="M3708" s="471">
        <f t="shared" si="174"/>
        <v>0.05</v>
      </c>
      <c r="N3708" s="475">
        <f t="shared" si="175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73"/>
        <v>-832388017186.20728</v>
      </c>
      <c r="J3709" s="455">
        <f t="array" ref="J3709">IFERROR(INDEX('Retirement Calculator'!J:J,MATCH('Isaac 401k'!N3709,'Retirement Calculator'!A:A,0),0),0)</f>
        <v>0</v>
      </c>
      <c r="K3709" s="455">
        <f t="shared" ca="1" si="171"/>
        <v>-3468283404.9425302</v>
      </c>
      <c r="L3709" s="455">
        <f t="shared" ca="1" si="172"/>
        <v>-835856300591.14978</v>
      </c>
      <c r="M3709" s="471">
        <f t="shared" si="174"/>
        <v>0.05</v>
      </c>
      <c r="N3709" s="475">
        <f t="shared" si="175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73"/>
        <v>-835856300591.14978</v>
      </c>
      <c r="J3710" s="455">
        <f t="array" ref="J3710">IFERROR(INDEX('Retirement Calculator'!J:J,MATCH('Isaac 401k'!N3710,'Retirement Calculator'!A:A,0),0),0)</f>
        <v>0</v>
      </c>
      <c r="K3710" s="455">
        <f t="shared" ca="1" si="171"/>
        <v>-3482734585.7964573</v>
      </c>
      <c r="L3710" s="455">
        <f t="shared" ca="1" si="172"/>
        <v>-839339035176.94629</v>
      </c>
      <c r="M3710" s="471">
        <f t="shared" si="174"/>
        <v>0.05</v>
      </c>
      <c r="N3710" s="475">
        <f t="shared" si="175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73"/>
        <v>-839339035176.94629</v>
      </c>
      <c r="J3711" s="455">
        <f t="array" ref="J3711">IFERROR(INDEX('Retirement Calculator'!J:J,MATCH('Isaac 401k'!N3711,'Retirement Calculator'!A:A,0),0),0)</f>
        <v>0</v>
      </c>
      <c r="K3711" s="455">
        <f t="shared" ca="1" si="171"/>
        <v>-3497245979.9039426</v>
      </c>
      <c r="L3711" s="455">
        <f t="shared" ca="1" si="172"/>
        <v>-842836281156.85022</v>
      </c>
      <c r="M3711" s="471">
        <f t="shared" si="174"/>
        <v>0.05</v>
      </c>
      <c r="N3711" s="475">
        <f t="shared" si="175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73"/>
        <v>-842836281156.85022</v>
      </c>
      <c r="J3712" s="455">
        <f t="array" ref="J3712">IFERROR(INDEX('Retirement Calculator'!J:J,MATCH('Isaac 401k'!N3712,'Retirement Calculator'!A:A,0),0),0)</f>
        <v>0</v>
      </c>
      <c r="K3712" s="455">
        <f t="shared" ca="1" si="171"/>
        <v>-3511817838.1535425</v>
      </c>
      <c r="L3712" s="455">
        <f t="shared" ca="1" si="172"/>
        <v>-846348098995.00378</v>
      </c>
      <c r="M3712" s="471">
        <f t="shared" si="174"/>
        <v>0.05</v>
      </c>
      <c r="N3712" s="475">
        <f t="shared" si="175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73"/>
        <v>-846348098995.00378</v>
      </c>
      <c r="J3713" s="455">
        <f t="array" ref="J3713">IFERROR(INDEX('Retirement Calculator'!J:J,MATCH('Isaac 401k'!N3713,'Retirement Calculator'!A:A,0),0),0)</f>
        <v>0</v>
      </c>
      <c r="K3713" s="455">
        <f t="shared" ca="1" si="171"/>
        <v>-3526450412.4791822</v>
      </c>
      <c r="L3713" s="455">
        <f t="shared" ca="1" si="172"/>
        <v>-849874549407.48291</v>
      </c>
      <c r="M3713" s="471">
        <f t="shared" si="174"/>
        <v>0.05</v>
      </c>
      <c r="N3713" s="475">
        <f t="shared" si="175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73"/>
        <v>-849874549407.48291</v>
      </c>
      <c r="J3714" s="455">
        <f t="array" ref="J3714">IFERROR(INDEX('Retirement Calculator'!J:J,MATCH('Isaac 401k'!N3714,'Retirement Calculator'!A:A,0),0),0)</f>
        <v>0</v>
      </c>
      <c r="K3714" s="455">
        <f t="shared" ca="1" si="171"/>
        <v>-3541143955.864512</v>
      </c>
      <c r="L3714" s="455">
        <f t="shared" ca="1" si="172"/>
        <v>-853415693363.34741</v>
      </c>
      <c r="M3714" s="471">
        <f t="shared" si="174"/>
        <v>0.05</v>
      </c>
      <c r="N3714" s="475">
        <f t="shared" si="175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73"/>
        <v>-853415693363.34741</v>
      </c>
      <c r="J3715" s="455">
        <f t="array" ref="J3715">IFERROR(INDEX('Retirement Calculator'!J:J,MATCH('Isaac 401k'!N3715,'Retirement Calculator'!A:A,0),0),0)</f>
        <v>0</v>
      </c>
      <c r="K3715" s="455">
        <f t="shared" ca="1" si="171"/>
        <v>-3555898722.347281</v>
      </c>
      <c r="L3715" s="455">
        <f t="shared" ca="1" si="172"/>
        <v>-856971592085.6947</v>
      </c>
      <c r="M3715" s="471">
        <f t="shared" si="174"/>
        <v>0.05</v>
      </c>
      <c r="N3715" s="475">
        <f t="shared" si="175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73"/>
        <v>-856971592085.6947</v>
      </c>
      <c r="J3716" s="455">
        <f t="array" ref="J3716">IFERROR(INDEX('Retirement Calculator'!J:J,MATCH('Isaac 401k'!N3716,'Retirement Calculator'!A:A,0),0),0)</f>
        <v>0</v>
      </c>
      <c r="K3716" s="455">
        <f t="shared" ca="1" si="171"/>
        <v>-3570714967.0237284</v>
      </c>
      <c r="L3716" s="455">
        <f t="shared" ca="1" si="172"/>
        <v>-860542307052.71838</v>
      </c>
      <c r="M3716" s="471">
        <f t="shared" si="174"/>
        <v>0.05</v>
      </c>
      <c r="N3716" s="475">
        <f t="shared" si="175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73"/>
        <v>-860542307052.71838</v>
      </c>
      <c r="J3717" s="455">
        <f t="array" ref="J3717">IFERROR(INDEX('Retirement Calculator'!J:J,MATCH('Isaac 401k'!N3717,'Retirement Calculator'!A:A,0),0),0)</f>
        <v>0</v>
      </c>
      <c r="K3717" s="455">
        <f t="shared" ca="1" si="171"/>
        <v>-3585592946.0529933</v>
      </c>
      <c r="L3717" s="455">
        <f t="shared" ca="1" si="172"/>
        <v>-864127899998.77136</v>
      </c>
      <c r="M3717" s="471">
        <f t="shared" si="174"/>
        <v>0.05</v>
      </c>
      <c r="N3717" s="475">
        <f t="shared" si="175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73"/>
        <v>-864127899998.77136</v>
      </c>
      <c r="J3718" s="455">
        <f t="array" ref="J3718">IFERROR(INDEX('Retirement Calculator'!J:J,MATCH('Isaac 401k'!N3718,'Retirement Calculator'!A:A,0),0),0)</f>
        <v>0</v>
      </c>
      <c r="K3718" s="455">
        <f t="shared" ca="1" si="171"/>
        <v>-3600532916.6615477</v>
      </c>
      <c r="L3718" s="455">
        <f t="shared" ca="1" si="172"/>
        <v>-867728432915.43286</v>
      </c>
      <c r="M3718" s="471">
        <f t="shared" si="174"/>
        <v>0.05</v>
      </c>
      <c r="N3718" s="475">
        <f t="shared" si="175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73"/>
        <v>-867728432915.43286</v>
      </c>
      <c r="J3719" s="455">
        <f t="array" ref="J3719">IFERROR(INDEX('Retirement Calculator'!J:J,MATCH('Isaac 401k'!N3719,'Retirement Calculator'!A:A,0),0),0)</f>
        <v>0</v>
      </c>
      <c r="K3719" s="455">
        <f t="shared" ca="1" si="171"/>
        <v>-3615535137.1476364</v>
      </c>
      <c r="L3719" s="455">
        <f t="shared" ca="1" si="172"/>
        <v>-871343968052.58044</v>
      </c>
      <c r="M3719" s="471">
        <f t="shared" si="174"/>
        <v>0.05</v>
      </c>
      <c r="N3719" s="475">
        <f t="shared" si="175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73"/>
        <v>-871343968052.58044</v>
      </c>
      <c r="J3720" s="455">
        <f t="array" ref="J3720">IFERROR(INDEX('Retirement Calculator'!J:J,MATCH('Isaac 401k'!N3720,'Retirement Calculator'!A:A,0),0),0)</f>
        <v>0</v>
      </c>
      <c r="K3720" s="455">
        <f t="shared" ca="1" si="171"/>
        <v>-3630599866.8857517</v>
      </c>
      <c r="L3720" s="455">
        <f t="shared" ca="1" si="172"/>
        <v>-874974567919.46619</v>
      </c>
      <c r="M3720" s="471">
        <f t="shared" si="174"/>
        <v>0.05</v>
      </c>
      <c r="N3720" s="475">
        <f t="shared" si="175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73"/>
        <v>-874974567919.46619</v>
      </c>
      <c r="J3721" s="455">
        <f t="array" ref="J3721">IFERROR(INDEX('Retirement Calculator'!J:J,MATCH('Isaac 401k'!N3721,'Retirement Calculator'!A:A,0),0),0)</f>
        <v>0</v>
      </c>
      <c r="K3721" s="455">
        <f t="shared" ca="1" si="171"/>
        <v>-3645727366.331109</v>
      </c>
      <c r="L3721" s="455">
        <f t="shared" ca="1" si="172"/>
        <v>-878620295285.79724</v>
      </c>
      <c r="M3721" s="471">
        <f t="shared" si="174"/>
        <v>0.05</v>
      </c>
      <c r="N3721" s="475">
        <f t="shared" si="175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73"/>
        <v>-878620295285.79724</v>
      </c>
      <c r="J3722" s="455">
        <f t="array" ref="J3722">IFERROR(INDEX('Retirement Calculator'!J:J,MATCH('Isaac 401k'!N3722,'Retirement Calculator'!A:A,0),0),0)</f>
        <v>0</v>
      </c>
      <c r="K3722" s="455">
        <f t="shared" ca="1" si="171"/>
        <v>-3660917897.0241551</v>
      </c>
      <c r="L3722" s="455">
        <f t="shared" ca="1" si="172"/>
        <v>-882281213182.82141</v>
      </c>
      <c r="M3722" s="471">
        <f t="shared" si="174"/>
        <v>0.05</v>
      </c>
      <c r="N3722" s="475">
        <f t="shared" si="175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73"/>
        <v>-882281213182.82141</v>
      </c>
      <c r="J3723" s="455">
        <f t="array" ref="J3723">IFERROR(INDEX('Retirement Calculator'!J:J,MATCH('Isaac 401k'!N3723,'Retirement Calculator'!A:A,0),0),0)</f>
        <v>0</v>
      </c>
      <c r="K3723" s="455">
        <f t="shared" ca="1" si="171"/>
        <v>-3676171721.5950885</v>
      </c>
      <c r="L3723" s="455">
        <f t="shared" ca="1" si="172"/>
        <v>-885957384904.4165</v>
      </c>
      <c r="M3723" s="471">
        <f t="shared" si="174"/>
        <v>0.05</v>
      </c>
      <c r="N3723" s="475">
        <f t="shared" si="175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73"/>
        <v>-885957384904.4165</v>
      </c>
      <c r="J3724" s="455">
        <f t="array" ref="J3724">IFERROR(INDEX('Retirement Calculator'!J:J,MATCH('Isaac 401k'!N3724,'Retirement Calculator'!A:A,0),0),0)</f>
        <v>0</v>
      </c>
      <c r="K3724" s="455">
        <f t="shared" ca="1" si="171"/>
        <v>-3691489103.7684016</v>
      </c>
      <c r="L3724" s="455">
        <f t="shared" ca="1" si="172"/>
        <v>-889648874008.18494</v>
      </c>
      <c r="M3724" s="471">
        <f t="shared" si="174"/>
        <v>0.05</v>
      </c>
      <c r="N3724" s="475">
        <f t="shared" si="175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73"/>
        <v>-889648874008.18494</v>
      </c>
      <c r="J3725" s="455">
        <f t="array" ref="J3725">IFERROR(INDEX('Retirement Calculator'!J:J,MATCH('Isaac 401k'!N3725,'Retirement Calculator'!A:A,0),0),0)</f>
        <v>0</v>
      </c>
      <c r="K3725" s="455">
        <f t="shared" ca="1" si="171"/>
        <v>-3706870308.3674378</v>
      </c>
      <c r="L3725" s="455">
        <f t="shared" ca="1" si="172"/>
        <v>-893355744316.55237</v>
      </c>
      <c r="M3725" s="471">
        <f t="shared" si="174"/>
        <v>0.05</v>
      </c>
      <c r="N3725" s="475">
        <f t="shared" si="175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73"/>
        <v>-893355744316.55237</v>
      </c>
      <c r="J3726" s="455">
        <f t="array" ref="J3726">IFERROR(INDEX('Retirement Calculator'!J:J,MATCH('Isaac 401k'!N3726,'Retirement Calculator'!A:A,0),0),0)</f>
        <v>0</v>
      </c>
      <c r="K3726" s="455">
        <f t="shared" ca="1" si="171"/>
        <v>-3722315601.3189683</v>
      </c>
      <c r="L3726" s="455">
        <f t="shared" ca="1" si="172"/>
        <v>-897078059917.87134</v>
      </c>
      <c r="M3726" s="471">
        <f t="shared" si="174"/>
        <v>0.05</v>
      </c>
      <c r="N3726" s="475">
        <f t="shared" si="175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73"/>
        <v>-897078059917.87134</v>
      </c>
      <c r="J3727" s="455">
        <f t="array" ref="J3727">IFERROR(INDEX('Retirement Calculator'!J:J,MATCH('Isaac 401k'!N3727,'Retirement Calculator'!A:A,0),0),0)</f>
        <v>0</v>
      </c>
      <c r="K3727" s="455">
        <f t="shared" ca="1" si="171"/>
        <v>-3737825249.6577969</v>
      </c>
      <c r="L3727" s="455">
        <f t="shared" ca="1" si="172"/>
        <v>-900815885167.52917</v>
      </c>
      <c r="M3727" s="471">
        <f t="shared" si="174"/>
        <v>0.05</v>
      </c>
      <c r="N3727" s="475">
        <f t="shared" si="175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73"/>
        <v>-900815885167.52917</v>
      </c>
      <c r="J3728" s="455">
        <f t="array" ref="J3728">IFERROR(INDEX('Retirement Calculator'!J:J,MATCH('Isaac 401k'!N3728,'Retirement Calculator'!A:A,0),0),0)</f>
        <v>0</v>
      </c>
      <c r="K3728" s="455">
        <f t="shared" ca="1" si="171"/>
        <v>-3753399521.5313716</v>
      </c>
      <c r="L3728" s="455">
        <f t="shared" ca="1" si="172"/>
        <v>-904569284689.06055</v>
      </c>
      <c r="M3728" s="471">
        <f t="shared" si="174"/>
        <v>0.05</v>
      </c>
      <c r="N3728" s="475">
        <f t="shared" si="175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73"/>
        <v>-904569284689.06055</v>
      </c>
      <c r="J3729" s="455">
        <f t="array" ref="J3729">IFERROR(INDEX('Retirement Calculator'!J:J,MATCH('Isaac 401k'!N3729,'Retirement Calculator'!A:A,0),0),0)</f>
        <v>0</v>
      </c>
      <c r="K3729" s="455">
        <f t="shared" ca="1" si="171"/>
        <v>-3769038686.2044187</v>
      </c>
      <c r="L3729" s="455">
        <f t="shared" ca="1" si="172"/>
        <v>-908338323375.26501</v>
      </c>
      <c r="M3729" s="471">
        <f t="shared" si="174"/>
        <v>0.05</v>
      </c>
      <c r="N3729" s="475">
        <f t="shared" si="175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73"/>
        <v>-908338323375.26501</v>
      </c>
      <c r="J3730" s="455">
        <f t="array" ref="J3730">IFERROR(INDEX('Retirement Calculator'!J:J,MATCH('Isaac 401k'!N3730,'Retirement Calculator'!A:A,0),0),0)</f>
        <v>0</v>
      </c>
      <c r="K3730" s="455">
        <f t="shared" ca="1" si="171"/>
        <v>-3784743014.0636044</v>
      </c>
      <c r="L3730" s="455">
        <f t="shared" ca="1" si="172"/>
        <v>-912123066389.32861</v>
      </c>
      <c r="M3730" s="471">
        <f t="shared" si="174"/>
        <v>0.05</v>
      </c>
      <c r="N3730" s="475">
        <f t="shared" si="175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73"/>
        <v>-912123066389.32861</v>
      </c>
      <c r="J3731" s="455">
        <f t="array" ref="J3731">IFERROR(INDEX('Retirement Calculator'!J:J,MATCH('Isaac 401k'!N3731,'Retirement Calculator'!A:A,0),0),0)</f>
        <v>0</v>
      </c>
      <c r="K3731" s="455">
        <f t="shared" ca="1" si="171"/>
        <v>-3800512776.6222029</v>
      </c>
      <c r="L3731" s="455">
        <f t="shared" ca="1" si="172"/>
        <v>-915923579165.95081</v>
      </c>
      <c r="M3731" s="471">
        <f t="shared" si="174"/>
        <v>0.05</v>
      </c>
      <c r="N3731" s="475">
        <f t="shared" si="175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73"/>
        <v>-915923579165.95081</v>
      </c>
      <c r="J3732" s="455">
        <f t="array" ref="J3732">IFERROR(INDEX('Retirement Calculator'!J:J,MATCH('Isaac 401k'!N3732,'Retirement Calculator'!A:A,0),0),0)</f>
        <v>0</v>
      </c>
      <c r="K3732" s="455">
        <f t="shared" ca="1" si="171"/>
        <v>-3816348246.5247946</v>
      </c>
      <c r="L3732" s="455">
        <f t="shared" ca="1" si="172"/>
        <v>-919739927412.47559</v>
      </c>
      <c r="M3732" s="471">
        <f t="shared" si="174"/>
        <v>0.05</v>
      </c>
      <c r="N3732" s="475">
        <f t="shared" si="175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73"/>
        <v>-919739927412.47559</v>
      </c>
      <c r="J3733" s="455">
        <f t="array" ref="J3733">IFERROR(INDEX('Retirement Calculator'!J:J,MATCH('Isaac 401k'!N3733,'Retirement Calculator'!A:A,0),0),0)</f>
        <v>0</v>
      </c>
      <c r="K3733" s="455">
        <f t="shared" ca="1" si="171"/>
        <v>-3832249697.5519814</v>
      </c>
      <c r="L3733" s="455">
        <f t="shared" ca="1" si="172"/>
        <v>-923572177110.02759</v>
      </c>
      <c r="M3733" s="471">
        <f t="shared" si="174"/>
        <v>0.05</v>
      </c>
      <c r="N3733" s="475">
        <f t="shared" si="175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73"/>
        <v>-923572177110.02759</v>
      </c>
      <c r="J3734" s="455">
        <f t="array" ref="J3734">IFERROR(INDEX('Retirement Calculator'!J:J,MATCH('Isaac 401k'!N3734,'Retirement Calculator'!A:A,0),0),0)</f>
        <v>0</v>
      </c>
      <c r="K3734" s="455">
        <f t="shared" ca="1" si="171"/>
        <v>-3848217404.6251149</v>
      </c>
      <c r="L3734" s="455">
        <f t="shared" ca="1" si="172"/>
        <v>-927420394514.65271</v>
      </c>
      <c r="M3734" s="471">
        <f t="shared" si="174"/>
        <v>0.05</v>
      </c>
      <c r="N3734" s="475">
        <f t="shared" si="175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73"/>
        <v>-927420394514.65271</v>
      </c>
      <c r="J3735" s="455">
        <f t="array" ref="J3735">IFERROR(INDEX('Retirement Calculator'!J:J,MATCH('Isaac 401k'!N3735,'Retirement Calculator'!A:A,0),0),0)</f>
        <v>0</v>
      </c>
      <c r="K3735" s="455">
        <f t="shared" ca="1" si="171"/>
        <v>-3864251643.8110528</v>
      </c>
      <c r="L3735" s="455">
        <f t="shared" ca="1" si="172"/>
        <v>-931284646158.46375</v>
      </c>
      <c r="M3735" s="471">
        <f t="shared" si="174"/>
        <v>0.05</v>
      </c>
      <c r="N3735" s="475">
        <f t="shared" si="175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73"/>
        <v>-931284646158.46375</v>
      </c>
      <c r="J3736" s="455">
        <f t="array" ref="J3736">IFERROR(INDEX('Retirement Calculator'!J:J,MATCH('Isaac 401k'!N3736,'Retirement Calculator'!A:A,0),0),0)</f>
        <v>0</v>
      </c>
      <c r="K3736" s="455">
        <f t="shared" ca="1" si="171"/>
        <v>-3880352692.3269329</v>
      </c>
      <c r="L3736" s="455">
        <f t="shared" ca="1" si="172"/>
        <v>-935164998850.79065</v>
      </c>
      <c r="M3736" s="471">
        <f t="shared" si="174"/>
        <v>0.05</v>
      </c>
      <c r="N3736" s="475">
        <f t="shared" si="175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73"/>
        <v>-935164998850.79065</v>
      </c>
      <c r="J3737" s="455">
        <f t="array" ref="J3737">IFERROR(INDEX('Retirement Calculator'!J:J,MATCH('Isaac 401k'!N3737,'Retirement Calculator'!A:A,0),0),0)</f>
        <v>0</v>
      </c>
      <c r="K3737" s="455">
        <f t="shared" ca="1" si="171"/>
        <v>-3896520828.544961</v>
      </c>
      <c r="L3737" s="455">
        <f t="shared" ca="1" si="172"/>
        <v>-939061519679.33557</v>
      </c>
      <c r="M3737" s="471">
        <f t="shared" si="174"/>
        <v>0.05</v>
      </c>
      <c r="N3737" s="475">
        <f t="shared" si="175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73"/>
        <v>-939061519679.33557</v>
      </c>
      <c r="J3738" s="455">
        <f t="array" ref="J3738">IFERROR(INDEX('Retirement Calculator'!J:J,MATCH('Isaac 401k'!N3738,'Retirement Calculator'!A:A,0),0),0)</f>
        <v>0</v>
      </c>
      <c r="K3738" s="455">
        <f t="shared" ca="1" si="171"/>
        <v>-3912756331.9972315</v>
      </c>
      <c r="L3738" s="455">
        <f t="shared" ca="1" si="172"/>
        <v>-942974276011.33276</v>
      </c>
      <c r="M3738" s="471">
        <f t="shared" si="174"/>
        <v>0.05</v>
      </c>
      <c r="N3738" s="475">
        <f t="shared" si="175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73"/>
        <v>-942974276011.33276</v>
      </c>
      <c r="J3739" s="455">
        <f t="array" ref="J3739">IFERROR(INDEX('Retirement Calculator'!J:J,MATCH('Isaac 401k'!N3739,'Retirement Calculator'!A:A,0),0),0)</f>
        <v>0</v>
      </c>
      <c r="K3739" s="455">
        <f t="shared" ca="1" si="171"/>
        <v>-3929059483.3805528</v>
      </c>
      <c r="L3739" s="455">
        <f t="shared" ca="1" si="172"/>
        <v>-946903335494.71326</v>
      </c>
      <c r="M3739" s="471">
        <f t="shared" si="174"/>
        <v>0.05</v>
      </c>
      <c r="N3739" s="475">
        <f t="shared" si="175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73"/>
        <v>-946903335494.71326</v>
      </c>
      <c r="J3740" s="455">
        <f t="array" ref="J3740">IFERROR(INDEX('Retirement Calculator'!J:J,MATCH('Isaac 401k'!N3740,'Retirement Calculator'!A:A,0),0),0)</f>
        <v>0</v>
      </c>
      <c r="K3740" s="455">
        <f t="shared" ca="1" si="171"/>
        <v>-3945430564.561305</v>
      </c>
      <c r="L3740" s="455">
        <f t="shared" ca="1" si="172"/>
        <v>-950848766059.27454</v>
      </c>
      <c r="M3740" s="471">
        <f t="shared" si="174"/>
        <v>0.05</v>
      </c>
      <c r="N3740" s="475">
        <f t="shared" si="175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73"/>
        <v>-950848766059.27454</v>
      </c>
      <c r="J3741" s="455">
        <f t="array" ref="J3741">IFERROR(INDEX('Retirement Calculator'!J:J,MATCH('Isaac 401k'!N3741,'Retirement Calculator'!A:A,0),0),0)</f>
        <v>0</v>
      </c>
      <c r="K3741" s="455">
        <f t="shared" ca="1" si="171"/>
        <v>-3961869858.5803108</v>
      </c>
      <c r="L3741" s="455">
        <f t="shared" ca="1" si="172"/>
        <v>-954810635917.85486</v>
      </c>
      <c r="M3741" s="471">
        <f t="shared" si="174"/>
        <v>0.05</v>
      </c>
      <c r="N3741" s="475">
        <f t="shared" si="175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73"/>
        <v>-954810635917.85486</v>
      </c>
      <c r="J3742" s="455">
        <f t="array" ref="J3742">IFERROR(INDEX('Retirement Calculator'!J:J,MATCH('Isaac 401k'!N3742,'Retirement Calculator'!A:A,0),0),0)</f>
        <v>0</v>
      </c>
      <c r="K3742" s="455">
        <f t="shared" ca="1" si="171"/>
        <v>-3978377649.6577287</v>
      </c>
      <c r="L3742" s="455">
        <f t="shared" ca="1" si="172"/>
        <v>-958789013567.51257</v>
      </c>
      <c r="M3742" s="471">
        <f t="shared" si="174"/>
        <v>0.05</v>
      </c>
      <c r="N3742" s="475">
        <f t="shared" si="175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73"/>
        <v>-958789013567.51257</v>
      </c>
      <c r="J3743" s="455">
        <f t="array" ref="J3743">IFERROR(INDEX('Retirement Calculator'!J:J,MATCH('Isaac 401k'!N3743,'Retirement Calculator'!A:A,0),0),0)</f>
        <v>0</v>
      </c>
      <c r="K3743" s="455">
        <f t="shared" ca="1" si="171"/>
        <v>-3994954223.197969</v>
      </c>
      <c r="L3743" s="455">
        <f t="shared" ca="1" si="172"/>
        <v>-962783967790.71057</v>
      </c>
      <c r="M3743" s="471">
        <f t="shared" si="174"/>
        <v>0.05</v>
      </c>
      <c r="N3743" s="475">
        <f t="shared" si="175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73"/>
        <v>-962783967790.71057</v>
      </c>
      <c r="J3744" s="455">
        <f t="array" ref="J3744">IFERROR(INDEX('Retirement Calculator'!J:J,MATCH('Isaac 401k'!N3744,'Retirement Calculator'!A:A,0),0),0)</f>
        <v>0</v>
      </c>
      <c r="K3744" s="455">
        <f t="shared" ca="1" si="171"/>
        <v>-4011599865.7946267</v>
      </c>
      <c r="L3744" s="455">
        <f t="shared" ca="1" si="172"/>
        <v>-966795567656.50525</v>
      </c>
      <c r="M3744" s="471">
        <f t="shared" si="174"/>
        <v>0.05</v>
      </c>
      <c r="N3744" s="475">
        <f t="shared" si="175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73"/>
        <v>-966795567656.50525</v>
      </c>
      <c r="J3745" s="455">
        <f t="array" ref="J3745">IFERROR(INDEX('Retirement Calculator'!J:J,MATCH('Isaac 401k'!N3745,'Retirement Calculator'!A:A,0),0),0)</f>
        <v>0</v>
      </c>
      <c r="K3745" s="455">
        <f t="shared" ca="1" si="171"/>
        <v>-4028314865.2354383</v>
      </c>
      <c r="L3745" s="455">
        <f t="shared" ca="1" si="172"/>
        <v>-970823882521.74072</v>
      </c>
      <c r="M3745" s="471">
        <f t="shared" si="174"/>
        <v>0.05</v>
      </c>
      <c r="N3745" s="475">
        <f t="shared" si="175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73"/>
        <v>-970823882521.74072</v>
      </c>
      <c r="J3746" s="455">
        <f t="array" ref="J3746">IFERROR(INDEX('Retirement Calculator'!J:J,MATCH('Isaac 401k'!N3746,'Retirement Calculator'!A:A,0),0),0)</f>
        <v>0</v>
      </c>
      <c r="K3746" s="455">
        <f t="shared" ca="1" si="171"/>
        <v>-4045099510.5072532</v>
      </c>
      <c r="L3746" s="455">
        <f t="shared" ca="1" si="172"/>
        <v>-974868982032.24792</v>
      </c>
      <c r="M3746" s="471">
        <f t="shared" si="174"/>
        <v>0.05</v>
      </c>
      <c r="N3746" s="475">
        <f t="shared" si="175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73"/>
        <v>-974868982032.24792</v>
      </c>
      <c r="J3747" s="455">
        <f t="array" ref="J3747">IFERROR(INDEX('Retirement Calculator'!J:J,MATCH('Isaac 401k'!N3747,'Retirement Calculator'!A:A,0),0),0)</f>
        <v>0</v>
      </c>
      <c r="K3747" s="455">
        <f t="shared" ca="1" si="171"/>
        <v>-4061954091.801033</v>
      </c>
      <c r="L3747" s="455">
        <f t="shared" ca="1" si="172"/>
        <v>-978930936124.04895</v>
      </c>
      <c r="M3747" s="471">
        <f t="shared" si="174"/>
        <v>0.05</v>
      </c>
      <c r="N3747" s="475">
        <f t="shared" si="175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73"/>
        <v>-978930936124.04895</v>
      </c>
      <c r="J3748" s="455">
        <f t="array" ref="J3748">IFERROR(INDEX('Retirement Calculator'!J:J,MATCH('Isaac 401k'!N3748,'Retirement Calculator'!A:A,0),0),0)</f>
        <v>0</v>
      </c>
      <c r="K3748" s="455">
        <f t="shared" ca="1" si="171"/>
        <v>-4078878900.51687</v>
      </c>
      <c r="L3748" s="455">
        <f t="shared" ca="1" si="172"/>
        <v>-983009815024.5658</v>
      </c>
      <c r="M3748" s="471">
        <f t="shared" si="174"/>
        <v>0.05</v>
      </c>
      <c r="N3748" s="475">
        <f t="shared" si="175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73"/>
        <v>-983009815024.5658</v>
      </c>
      <c r="J3749" s="455">
        <f t="array" ref="J3749">IFERROR(INDEX('Retirement Calculator'!J:J,MATCH('Isaac 401k'!N3749,'Retirement Calculator'!A:A,0),0),0)</f>
        <v>0</v>
      </c>
      <c r="K3749" s="455">
        <f t="shared" ca="1" si="171"/>
        <v>-4095874229.2690234</v>
      </c>
      <c r="L3749" s="455">
        <f t="shared" ca="1" si="172"/>
        <v>-987105689253.83484</v>
      </c>
      <c r="M3749" s="471">
        <f t="shared" si="174"/>
        <v>0.05</v>
      </c>
      <c r="N3749" s="475">
        <f t="shared" si="175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73"/>
        <v>-987105689253.83484</v>
      </c>
      <c r="J3750" s="455">
        <f t="array" ref="J3750">IFERROR(INDEX('Retirement Calculator'!J:J,MATCH('Isaac 401k'!N3750,'Retirement Calculator'!A:A,0),0),0)</f>
        <v>0</v>
      </c>
      <c r="K3750" s="455">
        <f t="shared" ca="1" si="171"/>
        <v>-4112940371.8909783</v>
      </c>
      <c r="L3750" s="455">
        <f t="shared" ca="1" si="172"/>
        <v>-991218629625.72583</v>
      </c>
      <c r="M3750" s="471">
        <f t="shared" si="174"/>
        <v>0.05</v>
      </c>
      <c r="N3750" s="475">
        <f t="shared" si="175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73"/>
        <v>-991218629625.72583</v>
      </c>
      <c r="J3751" s="455">
        <f t="array" ref="J3751">IFERROR(INDEX('Retirement Calculator'!J:J,MATCH('Isaac 401k'!N3751,'Retirement Calculator'!A:A,0),0),0)</f>
        <v>0</v>
      </c>
      <c r="K3751" s="455">
        <f t="shared" ca="1" si="171"/>
        <v>-4130077623.4405241</v>
      </c>
      <c r="L3751" s="455">
        <f t="shared" ca="1" si="172"/>
        <v>-995348707249.16638</v>
      </c>
      <c r="M3751" s="471">
        <f t="shared" si="174"/>
        <v>0.05</v>
      </c>
      <c r="N3751" s="475">
        <f t="shared" si="175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73"/>
        <v>-995348707249.16638</v>
      </c>
      <c r="J3752" s="455">
        <f t="array" ref="J3752">IFERROR(INDEX('Retirement Calculator'!J:J,MATCH('Isaac 401k'!N3752,'Retirement Calculator'!A:A,0),0),0)</f>
        <v>0</v>
      </c>
      <c r="K3752" s="455">
        <f t="shared" ca="1" si="171"/>
        <v>-4147286280.2048597</v>
      </c>
      <c r="L3752" s="455">
        <f t="shared" ca="1" si="172"/>
        <v>-999495993529.37122</v>
      </c>
      <c r="M3752" s="471">
        <f t="shared" si="174"/>
        <v>0.05</v>
      </c>
      <c r="N3752" s="475">
        <f t="shared" si="175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73"/>
        <v>-999495993529.37122</v>
      </c>
      <c r="J3753" s="455">
        <f t="array" ref="J3753">IFERROR(INDEX('Retirement Calculator'!J:J,MATCH('Isaac 401k'!N3753,'Retirement Calculator'!A:A,0),0),0)</f>
        <v>0</v>
      </c>
      <c r="K3753" s="455">
        <f t="shared" ca="1" si="171"/>
        <v>-4164566639.7057133</v>
      </c>
      <c r="L3753" s="455">
        <f t="shared" ca="1" si="172"/>
        <v>-1003660560169.0769</v>
      </c>
      <c r="M3753" s="471">
        <f t="shared" si="174"/>
        <v>0.05</v>
      </c>
      <c r="N3753" s="475">
        <f t="shared" si="175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73"/>
        <v>-1003660560169.0769</v>
      </c>
      <c r="J3754" s="455">
        <f t="array" ref="J3754">IFERROR(INDEX('Retirement Calculator'!J:J,MATCH('Isaac 401k'!N3754,'Retirement Calculator'!A:A,0),0),0)</f>
        <v>0</v>
      </c>
      <c r="K3754" s="455">
        <f t="shared" ca="1" si="171"/>
        <v>-4181919000.7044868</v>
      </c>
      <c r="L3754" s="455">
        <f t="shared" ca="1" si="172"/>
        <v>-1007842479169.7814</v>
      </c>
      <c r="M3754" s="471">
        <f t="shared" si="174"/>
        <v>0.05</v>
      </c>
      <c r="N3754" s="475">
        <f t="shared" si="175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73"/>
        <v>-1007842479169.7814</v>
      </c>
      <c r="J3755" s="455">
        <f t="array" ref="J3755">IFERROR(INDEX('Retirement Calculator'!J:J,MATCH('Isaac 401k'!N3755,'Retirement Calculator'!A:A,0),0),0)</f>
        <v>0</v>
      </c>
      <c r="K3755" s="455">
        <f t="shared" ca="1" si="171"/>
        <v>-4199343663.2074223</v>
      </c>
      <c r="L3755" s="455">
        <f t="shared" ca="1" si="172"/>
        <v>-1012041822832.9888</v>
      </c>
      <c r="M3755" s="471">
        <f t="shared" si="174"/>
        <v>0.05</v>
      </c>
      <c r="N3755" s="475">
        <f t="shared" si="175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73"/>
        <v>-1012041822832.9888</v>
      </c>
      <c r="J3756" s="455">
        <f t="array" ref="J3756">IFERROR(INDEX('Retirement Calculator'!J:J,MATCH('Isaac 401k'!N3756,'Retirement Calculator'!A:A,0),0),0)</f>
        <v>0</v>
      </c>
      <c r="K3756" s="455">
        <f t="shared" ca="1" si="171"/>
        <v>-4216840928.470787</v>
      </c>
      <c r="L3756" s="455">
        <f t="shared" ca="1" si="172"/>
        <v>-1016258663761.4596</v>
      </c>
      <c r="M3756" s="471">
        <f t="shared" si="174"/>
        <v>0.05</v>
      </c>
      <c r="N3756" s="475">
        <f t="shared" si="175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73"/>
        <v>-1016258663761.4596</v>
      </c>
      <c r="J3757" s="455">
        <f t="array" ref="J3757">IFERROR(INDEX('Retirement Calculator'!J:J,MATCH('Isaac 401k'!N3757,'Retirement Calculator'!A:A,0),0),0)</f>
        <v>0</v>
      </c>
      <c r="K3757" s="455">
        <f t="shared" ca="1" si="171"/>
        <v>-4234411099.0060816</v>
      </c>
      <c r="L3757" s="455">
        <f t="shared" ca="1" si="172"/>
        <v>-1020493074860.4657</v>
      </c>
      <c r="M3757" s="471">
        <f t="shared" si="174"/>
        <v>0.05</v>
      </c>
      <c r="N3757" s="475">
        <f t="shared" si="175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73"/>
        <v>-1020493074860.4657</v>
      </c>
      <c r="J3758" s="455">
        <f t="array" ref="J3758">IFERROR(INDEX('Retirement Calculator'!J:J,MATCH('Isaac 401k'!N3758,'Retirement Calculator'!A:A,0),0),0)</f>
        <v>0</v>
      </c>
      <c r="K3758" s="455">
        <f t="shared" ca="1" si="171"/>
        <v>-4252054478.5852737</v>
      </c>
      <c r="L3758" s="455">
        <f t="shared" ca="1" si="172"/>
        <v>-1024745129339.051</v>
      </c>
      <c r="M3758" s="471">
        <f t="shared" si="174"/>
        <v>0.05</v>
      </c>
      <c r="N3758" s="475">
        <f t="shared" si="175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73"/>
        <v>-1024745129339.051</v>
      </c>
      <c r="J3759" s="455">
        <f t="array" ref="J3759">IFERROR(INDEX('Retirement Calculator'!J:J,MATCH('Isaac 401k'!N3759,'Retirement Calculator'!A:A,0),0),0)</f>
        <v>0</v>
      </c>
      <c r="K3759" s="455">
        <f t="shared" ca="1" si="171"/>
        <v>-4269771372.2460461</v>
      </c>
      <c r="L3759" s="455">
        <f t="shared" ca="1" si="172"/>
        <v>-1029014900711.2971</v>
      </c>
      <c r="M3759" s="471">
        <f t="shared" si="174"/>
        <v>0.05</v>
      </c>
      <c r="N3759" s="475">
        <f t="shared" si="175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73"/>
        <v>-1029014900711.2971</v>
      </c>
      <c r="J3760" s="455">
        <f t="array" ref="J3760">IFERROR(INDEX('Retirement Calculator'!J:J,MATCH('Isaac 401k'!N3760,'Retirement Calculator'!A:A,0),0),0)</f>
        <v>0</v>
      </c>
      <c r="K3760" s="455">
        <f t="shared" ca="1" si="171"/>
        <v>-4287562086.2970715</v>
      </c>
      <c r="L3760" s="455">
        <f t="shared" ca="1" si="172"/>
        <v>-1033302462797.5942</v>
      </c>
      <c r="M3760" s="471">
        <f t="shared" si="174"/>
        <v>0.05</v>
      </c>
      <c r="N3760" s="475">
        <f t="shared" si="175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73"/>
        <v>-1033302462797.5942</v>
      </c>
      <c r="J3761" s="455">
        <f t="array" ref="J3761">IFERROR(INDEX('Retirement Calculator'!J:J,MATCH('Isaac 401k'!N3761,'Retirement Calculator'!A:A,0),0),0)</f>
        <v>0</v>
      </c>
      <c r="K3761" s="455">
        <f t="shared" ca="1" si="171"/>
        <v>-4305426928.3233089</v>
      </c>
      <c r="L3761" s="455">
        <f t="shared" ca="1" si="172"/>
        <v>-1037607889725.9176</v>
      </c>
      <c r="M3761" s="471">
        <f t="shared" si="174"/>
        <v>0.05</v>
      </c>
      <c r="N3761" s="475">
        <f t="shared" si="175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73"/>
        <v>-1037607889725.9176</v>
      </c>
      <c r="J3762" s="455">
        <f t="array" ref="J3762">IFERROR(INDEX('Retirement Calculator'!J:J,MATCH('Isaac 401k'!N3762,'Retirement Calculator'!A:A,0),0),0)</f>
        <v>0</v>
      </c>
      <c r="K3762" s="455">
        <f t="shared" ca="1" si="171"/>
        <v>-4323366207.1913233</v>
      </c>
      <c r="L3762" s="455">
        <f t="shared" ca="1" si="172"/>
        <v>-1041931255933.1089</v>
      </c>
      <c r="M3762" s="471">
        <f t="shared" si="174"/>
        <v>0.05</v>
      </c>
      <c r="N3762" s="475">
        <f t="shared" si="175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73"/>
        <v>-1041931255933.1089</v>
      </c>
      <c r="J3763" s="455">
        <f t="array" ref="J3763">IFERROR(INDEX('Retirement Calculator'!J:J,MATCH('Isaac 401k'!N3763,'Retirement Calculator'!A:A,0),0),0)</f>
        <v>0</v>
      </c>
      <c r="K3763" s="455">
        <f t="shared" ca="1" si="171"/>
        <v>-4341380233.0546207</v>
      </c>
      <c r="L3763" s="455">
        <f t="shared" ca="1" si="172"/>
        <v>-1046272636166.1635</v>
      </c>
      <c r="M3763" s="471">
        <f t="shared" si="174"/>
        <v>0.05</v>
      </c>
      <c r="N3763" s="475">
        <f t="shared" si="175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73"/>
        <v>-1046272636166.1635</v>
      </c>
      <c r="J3764" s="455">
        <f t="array" ref="J3764">IFERROR(INDEX('Retirement Calculator'!J:J,MATCH('Isaac 401k'!N3764,'Retirement Calculator'!A:A,0),0),0)</f>
        <v>0</v>
      </c>
      <c r="K3764" s="455">
        <f t="shared" ca="1" si="171"/>
        <v>-4359469317.3590136</v>
      </c>
      <c r="L3764" s="455">
        <f t="shared" ca="1" si="172"/>
        <v>-1050632105483.5225</v>
      </c>
      <c r="M3764" s="471">
        <f t="shared" si="174"/>
        <v>0.05</v>
      </c>
      <c r="N3764" s="475">
        <f t="shared" si="175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73"/>
        <v>-1050632105483.5225</v>
      </c>
      <c r="J3765" s="455">
        <f t="array" ref="J3765">IFERROR(INDEX('Retirement Calculator'!J:J,MATCH('Isaac 401k'!N3765,'Retirement Calculator'!A:A,0),0),0)</f>
        <v>0</v>
      </c>
      <c r="K3765" s="455">
        <f t="shared" ca="1" si="171"/>
        <v>-4377633772.8480101</v>
      </c>
      <c r="L3765" s="455">
        <f t="shared" ca="1" si="172"/>
        <v>-1055009739256.3705</v>
      </c>
      <c r="M3765" s="471">
        <f t="shared" si="174"/>
        <v>0.05</v>
      </c>
      <c r="N3765" s="475">
        <f t="shared" si="175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73"/>
        <v>-1055009739256.3705</v>
      </c>
      <c r="J3766" s="455">
        <f t="array" ref="J3766">IFERROR(INDEX('Retirement Calculator'!J:J,MATCH('Isaac 401k'!N3766,'Retirement Calculator'!A:A,0),0),0)</f>
        <v>0</v>
      </c>
      <c r="K3766" s="455">
        <f t="shared" ca="1" si="171"/>
        <v>-4395873913.5682106</v>
      </c>
      <c r="L3766" s="455">
        <f t="shared" ca="1" si="172"/>
        <v>-1059405613169.9387</v>
      </c>
      <c r="M3766" s="471">
        <f t="shared" si="174"/>
        <v>0.05</v>
      </c>
      <c r="N3766" s="475">
        <f t="shared" si="175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73"/>
        <v>-1059405613169.9387</v>
      </c>
      <c r="J3767" s="455">
        <f t="array" ref="J3767">IFERROR(INDEX('Retirement Calculator'!J:J,MATCH('Isaac 401k'!N3767,'Retirement Calculator'!A:A,0),0),0)</f>
        <v>0</v>
      </c>
      <c r="K3767" s="455">
        <f t="shared" ca="1" si="171"/>
        <v>-4414190054.8747444</v>
      </c>
      <c r="L3767" s="455">
        <f t="shared" ca="1" si="172"/>
        <v>-1063819803224.8135</v>
      </c>
      <c r="M3767" s="471">
        <f t="shared" si="174"/>
        <v>0.05</v>
      </c>
      <c r="N3767" s="475">
        <f t="shared" si="175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73"/>
        <v>-1063819803224.8135</v>
      </c>
      <c r="J3768" s="455">
        <f t="array" ref="J3768">IFERROR(INDEX('Retirement Calculator'!J:J,MATCH('Isaac 401k'!N3768,'Retirement Calculator'!A:A,0),0),0)</f>
        <v>0</v>
      </c>
      <c r="K3768" s="455">
        <f t="shared" ca="1" si="171"/>
        <v>-4432582513.4367228</v>
      </c>
      <c r="L3768" s="455">
        <f t="shared" ca="1" si="172"/>
        <v>-1068252385738.2502</v>
      </c>
      <c r="M3768" s="471">
        <f t="shared" si="174"/>
        <v>0.05</v>
      </c>
      <c r="N3768" s="475">
        <f t="shared" si="175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73"/>
        <v>-1068252385738.2502</v>
      </c>
      <c r="J3769" s="455">
        <f t="array" ref="J3769">IFERROR(INDEX('Retirement Calculator'!J:J,MATCH('Isaac 401k'!N3769,'Retirement Calculator'!A:A,0),0),0)</f>
        <v>0</v>
      </c>
      <c r="K3769" s="455">
        <f t="shared" ca="1" si="171"/>
        <v>-4451051607.2427101</v>
      </c>
      <c r="L3769" s="455">
        <f t="shared" ca="1" si="172"/>
        <v>-1072703437345.4929</v>
      </c>
      <c r="M3769" s="471">
        <f t="shared" si="174"/>
        <v>0.05</v>
      </c>
      <c r="N3769" s="475">
        <f t="shared" si="175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73"/>
        <v>-1072703437345.4929</v>
      </c>
      <c r="J3770" s="455">
        <f t="array" ref="J3770">IFERROR(INDEX('Retirement Calculator'!J:J,MATCH('Isaac 401k'!N3770,'Retirement Calculator'!A:A,0),0),0)</f>
        <v>0</v>
      </c>
      <c r="K3770" s="455">
        <f t="shared" ca="1" si="171"/>
        <v>-4469597655.6062202</v>
      </c>
      <c r="L3770" s="455">
        <f t="shared" ca="1" si="172"/>
        <v>-1077173035001.0991</v>
      </c>
      <c r="M3770" s="471">
        <f t="shared" si="174"/>
        <v>0.05</v>
      </c>
      <c r="N3770" s="475">
        <f t="shared" si="175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73"/>
        <v>-1077173035001.0991</v>
      </c>
      <c r="J3771" s="455">
        <f t="array" ref="J3771">IFERROR(INDEX('Retirement Calculator'!J:J,MATCH('Isaac 401k'!N3771,'Retirement Calculator'!A:A,0),0),0)</f>
        <v>0</v>
      </c>
      <c r="K3771" s="455">
        <f t="shared" ca="1" si="171"/>
        <v>-4488220979.1712465</v>
      </c>
      <c r="L3771" s="455">
        <f t="shared" ca="1" si="172"/>
        <v>-1081661255980.2704</v>
      </c>
      <c r="M3771" s="471">
        <f t="shared" si="174"/>
        <v>0.05</v>
      </c>
      <c r="N3771" s="475">
        <f t="shared" si="175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73"/>
        <v>-1081661255980.2704</v>
      </c>
      <c r="J3772" s="455">
        <f t="array" ref="J3772">IFERROR(INDEX('Retirement Calculator'!J:J,MATCH('Isaac 401k'!N3772,'Retirement Calculator'!A:A,0),0),0)</f>
        <v>0</v>
      </c>
      <c r="K3772" s="455">
        <f t="shared" ca="1" si="171"/>
        <v>-4506921899.9177933</v>
      </c>
      <c r="L3772" s="455">
        <f t="shared" ca="1" si="172"/>
        <v>-1086168177880.1882</v>
      </c>
      <c r="M3772" s="471">
        <f t="shared" si="174"/>
        <v>0.05</v>
      </c>
      <c r="N3772" s="475">
        <f t="shared" si="175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73"/>
        <v>-1086168177880.1882</v>
      </c>
      <c r="J3773" s="455">
        <f t="array" ref="J3773">IFERROR(INDEX('Retirement Calculator'!J:J,MATCH('Isaac 401k'!N3773,'Retirement Calculator'!A:A,0),0),0)</f>
        <v>0</v>
      </c>
      <c r="K3773" s="455">
        <f t="shared" ca="1" si="171"/>
        <v>-4525700741.1674509</v>
      </c>
      <c r="L3773" s="455">
        <f t="shared" ca="1" si="172"/>
        <v>-1090693878621.3557</v>
      </c>
      <c r="M3773" s="471">
        <f t="shared" si="174"/>
        <v>0.05</v>
      </c>
      <c r="N3773" s="475">
        <f t="shared" si="175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73"/>
        <v>-1090693878621.3557</v>
      </c>
      <c r="J3774" s="455">
        <f t="array" ref="J3774">IFERROR(INDEX('Retirement Calculator'!J:J,MATCH('Isaac 401k'!N3774,'Retirement Calculator'!A:A,0),0),0)</f>
        <v>0</v>
      </c>
      <c r="K3774" s="455">
        <f t="shared" ca="1" si="171"/>
        <v>-4544557827.5889816</v>
      </c>
      <c r="L3774" s="455">
        <f t="shared" ca="1" si="172"/>
        <v>-1095238436448.9447</v>
      </c>
      <c r="M3774" s="471">
        <f t="shared" si="174"/>
        <v>0.05</v>
      </c>
      <c r="N3774" s="475">
        <f t="shared" si="175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73"/>
        <v>-1095238436448.9447</v>
      </c>
      <c r="J3775" s="455">
        <f t="array" ref="J3775">IFERROR(INDEX('Retirement Calculator'!J:J,MATCH('Isaac 401k'!N3775,'Retirement Calculator'!A:A,0),0),0)</f>
        <v>0</v>
      </c>
      <c r="K3775" s="455">
        <f t="shared" ca="1" si="171"/>
        <v>-4563493485.2039366</v>
      </c>
      <c r="L3775" s="455">
        <f t="shared" ca="1" si="172"/>
        <v>-1099801929934.1487</v>
      </c>
      <c r="M3775" s="471">
        <f t="shared" si="174"/>
        <v>0.05</v>
      </c>
      <c r="N3775" s="475">
        <f t="shared" si="175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73"/>
        <v>-1099801929934.1487</v>
      </c>
      <c r="J3776" s="455">
        <f t="array" ref="J3776">IFERROR(INDEX('Retirement Calculator'!J:J,MATCH('Isaac 401k'!N3776,'Retirement Calculator'!A:A,0),0),0)</f>
        <v>0</v>
      </c>
      <c r="K3776" s="455">
        <f t="shared" ca="1" si="171"/>
        <v>-4582508041.3922863</v>
      </c>
      <c r="L3776" s="455">
        <f t="shared" ca="1" si="172"/>
        <v>-1104384437975.541</v>
      </c>
      <c r="M3776" s="471">
        <f t="shared" si="174"/>
        <v>0.05</v>
      </c>
      <c r="N3776" s="475">
        <f t="shared" si="175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73"/>
        <v>-1104384437975.541</v>
      </c>
      <c r="J3777" s="455">
        <f t="array" ref="J3777">IFERROR(INDEX('Retirement Calculator'!J:J,MATCH('Isaac 401k'!N3777,'Retirement Calculator'!A:A,0),0),0)</f>
        <v>0</v>
      </c>
      <c r="K3777" s="455">
        <f t="shared" ca="1" si="171"/>
        <v>-4601601824.8980875</v>
      </c>
      <c r="L3777" s="455">
        <f t="shared" ca="1" si="172"/>
        <v>-1108986039800.4392</v>
      </c>
      <c r="M3777" s="471">
        <f t="shared" si="174"/>
        <v>0.05</v>
      </c>
      <c r="N3777" s="475">
        <f t="shared" si="175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73"/>
        <v>-1108986039800.4392</v>
      </c>
      <c r="J3778" s="455">
        <f t="array" ref="J3778">IFERROR(INDEX('Retirement Calculator'!J:J,MATCH('Isaac 401k'!N3778,'Retirement Calculator'!A:A,0),0),0)</f>
        <v>0</v>
      </c>
      <c r="K3778" s="455">
        <f t="shared" ca="1" si="171"/>
        <v>-4620775165.8351631</v>
      </c>
      <c r="L3778" s="455">
        <f t="shared" ca="1" si="172"/>
        <v>-1113606814966.2744</v>
      </c>
      <c r="M3778" s="471">
        <f t="shared" si="174"/>
        <v>0.05</v>
      </c>
      <c r="N3778" s="475">
        <f t="shared" si="175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73"/>
        <v>-1113606814966.2744</v>
      </c>
      <c r="J3779" s="455">
        <f t="array" ref="J3779">IFERROR(INDEX('Retirement Calculator'!J:J,MATCH('Isaac 401k'!N3779,'Retirement Calculator'!A:A,0),0),0)</f>
        <v>0</v>
      </c>
      <c r="K3779" s="455">
        <f t="shared" ca="1" si="171"/>
        <v>-4640028395.6928101</v>
      </c>
      <c r="L3779" s="455">
        <f t="shared" ca="1" si="172"/>
        <v>-1118246843361.9673</v>
      </c>
      <c r="M3779" s="471">
        <f t="shared" si="174"/>
        <v>0.05</v>
      </c>
      <c r="N3779" s="475">
        <f t="shared" si="175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73"/>
        <v>-1118246843361.9673</v>
      </c>
      <c r="J3780" s="455">
        <f t="array" ref="J3780">IFERROR(INDEX('Retirement Calculator'!J:J,MATCH('Isaac 401k'!N3780,'Retirement Calculator'!A:A,0),0),0)</f>
        <v>0</v>
      </c>
      <c r="K3780" s="455">
        <f t="shared" ca="1" si="171"/>
        <v>-4659361847.3415298</v>
      </c>
      <c r="L3780" s="455">
        <f t="shared" ca="1" si="172"/>
        <v>-1122906205209.3088</v>
      </c>
      <c r="M3780" s="471">
        <f t="shared" si="174"/>
        <v>0.05</v>
      </c>
      <c r="N3780" s="475">
        <f t="shared" si="175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73"/>
        <v>-1122906205209.3088</v>
      </c>
      <c r="J3781" s="455">
        <f t="array" ref="J3781">IFERROR(INDEX('Retirement Calculator'!J:J,MATCH('Isaac 401k'!N3781,'Retirement Calculator'!A:A,0),0),0)</f>
        <v>0</v>
      </c>
      <c r="K3781" s="455">
        <f t="shared" ca="1" si="171"/>
        <v>-4678775855.0387869</v>
      </c>
      <c r="L3781" s="455">
        <f t="shared" ca="1" si="172"/>
        <v>-1127584981064.3477</v>
      </c>
      <c r="M3781" s="471">
        <f t="shared" si="174"/>
        <v>0.05</v>
      </c>
      <c r="N3781" s="475">
        <f t="shared" si="175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73"/>
        <v>-1127584981064.3477</v>
      </c>
      <c r="J3782" s="455">
        <f t="array" ref="J3782">IFERROR(INDEX('Retirement Calculator'!J:J,MATCH('Isaac 401k'!N3782,'Retirement Calculator'!A:A,0),0),0)</f>
        <v>0</v>
      </c>
      <c r="K3782" s="455">
        <f t="shared" ca="1" si="171"/>
        <v>-4698270754.434782</v>
      </c>
      <c r="L3782" s="455">
        <f t="shared" ca="1" si="172"/>
        <v>-1132283251818.7825</v>
      </c>
      <c r="M3782" s="471">
        <f t="shared" si="174"/>
        <v>0.05</v>
      </c>
      <c r="N3782" s="475">
        <f t="shared" si="175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73"/>
        <v>-1132283251818.7825</v>
      </c>
      <c r="J3783" s="455">
        <f t="array" ref="J3783">IFERROR(INDEX('Retirement Calculator'!J:J,MATCH('Isaac 401k'!N3783,'Retirement Calculator'!A:A,0),0),0)</f>
        <v>0</v>
      </c>
      <c r="K3783" s="455">
        <f t="shared" ca="1" si="171"/>
        <v>-4717846882.5782604</v>
      </c>
      <c r="L3783" s="455">
        <f t="shared" ca="1" si="172"/>
        <v>-1137001098701.3608</v>
      </c>
      <c r="M3783" s="471">
        <f t="shared" si="174"/>
        <v>0.05</v>
      </c>
      <c r="N3783" s="475">
        <f t="shared" si="175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73"/>
        <v>-1137001098701.3608</v>
      </c>
      <c r="J3784" s="455">
        <f t="array" ref="J3784">IFERROR(INDEX('Retirement Calculator'!J:J,MATCH('Isaac 401k'!N3784,'Retirement Calculator'!A:A,0),0),0)</f>
        <v>0</v>
      </c>
      <c r="K3784" s="455">
        <f t="shared" ca="1" si="171"/>
        <v>-4737504577.9223366</v>
      </c>
      <c r="L3784" s="455">
        <f t="shared" ca="1" si="172"/>
        <v>-1141738603279.2832</v>
      </c>
      <c r="M3784" s="471">
        <f t="shared" si="174"/>
        <v>0.05</v>
      </c>
      <c r="N3784" s="475">
        <f t="shared" si="175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73"/>
        <v>-1141738603279.2832</v>
      </c>
      <c r="J3785" s="455">
        <f t="array" ref="J3785">IFERROR(INDEX('Retirement Calculator'!J:J,MATCH('Isaac 401k'!N3785,'Retirement Calculator'!A:A,0),0),0)</f>
        <v>0</v>
      </c>
      <c r="K3785" s="455">
        <f t="shared" ca="1" si="171"/>
        <v>-4757244180.3303471</v>
      </c>
      <c r="L3785" s="455">
        <f t="shared" ca="1" si="172"/>
        <v>-1146495847459.6135</v>
      </c>
      <c r="M3785" s="471">
        <f t="shared" si="174"/>
        <v>0.05</v>
      </c>
      <c r="N3785" s="475">
        <f t="shared" si="175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73"/>
        <v>-1146495847459.6135</v>
      </c>
      <c r="J3786" s="455">
        <f t="array" ref="J3786">IFERROR(INDEX('Retirement Calculator'!J:J,MATCH('Isaac 401k'!N3786,'Retirement Calculator'!A:A,0),0),0)</f>
        <v>0</v>
      </c>
      <c r="K3786" s="455">
        <f t="shared" ca="1" si="171"/>
        <v>-4777066031.0817232</v>
      </c>
      <c r="L3786" s="455">
        <f t="shared" ca="1" si="172"/>
        <v>-1151272913490.6953</v>
      </c>
      <c r="M3786" s="471">
        <f t="shared" si="174"/>
        <v>0.05</v>
      </c>
      <c r="N3786" s="475">
        <f t="shared" si="175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73"/>
        <v>-1151272913490.6953</v>
      </c>
      <c r="J3787" s="455">
        <f t="array" ref="J3787">IFERROR(INDEX('Retirement Calculator'!J:J,MATCH('Isaac 401k'!N3787,'Retirement Calculator'!A:A,0),0),0)</f>
        <v>0</v>
      </c>
      <c r="K3787" s="455">
        <f t="shared" ca="1" si="171"/>
        <v>-4796970472.8778973</v>
      </c>
      <c r="L3787" s="455">
        <f t="shared" ca="1" si="172"/>
        <v>-1156069883963.5732</v>
      </c>
      <c r="M3787" s="471">
        <f t="shared" si="174"/>
        <v>0.05</v>
      </c>
      <c r="N3787" s="475">
        <f t="shared" si="175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73"/>
        <v>-1156069883963.5732</v>
      </c>
      <c r="J3788" s="455">
        <f t="array" ref="J3788">IFERROR(INDEX('Retirement Calculator'!J:J,MATCH('Isaac 401k'!N3788,'Retirement Calculator'!A:A,0),0),0)</f>
        <v>0</v>
      </c>
      <c r="K3788" s="455">
        <f t="shared" ca="1" si="171"/>
        <v>-4816957849.8482218</v>
      </c>
      <c r="L3788" s="455">
        <f t="shared" ca="1" si="172"/>
        <v>-1160886841813.4214</v>
      </c>
      <c r="M3788" s="471">
        <f t="shared" si="174"/>
        <v>0.05</v>
      </c>
      <c r="N3788" s="475">
        <f t="shared" si="175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73"/>
        <v>-1160886841813.4214</v>
      </c>
      <c r="J3789" s="455">
        <f t="array" ref="J3789">IFERROR(INDEX('Retirement Calculator'!J:J,MATCH('Isaac 401k'!N3789,'Retirement Calculator'!A:A,0),0),0)</f>
        <v>0</v>
      </c>
      <c r="K3789" s="455">
        <f t="shared" ca="1" si="171"/>
        <v>-4837028507.5559225</v>
      </c>
      <c r="L3789" s="455">
        <f t="shared" ca="1" si="172"/>
        <v>-1165723870320.9773</v>
      </c>
      <c r="M3789" s="471">
        <f t="shared" si="174"/>
        <v>0.05</v>
      </c>
      <c r="N3789" s="475">
        <f t="shared" si="175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73"/>
        <v>-1165723870320.9773</v>
      </c>
      <c r="J3790" s="455">
        <f t="array" ref="J3790">IFERROR(INDEX('Retirement Calculator'!J:J,MATCH('Isaac 401k'!N3790,'Retirement Calculator'!A:A,0),0),0)</f>
        <v>0</v>
      </c>
      <c r="K3790" s="455">
        <f t="shared" ca="1" si="171"/>
        <v>-4857182793.0040722</v>
      </c>
      <c r="L3790" s="455">
        <f t="shared" ca="1" si="172"/>
        <v>-1170581053113.9814</v>
      </c>
      <c r="M3790" s="471">
        <f t="shared" si="174"/>
        <v>0.05</v>
      </c>
      <c r="N3790" s="475">
        <f t="shared" si="175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73"/>
        <v>-1170581053113.9814</v>
      </c>
      <c r="J3791" s="455">
        <f t="array" ref="J3791">IFERROR(INDEX('Retirement Calculator'!J:J,MATCH('Isaac 401k'!N3791,'Retirement Calculator'!A:A,0),0),0)</f>
        <v>0</v>
      </c>
      <c r="K3791" s="455">
        <f t="shared" ca="1" si="171"/>
        <v>-4877421054.6415892</v>
      </c>
      <c r="L3791" s="455">
        <f t="shared" ca="1" si="172"/>
        <v>-1175458474168.623</v>
      </c>
      <c r="M3791" s="471">
        <f t="shared" si="174"/>
        <v>0.05</v>
      </c>
      <c r="N3791" s="475">
        <f t="shared" si="175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73"/>
        <v>-1175458474168.623</v>
      </c>
      <c r="J3792" s="455">
        <f t="array" ref="J3792">IFERROR(INDEX('Retirement Calculator'!J:J,MATCH('Isaac 401k'!N3792,'Retirement Calculator'!A:A,0),0),0)</f>
        <v>0</v>
      </c>
      <c r="K3792" s="455">
        <f t="shared" ca="1" si="171"/>
        <v>-4897743642.3692627</v>
      </c>
      <c r="L3792" s="455">
        <f t="shared" ca="1" si="172"/>
        <v>-1180356217810.9922</v>
      </c>
      <c r="M3792" s="471">
        <f t="shared" si="174"/>
        <v>0.05</v>
      </c>
      <c r="N3792" s="475">
        <f t="shared" si="175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73"/>
        <v>-1180356217810.9922</v>
      </c>
      <c r="J3793" s="455">
        <f t="array" ref="J3793">IFERROR(INDEX('Retirement Calculator'!J:J,MATCH('Isaac 401k'!N3793,'Retirement Calculator'!A:A,0),0),0)</f>
        <v>0</v>
      </c>
      <c r="K3793" s="455">
        <f t="shared" ca="1" si="171"/>
        <v>-4918150907.5458012</v>
      </c>
      <c r="L3793" s="455">
        <f t="shared" ca="1" si="172"/>
        <v>-1185274368718.5381</v>
      </c>
      <c r="M3793" s="471">
        <f t="shared" si="174"/>
        <v>0.05</v>
      </c>
      <c r="N3793" s="475">
        <f t="shared" si="175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73"/>
        <v>-1185274368718.5381</v>
      </c>
      <c r="J3794" s="455">
        <f t="array" ref="J3794">IFERROR(INDEX('Retirement Calculator'!J:J,MATCH('Isaac 401k'!N3794,'Retirement Calculator'!A:A,0),0),0)</f>
        <v>0</v>
      </c>
      <c r="K3794" s="455">
        <f t="shared" ca="1" si="171"/>
        <v>-4938643202.9939089</v>
      </c>
      <c r="L3794" s="455">
        <f t="shared" ca="1" si="172"/>
        <v>-1190213011921.532</v>
      </c>
      <c r="M3794" s="471">
        <f t="shared" si="174"/>
        <v>0.05</v>
      </c>
      <c r="N3794" s="475">
        <f t="shared" si="175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73"/>
        <v>-1190213011921.532</v>
      </c>
      <c r="J3795" s="455">
        <f t="array" ref="J3795">IFERROR(INDEX('Retirement Calculator'!J:J,MATCH('Isaac 401k'!N3795,'Retirement Calculator'!A:A,0),0),0)</f>
        <v>0</v>
      </c>
      <c r="K3795" s="455">
        <f t="shared" ca="1" si="171"/>
        <v>-4959220883.0063829</v>
      </c>
      <c r="L3795" s="455">
        <f t="shared" ca="1" si="172"/>
        <v>-1195172232804.5383</v>
      </c>
      <c r="M3795" s="471">
        <f t="shared" si="174"/>
        <v>0.05</v>
      </c>
      <c r="N3795" s="475">
        <f t="shared" si="175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73"/>
        <v>-1195172232804.5383</v>
      </c>
      <c r="J3796" s="455">
        <f t="array" ref="J3796">IFERROR(INDEX('Retirement Calculator'!J:J,MATCH('Isaac 401k'!N3796,'Retirement Calculator'!A:A,0),0),0)</f>
        <v>0</v>
      </c>
      <c r="K3796" s="455">
        <f t="shared" ca="1" si="171"/>
        <v>-4979884303.3522434</v>
      </c>
      <c r="L3796" s="455">
        <f t="shared" ca="1" si="172"/>
        <v>-1200152117107.8906</v>
      </c>
      <c r="M3796" s="471">
        <f t="shared" si="174"/>
        <v>0.05</v>
      </c>
      <c r="N3796" s="475">
        <f t="shared" si="175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73"/>
        <v>-1200152117107.8906</v>
      </c>
      <c r="J3797" s="455">
        <f t="array" ref="J3797">IFERROR(INDEX('Retirement Calculator'!J:J,MATCH('Isaac 401k'!N3797,'Retirement Calculator'!A:A,0),0),0)</f>
        <v>0</v>
      </c>
      <c r="K3797" s="455">
        <f t="shared" ca="1" si="171"/>
        <v>-5000633821.2828779</v>
      </c>
      <c r="L3797" s="455">
        <f t="shared" ca="1" si="172"/>
        <v>-1205152750929.1736</v>
      </c>
      <c r="M3797" s="471">
        <f t="shared" si="174"/>
        <v>0.05</v>
      </c>
      <c r="N3797" s="475">
        <f t="shared" si="175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73"/>
        <v>-1205152750929.1736</v>
      </c>
      <c r="J3798" s="455">
        <f t="array" ref="J3798">IFERROR(INDEX('Retirement Calculator'!J:J,MATCH('Isaac 401k'!N3798,'Retirement Calculator'!A:A,0),0),0)</f>
        <v>0</v>
      </c>
      <c r="K3798" s="455">
        <f t="shared" ca="1" si="171"/>
        <v>-5021469795.5382233</v>
      </c>
      <c r="L3798" s="455">
        <f t="shared" ca="1" si="172"/>
        <v>-1210174220724.7119</v>
      </c>
      <c r="M3798" s="471">
        <f t="shared" si="174"/>
        <v>0.05</v>
      </c>
      <c r="N3798" s="475">
        <f t="shared" si="175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73"/>
        <v>-1210174220724.7119</v>
      </c>
      <c r="J3799" s="455">
        <f t="array" ref="J3799">IFERROR(INDEX('Retirement Calculator'!J:J,MATCH('Isaac 401k'!N3799,'Retirement Calculator'!A:A,0),0),0)</f>
        <v>0</v>
      </c>
      <c r="K3799" s="455">
        <f t="shared" ca="1" si="171"/>
        <v>-5042392586.3529663</v>
      </c>
      <c r="L3799" s="455">
        <f t="shared" ca="1" si="172"/>
        <v>-1215216613311.0649</v>
      </c>
      <c r="M3799" s="471">
        <f t="shared" si="174"/>
        <v>0.05</v>
      </c>
      <c r="N3799" s="475">
        <f t="shared" si="175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73"/>
        <v>-1215216613311.0649</v>
      </c>
      <c r="J3800" s="455">
        <f t="array" ref="J3800">IFERROR(INDEX('Retirement Calculator'!J:J,MATCH('Isaac 401k'!N3800,'Retirement Calculator'!A:A,0),0),0)</f>
        <v>0</v>
      </c>
      <c r="K3800" s="455">
        <f t="shared" ca="1" si="171"/>
        <v>-5063402555.4627705</v>
      </c>
      <c r="L3800" s="455">
        <f t="shared" ca="1" si="172"/>
        <v>-1220280015866.5278</v>
      </c>
      <c r="M3800" s="471">
        <f t="shared" si="174"/>
        <v>0.05</v>
      </c>
      <c r="N3800" s="475">
        <f t="shared" si="175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73"/>
        <v>-1220280015866.5278</v>
      </c>
      <c r="J3801" s="455">
        <f t="array" ref="J3801">IFERROR(INDEX('Retirement Calculator'!J:J,MATCH('Isaac 401k'!N3801,'Retirement Calculator'!A:A,0),0),0)</f>
        <v>0</v>
      </c>
      <c r="K3801" s="455">
        <f t="shared" ca="1" si="171"/>
        <v>-5084500066.1105328</v>
      </c>
      <c r="L3801" s="455">
        <f t="shared" ca="1" si="172"/>
        <v>-1225364515932.6384</v>
      </c>
      <c r="M3801" s="471">
        <f t="shared" si="174"/>
        <v>0.05</v>
      </c>
      <c r="N3801" s="475">
        <f t="shared" si="175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73"/>
        <v>-1225364515932.6384</v>
      </c>
      <c r="J3802" s="455">
        <f t="array" ref="J3802">IFERROR(INDEX('Retirement Calculator'!J:J,MATCH('Isaac 401k'!N3802,'Retirement Calculator'!A:A,0),0),0)</f>
        <v>0</v>
      </c>
      <c r="K3802" s="455">
        <f t="shared" ca="1" si="171"/>
        <v>-5105685483.05266</v>
      </c>
      <c r="L3802" s="455">
        <f t="shared" ca="1" si="172"/>
        <v>-1230470201415.6912</v>
      </c>
      <c r="M3802" s="471">
        <f t="shared" si="174"/>
        <v>0.05</v>
      </c>
      <c r="N3802" s="475">
        <f t="shared" si="175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73"/>
        <v>-1230470201415.6912</v>
      </c>
      <c r="J3803" s="455">
        <f t="array" ref="J3803">IFERROR(INDEX('Retirement Calculator'!J:J,MATCH('Isaac 401k'!N3803,'Retirement Calculator'!A:A,0),0),0)</f>
        <v>0</v>
      </c>
      <c r="K3803" s="455">
        <f t="shared" ca="1" si="171"/>
        <v>-5126959172.5653801</v>
      </c>
      <c r="L3803" s="455">
        <f t="shared" ca="1" si="172"/>
        <v>-1235597160588.2566</v>
      </c>
      <c r="M3803" s="471">
        <f t="shared" si="174"/>
        <v>0.05</v>
      </c>
      <c r="N3803" s="475">
        <f t="shared" si="175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73"/>
        <v>-1235597160588.2566</v>
      </c>
      <c r="J3804" s="455">
        <f t="array" ref="J3804">IFERROR(INDEX('Retirement Calculator'!J:J,MATCH('Isaac 401k'!N3804,'Retirement Calculator'!A:A,0),0),0)</f>
        <v>0</v>
      </c>
      <c r="K3804" s="455">
        <f t="shared" ca="1" si="171"/>
        <v>-5148321502.4510689</v>
      </c>
      <c r="L3804" s="455">
        <f t="shared" ca="1" si="172"/>
        <v>-1240745482090.7078</v>
      </c>
      <c r="M3804" s="471">
        <f t="shared" si="174"/>
        <v>0.05</v>
      </c>
      <c r="N3804" s="475">
        <f t="shared" si="175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73"/>
        <v>-1240745482090.7078</v>
      </c>
      <c r="J3805" s="455">
        <f t="array" ref="J3805">IFERROR(INDEX('Retirement Calculator'!J:J,MATCH('Isaac 401k'!N3805,'Retirement Calculator'!A:A,0),0),0)</f>
        <v>0</v>
      </c>
      <c r="K3805" s="455">
        <f t="shared" ca="1" si="171"/>
        <v>-5169772842.0446157</v>
      </c>
      <c r="L3805" s="455">
        <f t="shared" ca="1" si="172"/>
        <v>-1245915254932.7524</v>
      </c>
      <c r="M3805" s="471">
        <f t="shared" si="174"/>
        <v>0.05</v>
      </c>
      <c r="N3805" s="475">
        <f t="shared" si="175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73"/>
        <v>-1245915254932.7524</v>
      </c>
      <c r="J3806" s="455">
        <f t="array" ref="J3806">IFERROR(INDEX('Retirement Calculator'!J:J,MATCH('Isaac 401k'!N3806,'Retirement Calculator'!A:A,0),0),0)</f>
        <v>0</v>
      </c>
      <c r="K3806" s="455">
        <f t="shared" ca="1" si="171"/>
        <v>-5191313562.2198019</v>
      </c>
      <c r="L3806" s="455">
        <f t="shared" ca="1" si="172"/>
        <v>-1251106568494.9722</v>
      </c>
      <c r="M3806" s="471">
        <f t="shared" si="174"/>
        <v>0.05</v>
      </c>
      <c r="N3806" s="475">
        <f t="shared" si="175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73"/>
        <v>-1251106568494.9722</v>
      </c>
      <c r="J3807" s="455">
        <f t="array" ref="J3807">IFERROR(INDEX('Retirement Calculator'!J:J,MATCH('Isaac 401k'!N3807,'Retirement Calculator'!A:A,0),0),0)</f>
        <v>0</v>
      </c>
      <c r="K3807" s="455">
        <f t="shared" ca="1" si="171"/>
        <v>-5212944035.3957176</v>
      </c>
      <c r="L3807" s="455">
        <f t="shared" ca="1" si="172"/>
        <v>-1256319512530.3679</v>
      </c>
      <c r="M3807" s="471">
        <f t="shared" si="174"/>
        <v>0.05</v>
      </c>
      <c r="N3807" s="475">
        <f t="shared" si="175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73"/>
        <v>-1256319512530.3679</v>
      </c>
      <c r="J3808" s="455">
        <f t="array" ref="J3808">IFERROR(INDEX('Retirement Calculator'!J:J,MATCH('Isaac 401k'!N3808,'Retirement Calculator'!A:A,0),0),0)</f>
        <v>0</v>
      </c>
      <c r="K3808" s="455">
        <f t="shared" ca="1" si="171"/>
        <v>-5234664635.5431995</v>
      </c>
      <c r="L3808" s="455">
        <f t="shared" ca="1" si="172"/>
        <v>-1261554177165.9111</v>
      </c>
      <c r="M3808" s="471">
        <f t="shared" si="174"/>
        <v>0.05</v>
      </c>
      <c r="N3808" s="475">
        <f t="shared" si="175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73"/>
        <v>-1261554177165.9111</v>
      </c>
      <c r="J3809" s="455">
        <f t="array" ref="J3809">IFERROR(INDEX('Retirement Calculator'!J:J,MATCH('Isaac 401k'!N3809,'Retirement Calculator'!A:A,0),0),0)</f>
        <v>0</v>
      </c>
      <c r="K3809" s="455">
        <f t="shared" ca="1" si="171"/>
        <v>-5256475738.1912966</v>
      </c>
      <c r="L3809" s="455">
        <f t="shared" ca="1" si="172"/>
        <v>-1266810652904.1025</v>
      </c>
      <c r="M3809" s="471">
        <f t="shared" si="174"/>
        <v>0.05</v>
      </c>
      <c r="N3809" s="475">
        <f t="shared" si="175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73"/>
        <v>-1266810652904.1025</v>
      </c>
      <c r="J3810" s="455">
        <f t="array" ref="J3810">IFERROR(INDEX('Retirement Calculator'!J:J,MATCH('Isaac 401k'!N3810,'Retirement Calculator'!A:A,0),0),0)</f>
        <v>0</v>
      </c>
      <c r="K3810" s="455">
        <f t="shared" ca="1" si="171"/>
        <v>-5278377720.4337606</v>
      </c>
      <c r="L3810" s="455">
        <f t="shared" ca="1" si="172"/>
        <v>-1272089030624.5364</v>
      </c>
      <c r="M3810" s="471">
        <f t="shared" si="174"/>
        <v>0.05</v>
      </c>
      <c r="N3810" s="475">
        <f t="shared" si="175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73"/>
        <v>-1272089030624.5364</v>
      </c>
      <c r="J3811" s="455">
        <f t="array" ref="J3811">IFERROR(INDEX('Retirement Calculator'!J:J,MATCH('Isaac 401k'!N3811,'Retirement Calculator'!A:A,0),0),0)</f>
        <v>0</v>
      </c>
      <c r="K3811" s="455">
        <f t="shared" ca="1" si="171"/>
        <v>-5300370960.9355679</v>
      </c>
      <c r="L3811" s="455">
        <f t="shared" ca="1" si="172"/>
        <v>-1277389401585.4719</v>
      </c>
      <c r="M3811" s="471">
        <f t="shared" si="174"/>
        <v>0.05</v>
      </c>
      <c r="N3811" s="475">
        <f t="shared" si="175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73"/>
        <v>-1277389401585.4719</v>
      </c>
      <c r="J3812" s="455">
        <f t="array" ref="J3812">IFERROR(INDEX('Retirement Calculator'!J:J,MATCH('Isaac 401k'!N3812,'Retirement Calculator'!A:A,0),0),0)</f>
        <v>0</v>
      </c>
      <c r="K3812" s="455">
        <f t="shared" ca="1" si="171"/>
        <v>-5322455839.9394665</v>
      </c>
      <c r="L3812" s="455">
        <f t="shared" ca="1" si="172"/>
        <v>-1282711857425.4114</v>
      </c>
      <c r="M3812" s="471">
        <f t="shared" si="174"/>
        <v>0.05</v>
      </c>
      <c r="N3812" s="475">
        <f t="shared" si="175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73"/>
        <v>-1282711857425.4114</v>
      </c>
      <c r="J3813" s="455">
        <f t="array" ref="J3813">IFERROR(INDEX('Retirement Calculator'!J:J,MATCH('Isaac 401k'!N3813,'Retirement Calculator'!A:A,0),0),0)</f>
        <v>0</v>
      </c>
      <c r="K3813" s="455">
        <f t="shared" ca="1" si="171"/>
        <v>-5344632739.2725477</v>
      </c>
      <c r="L3813" s="455">
        <f t="shared" ca="1" si="172"/>
        <v>-1288056490164.6838</v>
      </c>
      <c r="M3813" s="471">
        <f t="shared" si="174"/>
        <v>0.05</v>
      </c>
      <c r="N3813" s="475">
        <f t="shared" si="175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73"/>
        <v>-1288056490164.6838</v>
      </c>
      <c r="J3814" s="455">
        <f t="array" ref="J3814">IFERROR(INDEX('Retirement Calculator'!J:J,MATCH('Isaac 401k'!N3814,'Retirement Calculator'!A:A,0),0),0)</f>
        <v>0</v>
      </c>
      <c r="K3814" s="455">
        <f t="shared" ca="1" si="171"/>
        <v>-5366902042.352849</v>
      </c>
      <c r="L3814" s="455">
        <f t="shared" ca="1" si="172"/>
        <v>-1293423392207.0366</v>
      </c>
      <c r="M3814" s="471">
        <f t="shared" si="174"/>
        <v>0.05</v>
      </c>
      <c r="N3814" s="475">
        <f t="shared" si="175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73"/>
        <v>-1293423392207.0366</v>
      </c>
      <c r="J3815" s="455">
        <f t="array" ref="J3815">IFERROR(INDEX('Retirement Calculator'!J:J,MATCH('Isaac 401k'!N3815,'Retirement Calculator'!A:A,0),0),0)</f>
        <v>0</v>
      </c>
      <c r="K3815" s="455">
        <f t="shared" ca="1" si="171"/>
        <v>-5389264134.1959858</v>
      </c>
      <c r="L3815" s="455">
        <f t="shared" ca="1" si="172"/>
        <v>-1298812656341.2327</v>
      </c>
      <c r="M3815" s="471">
        <f t="shared" si="174"/>
        <v>0.05</v>
      </c>
      <c r="N3815" s="475">
        <f t="shared" si="175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73"/>
        <v>-1298812656341.2327</v>
      </c>
      <c r="J3816" s="455">
        <f t="array" ref="J3816">IFERROR(INDEX('Retirement Calculator'!J:J,MATCH('Isaac 401k'!N3816,'Retirement Calculator'!A:A,0),0),0)</f>
        <v>0</v>
      </c>
      <c r="K3816" s="455">
        <f t="shared" ca="1" si="171"/>
        <v>-5411719401.4218025</v>
      </c>
      <c r="L3816" s="455">
        <f t="shared" ca="1" si="172"/>
        <v>-1304224375742.6545</v>
      </c>
      <c r="M3816" s="471">
        <f t="shared" si="174"/>
        <v>0.05</v>
      </c>
      <c r="N3816" s="475">
        <f t="shared" si="175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73"/>
        <v>-1304224375742.6545</v>
      </c>
      <c r="J3817" s="455">
        <f t="array" ref="J3817">IFERROR(INDEX('Retirement Calculator'!J:J,MATCH('Isaac 401k'!N3817,'Retirement Calculator'!A:A,0),0),0)</f>
        <v>0</v>
      </c>
      <c r="K3817" s="455">
        <f t="shared" ca="1" si="171"/>
        <v>-5434268232.2610607</v>
      </c>
      <c r="L3817" s="455">
        <f t="shared" ca="1" si="172"/>
        <v>-1309658643974.9155</v>
      </c>
      <c r="M3817" s="471">
        <f t="shared" si="174"/>
        <v>0.05</v>
      </c>
      <c r="N3817" s="475">
        <f t="shared" si="175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73"/>
        <v>-1309658643974.9155</v>
      </c>
      <c r="J3818" s="455">
        <f t="array" ref="J3818">IFERROR(INDEX('Retirement Calculator'!J:J,MATCH('Isaac 401k'!N3818,'Retirement Calculator'!A:A,0),0),0)</f>
        <v>0</v>
      </c>
      <c r="K3818" s="455">
        <f t="shared" ca="1" si="171"/>
        <v>-5456911016.5621481</v>
      </c>
      <c r="L3818" s="455">
        <f t="shared" ca="1" si="172"/>
        <v>-1315115554991.4778</v>
      </c>
      <c r="M3818" s="471">
        <f t="shared" si="174"/>
        <v>0.05</v>
      </c>
      <c r="N3818" s="475">
        <f t="shared" si="175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73"/>
        <v>-1315115554991.4778</v>
      </c>
      <c r="J3819" s="455">
        <f t="array" ref="J3819">IFERROR(INDEX('Retirement Calculator'!J:J,MATCH('Isaac 401k'!N3819,'Retirement Calculator'!A:A,0),0),0)</f>
        <v>0</v>
      </c>
      <c r="K3819" s="455">
        <f t="shared" ca="1" si="171"/>
        <v>-5479648145.7978239</v>
      </c>
      <c r="L3819" s="455">
        <f t="shared" ca="1" si="172"/>
        <v>-1320595203137.2756</v>
      </c>
      <c r="M3819" s="471">
        <f t="shared" si="174"/>
        <v>0.05</v>
      </c>
      <c r="N3819" s="475">
        <f t="shared" si="175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73"/>
        <v>-1320595203137.2756</v>
      </c>
      <c r="J3820" s="455">
        <f t="array" ref="J3820">IFERROR(INDEX('Retirement Calculator'!J:J,MATCH('Isaac 401k'!N3820,'Retirement Calculator'!A:A,0),0),0)</f>
        <v>0</v>
      </c>
      <c r="K3820" s="455">
        <f t="shared" ca="1" si="171"/>
        <v>-5502480013.0719814</v>
      </c>
      <c r="L3820" s="455">
        <f t="shared" ca="1" si="172"/>
        <v>-1326097683150.3477</v>
      </c>
      <c r="M3820" s="471">
        <f t="shared" si="174"/>
        <v>0.05</v>
      </c>
      <c r="N3820" s="475">
        <f t="shared" si="175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73"/>
        <v>-1326097683150.3477</v>
      </c>
      <c r="J3821" s="455">
        <f t="array" ref="J3821">IFERROR(INDEX('Retirement Calculator'!J:J,MATCH('Isaac 401k'!N3821,'Retirement Calculator'!A:A,0),0),0)</f>
        <v>0</v>
      </c>
      <c r="K3821" s="455">
        <f t="shared" ca="1" si="171"/>
        <v>-5525407013.1264486</v>
      </c>
      <c r="L3821" s="455">
        <f t="shared" ca="1" si="172"/>
        <v>-1331623090163.4741</v>
      </c>
      <c r="M3821" s="471">
        <f t="shared" si="174"/>
        <v>0.05</v>
      </c>
      <c r="N3821" s="475">
        <f t="shared" si="175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73"/>
        <v>-1331623090163.4741</v>
      </c>
      <c r="J3822" s="455">
        <f t="array" ref="J3822">IFERROR(INDEX('Retirement Calculator'!J:J,MATCH('Isaac 401k'!N3822,'Retirement Calculator'!A:A,0),0),0)</f>
        <v>0</v>
      </c>
      <c r="K3822" s="455">
        <f t="shared" ca="1" si="171"/>
        <v>-5548429542.3478088</v>
      </c>
      <c r="L3822" s="455">
        <f t="shared" ca="1" si="172"/>
        <v>-1337171519705.822</v>
      </c>
      <c r="M3822" s="471">
        <f t="shared" si="174"/>
        <v>0.05</v>
      </c>
      <c r="N3822" s="475">
        <f t="shared" si="175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73"/>
        <v>-1337171519705.822</v>
      </c>
      <c r="J3823" s="455">
        <f t="array" ref="J3823">IFERROR(INDEX('Retirement Calculator'!J:J,MATCH('Isaac 401k'!N3823,'Retirement Calculator'!A:A,0),0),0)</f>
        <v>0</v>
      </c>
      <c r="K3823" s="455">
        <f t="shared" ca="1" si="171"/>
        <v>-5571547998.7742586</v>
      </c>
      <c r="L3823" s="455">
        <f t="shared" ca="1" si="172"/>
        <v>-1342743067704.5962</v>
      </c>
      <c r="M3823" s="471">
        <f t="shared" si="174"/>
        <v>0.05</v>
      </c>
      <c r="N3823" s="475">
        <f t="shared" si="175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73"/>
        <v>-1342743067704.5962</v>
      </c>
      <c r="J3824" s="455">
        <f t="array" ref="J3824">IFERROR(INDEX('Retirement Calculator'!J:J,MATCH('Isaac 401k'!N3824,'Retirement Calculator'!A:A,0),0),0)</f>
        <v>0</v>
      </c>
      <c r="K3824" s="455">
        <f t="shared" ca="1" si="171"/>
        <v>-5594762782.1024837</v>
      </c>
      <c r="L3824" s="455">
        <f t="shared" ca="1" si="172"/>
        <v>-1348337830486.6987</v>
      </c>
      <c r="M3824" s="471">
        <f t="shared" si="174"/>
        <v>0.05</v>
      </c>
      <c r="N3824" s="475">
        <f t="shared" si="175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73"/>
        <v>-1348337830486.6987</v>
      </c>
      <c r="J3825" s="455">
        <f t="array" ref="J3825">IFERROR(INDEX('Retirement Calculator'!J:J,MATCH('Isaac 401k'!N3825,'Retirement Calculator'!A:A,0),0),0)</f>
        <v>0</v>
      </c>
      <c r="K3825" s="455">
        <f t="shared" ca="1" si="171"/>
        <v>-5618074293.6945782</v>
      </c>
      <c r="L3825" s="455">
        <f t="shared" ca="1" si="172"/>
        <v>-1353955904780.3933</v>
      </c>
      <c r="M3825" s="471">
        <f t="shared" si="174"/>
        <v>0.05</v>
      </c>
      <c r="N3825" s="475">
        <f t="shared" si="175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73"/>
        <v>-1353955904780.3933</v>
      </c>
      <c r="J3826" s="455">
        <f t="array" ref="J3826">IFERROR(INDEX('Retirement Calculator'!J:J,MATCH('Isaac 401k'!N3826,'Retirement Calculator'!A:A,0),0),0)</f>
        <v>0</v>
      </c>
      <c r="K3826" s="455">
        <f t="shared" ca="1" si="171"/>
        <v>-5641482936.5849724</v>
      </c>
      <c r="L3826" s="455">
        <f t="shared" ca="1" si="172"/>
        <v>-1359597387716.9783</v>
      </c>
      <c r="M3826" s="471">
        <f t="shared" si="174"/>
        <v>0.05</v>
      </c>
      <c r="N3826" s="475">
        <f t="shared" si="175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73"/>
        <v>-1359597387716.9783</v>
      </c>
      <c r="J3827" s="455">
        <f t="array" ref="J3827">IFERROR(INDEX('Retirement Calculator'!J:J,MATCH('Isaac 401k'!N3827,'Retirement Calculator'!A:A,0),0),0)</f>
        <v>0</v>
      </c>
      <c r="K3827" s="455">
        <f t="shared" ca="1" si="171"/>
        <v>-5664989115.4874096</v>
      </c>
      <c r="L3827" s="455">
        <f t="shared" ca="1" si="172"/>
        <v>-1365262376832.4656</v>
      </c>
      <c r="M3827" s="471">
        <f t="shared" si="174"/>
        <v>0.05</v>
      </c>
      <c r="N3827" s="475">
        <f t="shared" si="175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73"/>
        <v>-1365262376832.4656</v>
      </c>
      <c r="J3828" s="455">
        <f t="array" ref="J3828">IFERROR(INDEX('Retirement Calculator'!J:J,MATCH('Isaac 401k'!N3828,'Retirement Calculator'!A:A,0),0),0)</f>
        <v>0</v>
      </c>
      <c r="K3828" s="455">
        <f t="shared" ca="1" si="171"/>
        <v>-5688593236.80194</v>
      </c>
      <c r="L3828" s="455">
        <f t="shared" ca="1" si="172"/>
        <v>-1370950970069.2676</v>
      </c>
      <c r="M3828" s="471">
        <f t="shared" si="174"/>
        <v>0.05</v>
      </c>
      <c r="N3828" s="475">
        <f t="shared" si="175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73"/>
        <v>-1370950970069.2676</v>
      </c>
      <c r="J3829" s="455">
        <f t="array" ref="J3829">IFERROR(INDEX('Retirement Calculator'!J:J,MATCH('Isaac 401k'!N3829,'Retirement Calculator'!A:A,0),0),0)</f>
        <v>0</v>
      </c>
      <c r="K3829" s="455">
        <f t="shared" ca="1" si="171"/>
        <v>-5712295708.6219482</v>
      </c>
      <c r="L3829" s="455">
        <f t="shared" ca="1" si="172"/>
        <v>-1376663265777.8896</v>
      </c>
      <c r="M3829" s="471">
        <f t="shared" si="174"/>
        <v>0.05</v>
      </c>
      <c r="N3829" s="475">
        <f t="shared" si="175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73"/>
        <v>-1376663265777.8896</v>
      </c>
      <c r="J3830" s="455">
        <f t="array" ref="J3830">IFERROR(INDEX('Retirement Calculator'!J:J,MATCH('Isaac 401k'!N3830,'Retirement Calculator'!A:A,0),0),0)</f>
        <v>0</v>
      </c>
      <c r="K3830" s="455">
        <f t="shared" ca="1" si="171"/>
        <v>-5736096940.7412071</v>
      </c>
      <c r="L3830" s="455">
        <f t="shared" ca="1" si="172"/>
        <v>-1382399362718.6309</v>
      </c>
      <c r="M3830" s="471">
        <f t="shared" si="174"/>
        <v>0.05</v>
      </c>
      <c r="N3830" s="475">
        <f t="shared" si="175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73"/>
        <v>-1382399362718.6309</v>
      </c>
      <c r="J3831" s="455">
        <f t="array" ref="J3831">IFERROR(INDEX('Retirement Calculator'!J:J,MATCH('Isaac 401k'!N3831,'Retirement Calculator'!A:A,0),0),0)</f>
        <v>0</v>
      </c>
      <c r="K3831" s="455">
        <f t="shared" ca="1" si="171"/>
        <v>-5759997344.6609621</v>
      </c>
      <c r="L3831" s="455">
        <f t="shared" ca="1" si="172"/>
        <v>-1388159360063.2917</v>
      </c>
      <c r="M3831" s="471">
        <f t="shared" si="174"/>
        <v>0.05</v>
      </c>
      <c r="N3831" s="475">
        <f t="shared" si="175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73"/>
        <v>-1388159360063.2917</v>
      </c>
      <c r="J3832" s="455">
        <f t="array" ref="J3832">IFERROR(INDEX('Retirement Calculator'!J:J,MATCH('Isaac 401k'!N3832,'Retirement Calculator'!A:A,0),0),0)</f>
        <v>0</v>
      </c>
      <c r="K3832" s="455">
        <f t="shared" ca="1" si="171"/>
        <v>-5783997333.5970488</v>
      </c>
      <c r="L3832" s="455">
        <f t="shared" ca="1" si="172"/>
        <v>-1393943357396.8889</v>
      </c>
      <c r="M3832" s="471">
        <f t="shared" si="174"/>
        <v>0.05</v>
      </c>
      <c r="N3832" s="475">
        <f t="shared" si="175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73"/>
        <v>-1393943357396.8889</v>
      </c>
      <c r="J3833" s="455">
        <f t="array" ref="J3833">IFERROR(INDEX('Retirement Calculator'!J:J,MATCH('Isaac 401k'!N3833,'Retirement Calculator'!A:A,0),0),0)</f>
        <v>0</v>
      </c>
      <c r="K3833" s="455">
        <f t="shared" ref="K3833:K4087" ca="1" si="176">IPMT(M3833/12,1,12,-I3833+J3833,,0)</f>
        <v>-5808097322.4870367</v>
      </c>
      <c r="L3833" s="455">
        <f t="shared" ref="L3833:L4087" ca="1" si="177">I3833-J3833+K3833</f>
        <v>-1399751454719.376</v>
      </c>
      <c r="M3833" s="471">
        <f t="shared" si="174"/>
        <v>0.05</v>
      </c>
      <c r="N3833" s="475">
        <f t="shared" si="175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78">L3833</f>
        <v>-1399751454719.376</v>
      </c>
      <c r="J3834" s="455">
        <f t="array" ref="J3834">IFERROR(INDEX('Retirement Calculator'!J:J,MATCH('Isaac 401k'!N3834,'Retirement Calculator'!A:A,0),0),0)</f>
        <v>0</v>
      </c>
      <c r="K3834" s="455">
        <f t="shared" ca="1" si="176"/>
        <v>-5832297727.9974003</v>
      </c>
      <c r="L3834" s="455">
        <f t="shared" ca="1" si="177"/>
        <v>-1405583752447.3733</v>
      </c>
      <c r="M3834" s="471">
        <f t="shared" ref="M3834:M4088" si="179">M3833</f>
        <v>0.05</v>
      </c>
      <c r="N3834" s="475">
        <f t="shared" ref="N3834:N4088" si="180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78"/>
        <v>-1405583752447.3733</v>
      </c>
      <c r="J3835" s="455">
        <f t="array" ref="J3835">IFERROR(INDEX('Retirement Calculator'!J:J,MATCH('Isaac 401k'!N3835,'Retirement Calculator'!A:A,0),0),0)</f>
        <v>0</v>
      </c>
      <c r="K3835" s="455">
        <f t="shared" ca="1" si="176"/>
        <v>-5856598968.5307217</v>
      </c>
      <c r="L3835" s="455">
        <f t="shared" ca="1" si="177"/>
        <v>-1411440351415.9041</v>
      </c>
      <c r="M3835" s="471">
        <f t="shared" si="179"/>
        <v>0.05</v>
      </c>
      <c r="N3835" s="475">
        <f t="shared" si="180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78"/>
        <v>-1411440351415.9041</v>
      </c>
      <c r="J3836" s="455">
        <f t="array" ref="J3836">IFERROR(INDEX('Retirement Calculator'!J:J,MATCH('Isaac 401k'!N3836,'Retirement Calculator'!A:A,0),0),0)</f>
        <v>0</v>
      </c>
      <c r="K3836" s="455">
        <f t="shared" ca="1" si="176"/>
        <v>-5881001464.232933</v>
      </c>
      <c r="L3836" s="455">
        <f t="shared" ca="1" si="177"/>
        <v>-1417321352880.137</v>
      </c>
      <c r="M3836" s="471">
        <f t="shared" si="179"/>
        <v>0.05</v>
      </c>
      <c r="N3836" s="475">
        <f t="shared" si="180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78"/>
        <v>-1417321352880.137</v>
      </c>
      <c r="J3837" s="455">
        <f t="array" ref="J3837">IFERROR(INDEX('Retirement Calculator'!J:J,MATCH('Isaac 401k'!N3837,'Retirement Calculator'!A:A,0),0),0)</f>
        <v>0</v>
      </c>
      <c r="K3837" s="455">
        <f t="shared" ca="1" si="176"/>
        <v>-5905505637.0005703</v>
      </c>
      <c r="L3837" s="455">
        <f t="shared" ca="1" si="177"/>
        <v>-1423226858517.1375</v>
      </c>
      <c r="M3837" s="471">
        <f t="shared" si="179"/>
        <v>0.05</v>
      </c>
      <c r="N3837" s="475">
        <f t="shared" si="180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78"/>
        <v>-1423226858517.1375</v>
      </c>
      <c r="J3838" s="455">
        <f t="array" ref="J3838">IFERROR(INDEX('Retirement Calculator'!J:J,MATCH('Isaac 401k'!N3838,'Retirement Calculator'!A:A,0),0),0)</f>
        <v>0</v>
      </c>
      <c r="K3838" s="455">
        <f t="shared" ca="1" si="176"/>
        <v>-5930111910.4880724</v>
      </c>
      <c r="L3838" s="455">
        <f t="shared" ca="1" si="177"/>
        <v>-1429156970427.6255</v>
      </c>
      <c r="M3838" s="471">
        <f t="shared" si="179"/>
        <v>0.05</v>
      </c>
      <c r="N3838" s="475">
        <f t="shared" si="180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78"/>
        <v>-1429156970427.6255</v>
      </c>
      <c r="J3839" s="455">
        <f t="array" ref="J3839">IFERROR(INDEX('Retirement Calculator'!J:J,MATCH('Isaac 401k'!N3839,'Retirement Calculator'!A:A,0),0),0)</f>
        <v>0</v>
      </c>
      <c r="K3839" s="455">
        <f t="shared" ca="1" si="176"/>
        <v>-5954820710.1151066</v>
      </c>
      <c r="L3839" s="455">
        <f t="shared" ca="1" si="177"/>
        <v>-1435111791137.7405</v>
      </c>
      <c r="M3839" s="471">
        <f t="shared" si="179"/>
        <v>0.05</v>
      </c>
      <c r="N3839" s="475">
        <f t="shared" si="180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78"/>
        <v>-1435111791137.7405</v>
      </c>
      <c r="J3840" s="455">
        <f t="array" ref="J3840">IFERROR(INDEX('Retirement Calculator'!J:J,MATCH('Isaac 401k'!N3840,'Retirement Calculator'!A:A,0),0),0)</f>
        <v>0</v>
      </c>
      <c r="K3840" s="455">
        <f t="shared" ca="1" si="176"/>
        <v>-5979632463.0739183</v>
      </c>
      <c r="L3840" s="455">
        <f t="shared" ca="1" si="177"/>
        <v>-1441091423600.8145</v>
      </c>
      <c r="M3840" s="471">
        <f t="shared" si="179"/>
        <v>0.05</v>
      </c>
      <c r="N3840" s="475">
        <f t="shared" si="180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78"/>
        <v>-1441091423600.8145</v>
      </c>
      <c r="J3841" s="455">
        <f t="array" ref="J3841">IFERROR(INDEX('Retirement Calculator'!J:J,MATCH('Isaac 401k'!N3841,'Retirement Calculator'!A:A,0),0),0)</f>
        <v>0</v>
      </c>
      <c r="K3841" s="455">
        <f t="shared" ca="1" si="176"/>
        <v>-6004547598.3367271</v>
      </c>
      <c r="L3841" s="455">
        <f t="shared" ca="1" si="177"/>
        <v>-1447095971199.1511</v>
      </c>
      <c r="M3841" s="471">
        <f t="shared" si="179"/>
        <v>0.05</v>
      </c>
      <c r="N3841" s="475">
        <f t="shared" si="180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78"/>
        <v>-1447095971199.1511</v>
      </c>
      <c r="J3842" s="455">
        <f t="array" ref="J3842">IFERROR(INDEX('Retirement Calculator'!J:J,MATCH('Isaac 401k'!N3842,'Retirement Calculator'!A:A,0),0),0)</f>
        <v>0</v>
      </c>
      <c r="K3842" s="455">
        <f t="shared" ca="1" si="176"/>
        <v>-6029566546.6631298</v>
      </c>
      <c r="L3842" s="455">
        <f t="shared" ca="1" si="177"/>
        <v>-1453125537745.8142</v>
      </c>
      <c r="M3842" s="471">
        <f t="shared" si="179"/>
        <v>0.05</v>
      </c>
      <c r="N3842" s="475">
        <f t="shared" si="180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78"/>
        <v>-1453125537745.8142</v>
      </c>
      <c r="J3843" s="455">
        <f t="array" ref="J3843">IFERROR(INDEX('Retirement Calculator'!J:J,MATCH('Isaac 401k'!N3843,'Retirement Calculator'!A:A,0),0),0)</f>
        <v>0</v>
      </c>
      <c r="K3843" s="455">
        <f t="shared" ca="1" si="176"/>
        <v>-6054689740.6075592</v>
      </c>
      <c r="L3843" s="455">
        <f t="shared" ca="1" si="177"/>
        <v>-1459180227486.4219</v>
      </c>
      <c r="M3843" s="471">
        <f t="shared" si="179"/>
        <v>0.05</v>
      </c>
      <c r="N3843" s="475">
        <f t="shared" si="180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78"/>
        <v>-1459180227486.4219</v>
      </c>
      <c r="J3844" s="455">
        <f t="array" ref="J3844">IFERROR(INDEX('Retirement Calculator'!J:J,MATCH('Isaac 401k'!N3844,'Retirement Calculator'!A:A,0),0),0)</f>
        <v>0</v>
      </c>
      <c r="K3844" s="455">
        <f t="shared" ca="1" si="176"/>
        <v>-6079917614.5267582</v>
      </c>
      <c r="L3844" s="455">
        <f t="shared" ca="1" si="177"/>
        <v>-1465260145100.9487</v>
      </c>
      <c r="M3844" s="471">
        <f t="shared" si="179"/>
        <v>0.05</v>
      </c>
      <c r="N3844" s="475">
        <f t="shared" si="180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78"/>
        <v>-1465260145100.9487</v>
      </c>
      <c r="J3845" s="455">
        <f t="array" ref="J3845">IFERROR(INDEX('Retirement Calculator'!J:J,MATCH('Isaac 401k'!N3845,'Retirement Calculator'!A:A,0),0),0)</f>
        <v>0</v>
      </c>
      <c r="K3845" s="455">
        <f t="shared" ca="1" si="176"/>
        <v>-6105250604.587286</v>
      </c>
      <c r="L3845" s="455">
        <f t="shared" ca="1" si="177"/>
        <v>-1471365395705.5361</v>
      </c>
      <c r="M3845" s="471">
        <f t="shared" si="179"/>
        <v>0.05</v>
      </c>
      <c r="N3845" s="475">
        <f t="shared" si="180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78"/>
        <v>-1471365395705.5361</v>
      </c>
      <c r="J3846" s="455">
        <f t="array" ref="J3846">IFERROR(INDEX('Retirement Calculator'!J:J,MATCH('Isaac 401k'!N3846,'Retirement Calculator'!A:A,0),0),0)</f>
        <v>0</v>
      </c>
      <c r="K3846" s="455">
        <f t="shared" ca="1" si="176"/>
        <v>-6130689148.7730675</v>
      </c>
      <c r="L3846" s="455">
        <f t="shared" ca="1" si="177"/>
        <v>-1477496084854.3091</v>
      </c>
      <c r="M3846" s="471">
        <f t="shared" si="179"/>
        <v>0.05</v>
      </c>
      <c r="N3846" s="475">
        <f t="shared" si="180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78"/>
        <v>-1477496084854.3091</v>
      </c>
      <c r="J3847" s="455">
        <f t="array" ref="J3847">IFERROR(INDEX('Retirement Calculator'!J:J,MATCH('Isaac 401k'!N3847,'Retirement Calculator'!A:A,0),0),0)</f>
        <v>0</v>
      </c>
      <c r="K3847" s="455">
        <f t="shared" ca="1" si="176"/>
        <v>-6156233686.8929548</v>
      </c>
      <c r="L3847" s="455">
        <f t="shared" ca="1" si="177"/>
        <v>-1483652318541.2021</v>
      </c>
      <c r="M3847" s="471">
        <f t="shared" si="179"/>
        <v>0.05</v>
      </c>
      <c r="N3847" s="475">
        <f t="shared" si="180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78"/>
        <v>-1483652318541.2021</v>
      </c>
      <c r="J3848" s="455">
        <f t="array" ref="J3848">IFERROR(INDEX('Retirement Calculator'!J:J,MATCH('Isaac 401k'!N3848,'Retirement Calculator'!A:A,0),0),0)</f>
        <v>0</v>
      </c>
      <c r="K3848" s="455">
        <f t="shared" ca="1" si="176"/>
        <v>-6181884660.5883427</v>
      </c>
      <c r="L3848" s="455">
        <f t="shared" ca="1" si="177"/>
        <v>-1489834203201.7905</v>
      </c>
      <c r="M3848" s="471">
        <f t="shared" si="179"/>
        <v>0.05</v>
      </c>
      <c r="N3848" s="475">
        <f t="shared" si="180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78"/>
        <v>-1489834203201.7905</v>
      </c>
      <c r="J3849" s="455">
        <f t="array" ref="J3849">IFERROR(INDEX('Retirement Calculator'!J:J,MATCH('Isaac 401k'!N3849,'Retirement Calculator'!A:A,0),0),0)</f>
        <v>0</v>
      </c>
      <c r="K3849" s="455">
        <f t="shared" ca="1" si="176"/>
        <v>-6207642513.3407936</v>
      </c>
      <c r="L3849" s="455">
        <f t="shared" ca="1" si="177"/>
        <v>-1496041845715.1313</v>
      </c>
      <c r="M3849" s="471">
        <f t="shared" si="179"/>
        <v>0.05</v>
      </c>
      <c r="N3849" s="475">
        <f t="shared" si="180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78"/>
        <v>-1496041845715.1313</v>
      </c>
      <c r="J3850" s="455">
        <f t="array" ref="J3850">IFERROR(INDEX('Retirement Calculator'!J:J,MATCH('Isaac 401k'!N3850,'Retirement Calculator'!A:A,0),0),0)</f>
        <v>0</v>
      </c>
      <c r="K3850" s="455">
        <f t="shared" ca="1" si="176"/>
        <v>-6233507690.4797134</v>
      </c>
      <c r="L3850" s="455">
        <f t="shared" ca="1" si="177"/>
        <v>-1502275353405.6111</v>
      </c>
      <c r="M3850" s="471">
        <f t="shared" si="179"/>
        <v>0.05</v>
      </c>
      <c r="N3850" s="475">
        <f t="shared" si="180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78"/>
        <v>-1502275353405.6111</v>
      </c>
      <c r="J3851" s="455">
        <f t="array" ref="J3851">IFERROR(INDEX('Retirement Calculator'!J:J,MATCH('Isaac 401k'!N3851,'Retirement Calculator'!A:A,0),0),0)</f>
        <v>0</v>
      </c>
      <c r="K3851" s="455">
        <f t="shared" ca="1" si="176"/>
        <v>-6259480639.1900463</v>
      </c>
      <c r="L3851" s="455">
        <f t="shared" ca="1" si="177"/>
        <v>-1508534834044.801</v>
      </c>
      <c r="M3851" s="471">
        <f t="shared" si="179"/>
        <v>0.05</v>
      </c>
      <c r="N3851" s="475">
        <f t="shared" si="180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78"/>
        <v>-1508534834044.801</v>
      </c>
      <c r="J3852" s="455">
        <f t="array" ref="J3852">IFERROR(INDEX('Retirement Calculator'!J:J,MATCH('Isaac 401k'!N3852,'Retirement Calculator'!A:A,0),0),0)</f>
        <v>0</v>
      </c>
      <c r="K3852" s="455">
        <f t="shared" ca="1" si="176"/>
        <v>-6285561808.5200043</v>
      </c>
      <c r="L3852" s="455">
        <f t="shared" ca="1" si="177"/>
        <v>-1514820395853.321</v>
      </c>
      <c r="M3852" s="471">
        <f t="shared" si="179"/>
        <v>0.05</v>
      </c>
      <c r="N3852" s="475">
        <f t="shared" si="180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78"/>
        <v>-1514820395853.321</v>
      </c>
      <c r="J3853" s="455">
        <f t="array" ref="J3853">IFERROR(INDEX('Retirement Calculator'!J:J,MATCH('Isaac 401k'!N3853,'Retirement Calculator'!A:A,0),0),0)</f>
        <v>0</v>
      </c>
      <c r="K3853" s="455">
        <f t="shared" ca="1" si="176"/>
        <v>-6311751649.3888378</v>
      </c>
      <c r="L3853" s="455">
        <f t="shared" ca="1" si="177"/>
        <v>-1521132147502.71</v>
      </c>
      <c r="M3853" s="471">
        <f t="shared" si="179"/>
        <v>0.05</v>
      </c>
      <c r="N3853" s="475">
        <f t="shared" si="180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78"/>
        <v>-1521132147502.71</v>
      </c>
      <c r="J3854" s="455">
        <f t="array" ref="J3854">IFERROR(INDEX('Retirement Calculator'!J:J,MATCH('Isaac 401k'!N3854,'Retirement Calculator'!A:A,0),0),0)</f>
        <v>0</v>
      </c>
      <c r="K3854" s="455">
        <f t="shared" ca="1" si="176"/>
        <v>-6338050614.5946245</v>
      </c>
      <c r="L3854" s="455">
        <f t="shared" ca="1" si="177"/>
        <v>-1527470198117.3047</v>
      </c>
      <c r="M3854" s="471">
        <f t="shared" si="179"/>
        <v>0.05</v>
      </c>
      <c r="N3854" s="475">
        <f t="shared" si="180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78"/>
        <v>-1527470198117.3047</v>
      </c>
      <c r="J3855" s="455">
        <f t="array" ref="J3855">IFERROR(INDEX('Retirement Calculator'!J:J,MATCH('Isaac 401k'!N3855,'Retirement Calculator'!A:A,0),0),0)</f>
        <v>0</v>
      </c>
      <c r="K3855" s="455">
        <f t="shared" ca="1" si="176"/>
        <v>-6364459158.8221025</v>
      </c>
      <c r="L3855" s="455">
        <f t="shared" ca="1" si="177"/>
        <v>-1533834657276.1267</v>
      </c>
      <c r="M3855" s="471">
        <f t="shared" si="179"/>
        <v>0.05</v>
      </c>
      <c r="N3855" s="475">
        <f t="shared" si="180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78"/>
        <v>-1533834657276.1267</v>
      </c>
      <c r="J3856" s="455">
        <f t="array" ref="J3856">IFERROR(INDEX('Retirement Calculator'!J:J,MATCH('Isaac 401k'!N3856,'Retirement Calculator'!A:A,0),0),0)</f>
        <v>0</v>
      </c>
      <c r="K3856" s="455">
        <f t="shared" ca="1" si="176"/>
        <v>-6390977738.650528</v>
      </c>
      <c r="L3856" s="455">
        <f t="shared" ca="1" si="177"/>
        <v>-1540225635014.7773</v>
      </c>
      <c r="M3856" s="471">
        <f t="shared" si="179"/>
        <v>0.05</v>
      </c>
      <c r="N3856" s="475">
        <f t="shared" si="180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78"/>
        <v>-1540225635014.7773</v>
      </c>
      <c r="J3857" s="455">
        <f t="array" ref="J3857">IFERROR(INDEX('Retirement Calculator'!J:J,MATCH('Isaac 401k'!N3857,'Retirement Calculator'!A:A,0),0),0)</f>
        <v>0</v>
      </c>
      <c r="K3857" s="455">
        <f t="shared" ca="1" si="176"/>
        <v>-6417606812.5615721</v>
      </c>
      <c r="L3857" s="455">
        <f t="shared" ca="1" si="177"/>
        <v>-1546643241827.3389</v>
      </c>
      <c r="M3857" s="471">
        <f t="shared" si="179"/>
        <v>0.05</v>
      </c>
      <c r="N3857" s="475">
        <f t="shared" si="180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78"/>
        <v>-1546643241827.3389</v>
      </c>
      <c r="J3858" s="455">
        <f t="array" ref="J3858">IFERROR(INDEX('Retirement Calculator'!J:J,MATCH('Isaac 401k'!N3858,'Retirement Calculator'!A:A,0),0),0)</f>
        <v>0</v>
      </c>
      <c r="K3858" s="455">
        <f t="shared" ca="1" si="176"/>
        <v>-6444346840.9472456</v>
      </c>
      <c r="L3858" s="455">
        <f t="shared" ca="1" si="177"/>
        <v>-1553087588668.2861</v>
      </c>
      <c r="M3858" s="471">
        <f t="shared" si="179"/>
        <v>0.05</v>
      </c>
      <c r="N3858" s="475">
        <f t="shared" si="180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78"/>
        <v>-1553087588668.2861</v>
      </c>
      <c r="J3859" s="455">
        <f t="array" ref="J3859">IFERROR(INDEX('Retirement Calculator'!J:J,MATCH('Isaac 401k'!N3859,'Retirement Calculator'!A:A,0),0),0)</f>
        <v>0</v>
      </c>
      <c r="K3859" s="455">
        <f t="shared" ca="1" si="176"/>
        <v>-6471198286.1178589</v>
      </c>
      <c r="L3859" s="455">
        <f t="shared" ca="1" si="177"/>
        <v>-1559558786954.4041</v>
      </c>
      <c r="M3859" s="471">
        <f t="shared" si="179"/>
        <v>0.05</v>
      </c>
      <c r="N3859" s="475">
        <f t="shared" si="180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78"/>
        <v>-1559558786954.4041</v>
      </c>
      <c r="J3860" s="455">
        <f t="array" ref="J3860">IFERROR(INDEX('Retirement Calculator'!J:J,MATCH('Isaac 401k'!N3860,'Retirement Calculator'!A:A,0),0),0)</f>
        <v>0</v>
      </c>
      <c r="K3860" s="455">
        <f t="shared" ca="1" si="176"/>
        <v>-6498161612.3100166</v>
      </c>
      <c r="L3860" s="455">
        <f t="shared" ca="1" si="177"/>
        <v>-1566056948566.7141</v>
      </c>
      <c r="M3860" s="471">
        <f t="shared" si="179"/>
        <v>0.05</v>
      </c>
      <c r="N3860" s="475">
        <f t="shared" si="180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78"/>
        <v>-1566056948566.7141</v>
      </c>
      <c r="J3861" s="455">
        <f t="array" ref="J3861">IFERROR(INDEX('Retirement Calculator'!J:J,MATCH('Isaac 401k'!N3861,'Retirement Calculator'!A:A,0),0),0)</f>
        <v>0</v>
      </c>
      <c r="K3861" s="455">
        <f t="shared" ca="1" si="176"/>
        <v>-6525237285.6946421</v>
      </c>
      <c r="L3861" s="455">
        <f t="shared" ca="1" si="177"/>
        <v>-1572582185852.4087</v>
      </c>
      <c r="M3861" s="471">
        <f t="shared" si="179"/>
        <v>0.05</v>
      </c>
      <c r="N3861" s="475">
        <f t="shared" si="180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78"/>
        <v>-1572582185852.4087</v>
      </c>
      <c r="J3862" s="455">
        <f t="array" ref="J3862">IFERROR(INDEX('Retirement Calculator'!J:J,MATCH('Isaac 401k'!N3862,'Retirement Calculator'!A:A,0),0),0)</f>
        <v>0</v>
      </c>
      <c r="K3862" s="455">
        <f t="shared" ca="1" si="176"/>
        <v>-6552425774.3850365</v>
      </c>
      <c r="L3862" s="455">
        <f t="shared" ca="1" si="177"/>
        <v>-1579134611626.7937</v>
      </c>
      <c r="M3862" s="471">
        <f t="shared" si="179"/>
        <v>0.05</v>
      </c>
      <c r="N3862" s="475">
        <f t="shared" si="180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78"/>
        <v>-1579134611626.7937</v>
      </c>
      <c r="J3863" s="455">
        <f t="array" ref="J3863">IFERROR(INDEX('Retirement Calculator'!J:J,MATCH('Isaac 401k'!N3863,'Retirement Calculator'!A:A,0),0),0)</f>
        <v>0</v>
      </c>
      <c r="K3863" s="455">
        <f t="shared" ca="1" si="176"/>
        <v>-6579727548.4449739</v>
      </c>
      <c r="L3863" s="455">
        <f t="shared" ca="1" si="177"/>
        <v>-1585714339175.2388</v>
      </c>
      <c r="M3863" s="471">
        <f t="shared" si="179"/>
        <v>0.05</v>
      </c>
      <c r="N3863" s="475">
        <f t="shared" si="180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78"/>
        <v>-1585714339175.2388</v>
      </c>
      <c r="J3864" s="455">
        <f t="array" ref="J3864">IFERROR(INDEX('Retirement Calculator'!J:J,MATCH('Isaac 401k'!N3864,'Retirement Calculator'!A:A,0),0),0)</f>
        <v>0</v>
      </c>
      <c r="K3864" s="455">
        <f t="shared" ca="1" si="176"/>
        <v>-6607143079.8968277</v>
      </c>
      <c r="L3864" s="455">
        <f t="shared" ca="1" si="177"/>
        <v>-1592321482255.1355</v>
      </c>
      <c r="M3864" s="471">
        <f t="shared" si="179"/>
        <v>0.05</v>
      </c>
      <c r="N3864" s="475">
        <f t="shared" si="180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78"/>
        <v>-1592321482255.1355</v>
      </c>
      <c r="J3865" s="455">
        <f t="array" ref="J3865">IFERROR(INDEX('Retirement Calculator'!J:J,MATCH('Isaac 401k'!N3865,'Retirement Calculator'!A:A,0),0),0)</f>
        <v>0</v>
      </c>
      <c r="K3865" s="455">
        <f t="shared" ca="1" si="176"/>
        <v>-6634672842.7297316</v>
      </c>
      <c r="L3865" s="455">
        <f t="shared" ca="1" si="177"/>
        <v>-1598956155097.8652</v>
      </c>
      <c r="M3865" s="471">
        <f t="shared" si="179"/>
        <v>0.05</v>
      </c>
      <c r="N3865" s="475">
        <f t="shared" si="180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78"/>
        <v>-1598956155097.8652</v>
      </c>
      <c r="J3866" s="455">
        <f t="array" ref="J3866">IFERROR(INDEX('Retirement Calculator'!J:J,MATCH('Isaac 401k'!N3866,'Retirement Calculator'!A:A,0),0),0)</f>
        <v>0</v>
      </c>
      <c r="K3866" s="455">
        <f t="shared" ca="1" si="176"/>
        <v>-6662317312.9077721</v>
      </c>
      <c r="L3866" s="455">
        <f t="shared" ca="1" si="177"/>
        <v>-1605618472410.7729</v>
      </c>
      <c r="M3866" s="471">
        <f t="shared" si="179"/>
        <v>0.05</v>
      </c>
      <c r="N3866" s="475">
        <f t="shared" si="180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78"/>
        <v>-1605618472410.7729</v>
      </c>
      <c r="J3867" s="455">
        <f t="array" ref="J3867">IFERROR(INDEX('Retirement Calculator'!J:J,MATCH('Isaac 401k'!N3867,'Retirement Calculator'!A:A,0),0),0)</f>
        <v>0</v>
      </c>
      <c r="K3867" s="455">
        <f t="shared" ca="1" si="176"/>
        <v>-6690076968.3782206</v>
      </c>
      <c r="L3867" s="455">
        <f t="shared" ca="1" si="177"/>
        <v>-1612308549379.1511</v>
      </c>
      <c r="M3867" s="471">
        <f t="shared" si="179"/>
        <v>0.05</v>
      </c>
      <c r="N3867" s="475">
        <f t="shared" si="180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78"/>
        <v>-1612308549379.1511</v>
      </c>
      <c r="J3868" s="455">
        <f t="array" ref="J3868">IFERROR(INDEX('Retirement Calculator'!J:J,MATCH('Isaac 401k'!N3868,'Retirement Calculator'!A:A,0),0),0)</f>
        <v>0</v>
      </c>
      <c r="K3868" s="455">
        <f t="shared" ca="1" si="176"/>
        <v>-6717952289.0797958</v>
      </c>
      <c r="L3868" s="455">
        <f t="shared" ca="1" si="177"/>
        <v>-1619026501668.231</v>
      </c>
      <c r="M3868" s="471">
        <f t="shared" si="179"/>
        <v>0.05</v>
      </c>
      <c r="N3868" s="475">
        <f t="shared" si="180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78"/>
        <v>-1619026501668.231</v>
      </c>
      <c r="J3869" s="455">
        <f t="array" ref="J3869">IFERROR(INDEX('Retirement Calculator'!J:J,MATCH('Isaac 401k'!N3869,'Retirement Calculator'!A:A,0),0),0)</f>
        <v>0</v>
      </c>
      <c r="K3869" s="455">
        <f t="shared" ca="1" si="176"/>
        <v>-6745943756.9509621</v>
      </c>
      <c r="L3869" s="455">
        <f t="shared" ca="1" si="177"/>
        <v>-1625772445425.1819</v>
      </c>
      <c r="M3869" s="471">
        <f t="shared" si="179"/>
        <v>0.05</v>
      </c>
      <c r="N3869" s="475">
        <f t="shared" si="180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78"/>
        <v>-1625772445425.1819</v>
      </c>
      <c r="J3870" s="455">
        <f t="array" ref="J3870">IFERROR(INDEX('Retirement Calculator'!J:J,MATCH('Isaac 401k'!N3870,'Retirement Calculator'!A:A,0),0),0)</f>
        <v>0</v>
      </c>
      <c r="K3870" s="455">
        <f t="shared" ca="1" si="176"/>
        <v>-6774051855.9382582</v>
      </c>
      <c r="L3870" s="455">
        <f t="shared" ca="1" si="177"/>
        <v>-1632546497281.1201</v>
      </c>
      <c r="M3870" s="471">
        <f t="shared" si="179"/>
        <v>0.05</v>
      </c>
      <c r="N3870" s="475">
        <f t="shared" si="180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78"/>
        <v>-1632546497281.1201</v>
      </c>
      <c r="J3871" s="455">
        <f t="array" ref="J3871">IFERROR(INDEX('Retirement Calculator'!J:J,MATCH('Isaac 401k'!N3871,'Retirement Calculator'!A:A,0),0),0)</f>
        <v>0</v>
      </c>
      <c r="K3871" s="455">
        <f t="shared" ca="1" si="176"/>
        <v>-6802277072.0046673</v>
      </c>
      <c r="L3871" s="455">
        <f t="shared" ca="1" si="177"/>
        <v>-1639348774353.1248</v>
      </c>
      <c r="M3871" s="471">
        <f t="shared" si="179"/>
        <v>0.05</v>
      </c>
      <c r="N3871" s="475">
        <f t="shared" si="180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78"/>
        <v>-1639348774353.1248</v>
      </c>
      <c r="J3872" s="455">
        <f t="array" ref="J3872">IFERROR(INDEX('Retirement Calculator'!J:J,MATCH('Isaac 401k'!N3872,'Retirement Calculator'!A:A,0),0),0)</f>
        <v>0</v>
      </c>
      <c r="K3872" s="455">
        <f t="shared" ca="1" si="176"/>
        <v>-6830619893.1380196</v>
      </c>
      <c r="L3872" s="455">
        <f t="shared" ca="1" si="177"/>
        <v>-1646179394246.2627</v>
      </c>
      <c r="M3872" s="471">
        <f t="shared" si="179"/>
        <v>0.05</v>
      </c>
      <c r="N3872" s="475">
        <f t="shared" si="180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78"/>
        <v>-1646179394246.2627</v>
      </c>
      <c r="J3873" s="455">
        <f t="array" ref="J3873">IFERROR(INDEX('Retirement Calculator'!J:J,MATCH('Isaac 401k'!N3873,'Retirement Calculator'!A:A,0),0),0)</f>
        <v>0</v>
      </c>
      <c r="K3873" s="455">
        <f t="shared" ca="1" si="176"/>
        <v>-6859080809.3594275</v>
      </c>
      <c r="L3873" s="455">
        <f t="shared" ca="1" si="177"/>
        <v>-1653038475055.6221</v>
      </c>
      <c r="M3873" s="471">
        <f t="shared" si="179"/>
        <v>0.05</v>
      </c>
      <c r="N3873" s="475">
        <f t="shared" si="180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78"/>
        <v>-1653038475055.6221</v>
      </c>
      <c r="J3874" s="455">
        <f t="array" ref="J3874">IFERROR(INDEX('Retirement Calculator'!J:J,MATCH('Isaac 401k'!N3874,'Retirement Calculator'!A:A,0),0),0)</f>
        <v>0</v>
      </c>
      <c r="K3874" s="455">
        <f t="shared" ca="1" si="176"/>
        <v>-6887660312.7317581</v>
      </c>
      <c r="L3874" s="455">
        <f t="shared" ca="1" si="177"/>
        <v>-1659926135368.3538</v>
      </c>
      <c r="M3874" s="471">
        <f t="shared" si="179"/>
        <v>0.05</v>
      </c>
      <c r="N3874" s="475">
        <f t="shared" si="180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78"/>
        <v>-1659926135368.3538</v>
      </c>
      <c r="J3875" s="455">
        <f t="array" ref="J3875">IFERROR(INDEX('Retirement Calculator'!J:J,MATCH('Isaac 401k'!N3875,'Retirement Calculator'!A:A,0),0),0)</f>
        <v>0</v>
      </c>
      <c r="K3875" s="455">
        <f t="shared" ca="1" si="176"/>
        <v>-6916358897.3681402</v>
      </c>
      <c r="L3875" s="455">
        <f t="shared" ca="1" si="177"/>
        <v>-1666842494265.7219</v>
      </c>
      <c r="M3875" s="471">
        <f t="shared" si="179"/>
        <v>0.05</v>
      </c>
      <c r="N3875" s="475">
        <f t="shared" si="180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78"/>
        <v>-1666842494265.7219</v>
      </c>
      <c r="J3876" s="455">
        <f t="array" ref="J3876">IFERROR(INDEX('Retirement Calculator'!J:J,MATCH('Isaac 401k'!N3876,'Retirement Calculator'!A:A,0),0),0)</f>
        <v>0</v>
      </c>
      <c r="K3876" s="455">
        <f t="shared" ca="1" si="176"/>
        <v>-6945177059.4405079</v>
      </c>
      <c r="L3876" s="455">
        <f t="shared" ca="1" si="177"/>
        <v>-1673787671325.1624</v>
      </c>
      <c r="M3876" s="471">
        <f t="shared" si="179"/>
        <v>0.05</v>
      </c>
      <c r="N3876" s="475">
        <f t="shared" si="180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78"/>
        <v>-1673787671325.1624</v>
      </c>
      <c r="J3877" s="455">
        <f t="array" ref="J3877">IFERROR(INDEX('Retirement Calculator'!J:J,MATCH('Isaac 401k'!N3877,'Retirement Calculator'!A:A,0),0),0)</f>
        <v>0</v>
      </c>
      <c r="K3877" s="455">
        <f t="shared" ca="1" si="176"/>
        <v>-6974115297.1881762</v>
      </c>
      <c r="L3877" s="455">
        <f t="shared" ca="1" si="177"/>
        <v>-1680761786622.3506</v>
      </c>
      <c r="M3877" s="471">
        <f t="shared" si="179"/>
        <v>0.05</v>
      </c>
      <c r="N3877" s="475">
        <f t="shared" si="180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78"/>
        <v>-1680761786622.3506</v>
      </c>
      <c r="J3878" s="455">
        <f t="array" ref="J3878">IFERROR(INDEX('Retirement Calculator'!J:J,MATCH('Isaac 401k'!N3878,'Retirement Calculator'!A:A,0),0),0)</f>
        <v>0</v>
      </c>
      <c r="K3878" s="455">
        <f t="shared" ca="1" si="176"/>
        <v>-7003174110.9264603</v>
      </c>
      <c r="L3878" s="455">
        <f t="shared" ca="1" si="177"/>
        <v>-1687764960733.2771</v>
      </c>
      <c r="M3878" s="471">
        <f t="shared" si="179"/>
        <v>0.05</v>
      </c>
      <c r="N3878" s="475">
        <f t="shared" si="180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78"/>
        <v>-1687764960733.2771</v>
      </c>
      <c r="J3879" s="455">
        <f t="array" ref="J3879">IFERROR(INDEX('Retirement Calculator'!J:J,MATCH('Isaac 401k'!N3879,'Retirement Calculator'!A:A,0),0),0)</f>
        <v>0</v>
      </c>
      <c r="K3879" s="455">
        <f t="shared" ca="1" si="176"/>
        <v>-7032354003.0553207</v>
      </c>
      <c r="L3879" s="455">
        <f t="shared" ca="1" si="177"/>
        <v>-1694797314736.3325</v>
      </c>
      <c r="M3879" s="471">
        <f t="shared" si="179"/>
        <v>0.05</v>
      </c>
      <c r="N3879" s="475">
        <f t="shared" si="180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78"/>
        <v>-1694797314736.3325</v>
      </c>
      <c r="J3880" s="455">
        <f t="array" ref="J3880">IFERROR(INDEX('Retirement Calculator'!J:J,MATCH('Isaac 401k'!N3880,'Retirement Calculator'!A:A,0),0),0)</f>
        <v>0</v>
      </c>
      <c r="K3880" s="455">
        <f t="shared" ca="1" si="176"/>
        <v>-7061655478.0680523</v>
      </c>
      <c r="L3880" s="455">
        <f t="shared" ca="1" si="177"/>
        <v>-1701858970214.4006</v>
      </c>
      <c r="M3880" s="471">
        <f t="shared" si="179"/>
        <v>0.05</v>
      </c>
      <c r="N3880" s="475">
        <f t="shared" si="180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78"/>
        <v>-1701858970214.4006</v>
      </c>
      <c r="J3881" s="455">
        <f t="array" ref="J3881">IFERROR(INDEX('Retirement Calculator'!J:J,MATCH('Isaac 401k'!N3881,'Retirement Calculator'!A:A,0),0),0)</f>
        <v>0</v>
      </c>
      <c r="K3881" s="455">
        <f t="shared" ca="1" si="176"/>
        <v>-7091079042.5600023</v>
      </c>
      <c r="L3881" s="455">
        <f t="shared" ca="1" si="177"/>
        <v>-1708950049256.9607</v>
      </c>
      <c r="M3881" s="471">
        <f t="shared" si="179"/>
        <v>0.05</v>
      </c>
      <c r="N3881" s="475">
        <f t="shared" si="180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78"/>
        <v>-1708950049256.9607</v>
      </c>
      <c r="J3882" s="455">
        <f t="array" ref="J3882">IFERROR(INDEX('Retirement Calculator'!J:J,MATCH('Isaac 401k'!N3882,'Retirement Calculator'!A:A,0),0),0)</f>
        <v>0</v>
      </c>
      <c r="K3882" s="455">
        <f t="shared" ca="1" si="176"/>
        <v>-7120625205.2373362</v>
      </c>
      <c r="L3882" s="455">
        <f t="shared" ca="1" si="177"/>
        <v>-1716070674462.198</v>
      </c>
      <c r="M3882" s="471">
        <f t="shared" si="179"/>
        <v>0.05</v>
      </c>
      <c r="N3882" s="475">
        <f t="shared" si="180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78"/>
        <v>-1716070674462.198</v>
      </c>
      <c r="J3883" s="455">
        <f t="array" ref="J3883">IFERROR(INDEX('Retirement Calculator'!J:J,MATCH('Isaac 401k'!N3883,'Retirement Calculator'!A:A,0),0),0)</f>
        <v>0</v>
      </c>
      <c r="K3883" s="455">
        <f t="shared" ca="1" si="176"/>
        <v>-7150294476.9258251</v>
      </c>
      <c r="L3883" s="455">
        <f t="shared" ca="1" si="177"/>
        <v>-1723220968939.1238</v>
      </c>
      <c r="M3883" s="471">
        <f t="shared" si="179"/>
        <v>0.05</v>
      </c>
      <c r="N3883" s="475">
        <f t="shared" si="180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78"/>
        <v>-1723220968939.1238</v>
      </c>
      <c r="J3884" s="455">
        <f t="array" ref="J3884">IFERROR(INDEX('Retirement Calculator'!J:J,MATCH('Isaac 401k'!N3884,'Retirement Calculator'!A:A,0),0),0)</f>
        <v>0</v>
      </c>
      <c r="K3884" s="455">
        <f t="shared" ca="1" si="176"/>
        <v>-7180087370.5796824</v>
      </c>
      <c r="L3884" s="455">
        <f t="shared" ca="1" si="177"/>
        <v>-1730401056309.7034</v>
      </c>
      <c r="M3884" s="471">
        <f t="shared" si="179"/>
        <v>0.05</v>
      </c>
      <c r="N3884" s="475">
        <f t="shared" si="180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78"/>
        <v>-1730401056309.7034</v>
      </c>
      <c r="J3885" s="455">
        <f t="array" ref="J3885">IFERROR(INDEX('Retirement Calculator'!J:J,MATCH('Isaac 401k'!N3885,'Retirement Calculator'!A:A,0),0),0)</f>
        <v>0</v>
      </c>
      <c r="K3885" s="455">
        <f t="shared" ca="1" si="176"/>
        <v>-7210004401.290431</v>
      </c>
      <c r="L3885" s="455">
        <f t="shared" ca="1" si="177"/>
        <v>-1737611060710.9939</v>
      </c>
      <c r="M3885" s="471">
        <f t="shared" si="179"/>
        <v>0.05</v>
      </c>
      <c r="N3885" s="475">
        <f t="shared" si="180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78"/>
        <v>-1737611060710.9939</v>
      </c>
      <c r="J3886" s="455">
        <f t="array" ref="J3886">IFERROR(INDEX('Retirement Calculator'!J:J,MATCH('Isaac 401k'!N3886,'Retirement Calculator'!A:A,0),0),0)</f>
        <v>0</v>
      </c>
      <c r="K3886" s="455">
        <f t="shared" ca="1" si="176"/>
        <v>-7240046086.2958078</v>
      </c>
      <c r="L3886" s="455">
        <f t="shared" ca="1" si="177"/>
        <v>-1744851106797.2898</v>
      </c>
      <c r="M3886" s="471">
        <f t="shared" si="179"/>
        <v>0.05</v>
      </c>
      <c r="N3886" s="475">
        <f t="shared" si="180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78"/>
        <v>-1744851106797.2898</v>
      </c>
      <c r="J3887" s="455">
        <f t="array" ref="J3887">IFERROR(INDEX('Retirement Calculator'!J:J,MATCH('Isaac 401k'!N3887,'Retirement Calculator'!A:A,0),0),0)</f>
        <v>0</v>
      </c>
      <c r="K3887" s="455">
        <f t="shared" ca="1" si="176"/>
        <v>-7270212944.9887075</v>
      </c>
      <c r="L3887" s="455">
        <f t="shared" ca="1" si="177"/>
        <v>-1752121319742.2786</v>
      </c>
      <c r="M3887" s="471">
        <f t="shared" si="179"/>
        <v>0.05</v>
      </c>
      <c r="N3887" s="475">
        <f t="shared" si="180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78"/>
        <v>-1752121319742.2786</v>
      </c>
      <c r="J3888" s="455">
        <f t="array" ref="J3888">IFERROR(INDEX('Retirement Calculator'!J:J,MATCH('Isaac 401k'!N3888,'Retirement Calculator'!A:A,0),0),0)</f>
        <v>0</v>
      </c>
      <c r="K3888" s="455">
        <f t="shared" ca="1" si="176"/>
        <v>-7300505498.9261608</v>
      </c>
      <c r="L3888" s="455">
        <f t="shared" ca="1" si="177"/>
        <v>-1759421825241.2048</v>
      </c>
      <c r="M3888" s="471">
        <f t="shared" si="179"/>
        <v>0.05</v>
      </c>
      <c r="N3888" s="475">
        <f t="shared" si="180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78"/>
        <v>-1759421825241.2048</v>
      </c>
      <c r="J3889" s="455">
        <f t="array" ref="J3889">IFERROR(INDEX('Retirement Calculator'!J:J,MATCH('Isaac 401k'!N3889,'Retirement Calculator'!A:A,0),0),0)</f>
        <v>0</v>
      </c>
      <c r="K3889" s="455">
        <f t="shared" ca="1" si="176"/>
        <v>-7330924271.8383532</v>
      </c>
      <c r="L3889" s="455">
        <f t="shared" ca="1" si="177"/>
        <v>-1766752749513.0432</v>
      </c>
      <c r="M3889" s="471">
        <f t="shared" si="179"/>
        <v>0.05</v>
      </c>
      <c r="N3889" s="475">
        <f t="shared" si="180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78"/>
        <v>-1766752749513.0432</v>
      </c>
      <c r="J3890" s="455">
        <f t="array" ref="J3890">IFERROR(INDEX('Retirement Calculator'!J:J,MATCH('Isaac 401k'!N3890,'Retirement Calculator'!A:A,0),0),0)</f>
        <v>0</v>
      </c>
      <c r="K3890" s="455">
        <f t="shared" ca="1" si="176"/>
        <v>-7361469789.6376801</v>
      </c>
      <c r="L3890" s="455">
        <f t="shared" ca="1" si="177"/>
        <v>-1774114219302.6809</v>
      </c>
      <c r="M3890" s="471">
        <f t="shared" si="179"/>
        <v>0.05</v>
      </c>
      <c r="N3890" s="475">
        <f t="shared" si="180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78"/>
        <v>-1774114219302.6809</v>
      </c>
      <c r="J3891" s="455">
        <f t="array" ref="J3891">IFERROR(INDEX('Retirement Calculator'!J:J,MATCH('Isaac 401k'!N3891,'Retirement Calculator'!A:A,0),0),0)</f>
        <v>0</v>
      </c>
      <c r="K3891" s="455">
        <f t="shared" ca="1" si="176"/>
        <v>-7392142580.4278374</v>
      </c>
      <c r="L3891" s="455">
        <f t="shared" ca="1" si="177"/>
        <v>-1781506361883.1086</v>
      </c>
      <c r="M3891" s="471">
        <f t="shared" si="179"/>
        <v>0.05</v>
      </c>
      <c r="N3891" s="475">
        <f t="shared" si="180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78"/>
        <v>-1781506361883.1086</v>
      </c>
      <c r="J3892" s="455">
        <f t="array" ref="J3892">IFERROR(INDEX('Retirement Calculator'!J:J,MATCH('Isaac 401k'!N3892,'Retirement Calculator'!A:A,0),0),0)</f>
        <v>0</v>
      </c>
      <c r="K3892" s="455">
        <f t="shared" ca="1" si="176"/>
        <v>-7422943174.5129528</v>
      </c>
      <c r="L3892" s="455">
        <f t="shared" ca="1" si="177"/>
        <v>-1788929305057.6216</v>
      </c>
      <c r="M3892" s="471">
        <f t="shared" si="179"/>
        <v>0.05</v>
      </c>
      <c r="N3892" s="475">
        <f t="shared" si="180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78"/>
        <v>-1788929305057.6216</v>
      </c>
      <c r="J3893" s="455">
        <f t="array" ref="J3893">IFERROR(INDEX('Retirement Calculator'!J:J,MATCH('Isaac 401k'!N3893,'Retirement Calculator'!A:A,0),0),0)</f>
        <v>0</v>
      </c>
      <c r="K3893" s="455">
        <f t="shared" ca="1" si="176"/>
        <v>-7453872104.4067564</v>
      </c>
      <c r="L3893" s="455">
        <f t="shared" ca="1" si="177"/>
        <v>-1796383177162.0283</v>
      </c>
      <c r="M3893" s="471">
        <f t="shared" si="179"/>
        <v>0.05</v>
      </c>
      <c r="N3893" s="475">
        <f t="shared" si="180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78"/>
        <v>-1796383177162.0283</v>
      </c>
      <c r="J3894" s="455">
        <f t="array" ref="J3894">IFERROR(INDEX('Retirement Calculator'!J:J,MATCH('Isaac 401k'!N3894,'Retirement Calculator'!A:A,0),0),0)</f>
        <v>0</v>
      </c>
      <c r="K3894" s="455">
        <f t="shared" ca="1" si="176"/>
        <v>-7484929904.8417845</v>
      </c>
      <c r="L3894" s="455">
        <f t="shared" ca="1" si="177"/>
        <v>-1803868107066.8701</v>
      </c>
      <c r="M3894" s="471">
        <f t="shared" si="179"/>
        <v>0.05</v>
      </c>
      <c r="N3894" s="475">
        <f t="shared" si="180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78"/>
        <v>-1803868107066.8701</v>
      </c>
      <c r="J3895" s="455">
        <f t="array" ref="J3895">IFERROR(INDEX('Retirement Calculator'!J:J,MATCH('Isaac 401k'!N3895,'Retirement Calculator'!A:A,0),0),0)</f>
        <v>0</v>
      </c>
      <c r="K3895" s="455">
        <f t="shared" ca="1" si="176"/>
        <v>-7516117112.7786255</v>
      </c>
      <c r="L3895" s="455">
        <f t="shared" ca="1" si="177"/>
        <v>-1811384224179.6487</v>
      </c>
      <c r="M3895" s="471">
        <f t="shared" si="179"/>
        <v>0.05</v>
      </c>
      <c r="N3895" s="475">
        <f t="shared" si="180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78"/>
        <v>-1811384224179.6487</v>
      </c>
      <c r="J3896" s="455">
        <f t="array" ref="J3896">IFERROR(INDEX('Retirement Calculator'!J:J,MATCH('Isaac 401k'!N3896,'Retirement Calculator'!A:A,0),0),0)</f>
        <v>0</v>
      </c>
      <c r="K3896" s="455">
        <f t="shared" ca="1" si="176"/>
        <v>-7547434267.4152031</v>
      </c>
      <c r="L3896" s="455">
        <f t="shared" ca="1" si="177"/>
        <v>-1818931658447.064</v>
      </c>
      <c r="M3896" s="471">
        <f t="shared" si="179"/>
        <v>0.05</v>
      </c>
      <c r="N3896" s="475">
        <f t="shared" si="180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78"/>
        <v>-1818931658447.064</v>
      </c>
      <c r="J3897" s="455">
        <f t="array" ref="J3897">IFERROR(INDEX('Retirement Calculator'!J:J,MATCH('Isaac 401k'!N3897,'Retirement Calculator'!A:A,0),0),0)</f>
        <v>0</v>
      </c>
      <c r="K3897" s="455">
        <f t="shared" ca="1" si="176"/>
        <v>-7578881910.1960993</v>
      </c>
      <c r="L3897" s="455">
        <f t="shared" ca="1" si="177"/>
        <v>-1826510540357.26</v>
      </c>
      <c r="M3897" s="471">
        <f t="shared" si="179"/>
        <v>0.05</v>
      </c>
      <c r="N3897" s="475">
        <f t="shared" si="180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78"/>
        <v>-1826510540357.26</v>
      </c>
      <c r="J3898" s="455">
        <f t="array" ref="J3898">IFERROR(INDEX('Retirement Calculator'!J:J,MATCH('Isaac 401k'!N3898,'Retirement Calculator'!A:A,0),0),0)</f>
        <v>0</v>
      </c>
      <c r="K3898" s="455">
        <f t="shared" ca="1" si="176"/>
        <v>-7610460584.8219156</v>
      </c>
      <c r="L3898" s="455">
        <f t="shared" ca="1" si="177"/>
        <v>-1834121000942.082</v>
      </c>
      <c r="M3898" s="471">
        <f t="shared" si="179"/>
        <v>0.05</v>
      </c>
      <c r="N3898" s="475">
        <f t="shared" si="180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78"/>
        <v>-1834121000942.082</v>
      </c>
      <c r="J3899" s="455">
        <f t="array" ref="J3899">IFERROR(INDEX('Retirement Calculator'!J:J,MATCH('Isaac 401k'!N3899,'Retirement Calculator'!A:A,0),0),0)</f>
        <v>0</v>
      </c>
      <c r="K3899" s="455">
        <f t="shared" ca="1" si="176"/>
        <v>-7642170837.2586756</v>
      </c>
      <c r="L3899" s="455">
        <f t="shared" ca="1" si="177"/>
        <v>-1841763171779.3408</v>
      </c>
      <c r="M3899" s="471">
        <f t="shared" si="179"/>
        <v>0.05</v>
      </c>
      <c r="N3899" s="475">
        <f t="shared" si="180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78"/>
        <v>-1841763171779.3408</v>
      </c>
      <c r="J3900" s="455">
        <f t="array" ref="J3900">IFERROR(INDEX('Retirement Calculator'!J:J,MATCH('Isaac 401k'!N3900,'Retirement Calculator'!A:A,0),0),0)</f>
        <v>0</v>
      </c>
      <c r="K3900" s="455">
        <f t="shared" ca="1" si="176"/>
        <v>-7674013215.7472534</v>
      </c>
      <c r="L3900" s="455">
        <f t="shared" ca="1" si="177"/>
        <v>-1849437184995.0881</v>
      </c>
      <c r="M3900" s="471">
        <f t="shared" si="179"/>
        <v>0.05</v>
      </c>
      <c r="N3900" s="475">
        <f t="shared" si="180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78"/>
        <v>-1849437184995.0881</v>
      </c>
      <c r="J3901" s="455">
        <f t="array" ref="J3901">IFERROR(INDEX('Retirement Calculator'!J:J,MATCH('Isaac 401k'!N3901,'Retirement Calculator'!A:A,0),0),0)</f>
        <v>0</v>
      </c>
      <c r="K3901" s="455">
        <f t="shared" ca="1" si="176"/>
        <v>-7705988270.8128672</v>
      </c>
      <c r="L3901" s="455">
        <f t="shared" ca="1" si="177"/>
        <v>-1857143173265.9011</v>
      </c>
      <c r="M3901" s="471">
        <f t="shared" si="179"/>
        <v>0.05</v>
      </c>
      <c r="N3901" s="475">
        <f t="shared" si="180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78"/>
        <v>-1857143173265.9011</v>
      </c>
      <c r="J3902" s="455">
        <f t="array" ref="J3902">IFERROR(INDEX('Retirement Calculator'!J:J,MATCH('Isaac 401k'!N3902,'Retirement Calculator'!A:A,0),0),0)</f>
        <v>0</v>
      </c>
      <c r="K3902" s="455">
        <f t="shared" ca="1" si="176"/>
        <v>-7738096555.2745876</v>
      </c>
      <c r="L3902" s="455">
        <f t="shared" ca="1" si="177"/>
        <v>-1864881269821.1758</v>
      </c>
      <c r="M3902" s="471">
        <f t="shared" si="179"/>
        <v>0.05</v>
      </c>
      <c r="N3902" s="475">
        <f t="shared" si="180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78"/>
        <v>-1864881269821.1758</v>
      </c>
      <c r="J3903" s="455">
        <f t="array" ref="J3903">IFERROR(INDEX('Retirement Calculator'!J:J,MATCH('Isaac 401k'!N3903,'Retirement Calculator'!A:A,0),0),0)</f>
        <v>0</v>
      </c>
      <c r="K3903" s="455">
        <f t="shared" ca="1" si="176"/>
        <v>-7770338624.254899</v>
      </c>
      <c r="L3903" s="455">
        <f t="shared" ca="1" si="177"/>
        <v>-1872651608445.4307</v>
      </c>
      <c r="M3903" s="471">
        <f t="shared" si="179"/>
        <v>0.05</v>
      </c>
      <c r="N3903" s="475">
        <f t="shared" si="180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78"/>
        <v>-1872651608445.4307</v>
      </c>
      <c r="J3904" s="455">
        <f t="array" ref="J3904">IFERROR(INDEX('Retirement Calculator'!J:J,MATCH('Isaac 401k'!N3904,'Retirement Calculator'!A:A,0),0),0)</f>
        <v>0</v>
      </c>
      <c r="K3904" s="455">
        <f t="shared" ca="1" si="176"/>
        <v>-7802715035.1892929</v>
      </c>
      <c r="L3904" s="455">
        <f t="shared" ca="1" si="177"/>
        <v>-1880454323480.6199</v>
      </c>
      <c r="M3904" s="471">
        <f t="shared" si="179"/>
        <v>0.05</v>
      </c>
      <c r="N3904" s="475">
        <f t="shared" si="180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78"/>
        <v>-1880454323480.6199</v>
      </c>
      <c r="J3905" s="455">
        <f t="array" ref="J3905">IFERROR(INDEX('Retirement Calculator'!J:J,MATCH('Isaac 401k'!N3905,'Retirement Calculator'!A:A,0),0),0)</f>
        <v>0</v>
      </c>
      <c r="K3905" s="455">
        <f t="shared" ca="1" si="176"/>
        <v>-7835226347.8359175</v>
      </c>
      <c r="L3905" s="455">
        <f t="shared" ca="1" si="177"/>
        <v>-1888289549828.4558</v>
      </c>
      <c r="M3905" s="471">
        <f t="shared" si="179"/>
        <v>0.05</v>
      </c>
      <c r="N3905" s="475">
        <f t="shared" si="180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78"/>
        <v>-1888289549828.4558</v>
      </c>
      <c r="J3906" s="455">
        <f t="array" ref="J3906">IFERROR(INDEX('Retirement Calculator'!J:J,MATCH('Isaac 401k'!N3906,'Retirement Calculator'!A:A,0),0),0)</f>
        <v>0</v>
      </c>
      <c r="K3906" s="455">
        <f t="shared" ca="1" si="176"/>
        <v>-7867873124.2852325</v>
      </c>
      <c r="L3906" s="455">
        <f t="shared" ca="1" si="177"/>
        <v>-1896157422952.741</v>
      </c>
      <c r="M3906" s="471">
        <f t="shared" si="179"/>
        <v>0.05</v>
      </c>
      <c r="N3906" s="475">
        <f t="shared" si="180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78"/>
        <v>-1896157422952.741</v>
      </c>
      <c r="J3907" s="455">
        <f t="array" ref="J3907">IFERROR(INDEX('Retirement Calculator'!J:J,MATCH('Isaac 401k'!N3907,'Retirement Calculator'!A:A,0),0),0)</f>
        <v>0</v>
      </c>
      <c r="K3907" s="455">
        <f t="shared" ca="1" si="176"/>
        <v>-7900655928.9697533</v>
      </c>
      <c r="L3907" s="455">
        <f t="shared" ca="1" si="177"/>
        <v>-1904058078881.7107</v>
      </c>
      <c r="M3907" s="471">
        <f t="shared" si="179"/>
        <v>0.05</v>
      </c>
      <c r="N3907" s="475">
        <f t="shared" si="180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78"/>
        <v>-1904058078881.7107</v>
      </c>
      <c r="J3908" s="455">
        <f t="array" ref="J3908">IFERROR(INDEX('Retirement Calculator'!J:J,MATCH('Isaac 401k'!N3908,'Retirement Calculator'!A:A,0),0),0)</f>
        <v>0</v>
      </c>
      <c r="K3908" s="455">
        <f t="shared" ca="1" si="176"/>
        <v>-7933575328.6737957</v>
      </c>
      <c r="L3908" s="455">
        <f t="shared" ca="1" si="177"/>
        <v>-1911991654210.3845</v>
      </c>
      <c r="M3908" s="471">
        <f t="shared" si="179"/>
        <v>0.05</v>
      </c>
      <c r="N3908" s="475">
        <f t="shared" si="180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78"/>
        <v>-1911991654210.3845</v>
      </c>
      <c r="J3909" s="455">
        <f t="array" ref="J3909">IFERROR(INDEX('Retirement Calculator'!J:J,MATCH('Isaac 401k'!N3909,'Retirement Calculator'!A:A,0),0),0)</f>
        <v>0</v>
      </c>
      <c r="K3909" s="455">
        <f t="shared" ca="1" si="176"/>
        <v>-7966631892.5432692</v>
      </c>
      <c r="L3909" s="455">
        <f t="shared" ca="1" si="177"/>
        <v>-1919958286102.9277</v>
      </c>
      <c r="M3909" s="471">
        <f t="shared" si="179"/>
        <v>0.05</v>
      </c>
      <c r="N3909" s="475">
        <f t="shared" si="180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78"/>
        <v>-1919958286102.9277</v>
      </c>
      <c r="J3910" s="455">
        <f t="array" ref="J3910">IFERROR(INDEX('Retirement Calculator'!J:J,MATCH('Isaac 401k'!N3910,'Retirement Calculator'!A:A,0),0),0)</f>
        <v>0</v>
      </c>
      <c r="K3910" s="455">
        <f t="shared" ca="1" si="176"/>
        <v>-7999826192.0955324</v>
      </c>
      <c r="L3910" s="455">
        <f t="shared" ca="1" si="177"/>
        <v>-1927958112295.0232</v>
      </c>
      <c r="M3910" s="471">
        <f t="shared" si="179"/>
        <v>0.05</v>
      </c>
      <c r="N3910" s="475">
        <f t="shared" si="180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78"/>
        <v>-1927958112295.0232</v>
      </c>
      <c r="J3911" s="455">
        <f t="array" ref="J3911">IFERROR(INDEX('Retirement Calculator'!J:J,MATCH('Isaac 401k'!N3911,'Retirement Calculator'!A:A,0),0),0)</f>
        <v>0</v>
      </c>
      <c r="K3911" s="455">
        <f t="shared" ca="1" si="176"/>
        <v>-8033158801.2292633</v>
      </c>
      <c r="L3911" s="455">
        <f t="shared" ca="1" si="177"/>
        <v>-1935991271096.2524</v>
      </c>
      <c r="M3911" s="471">
        <f t="shared" si="179"/>
        <v>0.05</v>
      </c>
      <c r="N3911" s="475">
        <f t="shared" si="180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78"/>
        <v>-1935991271096.2524</v>
      </c>
      <c r="J3912" s="455">
        <f t="array" ref="J3912">IFERROR(INDEX('Retirement Calculator'!J:J,MATCH('Isaac 401k'!N3912,'Retirement Calculator'!A:A,0),0),0)</f>
        <v>0</v>
      </c>
      <c r="K3912" s="455">
        <f t="shared" ca="1" si="176"/>
        <v>-8066630296.2343864</v>
      </c>
      <c r="L3912" s="455">
        <f t="shared" ca="1" si="177"/>
        <v>-1944057901392.4868</v>
      </c>
      <c r="M3912" s="471">
        <f t="shared" si="179"/>
        <v>0.05</v>
      </c>
      <c r="N3912" s="475">
        <f t="shared" si="180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78"/>
        <v>-1944057901392.4868</v>
      </c>
      <c r="J3913" s="455">
        <f t="array" ref="J3913">IFERROR(INDEX('Retirement Calculator'!J:J,MATCH('Isaac 401k'!N3913,'Retirement Calculator'!A:A,0),0),0)</f>
        <v>0</v>
      </c>
      <c r="K3913" s="455">
        <f t="shared" ca="1" si="176"/>
        <v>-8100241255.8020287</v>
      </c>
      <c r="L3913" s="455">
        <f t="shared" ca="1" si="177"/>
        <v>-1952158142648.2888</v>
      </c>
      <c r="M3913" s="471">
        <f t="shared" si="179"/>
        <v>0.05</v>
      </c>
      <c r="N3913" s="475">
        <f t="shared" si="180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78"/>
        <v>-1952158142648.2888</v>
      </c>
      <c r="J3914" s="455">
        <f t="array" ref="J3914">IFERROR(INDEX('Retirement Calculator'!J:J,MATCH('Isaac 401k'!N3914,'Retirement Calculator'!A:A,0),0),0)</f>
        <v>0</v>
      </c>
      <c r="K3914" s="455">
        <f t="shared" ca="1" si="176"/>
        <v>-8133992261.0345364</v>
      </c>
      <c r="L3914" s="455">
        <f t="shared" ca="1" si="177"/>
        <v>-1960292134909.3232</v>
      </c>
      <c r="M3914" s="471">
        <f t="shared" si="179"/>
        <v>0.05</v>
      </c>
      <c r="N3914" s="475">
        <f t="shared" si="180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78"/>
        <v>-1960292134909.3232</v>
      </c>
      <c r="J3915" s="455">
        <f t="array" ref="J3915">IFERROR(INDEX('Retirement Calculator'!J:J,MATCH('Isaac 401k'!N3915,'Retirement Calculator'!A:A,0),0),0)</f>
        <v>0</v>
      </c>
      <c r="K3915" s="455">
        <f t="shared" ca="1" si="176"/>
        <v>-8167883895.455512</v>
      </c>
      <c r="L3915" s="455">
        <f t="shared" ca="1" si="177"/>
        <v>-1968460018804.7788</v>
      </c>
      <c r="M3915" s="471">
        <f t="shared" si="179"/>
        <v>0.05</v>
      </c>
      <c r="N3915" s="475">
        <f t="shared" si="180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78"/>
        <v>-1968460018804.7788</v>
      </c>
      <c r="J3916" s="455">
        <f t="array" ref="J3916">IFERROR(INDEX('Retirement Calculator'!J:J,MATCH('Isaac 401k'!N3916,'Retirement Calculator'!A:A,0),0),0)</f>
        <v>0</v>
      </c>
      <c r="K3916" s="455">
        <f t="shared" ca="1" si="176"/>
        <v>-8201916745.0199118</v>
      </c>
      <c r="L3916" s="455">
        <f t="shared" ca="1" si="177"/>
        <v>-1976661935549.7988</v>
      </c>
      <c r="M3916" s="471">
        <f t="shared" si="179"/>
        <v>0.05</v>
      </c>
      <c r="N3916" s="475">
        <f t="shared" si="180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78"/>
        <v>-1976661935549.7988</v>
      </c>
      <c r="J3917" s="455">
        <f t="array" ref="J3917">IFERROR(INDEX('Retirement Calculator'!J:J,MATCH('Isaac 401k'!N3917,'Retirement Calculator'!A:A,0),0),0)</f>
        <v>0</v>
      </c>
      <c r="K3917" s="455">
        <f t="shared" ca="1" si="176"/>
        <v>-8236091398.1241608</v>
      </c>
      <c r="L3917" s="455">
        <f t="shared" ca="1" si="177"/>
        <v>-1984898026947.9231</v>
      </c>
      <c r="M3917" s="471">
        <f t="shared" si="179"/>
        <v>0.05</v>
      </c>
      <c r="N3917" s="475">
        <f t="shared" si="180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78"/>
        <v>-1984898026947.9231</v>
      </c>
      <c r="J3918" s="455">
        <f t="array" ref="J3918">IFERROR(INDEX('Retirement Calculator'!J:J,MATCH('Isaac 401k'!N3918,'Retirement Calculator'!A:A,0),0),0)</f>
        <v>0</v>
      </c>
      <c r="K3918" s="455">
        <f t="shared" ca="1" si="176"/>
        <v>-8270408445.6163464</v>
      </c>
      <c r="L3918" s="455">
        <f t="shared" ca="1" si="177"/>
        <v>-1993168435393.5396</v>
      </c>
      <c r="M3918" s="471">
        <f t="shared" si="179"/>
        <v>0.05</v>
      </c>
      <c r="N3918" s="475">
        <f t="shared" si="180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78"/>
        <v>-1993168435393.5396</v>
      </c>
      <c r="J3919" s="455">
        <f t="array" ref="J3919">IFERROR(INDEX('Retirement Calculator'!J:J,MATCH('Isaac 401k'!N3919,'Retirement Calculator'!A:A,0),0),0)</f>
        <v>0</v>
      </c>
      <c r="K3919" s="455">
        <f t="shared" ca="1" si="176"/>
        <v>-8304868480.8064146</v>
      </c>
      <c r="L3919" s="455">
        <f t="shared" ca="1" si="177"/>
        <v>-2001473303874.3459</v>
      </c>
      <c r="M3919" s="471">
        <f t="shared" si="179"/>
        <v>0.05</v>
      </c>
      <c r="N3919" s="475">
        <f t="shared" si="180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78"/>
        <v>-2001473303874.3459</v>
      </c>
      <c r="J3920" s="455">
        <f t="array" ref="J3920">IFERROR(INDEX('Retirement Calculator'!J:J,MATCH('Isaac 401k'!N3920,'Retirement Calculator'!A:A,0),0),0)</f>
        <v>0</v>
      </c>
      <c r="K3920" s="455">
        <f t="shared" ca="1" si="176"/>
        <v>-8339472099.4764414</v>
      </c>
      <c r="L3920" s="455">
        <f t="shared" ca="1" si="177"/>
        <v>-2009812775973.8225</v>
      </c>
      <c r="M3920" s="471">
        <f t="shared" si="179"/>
        <v>0.05</v>
      </c>
      <c r="N3920" s="475">
        <f t="shared" si="180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78"/>
        <v>-2009812775973.8225</v>
      </c>
      <c r="J3921" s="455">
        <f t="array" ref="J3921">IFERROR(INDEX('Retirement Calculator'!J:J,MATCH('Isaac 401k'!N3921,'Retirement Calculator'!A:A,0),0),0)</f>
        <v>0</v>
      </c>
      <c r="K3921" s="455">
        <f t="shared" ca="1" si="176"/>
        <v>-8374219899.8909273</v>
      </c>
      <c r="L3921" s="455">
        <f t="shared" ca="1" si="177"/>
        <v>-2018186995873.7134</v>
      </c>
      <c r="M3921" s="471">
        <f t="shared" si="179"/>
        <v>0.05</v>
      </c>
      <c r="N3921" s="475">
        <f t="shared" si="180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78"/>
        <v>-2018186995873.7134</v>
      </c>
      <c r="J3922" s="455">
        <f t="array" ref="J3922">IFERROR(INDEX('Retirement Calculator'!J:J,MATCH('Isaac 401k'!N3922,'Retirement Calculator'!A:A,0),0),0)</f>
        <v>0</v>
      </c>
      <c r="K3922" s="455">
        <f t="shared" ca="1" si="176"/>
        <v>-8409112482.8071394</v>
      </c>
      <c r="L3922" s="455">
        <f t="shared" ca="1" si="177"/>
        <v>-2026596108356.5205</v>
      </c>
      <c r="M3922" s="471">
        <f t="shared" si="179"/>
        <v>0.05</v>
      </c>
      <c r="N3922" s="475">
        <f t="shared" si="180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78"/>
        <v>-2026596108356.5205</v>
      </c>
      <c r="J3923" s="455">
        <f t="array" ref="J3923">IFERROR(INDEX('Retirement Calculator'!J:J,MATCH('Isaac 401k'!N3923,'Retirement Calculator'!A:A,0),0),0)</f>
        <v>0</v>
      </c>
      <c r="K3923" s="455">
        <f t="shared" ca="1" si="176"/>
        <v>-8444150451.4855022</v>
      </c>
      <c r="L3923" s="455">
        <f t="shared" ca="1" si="177"/>
        <v>-2035040258808.0061</v>
      </c>
      <c r="M3923" s="471">
        <f t="shared" si="179"/>
        <v>0.05</v>
      </c>
      <c r="N3923" s="475">
        <f t="shared" si="180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78"/>
        <v>-2035040258808.0061</v>
      </c>
      <c r="J3924" s="455">
        <f t="array" ref="J3924">IFERROR(INDEX('Retirement Calculator'!J:J,MATCH('Isaac 401k'!N3924,'Retirement Calculator'!A:A,0),0),0)</f>
        <v>0</v>
      </c>
      <c r="K3924" s="455">
        <f t="shared" ca="1" si="176"/>
        <v>-8479334411.7000256</v>
      </c>
      <c r="L3924" s="455">
        <f t="shared" ca="1" si="177"/>
        <v>-2043519593219.7061</v>
      </c>
      <c r="M3924" s="471">
        <f t="shared" si="179"/>
        <v>0.05</v>
      </c>
      <c r="N3924" s="475">
        <f t="shared" si="180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78"/>
        <v>-2043519593219.7061</v>
      </c>
      <c r="J3925" s="455">
        <f t="array" ref="J3925">IFERROR(INDEX('Retirement Calculator'!J:J,MATCH('Isaac 401k'!N3925,'Retirement Calculator'!A:A,0),0),0)</f>
        <v>0</v>
      </c>
      <c r="K3925" s="455">
        <f t="shared" ca="1" si="176"/>
        <v>-8514664971.7487755</v>
      </c>
      <c r="L3925" s="455">
        <f t="shared" ca="1" si="177"/>
        <v>-2052034258191.4548</v>
      </c>
      <c r="M3925" s="471">
        <f t="shared" si="179"/>
        <v>0.05</v>
      </c>
      <c r="N3925" s="475">
        <f t="shared" si="180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78"/>
        <v>-2052034258191.4548</v>
      </c>
      <c r="J3926" s="455">
        <f t="array" ref="J3926">IFERROR(INDEX('Retirement Calculator'!J:J,MATCH('Isaac 401k'!N3926,'Retirement Calculator'!A:A,0),0),0)</f>
        <v>0</v>
      </c>
      <c r="K3926" s="455">
        <f t="shared" ca="1" si="176"/>
        <v>-8550142742.4643936</v>
      </c>
      <c r="L3926" s="455">
        <f t="shared" ca="1" si="177"/>
        <v>-2060584400933.9192</v>
      </c>
      <c r="M3926" s="471">
        <f t="shared" si="179"/>
        <v>0.05</v>
      </c>
      <c r="N3926" s="475">
        <f t="shared" si="180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78"/>
        <v>-2060584400933.9192</v>
      </c>
      <c r="J3927" s="455">
        <f t="array" ref="J3927">IFERROR(INDEX('Retirement Calculator'!J:J,MATCH('Isaac 401k'!N3927,'Retirement Calculator'!A:A,0),0),0)</f>
        <v>0</v>
      </c>
      <c r="K3927" s="455">
        <f t="shared" ca="1" si="176"/>
        <v>-8585768337.2246628</v>
      </c>
      <c r="L3927" s="455">
        <f t="shared" ca="1" si="177"/>
        <v>-2069170169271.1438</v>
      </c>
      <c r="M3927" s="471">
        <f t="shared" si="179"/>
        <v>0.05</v>
      </c>
      <c r="N3927" s="475">
        <f t="shared" si="180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78"/>
        <v>-2069170169271.1438</v>
      </c>
      <c r="J3928" s="455">
        <f t="array" ref="J3928">IFERROR(INDEX('Retirement Calculator'!J:J,MATCH('Isaac 401k'!N3928,'Retirement Calculator'!A:A,0),0),0)</f>
        <v>0</v>
      </c>
      <c r="K3928" s="455">
        <f t="shared" ca="1" si="176"/>
        <v>-8621542371.9630985</v>
      </c>
      <c r="L3928" s="455">
        <f t="shared" ca="1" si="177"/>
        <v>-2077791711643.1069</v>
      </c>
      <c r="M3928" s="471">
        <f t="shared" si="179"/>
        <v>0.05</v>
      </c>
      <c r="N3928" s="475">
        <f t="shared" si="180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78"/>
        <v>-2077791711643.1069</v>
      </c>
      <c r="J3929" s="455">
        <f t="array" ref="J3929">IFERROR(INDEX('Retirement Calculator'!J:J,MATCH('Isaac 401k'!N3929,'Retirement Calculator'!A:A,0),0),0)</f>
        <v>0</v>
      </c>
      <c r="K3929" s="455">
        <f t="shared" ca="1" si="176"/>
        <v>-8657465465.1796131</v>
      </c>
      <c r="L3929" s="455">
        <f t="shared" ca="1" si="177"/>
        <v>-2086449177108.2866</v>
      </c>
      <c r="M3929" s="471">
        <f t="shared" si="179"/>
        <v>0.05</v>
      </c>
      <c r="N3929" s="475">
        <f t="shared" si="180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78"/>
        <v>-2086449177108.2866</v>
      </c>
      <c r="J3930" s="455">
        <f t="array" ref="J3930">IFERROR(INDEX('Retirement Calculator'!J:J,MATCH('Isaac 401k'!N3930,'Retirement Calculator'!A:A,0),0),0)</f>
        <v>0</v>
      </c>
      <c r="K3930" s="455">
        <f t="shared" ca="1" si="176"/>
        <v>-8693538237.9511929</v>
      </c>
      <c r="L3930" s="455">
        <f t="shared" ca="1" si="177"/>
        <v>-2095142715346.2378</v>
      </c>
      <c r="M3930" s="471">
        <f t="shared" si="179"/>
        <v>0.05</v>
      </c>
      <c r="N3930" s="475">
        <f t="shared" si="180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78"/>
        <v>-2095142715346.2378</v>
      </c>
      <c r="J3931" s="455">
        <f t="array" ref="J3931">IFERROR(INDEX('Retirement Calculator'!J:J,MATCH('Isaac 401k'!N3931,'Retirement Calculator'!A:A,0),0),0)</f>
        <v>0</v>
      </c>
      <c r="K3931" s="455">
        <f t="shared" ca="1" si="176"/>
        <v>-8729761313.9426556</v>
      </c>
      <c r="L3931" s="455">
        <f t="shared" ca="1" si="177"/>
        <v>-2103872476660.1804</v>
      </c>
      <c r="M3931" s="471">
        <f t="shared" si="179"/>
        <v>0.05</v>
      </c>
      <c r="N3931" s="475">
        <f t="shared" si="180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78"/>
        <v>-2103872476660.1804</v>
      </c>
      <c r="J3932" s="455">
        <f t="array" ref="J3932">IFERROR(INDEX('Retirement Calculator'!J:J,MATCH('Isaac 401k'!N3932,'Retirement Calculator'!A:A,0),0),0)</f>
        <v>0</v>
      </c>
      <c r="K3932" s="455">
        <f t="shared" ca="1" si="176"/>
        <v>-8766135319.4174175</v>
      </c>
      <c r="L3932" s="455">
        <f t="shared" ca="1" si="177"/>
        <v>-2112638611979.5979</v>
      </c>
      <c r="M3932" s="471">
        <f t="shared" si="179"/>
        <v>0.05</v>
      </c>
      <c r="N3932" s="475">
        <f t="shared" si="180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78"/>
        <v>-2112638611979.5979</v>
      </c>
      <c r="J3933" s="455">
        <f t="array" ref="J3933">IFERROR(INDEX('Retirement Calculator'!J:J,MATCH('Isaac 401k'!N3933,'Retirement Calculator'!A:A,0),0),0)</f>
        <v>0</v>
      </c>
      <c r="K3933" s="455">
        <f t="shared" ca="1" si="176"/>
        <v>-8802660883.2483253</v>
      </c>
      <c r="L3933" s="455">
        <f t="shared" ca="1" si="177"/>
        <v>-2121441272862.8462</v>
      </c>
      <c r="M3933" s="471">
        <f t="shared" si="179"/>
        <v>0.05</v>
      </c>
      <c r="N3933" s="475">
        <f t="shared" si="180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78"/>
        <v>-2121441272862.8462</v>
      </c>
      <c r="J3934" s="455">
        <f t="array" ref="J3934">IFERROR(INDEX('Retirement Calculator'!J:J,MATCH('Isaac 401k'!N3934,'Retirement Calculator'!A:A,0),0),0)</f>
        <v>0</v>
      </c>
      <c r="K3934" s="455">
        <f t="shared" ca="1" si="176"/>
        <v>-8839338636.9285259</v>
      </c>
      <c r="L3934" s="455">
        <f t="shared" ca="1" si="177"/>
        <v>-2130280611499.7747</v>
      </c>
      <c r="M3934" s="471">
        <f t="shared" si="179"/>
        <v>0.05</v>
      </c>
      <c r="N3934" s="475">
        <f t="shared" si="180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78"/>
        <v>-2130280611499.7747</v>
      </c>
      <c r="J3935" s="455">
        <f t="array" ref="J3935">IFERROR(INDEX('Retirement Calculator'!J:J,MATCH('Isaac 401k'!N3935,'Retirement Calculator'!A:A,0),0),0)</f>
        <v>0</v>
      </c>
      <c r="K3935" s="455">
        <f t="shared" ca="1" si="176"/>
        <v>-8876169214.5823936</v>
      </c>
      <c r="L3935" s="455">
        <f t="shared" ca="1" si="177"/>
        <v>-2139156780714.3569</v>
      </c>
      <c r="M3935" s="471">
        <f t="shared" si="179"/>
        <v>0.05</v>
      </c>
      <c r="N3935" s="475">
        <f t="shared" si="180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78"/>
        <v>-2139156780714.3569</v>
      </c>
      <c r="J3936" s="455">
        <f t="array" ref="J3936">IFERROR(INDEX('Retirement Calculator'!J:J,MATCH('Isaac 401k'!N3936,'Retirement Calculator'!A:A,0),0),0)</f>
        <v>0</v>
      </c>
      <c r="K3936" s="455">
        <f t="shared" ca="1" si="176"/>
        <v>-8913153252.9764862</v>
      </c>
      <c r="L3936" s="455">
        <f t="shared" ca="1" si="177"/>
        <v>-2148069933967.3335</v>
      </c>
      <c r="M3936" s="471">
        <f t="shared" si="179"/>
        <v>0.05</v>
      </c>
      <c r="N3936" s="475">
        <f t="shared" si="180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78"/>
        <v>-2148069933967.3335</v>
      </c>
      <c r="J3937" s="455">
        <f t="array" ref="J3937">IFERROR(INDEX('Retirement Calculator'!J:J,MATCH('Isaac 401k'!N3937,'Retirement Calculator'!A:A,0),0),0)</f>
        <v>0</v>
      </c>
      <c r="K3937" s="455">
        <f t="shared" ca="1" si="176"/>
        <v>-8950291391.5305576</v>
      </c>
      <c r="L3937" s="455">
        <f t="shared" ca="1" si="177"/>
        <v>-2157020225358.864</v>
      </c>
      <c r="M3937" s="471">
        <f t="shared" si="179"/>
        <v>0.05</v>
      </c>
      <c r="N3937" s="475">
        <f t="shared" si="180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78"/>
        <v>-2157020225358.864</v>
      </c>
      <c r="J3938" s="455">
        <f t="array" ref="J3938">IFERROR(INDEX('Retirement Calculator'!J:J,MATCH('Isaac 401k'!N3938,'Retirement Calculator'!A:A,0),0),0)</f>
        <v>0</v>
      </c>
      <c r="K3938" s="455">
        <f t="shared" ca="1" si="176"/>
        <v>-8987584272.3286018</v>
      </c>
      <c r="L3938" s="455">
        <f t="shared" ca="1" si="177"/>
        <v>-2166007809631.1926</v>
      </c>
      <c r="M3938" s="471">
        <f t="shared" si="179"/>
        <v>0.05</v>
      </c>
      <c r="N3938" s="475">
        <f t="shared" si="180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78"/>
        <v>-2166007809631.1926</v>
      </c>
      <c r="J3939" s="455">
        <f t="array" ref="J3939">IFERROR(INDEX('Retirement Calculator'!J:J,MATCH('Isaac 401k'!N3939,'Retirement Calculator'!A:A,0),0),0)</f>
        <v>0</v>
      </c>
      <c r="K3939" s="455">
        <f t="shared" ca="1" si="176"/>
        <v>-9025032540.1299706</v>
      </c>
      <c r="L3939" s="455">
        <f t="shared" ca="1" si="177"/>
        <v>-2175032842171.3225</v>
      </c>
      <c r="M3939" s="471">
        <f t="shared" si="179"/>
        <v>0.05</v>
      </c>
      <c r="N3939" s="475">
        <f t="shared" si="180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78"/>
        <v>-2175032842171.3225</v>
      </c>
      <c r="J3940" s="455">
        <f t="array" ref="J3940">IFERROR(INDEX('Retirement Calculator'!J:J,MATCH('Isaac 401k'!N3940,'Retirement Calculator'!A:A,0),0),0)</f>
        <v>0</v>
      </c>
      <c r="K3940" s="455">
        <f t="shared" ca="1" si="176"/>
        <v>-9062636842.3805084</v>
      </c>
      <c r="L3940" s="455">
        <f t="shared" ca="1" si="177"/>
        <v>-2184095479013.7031</v>
      </c>
      <c r="M3940" s="471">
        <f t="shared" si="179"/>
        <v>0.05</v>
      </c>
      <c r="N3940" s="475">
        <f t="shared" si="180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78"/>
        <v>-2184095479013.7031</v>
      </c>
      <c r="J3941" s="455">
        <f t="array" ref="J3941">IFERROR(INDEX('Retirement Calculator'!J:J,MATCH('Isaac 401k'!N3941,'Retirement Calculator'!A:A,0),0),0)</f>
        <v>0</v>
      </c>
      <c r="K3941" s="455">
        <f t="shared" ca="1" si="176"/>
        <v>-9100397829.2237644</v>
      </c>
      <c r="L3941" s="455">
        <f t="shared" ca="1" si="177"/>
        <v>-2193195876842.927</v>
      </c>
      <c r="M3941" s="471">
        <f t="shared" si="179"/>
        <v>0.05</v>
      </c>
      <c r="N3941" s="475">
        <f t="shared" si="180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78"/>
        <v>-2193195876842.927</v>
      </c>
      <c r="J3942" s="455">
        <f t="array" ref="J3942">IFERROR(INDEX('Retirement Calculator'!J:J,MATCH('Isaac 401k'!N3942,'Retirement Calculator'!A:A,0),0),0)</f>
        <v>0</v>
      </c>
      <c r="K3942" s="455">
        <f t="shared" ca="1" si="176"/>
        <v>-9138316153.5121956</v>
      </c>
      <c r="L3942" s="455">
        <f t="shared" ca="1" si="177"/>
        <v>-2202334192996.439</v>
      </c>
      <c r="M3942" s="471">
        <f t="shared" si="179"/>
        <v>0.05</v>
      </c>
      <c r="N3942" s="475">
        <f t="shared" si="180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78"/>
        <v>-2202334192996.439</v>
      </c>
      <c r="J3943" s="455">
        <f t="array" ref="J3943">IFERROR(INDEX('Retirement Calculator'!J:J,MATCH('Isaac 401k'!N3943,'Retirement Calculator'!A:A,0),0),0)</f>
        <v>0</v>
      </c>
      <c r="K3943" s="455">
        <f t="shared" ca="1" si="176"/>
        <v>-9176392470.8184948</v>
      </c>
      <c r="L3943" s="455">
        <f t="shared" ca="1" si="177"/>
        <v>-2211510585467.2573</v>
      </c>
      <c r="M3943" s="471">
        <f t="shared" si="179"/>
        <v>0.05</v>
      </c>
      <c r="N3943" s="475">
        <f t="shared" si="180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78"/>
        <v>-2211510585467.2573</v>
      </c>
      <c r="J3944" s="455">
        <f t="array" ref="J3944">IFERROR(INDEX('Retirement Calculator'!J:J,MATCH('Isaac 401k'!N3944,'Retirement Calculator'!A:A,0),0),0)</f>
        <v>0</v>
      </c>
      <c r="K3944" s="455">
        <f t="shared" ca="1" si="176"/>
        <v>-9214627439.4469051</v>
      </c>
      <c r="L3944" s="455">
        <f t="shared" ca="1" si="177"/>
        <v>-2220725212906.7041</v>
      </c>
      <c r="M3944" s="471">
        <f t="shared" si="179"/>
        <v>0.05</v>
      </c>
      <c r="N3944" s="475">
        <f t="shared" si="180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78"/>
        <v>-2220725212906.7041</v>
      </c>
      <c r="J3945" s="455">
        <f t="array" ref="J3945">IFERROR(INDEX('Retirement Calculator'!J:J,MATCH('Isaac 401k'!N3945,'Retirement Calculator'!A:A,0),0),0)</f>
        <v>0</v>
      </c>
      <c r="K3945" s="455">
        <f t="shared" ca="1" si="176"/>
        <v>-9253021720.4446011</v>
      </c>
      <c r="L3945" s="455">
        <f t="shared" ca="1" si="177"/>
        <v>-2229978234627.1489</v>
      </c>
      <c r="M3945" s="471">
        <f t="shared" si="179"/>
        <v>0.05</v>
      </c>
      <c r="N3945" s="475">
        <f t="shared" si="180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78"/>
        <v>-2229978234627.1489</v>
      </c>
      <c r="J3946" s="455">
        <f t="array" ref="J3946">IFERROR(INDEX('Retirement Calculator'!J:J,MATCH('Isaac 401k'!N3946,'Retirement Calculator'!A:A,0),0),0)</f>
        <v>0</v>
      </c>
      <c r="K3946" s="455">
        <f t="shared" ca="1" si="176"/>
        <v>-9291575977.613121</v>
      </c>
      <c r="L3946" s="455">
        <f t="shared" ca="1" si="177"/>
        <v>-2239269810604.7622</v>
      </c>
      <c r="M3946" s="471">
        <f t="shared" si="179"/>
        <v>0.05</v>
      </c>
      <c r="N3946" s="475">
        <f t="shared" si="180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78"/>
        <v>-2239269810604.7622</v>
      </c>
      <c r="J3947" s="455">
        <f t="array" ref="J3947">IFERROR(INDEX('Retirement Calculator'!J:J,MATCH('Isaac 401k'!N3947,'Retirement Calculator'!A:A,0),0),0)</f>
        <v>0</v>
      </c>
      <c r="K3947" s="455">
        <f t="shared" ca="1" si="176"/>
        <v>-9330290877.5198421</v>
      </c>
      <c r="L3947" s="455">
        <f t="shared" ca="1" si="177"/>
        <v>-2248600101482.2822</v>
      </c>
      <c r="M3947" s="471">
        <f t="shared" si="179"/>
        <v>0.05</v>
      </c>
      <c r="N3947" s="475">
        <f t="shared" si="180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78"/>
        <v>-2248600101482.2822</v>
      </c>
      <c r="J3948" s="455">
        <f t="array" ref="J3948">IFERROR(INDEX('Retirement Calculator'!J:J,MATCH('Isaac 401k'!N3948,'Retirement Calculator'!A:A,0),0),0)</f>
        <v>0</v>
      </c>
      <c r="K3948" s="455">
        <f t="shared" ca="1" si="176"/>
        <v>-9369167089.50951</v>
      </c>
      <c r="L3948" s="455">
        <f t="shared" ca="1" si="177"/>
        <v>-2257969268571.7915</v>
      </c>
      <c r="M3948" s="471">
        <f t="shared" si="179"/>
        <v>0.05</v>
      </c>
      <c r="N3948" s="475">
        <f t="shared" si="180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78"/>
        <v>-2257969268571.7915</v>
      </c>
      <c r="J3949" s="455">
        <f t="array" ref="J3949">IFERROR(INDEX('Retirement Calculator'!J:J,MATCH('Isaac 401k'!N3949,'Retirement Calculator'!A:A,0),0),0)</f>
        <v>0</v>
      </c>
      <c r="K3949" s="455">
        <f t="shared" ca="1" si="176"/>
        <v>-9408205285.7157974</v>
      </c>
      <c r="L3949" s="455">
        <f t="shared" ca="1" si="177"/>
        <v>-2267377473857.5073</v>
      </c>
      <c r="M3949" s="471">
        <f t="shared" si="179"/>
        <v>0.05</v>
      </c>
      <c r="N3949" s="475">
        <f t="shared" si="180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78"/>
        <v>-2267377473857.5073</v>
      </c>
      <c r="J3950" s="455">
        <f t="array" ref="J3950">IFERROR(INDEX('Retirement Calculator'!J:J,MATCH('Isaac 401k'!N3950,'Retirement Calculator'!A:A,0),0),0)</f>
        <v>0</v>
      </c>
      <c r="K3950" s="455">
        <f t="shared" ca="1" si="176"/>
        <v>-9447406141.0729465</v>
      </c>
      <c r="L3950" s="455">
        <f t="shared" ca="1" si="177"/>
        <v>-2276824879998.5801</v>
      </c>
      <c r="M3950" s="471">
        <f t="shared" si="179"/>
        <v>0.05</v>
      </c>
      <c r="N3950" s="475">
        <f t="shared" si="180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78"/>
        <v>-2276824879998.5801</v>
      </c>
      <c r="J3951" s="455">
        <f t="array" ref="J3951">IFERROR(INDEX('Retirement Calculator'!J:J,MATCH('Isaac 401k'!N3951,'Retirement Calculator'!A:A,0),0),0)</f>
        <v>0</v>
      </c>
      <c r="K3951" s="455">
        <f t="shared" ca="1" si="176"/>
        <v>-9486770333.3274174</v>
      </c>
      <c r="L3951" s="455">
        <f t="shared" ca="1" si="177"/>
        <v>-2286311650331.9077</v>
      </c>
      <c r="M3951" s="471">
        <f t="shared" si="179"/>
        <v>0.05</v>
      </c>
      <c r="N3951" s="475">
        <f t="shared" si="180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78"/>
        <v>-2286311650331.9077</v>
      </c>
      <c r="J3952" s="455">
        <f t="array" ref="J3952">IFERROR(INDEX('Retirement Calculator'!J:J,MATCH('Isaac 401k'!N3952,'Retirement Calculator'!A:A,0),0),0)</f>
        <v>0</v>
      </c>
      <c r="K3952" s="455">
        <f t="shared" ca="1" si="176"/>
        <v>-9526298543.0496159</v>
      </c>
      <c r="L3952" s="455">
        <f t="shared" ca="1" si="177"/>
        <v>-2295837948874.9575</v>
      </c>
      <c r="M3952" s="471">
        <f t="shared" si="179"/>
        <v>0.05</v>
      </c>
      <c r="N3952" s="475">
        <f t="shared" si="180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78"/>
        <v>-2295837948874.9575</v>
      </c>
      <c r="J3953" s="455">
        <f t="array" ref="J3953">IFERROR(INDEX('Retirement Calculator'!J:J,MATCH('Isaac 401k'!N3953,'Retirement Calculator'!A:A,0),0),0)</f>
        <v>0</v>
      </c>
      <c r="K3953" s="455">
        <f t="shared" ca="1" si="176"/>
        <v>-9565991453.6456566</v>
      </c>
      <c r="L3953" s="455">
        <f t="shared" ca="1" si="177"/>
        <v>-2305403940328.603</v>
      </c>
      <c r="M3953" s="471">
        <f t="shared" si="179"/>
        <v>0.05</v>
      </c>
      <c r="N3953" s="475">
        <f t="shared" si="180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78"/>
        <v>-2305403940328.603</v>
      </c>
      <c r="J3954" s="455">
        <f t="array" ref="J3954">IFERROR(INDEX('Retirement Calculator'!J:J,MATCH('Isaac 401k'!N3954,'Retirement Calculator'!A:A,0),0),0)</f>
        <v>0</v>
      </c>
      <c r="K3954" s="455">
        <f t="shared" ca="1" si="176"/>
        <v>-9605849751.3691788</v>
      </c>
      <c r="L3954" s="455">
        <f t="shared" ca="1" si="177"/>
        <v>-2315009790079.9722</v>
      </c>
      <c r="M3954" s="471">
        <f t="shared" si="179"/>
        <v>0.05</v>
      </c>
      <c r="N3954" s="475">
        <f t="shared" si="180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78"/>
        <v>-2315009790079.9722</v>
      </c>
      <c r="J3955" s="455">
        <f t="array" ref="J3955">IFERROR(INDEX('Retirement Calculator'!J:J,MATCH('Isaac 401k'!N3955,'Retirement Calculator'!A:A,0),0),0)</f>
        <v>0</v>
      </c>
      <c r="K3955" s="455">
        <f t="shared" ca="1" si="176"/>
        <v>-9645874125.3332176</v>
      </c>
      <c r="L3955" s="455">
        <f t="shared" ca="1" si="177"/>
        <v>-2324655664205.3052</v>
      </c>
      <c r="M3955" s="471">
        <f t="shared" si="179"/>
        <v>0.05</v>
      </c>
      <c r="N3955" s="475">
        <f t="shared" si="180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78"/>
        <v>-2324655664205.3052</v>
      </c>
      <c r="J3956" s="455">
        <f t="array" ref="J3956">IFERROR(INDEX('Retirement Calculator'!J:J,MATCH('Isaac 401k'!N3956,'Retirement Calculator'!A:A,0),0),0)</f>
        <v>0</v>
      </c>
      <c r="K3956" s="455">
        <f t="shared" ca="1" si="176"/>
        <v>-9686065267.5221043</v>
      </c>
      <c r="L3956" s="455">
        <f t="shared" ca="1" si="177"/>
        <v>-2334341729472.8271</v>
      </c>
      <c r="M3956" s="471">
        <f t="shared" si="179"/>
        <v>0.05</v>
      </c>
      <c r="N3956" s="475">
        <f t="shared" si="180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78"/>
        <v>-2334341729472.8271</v>
      </c>
      <c r="J3957" s="455">
        <f t="array" ref="J3957">IFERROR(INDEX('Retirement Calculator'!J:J,MATCH('Isaac 401k'!N3957,'Retirement Calculator'!A:A,0),0),0)</f>
        <v>0</v>
      </c>
      <c r="K3957" s="455">
        <f t="shared" ca="1" si="176"/>
        <v>-9726423872.8034458</v>
      </c>
      <c r="L3957" s="455">
        <f t="shared" ca="1" si="177"/>
        <v>-2344068153345.6304</v>
      </c>
      <c r="M3957" s="471">
        <f t="shared" si="179"/>
        <v>0.05</v>
      </c>
      <c r="N3957" s="475">
        <f t="shared" si="180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78"/>
        <v>-2344068153345.6304</v>
      </c>
      <c r="J3958" s="455">
        <f t="array" ref="J3958">IFERROR(INDEX('Retirement Calculator'!J:J,MATCH('Isaac 401k'!N3958,'Retirement Calculator'!A:A,0),0),0)</f>
        <v>0</v>
      </c>
      <c r="K3958" s="455">
        <f t="shared" ca="1" si="176"/>
        <v>-9766950638.9401264</v>
      </c>
      <c r="L3958" s="455">
        <f t="shared" ca="1" si="177"/>
        <v>-2353835103984.5703</v>
      </c>
      <c r="M3958" s="471">
        <f t="shared" si="179"/>
        <v>0.05</v>
      </c>
      <c r="N3958" s="475">
        <f t="shared" si="180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78"/>
        <v>-2353835103984.5703</v>
      </c>
      <c r="J3959" s="455">
        <f t="array" ref="J3959">IFERROR(INDEX('Retirement Calculator'!J:J,MATCH('Isaac 401k'!N3959,'Retirement Calculator'!A:A,0),0),0)</f>
        <v>0</v>
      </c>
      <c r="K3959" s="455">
        <f t="shared" ca="1" si="176"/>
        <v>-9807646266.6023769</v>
      </c>
      <c r="L3959" s="455">
        <f t="shared" ca="1" si="177"/>
        <v>-2363642750251.1729</v>
      </c>
      <c r="M3959" s="471">
        <f t="shared" si="179"/>
        <v>0.05</v>
      </c>
      <c r="N3959" s="475">
        <f t="shared" si="180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78"/>
        <v>-2363642750251.1729</v>
      </c>
      <c r="J3960" s="455">
        <f t="array" ref="J3960">IFERROR(INDEX('Retirement Calculator'!J:J,MATCH('Isaac 401k'!N3960,'Retirement Calculator'!A:A,0),0),0)</f>
        <v>0</v>
      </c>
      <c r="K3960" s="455">
        <f t="shared" ca="1" si="176"/>
        <v>-9848511459.3798866</v>
      </c>
      <c r="L3960" s="455">
        <f t="shared" ca="1" si="177"/>
        <v>-2373491261710.5527</v>
      </c>
      <c r="M3960" s="471">
        <f t="shared" si="179"/>
        <v>0.05</v>
      </c>
      <c r="N3960" s="475">
        <f t="shared" si="180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78"/>
        <v>-2373491261710.5527</v>
      </c>
      <c r="J3961" s="455">
        <f t="array" ref="J3961">IFERROR(INDEX('Retirement Calculator'!J:J,MATCH('Isaac 401k'!N3961,'Retirement Calculator'!A:A,0),0),0)</f>
        <v>0</v>
      </c>
      <c r="K3961" s="455">
        <f t="shared" ca="1" si="176"/>
        <v>-9889546923.7939701</v>
      </c>
      <c r="L3961" s="455">
        <f t="shared" ca="1" si="177"/>
        <v>-2383380808634.3467</v>
      </c>
      <c r="M3961" s="471">
        <f t="shared" si="179"/>
        <v>0.05</v>
      </c>
      <c r="N3961" s="475">
        <f t="shared" si="180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78"/>
        <v>-2383380808634.3467</v>
      </c>
      <c r="J3962" s="455">
        <f t="array" ref="J3962">IFERROR(INDEX('Retirement Calculator'!J:J,MATCH('Isaac 401k'!N3962,'Retirement Calculator'!A:A,0),0),0)</f>
        <v>0</v>
      </c>
      <c r="K3962" s="455">
        <f t="shared" ca="1" si="176"/>
        <v>-9930753369.3097782</v>
      </c>
      <c r="L3962" s="455">
        <f t="shared" ca="1" si="177"/>
        <v>-2393311562003.6563</v>
      </c>
      <c r="M3962" s="471">
        <f t="shared" si="179"/>
        <v>0.05</v>
      </c>
      <c r="N3962" s="475">
        <f t="shared" si="180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78"/>
        <v>-2393311562003.6563</v>
      </c>
      <c r="J3963" s="455">
        <f t="array" ref="J3963">IFERROR(INDEX('Retirement Calculator'!J:J,MATCH('Isaac 401k'!N3963,'Retirement Calculator'!A:A,0),0),0)</f>
        <v>0</v>
      </c>
      <c r="K3963" s="455">
        <f t="shared" ca="1" si="176"/>
        <v>-9972131508.348568</v>
      </c>
      <c r="L3963" s="455">
        <f t="shared" ca="1" si="177"/>
        <v>-2403283693512.0049</v>
      </c>
      <c r="M3963" s="471">
        <f t="shared" si="179"/>
        <v>0.05</v>
      </c>
      <c r="N3963" s="475">
        <f t="shared" si="180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78"/>
        <v>-2403283693512.0049</v>
      </c>
      <c r="J3964" s="455">
        <f t="array" ref="J3964">IFERROR(INDEX('Retirement Calculator'!J:J,MATCH('Isaac 401k'!N3964,'Retirement Calculator'!A:A,0),0),0)</f>
        <v>0</v>
      </c>
      <c r="K3964" s="455">
        <f t="shared" ca="1" si="176"/>
        <v>-10013682056.30002</v>
      </c>
      <c r="L3964" s="455">
        <f t="shared" ca="1" si="177"/>
        <v>-2413297375568.3047</v>
      </c>
      <c r="M3964" s="471">
        <f t="shared" si="179"/>
        <v>0.05</v>
      </c>
      <c r="N3964" s="475">
        <f t="shared" si="180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78"/>
        <v>-2413297375568.3047</v>
      </c>
      <c r="J3965" s="455">
        <f t="array" ref="J3965">IFERROR(INDEX('Retirement Calculator'!J:J,MATCH('Isaac 401k'!N3965,'Retirement Calculator'!A:A,0),0),0)</f>
        <v>0</v>
      </c>
      <c r="K3965" s="455">
        <f t="shared" ca="1" si="176"/>
        <v>-10055405731.534603</v>
      </c>
      <c r="L3965" s="455">
        <f t="shared" ca="1" si="177"/>
        <v>-2423352781299.8394</v>
      </c>
      <c r="M3965" s="471">
        <f t="shared" si="179"/>
        <v>0.05</v>
      </c>
      <c r="N3965" s="475">
        <f t="shared" si="180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78"/>
        <v>-2423352781299.8394</v>
      </c>
      <c r="J3966" s="455">
        <f t="array" ref="J3966">IFERROR(INDEX('Retirement Calculator'!J:J,MATCH('Isaac 401k'!N3966,'Retirement Calculator'!A:A,0),0),0)</f>
        <v>0</v>
      </c>
      <c r="K3966" s="455">
        <f t="shared" ca="1" si="176"/>
        <v>-10097303255.415997</v>
      </c>
      <c r="L3966" s="455">
        <f t="shared" ca="1" si="177"/>
        <v>-2433450084555.2554</v>
      </c>
      <c r="M3966" s="471">
        <f t="shared" si="179"/>
        <v>0.05</v>
      </c>
      <c r="N3966" s="475">
        <f t="shared" si="180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78"/>
        <v>-2433450084555.2554</v>
      </c>
      <c r="J3967" s="455">
        <f t="array" ref="J3967">IFERROR(INDEX('Retirement Calculator'!J:J,MATCH('Isaac 401k'!N3967,'Retirement Calculator'!A:A,0),0),0)</f>
        <v>0</v>
      </c>
      <c r="K3967" s="455">
        <f t="shared" ca="1" si="176"/>
        <v>-10139375352.313564</v>
      </c>
      <c r="L3967" s="455">
        <f t="shared" ca="1" si="177"/>
        <v>-2443589459907.5688</v>
      </c>
      <c r="M3967" s="471">
        <f t="shared" si="179"/>
        <v>0.05</v>
      </c>
      <c r="N3967" s="475">
        <f t="shared" si="180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78"/>
        <v>-2443589459907.5688</v>
      </c>
      <c r="J3968" s="455">
        <f t="array" ref="J3968">IFERROR(INDEX('Retirement Calculator'!J:J,MATCH('Isaac 401k'!N3968,'Retirement Calculator'!A:A,0),0),0)</f>
        <v>0</v>
      </c>
      <c r="K3968" s="455">
        <f t="shared" ca="1" si="176"/>
        <v>-10181622749.61487</v>
      </c>
      <c r="L3968" s="455">
        <f t="shared" ca="1" si="177"/>
        <v>-2453771082657.1836</v>
      </c>
      <c r="M3968" s="471">
        <f t="shared" si="179"/>
        <v>0.05</v>
      </c>
      <c r="N3968" s="475">
        <f t="shared" si="180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78"/>
        <v>-2453771082657.1836</v>
      </c>
      <c r="J3969" s="455">
        <f t="array" ref="J3969">IFERROR(INDEX('Retirement Calculator'!J:J,MATCH('Isaac 401k'!N3969,'Retirement Calculator'!A:A,0),0),0)</f>
        <v>0</v>
      </c>
      <c r="K3969" s="455">
        <f t="shared" ca="1" si="176"/>
        <v>-10224046177.738264</v>
      </c>
      <c r="L3969" s="455">
        <f t="shared" ca="1" si="177"/>
        <v>-2463995128834.9219</v>
      </c>
      <c r="M3969" s="471">
        <f t="shared" si="179"/>
        <v>0.05</v>
      </c>
      <c r="N3969" s="475">
        <f t="shared" si="180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78"/>
        <v>-2463995128834.9219</v>
      </c>
      <c r="J3970" s="455">
        <f t="array" ref="J3970">IFERROR(INDEX('Retirement Calculator'!J:J,MATCH('Isaac 401k'!N3970,'Retirement Calculator'!A:A,0),0),0)</f>
        <v>0</v>
      </c>
      <c r="K3970" s="455">
        <f t="shared" ca="1" si="176"/>
        <v>-10266646370.145508</v>
      </c>
      <c r="L3970" s="455">
        <f t="shared" ca="1" si="177"/>
        <v>-2474261775205.0674</v>
      </c>
      <c r="M3970" s="471">
        <f t="shared" si="179"/>
        <v>0.05</v>
      </c>
      <c r="N3970" s="475">
        <f t="shared" si="180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78"/>
        <v>-2474261775205.0674</v>
      </c>
      <c r="J3971" s="455">
        <f t="array" ref="J3971">IFERROR(INDEX('Retirement Calculator'!J:J,MATCH('Isaac 401k'!N3971,'Retirement Calculator'!A:A,0),0),0)</f>
        <v>0</v>
      </c>
      <c r="K3971" s="455">
        <f t="shared" ca="1" si="176"/>
        <v>-10309424063.354446</v>
      </c>
      <c r="L3971" s="455">
        <f t="shared" ca="1" si="177"/>
        <v>-2484571199268.4219</v>
      </c>
      <c r="M3971" s="471">
        <f t="shared" si="179"/>
        <v>0.05</v>
      </c>
      <c r="N3971" s="475">
        <f t="shared" si="180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78"/>
        <v>-2484571199268.4219</v>
      </c>
      <c r="J3972" s="455">
        <f t="array" ref="J3972">IFERROR(INDEX('Retirement Calculator'!J:J,MATCH('Isaac 401k'!N3972,'Retirement Calculator'!A:A,0),0),0)</f>
        <v>0</v>
      </c>
      <c r="K3972" s="455">
        <f t="shared" ca="1" si="176"/>
        <v>-10352379996.951757</v>
      </c>
      <c r="L3972" s="455">
        <f t="shared" ca="1" si="177"/>
        <v>-2494923579265.3735</v>
      </c>
      <c r="M3972" s="471">
        <f t="shared" si="179"/>
        <v>0.05</v>
      </c>
      <c r="N3972" s="475">
        <f t="shared" si="180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78"/>
        <v>-2494923579265.3735</v>
      </c>
      <c r="J3973" s="455">
        <f t="array" ref="J3973">IFERROR(INDEX('Retirement Calculator'!J:J,MATCH('Isaac 401k'!N3973,'Retirement Calculator'!A:A,0),0),0)</f>
        <v>0</v>
      </c>
      <c r="K3973" s="455">
        <f t="shared" ca="1" si="176"/>
        <v>-10395514913.605722</v>
      </c>
      <c r="L3973" s="455">
        <f t="shared" ca="1" si="177"/>
        <v>-2505319094178.9795</v>
      </c>
      <c r="M3973" s="471">
        <f t="shared" si="179"/>
        <v>0.05</v>
      </c>
      <c r="N3973" s="475">
        <f t="shared" si="180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78"/>
        <v>-2505319094178.9795</v>
      </c>
      <c r="J3974" s="455">
        <f t="array" ref="J3974">IFERROR(INDEX('Retirement Calculator'!J:J,MATCH('Isaac 401k'!N3974,'Retirement Calculator'!A:A,0),0),0)</f>
        <v>0</v>
      </c>
      <c r="K3974" s="455">
        <f t="shared" ca="1" si="176"/>
        <v>-10438829559.079081</v>
      </c>
      <c r="L3974" s="455">
        <f t="shared" ca="1" si="177"/>
        <v>-2515757923738.0586</v>
      </c>
      <c r="M3974" s="471">
        <f t="shared" si="179"/>
        <v>0.05</v>
      </c>
      <c r="N3974" s="475">
        <f t="shared" si="180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78"/>
        <v>-2515757923738.0586</v>
      </c>
      <c r="J3975" s="455">
        <f t="array" ref="J3975">IFERROR(INDEX('Retirement Calculator'!J:J,MATCH('Isaac 401k'!N3975,'Retirement Calculator'!A:A,0),0),0)</f>
        <v>0</v>
      </c>
      <c r="K3975" s="455">
        <f t="shared" ca="1" si="176"/>
        <v>-10482324682.241911</v>
      </c>
      <c r="L3975" s="455">
        <f t="shared" ca="1" si="177"/>
        <v>-2526240248420.3003</v>
      </c>
      <c r="M3975" s="471">
        <f t="shared" si="179"/>
        <v>0.05</v>
      </c>
      <c r="N3975" s="475">
        <f t="shared" si="180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78"/>
        <v>-2526240248420.3003</v>
      </c>
      <c r="J3976" s="455">
        <f t="array" ref="J3976">IFERROR(INDEX('Retirement Calculator'!J:J,MATCH('Isaac 401k'!N3976,'Retirement Calculator'!A:A,0),0),0)</f>
        <v>0</v>
      </c>
      <c r="K3976" s="455">
        <f t="shared" ca="1" si="176"/>
        <v>-10526001035.084585</v>
      </c>
      <c r="L3976" s="455">
        <f t="shared" ca="1" si="177"/>
        <v>-2536766249455.3848</v>
      </c>
      <c r="M3976" s="471">
        <f t="shared" si="179"/>
        <v>0.05</v>
      </c>
      <c r="N3976" s="475">
        <f t="shared" si="180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78"/>
        <v>-2536766249455.3848</v>
      </c>
      <c r="J3977" s="455">
        <f t="array" ref="J3977">IFERROR(INDEX('Retirement Calculator'!J:J,MATCH('Isaac 401k'!N3977,'Retirement Calculator'!A:A,0),0),0)</f>
        <v>0</v>
      </c>
      <c r="K3977" s="455">
        <f t="shared" ca="1" si="176"/>
        <v>-10569859372.73077</v>
      </c>
      <c r="L3977" s="455">
        <f t="shared" ca="1" si="177"/>
        <v>-2547336108828.1157</v>
      </c>
      <c r="M3977" s="471">
        <f t="shared" si="179"/>
        <v>0.05</v>
      </c>
      <c r="N3977" s="475">
        <f t="shared" si="180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78"/>
        <v>-2547336108828.1157</v>
      </c>
      <c r="J3978" s="455">
        <f t="array" ref="J3978">IFERROR(INDEX('Retirement Calculator'!J:J,MATCH('Isaac 401k'!N3978,'Retirement Calculator'!A:A,0),0),0)</f>
        <v>0</v>
      </c>
      <c r="K3978" s="455">
        <f t="shared" ca="1" si="176"/>
        <v>-10613900453.450481</v>
      </c>
      <c r="L3978" s="455">
        <f t="shared" ca="1" si="177"/>
        <v>-2557950009281.5664</v>
      </c>
      <c r="M3978" s="471">
        <f t="shared" si="179"/>
        <v>0.05</v>
      </c>
      <c r="N3978" s="475">
        <f t="shared" si="180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78"/>
        <v>-2557950009281.5664</v>
      </c>
      <c r="J3979" s="455">
        <f t="array" ref="J3979">IFERROR(INDEX('Retirement Calculator'!J:J,MATCH('Isaac 401k'!N3979,'Retirement Calculator'!A:A,0),0),0)</f>
        <v>0</v>
      </c>
      <c r="K3979" s="455">
        <f t="shared" ca="1" si="176"/>
        <v>-10658125038.673193</v>
      </c>
      <c r="L3979" s="455">
        <f t="shared" ca="1" si="177"/>
        <v>-2568608134320.2397</v>
      </c>
      <c r="M3979" s="471">
        <f t="shared" si="179"/>
        <v>0.05</v>
      </c>
      <c r="N3979" s="475">
        <f t="shared" si="180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78"/>
        <v>-2568608134320.2397</v>
      </c>
      <c r="J3980" s="455">
        <f t="array" ref="J3980">IFERROR(INDEX('Retirement Calculator'!J:J,MATCH('Isaac 401k'!N3980,'Retirement Calculator'!A:A,0),0),0)</f>
        <v>0</v>
      </c>
      <c r="K3980" s="455">
        <f t="shared" ca="1" si="176"/>
        <v>-10702533893.000999</v>
      </c>
      <c r="L3980" s="455">
        <f t="shared" ca="1" si="177"/>
        <v>-2579310668213.2407</v>
      </c>
      <c r="M3980" s="471">
        <f t="shared" si="179"/>
        <v>0.05</v>
      </c>
      <c r="N3980" s="475">
        <f t="shared" si="180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78"/>
        <v>-2579310668213.2407</v>
      </c>
      <c r="J3981" s="455">
        <f t="array" ref="J3981">IFERROR(INDEX('Retirement Calculator'!J:J,MATCH('Isaac 401k'!N3981,'Retirement Calculator'!A:A,0),0),0)</f>
        <v>0</v>
      </c>
      <c r="K3981" s="455">
        <f t="shared" ca="1" si="176"/>
        <v>-10747127784.221836</v>
      </c>
      <c r="L3981" s="455">
        <f t="shared" ca="1" si="177"/>
        <v>-2590057795997.4624</v>
      </c>
      <c r="M3981" s="471">
        <f t="shared" si="179"/>
        <v>0.05</v>
      </c>
      <c r="N3981" s="475">
        <f t="shared" si="180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78"/>
        <v>-2590057795997.4624</v>
      </c>
      <c r="J3982" s="455">
        <f t="array" ref="J3982">IFERROR(INDEX('Retirement Calculator'!J:J,MATCH('Isaac 401k'!N3982,'Retirement Calculator'!A:A,0),0),0)</f>
        <v>0</v>
      </c>
      <c r="K3982" s="455">
        <f t="shared" ca="1" si="176"/>
        <v>-10791907483.32276</v>
      </c>
      <c r="L3982" s="455">
        <f t="shared" ca="1" si="177"/>
        <v>-2600849703480.7852</v>
      </c>
      <c r="M3982" s="471">
        <f t="shared" si="179"/>
        <v>0.05</v>
      </c>
      <c r="N3982" s="475">
        <f t="shared" si="180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78"/>
        <v>-2600849703480.7852</v>
      </c>
      <c r="J3983" s="455">
        <f t="array" ref="J3983">IFERROR(INDEX('Retirement Calculator'!J:J,MATCH('Isaac 401k'!N3983,'Retirement Calculator'!A:A,0),0),0)</f>
        <v>0</v>
      </c>
      <c r="K3983" s="455">
        <f t="shared" ca="1" si="176"/>
        <v>-10836873764.503271</v>
      </c>
      <c r="L3983" s="455">
        <f t="shared" ca="1" si="177"/>
        <v>-2611686577245.2886</v>
      </c>
      <c r="M3983" s="471">
        <f t="shared" si="179"/>
        <v>0.05</v>
      </c>
      <c r="N3983" s="475">
        <f t="shared" si="180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78"/>
        <v>-2611686577245.2886</v>
      </c>
      <c r="J3984" s="455">
        <f t="array" ref="J3984">IFERROR(INDEX('Retirement Calculator'!J:J,MATCH('Isaac 401k'!N3984,'Retirement Calculator'!A:A,0),0),0)</f>
        <v>0</v>
      </c>
      <c r="K3984" s="455">
        <f t="shared" ca="1" si="176"/>
        <v>-10882027405.188702</v>
      </c>
      <c r="L3984" s="455">
        <f t="shared" ca="1" si="177"/>
        <v>-2622568604650.4771</v>
      </c>
      <c r="M3984" s="471">
        <f t="shared" si="179"/>
        <v>0.05</v>
      </c>
      <c r="N3984" s="475">
        <f t="shared" si="180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78"/>
        <v>-2622568604650.4771</v>
      </c>
      <c r="J3985" s="455">
        <f t="array" ref="J3985">IFERROR(INDEX('Retirement Calculator'!J:J,MATCH('Isaac 401k'!N3985,'Retirement Calculator'!A:A,0),0),0)</f>
        <v>0</v>
      </c>
      <c r="K3985" s="455">
        <f t="shared" ca="1" si="176"/>
        <v>-10927369186.043653</v>
      </c>
      <c r="L3985" s="455">
        <f t="shared" ca="1" si="177"/>
        <v>-2633495973836.5205</v>
      </c>
      <c r="M3985" s="471">
        <f t="shared" si="179"/>
        <v>0.05</v>
      </c>
      <c r="N3985" s="475">
        <f t="shared" si="180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78"/>
        <v>-2633495973836.5205</v>
      </c>
      <c r="J3986" s="455">
        <f t="array" ref="J3986">IFERROR(INDEX('Retirement Calculator'!J:J,MATCH('Isaac 401k'!N3986,'Retirement Calculator'!A:A,0),0),0)</f>
        <v>0</v>
      </c>
      <c r="K3986" s="455">
        <f t="shared" ca="1" si="176"/>
        <v>-10972899890.985502</v>
      </c>
      <c r="L3986" s="455">
        <f t="shared" ca="1" si="177"/>
        <v>-2644468873727.5059</v>
      </c>
      <c r="M3986" s="471">
        <f t="shared" si="179"/>
        <v>0.05</v>
      </c>
      <c r="N3986" s="475">
        <f t="shared" si="180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78"/>
        <v>-2644468873727.5059</v>
      </c>
      <c r="J3987" s="455">
        <f t="array" ref="J3987">IFERROR(INDEX('Retirement Calculator'!J:J,MATCH('Isaac 401k'!N3987,'Retirement Calculator'!A:A,0),0),0)</f>
        <v>0</v>
      </c>
      <c r="K3987" s="455">
        <f t="shared" ca="1" si="176"/>
        <v>-11018620307.197941</v>
      </c>
      <c r="L3987" s="455">
        <f t="shared" ca="1" si="177"/>
        <v>-2655487494034.7036</v>
      </c>
      <c r="M3987" s="471">
        <f t="shared" si="179"/>
        <v>0.05</v>
      </c>
      <c r="N3987" s="475">
        <f t="shared" si="180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78"/>
        <v>-2655487494034.7036</v>
      </c>
      <c r="J3988" s="455">
        <f t="array" ref="J3988">IFERROR(INDEX('Retirement Calculator'!J:J,MATCH('Isaac 401k'!N3988,'Retirement Calculator'!A:A,0),0),0)</f>
        <v>0</v>
      </c>
      <c r="K3988" s="455">
        <f t="shared" ca="1" si="176"/>
        <v>-11064531225.144598</v>
      </c>
      <c r="L3988" s="455">
        <f t="shared" ca="1" si="177"/>
        <v>-2666552025259.8481</v>
      </c>
      <c r="M3988" s="471">
        <f t="shared" si="179"/>
        <v>0.05</v>
      </c>
      <c r="N3988" s="475">
        <f t="shared" si="180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78"/>
        <v>-2666552025259.8481</v>
      </c>
      <c r="J3989" s="455">
        <f t="array" ref="J3989">IFERROR(INDEX('Retirement Calculator'!J:J,MATCH('Isaac 401k'!N3989,'Retirement Calculator'!A:A,0),0),0)</f>
        <v>0</v>
      </c>
      <c r="K3989" s="455">
        <f t="shared" ca="1" si="176"/>
        <v>-11110633438.582701</v>
      </c>
      <c r="L3989" s="455">
        <f t="shared" ca="1" si="177"/>
        <v>-2677662658698.4307</v>
      </c>
      <c r="M3989" s="471">
        <f t="shared" si="179"/>
        <v>0.05</v>
      </c>
      <c r="N3989" s="475">
        <f t="shared" si="180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78"/>
        <v>-2677662658698.4307</v>
      </c>
      <c r="J3990" s="455">
        <f t="array" ref="J3990">IFERROR(INDEX('Retirement Calculator'!J:J,MATCH('Isaac 401k'!N3990,'Retirement Calculator'!A:A,0),0),0)</f>
        <v>0</v>
      </c>
      <c r="K3990" s="455">
        <f t="shared" ca="1" si="176"/>
        <v>-11156927744.576794</v>
      </c>
      <c r="L3990" s="455">
        <f t="shared" ca="1" si="177"/>
        <v>-2688819586443.0073</v>
      </c>
      <c r="M3990" s="471">
        <f t="shared" si="179"/>
        <v>0.05</v>
      </c>
      <c r="N3990" s="475">
        <f t="shared" si="180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78"/>
        <v>-2688819586443.0073</v>
      </c>
      <c r="J3991" s="455">
        <f t="array" ref="J3991">IFERROR(INDEX('Retirement Calculator'!J:J,MATCH('Isaac 401k'!N3991,'Retirement Calculator'!A:A,0),0),0)</f>
        <v>0</v>
      </c>
      <c r="K3991" s="455">
        <f t="shared" ca="1" si="176"/>
        <v>-11203414943.512531</v>
      </c>
      <c r="L3991" s="455">
        <f t="shared" ca="1" si="177"/>
        <v>-2700023001386.52</v>
      </c>
      <c r="M3991" s="471">
        <f t="shared" si="179"/>
        <v>0.05</v>
      </c>
      <c r="N3991" s="475">
        <f t="shared" si="180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78"/>
        <v>-2700023001386.52</v>
      </c>
      <c r="J3992" s="455">
        <f t="array" ref="J3992">IFERROR(INDEX('Retirement Calculator'!J:J,MATCH('Isaac 401k'!N3992,'Retirement Calculator'!A:A,0),0),0)</f>
        <v>0</v>
      </c>
      <c r="K3992" s="455">
        <f t="shared" ca="1" si="176"/>
        <v>-11250095839.1105</v>
      </c>
      <c r="L3992" s="455">
        <f t="shared" ca="1" si="177"/>
        <v>-2711273097225.6304</v>
      </c>
      <c r="M3992" s="471">
        <f t="shared" si="179"/>
        <v>0.05</v>
      </c>
      <c r="N3992" s="475">
        <f t="shared" si="180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78"/>
        <v>-2711273097225.6304</v>
      </c>
      <c r="J3993" s="455">
        <f t="array" ref="J3993">IFERROR(INDEX('Retirement Calculator'!J:J,MATCH('Isaac 401k'!N3993,'Retirement Calculator'!A:A,0),0),0)</f>
        <v>0</v>
      </c>
      <c r="K3993" s="455">
        <f t="shared" ca="1" si="176"/>
        <v>-11296971238.440126</v>
      </c>
      <c r="L3993" s="455">
        <f t="shared" ca="1" si="177"/>
        <v>-2722570068464.0703</v>
      </c>
      <c r="M3993" s="471">
        <f t="shared" si="179"/>
        <v>0.05</v>
      </c>
      <c r="N3993" s="475">
        <f t="shared" si="180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78"/>
        <v>-2722570068464.0703</v>
      </c>
      <c r="J3994" s="455">
        <f t="array" ref="J3994">IFERROR(INDEX('Retirement Calculator'!J:J,MATCH('Isaac 401k'!N3994,'Retirement Calculator'!A:A,0),0),0)</f>
        <v>0</v>
      </c>
      <c r="K3994" s="455">
        <f t="shared" ca="1" si="176"/>
        <v>-11344041951.933626</v>
      </c>
      <c r="L3994" s="455">
        <f t="shared" ca="1" si="177"/>
        <v>-2733914110416.0039</v>
      </c>
      <c r="M3994" s="471">
        <f t="shared" si="179"/>
        <v>0.05</v>
      </c>
      <c r="N3994" s="475">
        <f t="shared" si="180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78"/>
        <v>-2733914110416.0039</v>
      </c>
      <c r="J3995" s="455">
        <f t="array" ref="J3995">IFERROR(INDEX('Retirement Calculator'!J:J,MATCH('Isaac 401k'!N3995,'Retirement Calculator'!A:A,0),0),0)</f>
        <v>0</v>
      </c>
      <c r="K3995" s="455">
        <f t="shared" ca="1" si="176"/>
        <v>-11391308793.400017</v>
      </c>
      <c r="L3995" s="455">
        <f t="shared" ca="1" si="177"/>
        <v>-2745305419209.4038</v>
      </c>
      <c r="M3995" s="471">
        <f t="shared" si="179"/>
        <v>0.05</v>
      </c>
      <c r="N3995" s="475">
        <f t="shared" si="180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78"/>
        <v>-2745305419209.4038</v>
      </c>
      <c r="J3996" s="455">
        <f t="array" ref="J3996">IFERROR(INDEX('Retirement Calculator'!J:J,MATCH('Isaac 401k'!N3996,'Retirement Calculator'!A:A,0),0),0)</f>
        <v>0</v>
      </c>
      <c r="K3996" s="455">
        <f t="shared" ca="1" si="176"/>
        <v>-11438772580.039183</v>
      </c>
      <c r="L3996" s="455">
        <f t="shared" ca="1" si="177"/>
        <v>-2756744191789.4429</v>
      </c>
      <c r="M3996" s="471">
        <f t="shared" si="179"/>
        <v>0.05</v>
      </c>
      <c r="N3996" s="475">
        <f t="shared" si="180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78"/>
        <v>-2756744191789.4429</v>
      </c>
      <c r="J3997" s="455">
        <f t="array" ref="J3997">IFERROR(INDEX('Retirement Calculator'!J:J,MATCH('Isaac 401k'!N3997,'Retirement Calculator'!A:A,0),0),0)</f>
        <v>0</v>
      </c>
      <c r="K3997" s="455">
        <f t="shared" ca="1" si="176"/>
        <v>-11486434132.456013</v>
      </c>
      <c r="L3997" s="455">
        <f t="shared" ca="1" si="177"/>
        <v>-2768230625921.8989</v>
      </c>
      <c r="M3997" s="471">
        <f t="shared" si="179"/>
        <v>0.05</v>
      </c>
      <c r="N3997" s="475">
        <f t="shared" si="180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78"/>
        <v>-2768230625921.8989</v>
      </c>
      <c r="J3998" s="455">
        <f t="array" ref="J3998">IFERROR(INDEX('Retirement Calculator'!J:J,MATCH('Isaac 401k'!N3998,'Retirement Calculator'!A:A,0),0),0)</f>
        <v>0</v>
      </c>
      <c r="K3998" s="455">
        <f t="shared" ca="1" si="176"/>
        <v>-11534294274.67458</v>
      </c>
      <c r="L3998" s="455">
        <f t="shared" ca="1" si="177"/>
        <v>-2779764920196.5737</v>
      </c>
      <c r="M3998" s="471">
        <f t="shared" si="179"/>
        <v>0.05</v>
      </c>
      <c r="N3998" s="475">
        <f t="shared" si="180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78"/>
        <v>-2779764920196.5737</v>
      </c>
      <c r="J3999" s="455">
        <f t="array" ref="J3999">IFERROR(INDEX('Retirement Calculator'!J:J,MATCH('Isaac 401k'!N3999,'Retirement Calculator'!A:A,0),0),0)</f>
        <v>0</v>
      </c>
      <c r="K3999" s="455">
        <f t="shared" ca="1" si="176"/>
        <v>-11582353834.15239</v>
      </c>
      <c r="L3999" s="455">
        <f t="shared" ca="1" si="177"/>
        <v>-2791347274030.7261</v>
      </c>
      <c r="M3999" s="471">
        <f t="shared" si="179"/>
        <v>0.05</v>
      </c>
      <c r="N3999" s="475">
        <f t="shared" si="180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78"/>
        <v>-2791347274030.7261</v>
      </c>
      <c r="J4000" s="455">
        <f t="array" ref="J4000">IFERROR(INDEX('Retirement Calculator'!J:J,MATCH('Isaac 401k'!N4000,'Retirement Calculator'!A:A,0),0),0)</f>
        <v>0</v>
      </c>
      <c r="K4000" s="455">
        <f t="shared" ca="1" si="176"/>
        <v>-11630613641.794691</v>
      </c>
      <c r="L4000" s="455">
        <f t="shared" ca="1" si="177"/>
        <v>-2802977887672.521</v>
      </c>
      <c r="M4000" s="471">
        <f t="shared" si="179"/>
        <v>0.05</v>
      </c>
      <c r="N4000" s="475">
        <f t="shared" si="180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78"/>
        <v>-2802977887672.521</v>
      </c>
      <c r="J4001" s="455">
        <f t="array" ref="J4001">IFERROR(INDEX('Retirement Calculator'!J:J,MATCH('Isaac 401k'!N4001,'Retirement Calculator'!A:A,0),0),0)</f>
        <v>0</v>
      </c>
      <c r="K4001" s="455">
        <f t="shared" ca="1" si="176"/>
        <v>-11679074531.968838</v>
      </c>
      <c r="L4001" s="455">
        <f t="shared" ca="1" si="177"/>
        <v>-2814656962204.4897</v>
      </c>
      <c r="M4001" s="471">
        <f t="shared" si="179"/>
        <v>0.05</v>
      </c>
      <c r="N4001" s="475">
        <f t="shared" si="180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78"/>
        <v>-2814656962204.4897</v>
      </c>
      <c r="J4002" s="455">
        <f t="array" ref="J4002">IFERROR(INDEX('Retirement Calculator'!J:J,MATCH('Isaac 401k'!N4002,'Retirement Calculator'!A:A,0),0),0)</f>
        <v>0</v>
      </c>
      <c r="K4002" s="455">
        <f t="shared" ca="1" si="176"/>
        <v>-11727737342.518707</v>
      </c>
      <c r="L4002" s="455">
        <f t="shared" ca="1" si="177"/>
        <v>-2826384699547.0083</v>
      </c>
      <c r="M4002" s="471">
        <f t="shared" si="179"/>
        <v>0.05</v>
      </c>
      <c r="N4002" s="475">
        <f t="shared" si="180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78"/>
        <v>-2826384699547.0083</v>
      </c>
      <c r="J4003" s="455">
        <f t="array" ref="J4003">IFERROR(INDEX('Retirement Calculator'!J:J,MATCH('Isaac 401k'!N4003,'Retirement Calculator'!A:A,0),0),0)</f>
        <v>0</v>
      </c>
      <c r="K4003" s="455">
        <f t="shared" ca="1" si="176"/>
        <v>-11776602914.779202</v>
      </c>
      <c r="L4003" s="455">
        <f t="shared" ca="1" si="177"/>
        <v>-2838161302461.7876</v>
      </c>
      <c r="M4003" s="471">
        <f t="shared" si="179"/>
        <v>0.05</v>
      </c>
      <c r="N4003" s="475">
        <f t="shared" si="180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78"/>
        <v>-2838161302461.7876</v>
      </c>
      <c r="J4004" s="455">
        <f t="array" ref="J4004">IFERROR(INDEX('Retirement Calculator'!J:J,MATCH('Isaac 401k'!N4004,'Retirement Calculator'!A:A,0),0),0)</f>
        <v>0</v>
      </c>
      <c r="K4004" s="455">
        <f t="shared" ca="1" si="176"/>
        <v>-11825672093.590782</v>
      </c>
      <c r="L4004" s="455">
        <f t="shared" ca="1" si="177"/>
        <v>-2849986974555.3784</v>
      </c>
      <c r="M4004" s="471">
        <f t="shared" si="179"/>
        <v>0.05</v>
      </c>
      <c r="N4004" s="475">
        <f t="shared" si="180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78"/>
        <v>-2849986974555.3784</v>
      </c>
      <c r="J4005" s="455">
        <f t="array" ref="J4005">IFERROR(INDEX('Retirement Calculator'!J:J,MATCH('Isaac 401k'!N4005,'Retirement Calculator'!A:A,0),0),0)</f>
        <v>0</v>
      </c>
      <c r="K4005" s="455">
        <f t="shared" ca="1" si="176"/>
        <v>-11874945727.314077</v>
      </c>
      <c r="L4005" s="455">
        <f t="shared" ca="1" si="177"/>
        <v>-2861861920282.6924</v>
      </c>
      <c r="M4005" s="471">
        <f t="shared" si="179"/>
        <v>0.05</v>
      </c>
      <c r="N4005" s="475">
        <f t="shared" si="180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78"/>
        <v>-2861861920282.6924</v>
      </c>
      <c r="J4006" s="455">
        <f t="array" ref="J4006">IFERROR(INDEX('Retirement Calculator'!J:J,MATCH('Isaac 401k'!N4006,'Retirement Calculator'!A:A,0),0),0)</f>
        <v>0</v>
      </c>
      <c r="K4006" s="455">
        <f t="shared" ca="1" si="176"/>
        <v>-11924424667.844551</v>
      </c>
      <c r="L4006" s="455">
        <f t="shared" ca="1" si="177"/>
        <v>-2873786344950.5371</v>
      </c>
      <c r="M4006" s="471">
        <f t="shared" si="179"/>
        <v>0.05</v>
      </c>
      <c r="N4006" s="475">
        <f t="shared" si="180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78"/>
        <v>-2873786344950.5371</v>
      </c>
      <c r="J4007" s="455">
        <f t="array" ref="J4007">IFERROR(INDEX('Retirement Calculator'!J:J,MATCH('Isaac 401k'!N4007,'Retirement Calculator'!A:A,0),0),0)</f>
        <v>0</v>
      </c>
      <c r="K4007" s="455">
        <f t="shared" ca="1" si="176"/>
        <v>-11974109770.627237</v>
      </c>
      <c r="L4007" s="455">
        <f t="shared" ca="1" si="177"/>
        <v>-2885760454721.1646</v>
      </c>
      <c r="M4007" s="471">
        <f t="shared" si="179"/>
        <v>0.05</v>
      </c>
      <c r="N4007" s="475">
        <f t="shared" si="180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78"/>
        <v>-2885760454721.1646</v>
      </c>
      <c r="J4008" s="455">
        <f t="array" ref="J4008">IFERROR(INDEX('Retirement Calculator'!J:J,MATCH('Isaac 401k'!N4008,'Retirement Calculator'!A:A,0),0),0)</f>
        <v>0</v>
      </c>
      <c r="K4008" s="455">
        <f t="shared" ca="1" si="176"/>
        <v>-12024001894.671518</v>
      </c>
      <c r="L4008" s="455">
        <f t="shared" ca="1" si="177"/>
        <v>-2897784456615.8359</v>
      </c>
      <c r="M4008" s="471">
        <f t="shared" si="179"/>
        <v>0.05</v>
      </c>
      <c r="N4008" s="475">
        <f t="shared" si="180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78"/>
        <v>-2897784456615.8359</v>
      </c>
      <c r="J4009" s="455">
        <f t="array" ref="J4009">IFERROR(INDEX('Retirement Calculator'!J:J,MATCH('Isaac 401k'!N4009,'Retirement Calculator'!A:A,0),0),0)</f>
        <v>0</v>
      </c>
      <c r="K4009" s="455">
        <f t="shared" ca="1" si="176"/>
        <v>-12074101902.565983</v>
      </c>
      <c r="L4009" s="455">
        <f t="shared" ca="1" si="177"/>
        <v>-2909858558518.4019</v>
      </c>
      <c r="M4009" s="471">
        <f t="shared" si="179"/>
        <v>0.05</v>
      </c>
      <c r="N4009" s="475">
        <f t="shared" si="180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78"/>
        <v>-2909858558518.4019</v>
      </c>
      <c r="J4010" s="455">
        <f t="array" ref="J4010">IFERROR(INDEX('Retirement Calculator'!J:J,MATCH('Isaac 401k'!N4010,'Retirement Calculator'!A:A,0),0),0)</f>
        <v>0</v>
      </c>
      <c r="K4010" s="455">
        <f t="shared" ca="1" si="176"/>
        <v>-12124410660.493341</v>
      </c>
      <c r="L4010" s="455">
        <f t="shared" ca="1" si="177"/>
        <v>-2921982969178.895</v>
      </c>
      <c r="M4010" s="471">
        <f t="shared" si="179"/>
        <v>0.05</v>
      </c>
      <c r="N4010" s="475">
        <f t="shared" si="180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78"/>
        <v>-2921982969178.895</v>
      </c>
      <c r="J4011" s="455">
        <f t="array" ref="J4011">IFERROR(INDEX('Retirement Calculator'!J:J,MATCH('Isaac 401k'!N4011,'Retirement Calculator'!A:A,0),0),0)</f>
        <v>0</v>
      </c>
      <c r="K4011" s="455">
        <f t="shared" ca="1" si="176"/>
        <v>-12174929038.245396</v>
      </c>
      <c r="L4011" s="455">
        <f t="shared" ca="1" si="177"/>
        <v>-2934157898217.1406</v>
      </c>
      <c r="M4011" s="471">
        <f t="shared" si="179"/>
        <v>0.05</v>
      </c>
      <c r="N4011" s="475">
        <f t="shared" si="180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78"/>
        <v>-2934157898217.1406</v>
      </c>
      <c r="J4012" s="455">
        <f t="array" ref="J4012">IFERROR(INDEX('Retirement Calculator'!J:J,MATCH('Isaac 401k'!N4012,'Retirement Calculator'!A:A,0),0),0)</f>
        <v>0</v>
      </c>
      <c r="K4012" s="455">
        <f t="shared" ca="1" si="176"/>
        <v>-12225657909.238087</v>
      </c>
      <c r="L4012" s="455">
        <f t="shared" ca="1" si="177"/>
        <v>-2946383556126.3789</v>
      </c>
      <c r="M4012" s="471">
        <f t="shared" si="179"/>
        <v>0.05</v>
      </c>
      <c r="N4012" s="475">
        <f t="shared" si="180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78"/>
        <v>-2946383556126.3789</v>
      </c>
      <c r="J4013" s="455">
        <f t="array" ref="J4013">IFERROR(INDEX('Retirement Calculator'!J:J,MATCH('Isaac 401k'!N4013,'Retirement Calculator'!A:A,0),0),0)</f>
        <v>0</v>
      </c>
      <c r="K4013" s="455">
        <f t="shared" ca="1" si="176"/>
        <v>-12276598150.526579</v>
      </c>
      <c r="L4013" s="455">
        <f t="shared" ca="1" si="177"/>
        <v>-2958660154276.9053</v>
      </c>
      <c r="M4013" s="471">
        <f t="shared" si="179"/>
        <v>0.05</v>
      </c>
      <c r="N4013" s="475">
        <f t="shared" si="180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78"/>
        <v>-2958660154276.9053</v>
      </c>
      <c r="J4014" s="455">
        <f t="array" ref="J4014">IFERROR(INDEX('Retirement Calculator'!J:J,MATCH('Isaac 401k'!N4014,'Retirement Calculator'!A:A,0),0),0)</f>
        <v>0</v>
      </c>
      <c r="K4014" s="455">
        <f t="shared" ca="1" si="176"/>
        <v>-12327750642.820438</v>
      </c>
      <c r="L4014" s="455">
        <f t="shared" ca="1" si="177"/>
        <v>-2970987904919.7256</v>
      </c>
      <c r="M4014" s="471">
        <f t="shared" si="179"/>
        <v>0.05</v>
      </c>
      <c r="N4014" s="475">
        <f t="shared" si="180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78"/>
        <v>-2970987904919.7256</v>
      </c>
      <c r="J4015" s="455">
        <f t="array" ref="J4015">IFERROR(INDEX('Retirement Calculator'!J:J,MATCH('Isaac 401k'!N4015,'Retirement Calculator'!A:A,0),0),0)</f>
        <v>0</v>
      </c>
      <c r="K4015" s="455">
        <f t="shared" ca="1" si="176"/>
        <v>-12379116270.498856</v>
      </c>
      <c r="L4015" s="455">
        <f t="shared" ca="1" si="177"/>
        <v>-2983367021190.2246</v>
      </c>
      <c r="M4015" s="471">
        <f t="shared" si="179"/>
        <v>0.05</v>
      </c>
      <c r="N4015" s="475">
        <f t="shared" si="180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78"/>
        <v>-2983367021190.2246</v>
      </c>
      <c r="J4016" s="455">
        <f t="array" ref="J4016">IFERROR(INDEX('Retirement Calculator'!J:J,MATCH('Isaac 401k'!N4016,'Retirement Calculator'!A:A,0),0),0)</f>
        <v>0</v>
      </c>
      <c r="K4016" s="455">
        <f t="shared" ca="1" si="176"/>
        <v>-12430695921.625937</v>
      </c>
      <c r="L4016" s="455">
        <f t="shared" ca="1" si="177"/>
        <v>-2995797717111.8506</v>
      </c>
      <c r="M4016" s="471">
        <f t="shared" si="179"/>
        <v>0.05</v>
      </c>
      <c r="N4016" s="475">
        <f t="shared" si="180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78"/>
        <v>-2995797717111.8506</v>
      </c>
      <c r="J4017" s="455">
        <f t="array" ref="J4017">IFERROR(INDEX('Retirement Calculator'!J:J,MATCH('Isaac 401k'!N4017,'Retirement Calculator'!A:A,0),0),0)</f>
        <v>0</v>
      </c>
      <c r="K4017" s="455">
        <f t="shared" ca="1" si="176"/>
        <v>-12482490487.966043</v>
      </c>
      <c r="L4017" s="455">
        <f t="shared" ca="1" si="177"/>
        <v>-3008280207599.8164</v>
      </c>
      <c r="M4017" s="471">
        <f t="shared" si="179"/>
        <v>0.05</v>
      </c>
      <c r="N4017" s="475">
        <f t="shared" si="180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78"/>
        <v>-3008280207599.8164</v>
      </c>
      <c r="J4018" s="455">
        <f t="array" ref="J4018">IFERROR(INDEX('Retirement Calculator'!J:J,MATCH('Isaac 401k'!N4018,'Retirement Calculator'!A:A,0),0),0)</f>
        <v>0</v>
      </c>
      <c r="K4018" s="455">
        <f t="shared" ca="1" si="176"/>
        <v>-12534500864.999235</v>
      </c>
      <c r="L4018" s="455">
        <f t="shared" ca="1" si="177"/>
        <v>-3020814708464.8154</v>
      </c>
      <c r="M4018" s="471">
        <f t="shared" si="179"/>
        <v>0.05</v>
      </c>
      <c r="N4018" s="475">
        <f t="shared" si="180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78"/>
        <v>-3020814708464.8154</v>
      </c>
      <c r="J4019" s="455">
        <f t="array" ref="J4019">IFERROR(INDEX('Retirement Calculator'!J:J,MATCH('Isaac 401k'!N4019,'Retirement Calculator'!A:A,0),0),0)</f>
        <v>0</v>
      </c>
      <c r="K4019" s="455">
        <f t="shared" ca="1" si="176"/>
        <v>-12586727951.936731</v>
      </c>
      <c r="L4019" s="455">
        <f t="shared" ca="1" si="177"/>
        <v>-3033401436416.752</v>
      </c>
      <c r="M4019" s="471">
        <f t="shared" si="179"/>
        <v>0.05</v>
      </c>
      <c r="N4019" s="475">
        <f t="shared" si="180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78"/>
        <v>-3033401436416.752</v>
      </c>
      <c r="J4020" s="455">
        <f t="array" ref="J4020">IFERROR(INDEX('Retirement Calculator'!J:J,MATCH('Isaac 401k'!N4020,'Retirement Calculator'!A:A,0),0),0)</f>
        <v>0</v>
      </c>
      <c r="K4020" s="455">
        <f t="shared" ca="1" si="176"/>
        <v>-12639172651.736465</v>
      </c>
      <c r="L4020" s="455">
        <f t="shared" ca="1" si="177"/>
        <v>-3046040609068.4883</v>
      </c>
      <c r="M4020" s="471">
        <f t="shared" si="179"/>
        <v>0.05</v>
      </c>
      <c r="N4020" s="475">
        <f t="shared" si="180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78"/>
        <v>-3046040609068.4883</v>
      </c>
      <c r="J4021" s="455">
        <f t="array" ref="J4021">IFERROR(INDEX('Retirement Calculator'!J:J,MATCH('Isaac 401k'!N4021,'Retirement Calculator'!A:A,0),0),0)</f>
        <v>0</v>
      </c>
      <c r="K4021" s="455">
        <f t="shared" ca="1" si="176"/>
        <v>-12691835871.118702</v>
      </c>
      <c r="L4021" s="455">
        <f t="shared" ca="1" si="177"/>
        <v>-3058732444939.6069</v>
      </c>
      <c r="M4021" s="471">
        <f t="shared" si="179"/>
        <v>0.05</v>
      </c>
      <c r="N4021" s="475">
        <f t="shared" si="180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78"/>
        <v>-3058732444939.6069</v>
      </c>
      <c r="J4022" s="455">
        <f t="array" ref="J4022">IFERROR(INDEX('Retirement Calculator'!J:J,MATCH('Isaac 401k'!N4022,'Retirement Calculator'!A:A,0),0),0)</f>
        <v>0</v>
      </c>
      <c r="K4022" s="455">
        <f t="shared" ca="1" si="176"/>
        <v>-12744718520.581696</v>
      </c>
      <c r="L4022" s="455">
        <f t="shared" ca="1" si="177"/>
        <v>-3071477163460.1885</v>
      </c>
      <c r="M4022" s="471">
        <f t="shared" si="179"/>
        <v>0.05</v>
      </c>
      <c r="N4022" s="475">
        <f t="shared" si="180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78"/>
        <v>-3071477163460.1885</v>
      </c>
      <c r="J4023" s="455">
        <f t="array" ref="J4023">IFERROR(INDEX('Retirement Calculator'!J:J,MATCH('Isaac 401k'!N4023,'Retirement Calculator'!A:A,0),0),0)</f>
        <v>0</v>
      </c>
      <c r="K4023" s="455">
        <f t="shared" ca="1" si="176"/>
        <v>-12797821514.417452</v>
      </c>
      <c r="L4023" s="455">
        <f t="shared" ca="1" si="177"/>
        <v>-3084274984974.606</v>
      </c>
      <c r="M4023" s="471">
        <f t="shared" si="179"/>
        <v>0.05</v>
      </c>
      <c r="N4023" s="475">
        <f t="shared" si="180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78"/>
        <v>-3084274984974.606</v>
      </c>
      <c r="J4024" s="455">
        <f t="array" ref="J4024">IFERROR(INDEX('Retirement Calculator'!J:J,MATCH('Isaac 401k'!N4024,'Retirement Calculator'!A:A,0),0),0)</f>
        <v>0</v>
      </c>
      <c r="K4024" s="455">
        <f t="shared" ca="1" si="176"/>
        <v>-12851145770.727524</v>
      </c>
      <c r="L4024" s="455">
        <f t="shared" ca="1" si="177"/>
        <v>-3097126130745.3335</v>
      </c>
      <c r="M4024" s="471">
        <f t="shared" si="179"/>
        <v>0.05</v>
      </c>
      <c r="N4024" s="475">
        <f t="shared" si="180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78"/>
        <v>-3097126130745.3335</v>
      </c>
      <c r="J4025" s="455">
        <f t="array" ref="J4025">IFERROR(INDEX('Retirement Calculator'!J:J,MATCH('Isaac 401k'!N4025,'Retirement Calculator'!A:A,0),0),0)</f>
        <v>0</v>
      </c>
      <c r="K4025" s="455">
        <f t="shared" ca="1" si="176"/>
        <v>-12904692211.438889</v>
      </c>
      <c r="L4025" s="455">
        <f t="shared" ca="1" si="177"/>
        <v>-3110030822956.7725</v>
      </c>
      <c r="M4025" s="471">
        <f t="shared" si="179"/>
        <v>0.05</v>
      </c>
      <c r="N4025" s="475">
        <f t="shared" si="180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78"/>
        <v>-3110030822956.7725</v>
      </c>
      <c r="J4026" s="455">
        <f t="array" ref="J4026">IFERROR(INDEX('Retirement Calculator'!J:J,MATCH('Isaac 401k'!N4026,'Retirement Calculator'!A:A,0),0),0)</f>
        <v>0</v>
      </c>
      <c r="K4026" s="455">
        <f t="shared" ca="1" si="176"/>
        <v>-12958461762.319885</v>
      </c>
      <c r="L4026" s="455">
        <f t="shared" ca="1" si="177"/>
        <v>-3122989284719.0923</v>
      </c>
      <c r="M4026" s="471">
        <f t="shared" si="179"/>
        <v>0.05</v>
      </c>
      <c r="N4026" s="475">
        <f t="shared" si="180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78"/>
        <v>-3122989284719.0923</v>
      </c>
      <c r="J4027" s="455">
        <f t="array" ref="J4027">IFERROR(INDEX('Retirement Calculator'!J:J,MATCH('Isaac 401k'!N4027,'Retirement Calculator'!A:A,0),0),0)</f>
        <v>0</v>
      </c>
      <c r="K4027" s="455">
        <f t="shared" ca="1" si="176"/>
        <v>-13012455352.996218</v>
      </c>
      <c r="L4027" s="455">
        <f t="shared" ca="1" si="177"/>
        <v>-3136001740072.0884</v>
      </c>
      <c r="M4027" s="471">
        <f t="shared" si="179"/>
        <v>0.05</v>
      </c>
      <c r="N4027" s="475">
        <f t="shared" si="180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78"/>
        <v>-3136001740072.0884</v>
      </c>
      <c r="J4028" s="455">
        <f t="array" ref="J4028">IFERROR(INDEX('Retirement Calculator'!J:J,MATCH('Isaac 401k'!N4028,'Retirement Calculator'!A:A,0),0),0)</f>
        <v>0</v>
      </c>
      <c r="K4028" s="455">
        <f t="shared" ca="1" si="176"/>
        <v>-13066673916.967035</v>
      </c>
      <c r="L4028" s="455">
        <f t="shared" ca="1" si="177"/>
        <v>-3149068413989.0552</v>
      </c>
      <c r="M4028" s="471">
        <f t="shared" si="179"/>
        <v>0.05</v>
      </c>
      <c r="N4028" s="475">
        <f t="shared" si="180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78"/>
        <v>-3149068413989.0552</v>
      </c>
      <c r="J4029" s="455">
        <f t="array" ref="J4029">IFERROR(INDEX('Retirement Calculator'!J:J,MATCH('Isaac 401k'!N4029,'Retirement Calculator'!A:A,0),0),0)</f>
        <v>0</v>
      </c>
      <c r="K4029" s="455">
        <f t="shared" ca="1" si="176"/>
        <v>-13121118391.621063</v>
      </c>
      <c r="L4029" s="455">
        <f t="shared" ca="1" si="177"/>
        <v>-3162189532380.6763</v>
      </c>
      <c r="M4029" s="471">
        <f t="shared" si="179"/>
        <v>0.05</v>
      </c>
      <c r="N4029" s="475">
        <f t="shared" si="180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78"/>
        <v>-3162189532380.6763</v>
      </c>
      <c r="J4030" s="455">
        <f t="array" ref="J4030">IFERROR(INDEX('Retirement Calculator'!J:J,MATCH('Isaac 401k'!N4030,'Retirement Calculator'!A:A,0),0),0)</f>
        <v>0</v>
      </c>
      <c r="K4030" s="455">
        <f t="shared" ca="1" si="176"/>
        <v>-13175789718.252817</v>
      </c>
      <c r="L4030" s="455">
        <f t="shared" ca="1" si="177"/>
        <v>-3175365322098.9292</v>
      </c>
      <c r="M4030" s="471">
        <f t="shared" si="179"/>
        <v>0.05</v>
      </c>
      <c r="N4030" s="475">
        <f t="shared" si="180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78"/>
        <v>-3175365322098.9292</v>
      </c>
      <c r="J4031" s="455">
        <f t="array" ref="J4031">IFERROR(INDEX('Retirement Calculator'!J:J,MATCH('Isaac 401k'!N4031,'Retirement Calculator'!A:A,0),0),0)</f>
        <v>0</v>
      </c>
      <c r="K4031" s="455">
        <f t="shared" ca="1" si="176"/>
        <v>-13230688842.078871</v>
      </c>
      <c r="L4031" s="455">
        <f t="shared" ca="1" si="177"/>
        <v>-3188596010941.0083</v>
      </c>
      <c r="M4031" s="471">
        <f t="shared" si="179"/>
        <v>0.05</v>
      </c>
      <c r="N4031" s="475">
        <f t="shared" si="180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78"/>
        <v>-3188596010941.0083</v>
      </c>
      <c r="J4032" s="455">
        <f t="array" ref="J4032">IFERROR(INDEX('Retirement Calculator'!J:J,MATCH('Isaac 401k'!N4032,'Retirement Calculator'!A:A,0),0),0)</f>
        <v>0</v>
      </c>
      <c r="K4032" s="455">
        <f t="shared" ca="1" si="176"/>
        <v>-13285816712.254202</v>
      </c>
      <c r="L4032" s="455">
        <f t="shared" ca="1" si="177"/>
        <v>-3201881827653.2627</v>
      </c>
      <c r="M4032" s="471">
        <f t="shared" si="179"/>
        <v>0.05</v>
      </c>
      <c r="N4032" s="475">
        <f t="shared" si="180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78"/>
        <v>-3201881827653.2627</v>
      </c>
      <c r="J4033" s="455">
        <f t="array" ref="J4033">IFERROR(INDEX('Retirement Calculator'!J:J,MATCH('Isaac 401k'!N4033,'Retirement Calculator'!A:A,0),0),0)</f>
        <v>0</v>
      </c>
      <c r="K4033" s="455">
        <f t="shared" ca="1" si="176"/>
        <v>-13341174281.888594</v>
      </c>
      <c r="L4033" s="455">
        <f t="shared" ca="1" si="177"/>
        <v>-3215223001935.1514</v>
      </c>
      <c r="M4033" s="471">
        <f t="shared" si="179"/>
        <v>0.05</v>
      </c>
      <c r="N4033" s="475">
        <f t="shared" si="180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78"/>
        <v>-3215223001935.1514</v>
      </c>
      <c r="J4034" s="455">
        <f t="array" ref="J4034">IFERROR(INDEX('Retirement Calculator'!J:J,MATCH('Isaac 401k'!N4034,'Retirement Calculator'!A:A,0),0),0)</f>
        <v>0</v>
      </c>
      <c r="K4034" s="455">
        <f t="shared" ca="1" si="176"/>
        <v>-13396762508.063131</v>
      </c>
      <c r="L4034" s="455">
        <f t="shared" ca="1" si="177"/>
        <v>-3228619764443.2144</v>
      </c>
      <c r="M4034" s="471">
        <f t="shared" si="179"/>
        <v>0.05</v>
      </c>
      <c r="N4034" s="475">
        <f t="shared" si="180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78"/>
        <v>-3228619764443.2144</v>
      </c>
      <c r="J4035" s="455">
        <f t="array" ref="J4035">IFERROR(INDEX('Retirement Calculator'!J:J,MATCH('Isaac 401k'!N4035,'Retirement Calculator'!A:A,0),0),0)</f>
        <v>0</v>
      </c>
      <c r="K4035" s="455">
        <f t="shared" ca="1" si="176"/>
        <v>-13452582351.846725</v>
      </c>
      <c r="L4035" s="455">
        <f t="shared" ca="1" si="177"/>
        <v>-3242072346795.061</v>
      </c>
      <c r="M4035" s="471">
        <f t="shared" si="179"/>
        <v>0.05</v>
      </c>
      <c r="N4035" s="475">
        <f t="shared" si="180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78"/>
        <v>-3242072346795.061</v>
      </c>
      <c r="J4036" s="455">
        <f t="array" ref="J4036">IFERROR(INDEX('Retirement Calculator'!J:J,MATCH('Isaac 401k'!N4036,'Retirement Calculator'!A:A,0),0),0)</f>
        <v>0</v>
      </c>
      <c r="K4036" s="455">
        <f t="shared" ca="1" si="176"/>
        <v>-13508634778.312754</v>
      </c>
      <c r="L4036" s="455">
        <f t="shared" ca="1" si="177"/>
        <v>-3255580981573.374</v>
      </c>
      <c r="M4036" s="471">
        <f t="shared" si="179"/>
        <v>0.05</v>
      </c>
      <c r="N4036" s="475">
        <f t="shared" si="180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78"/>
        <v>-3255580981573.374</v>
      </c>
      <c r="J4037" s="455">
        <f t="array" ref="J4037">IFERROR(INDEX('Retirement Calculator'!J:J,MATCH('Isaac 401k'!N4037,'Retirement Calculator'!A:A,0),0),0)</f>
        <v>0</v>
      </c>
      <c r="K4037" s="455">
        <f t="shared" ca="1" si="176"/>
        <v>-13564920756.555725</v>
      </c>
      <c r="L4037" s="455">
        <f t="shared" ca="1" si="177"/>
        <v>-3269145902329.9297</v>
      </c>
      <c r="M4037" s="471">
        <f t="shared" si="179"/>
        <v>0.05</v>
      </c>
      <c r="N4037" s="475">
        <f t="shared" si="180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78"/>
        <v>-3269145902329.9297</v>
      </c>
      <c r="J4038" s="455">
        <f t="array" ref="J4038">IFERROR(INDEX('Retirement Calculator'!J:J,MATCH('Isaac 401k'!N4038,'Retirement Calculator'!A:A,0),0),0)</f>
        <v>0</v>
      </c>
      <c r="K4038" s="455">
        <f t="shared" ca="1" si="176"/>
        <v>-13621441259.70804</v>
      </c>
      <c r="L4038" s="455">
        <f t="shared" ca="1" si="177"/>
        <v>-3282767343589.6377</v>
      </c>
      <c r="M4038" s="471">
        <f t="shared" si="179"/>
        <v>0.05</v>
      </c>
      <c r="N4038" s="475">
        <f t="shared" si="180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78"/>
        <v>-3282767343589.6377</v>
      </c>
      <c r="J4039" s="455">
        <f t="array" ref="J4039">IFERROR(INDEX('Retirement Calculator'!J:J,MATCH('Isaac 401k'!N4039,'Retirement Calculator'!A:A,0),0),0)</f>
        <v>0</v>
      </c>
      <c r="K4039" s="455">
        <f t="shared" ca="1" si="176"/>
        <v>-13678197264.956823</v>
      </c>
      <c r="L4039" s="455">
        <f t="shared" ca="1" si="177"/>
        <v>-3296445540854.5947</v>
      </c>
      <c r="M4039" s="471">
        <f t="shared" si="179"/>
        <v>0.05</v>
      </c>
      <c r="N4039" s="475">
        <f t="shared" si="180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78"/>
        <v>-3296445540854.5947</v>
      </c>
      <c r="J4040" s="455">
        <f t="array" ref="J4040">IFERROR(INDEX('Retirement Calculator'!J:J,MATCH('Isaac 401k'!N4040,'Retirement Calculator'!A:A,0),0),0)</f>
        <v>0</v>
      </c>
      <c r="K4040" s="455">
        <f t="shared" ca="1" si="176"/>
        <v>-13735189753.560812</v>
      </c>
      <c r="L4040" s="455">
        <f t="shared" ca="1" si="177"/>
        <v>-3310180730608.1558</v>
      </c>
      <c r="M4040" s="471">
        <f t="shared" si="179"/>
        <v>0.05</v>
      </c>
      <c r="N4040" s="475">
        <f t="shared" si="180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78"/>
        <v>-3310180730608.1558</v>
      </c>
      <c r="J4041" s="455">
        <f t="array" ref="J4041">IFERROR(INDEX('Retirement Calculator'!J:J,MATCH('Isaac 401k'!N4041,'Retirement Calculator'!A:A,0),0),0)</f>
        <v>0</v>
      </c>
      <c r="K4041" s="455">
        <f t="shared" ca="1" si="176"/>
        <v>-13792419710.867315</v>
      </c>
      <c r="L4041" s="455">
        <f t="shared" ca="1" si="177"/>
        <v>-3323973150319.0229</v>
      </c>
      <c r="M4041" s="471">
        <f t="shared" si="179"/>
        <v>0.05</v>
      </c>
      <c r="N4041" s="475">
        <f t="shared" si="180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78"/>
        <v>-3323973150319.0229</v>
      </c>
      <c r="J4042" s="455">
        <f t="array" ref="J4042">IFERROR(INDEX('Retirement Calculator'!J:J,MATCH('Isaac 401k'!N4042,'Retirement Calculator'!A:A,0),0),0)</f>
        <v>0</v>
      </c>
      <c r="K4042" s="455">
        <f t="shared" ca="1" si="176"/>
        <v>-13849888126.329262</v>
      </c>
      <c r="L4042" s="455">
        <f t="shared" ca="1" si="177"/>
        <v>-3337823038445.3521</v>
      </c>
      <c r="M4042" s="471">
        <f t="shared" si="179"/>
        <v>0.05</v>
      </c>
      <c r="N4042" s="475">
        <f t="shared" si="180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78"/>
        <v>-3337823038445.3521</v>
      </c>
      <c r="J4043" s="455">
        <f t="array" ref="J4043">IFERROR(INDEX('Retirement Calculator'!J:J,MATCH('Isaac 401k'!N4043,'Retirement Calculator'!A:A,0),0),0)</f>
        <v>0</v>
      </c>
      <c r="K4043" s="455">
        <f t="shared" ca="1" si="176"/>
        <v>-13907595993.522301</v>
      </c>
      <c r="L4043" s="455">
        <f t="shared" ca="1" si="177"/>
        <v>-3351730634438.8745</v>
      </c>
      <c r="M4043" s="471">
        <f t="shared" si="179"/>
        <v>0.05</v>
      </c>
      <c r="N4043" s="475">
        <f t="shared" si="180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78"/>
        <v>-3351730634438.8745</v>
      </c>
      <c r="J4044" s="455">
        <f t="array" ref="J4044">IFERROR(INDEX('Retirement Calculator'!J:J,MATCH('Isaac 401k'!N4044,'Retirement Calculator'!A:A,0),0),0)</f>
        <v>0</v>
      </c>
      <c r="K4044" s="455">
        <f t="shared" ca="1" si="176"/>
        <v>-13965544310.161978</v>
      </c>
      <c r="L4044" s="455">
        <f t="shared" ca="1" si="177"/>
        <v>-3365696178749.0366</v>
      </c>
      <c r="M4044" s="471">
        <f t="shared" si="179"/>
        <v>0.05</v>
      </c>
      <c r="N4044" s="475">
        <f t="shared" si="180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78"/>
        <v>-3365696178749.0366</v>
      </c>
      <c r="J4045" s="455">
        <f t="array" ref="J4045">IFERROR(INDEX('Retirement Calculator'!J:J,MATCH('Isaac 401k'!N4045,'Retirement Calculator'!A:A,0),0),0)</f>
        <v>0</v>
      </c>
      <c r="K4045" s="455">
        <f t="shared" ca="1" si="176"/>
        <v>-14023734078.120985</v>
      </c>
      <c r="L4045" s="455">
        <f t="shared" ca="1" si="177"/>
        <v>-3379719912827.1577</v>
      </c>
      <c r="M4045" s="471">
        <f t="shared" si="179"/>
        <v>0.05</v>
      </c>
      <c r="N4045" s="475">
        <f t="shared" si="180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78"/>
        <v>-3379719912827.1577</v>
      </c>
      <c r="J4046" s="455">
        <f t="array" ref="J4046">IFERROR(INDEX('Retirement Calculator'!J:J,MATCH('Isaac 401k'!N4046,'Retirement Calculator'!A:A,0),0),0)</f>
        <v>0</v>
      </c>
      <c r="K4046" s="455">
        <f t="shared" ca="1" si="176"/>
        <v>-14082166303.446489</v>
      </c>
      <c r="L4046" s="455">
        <f t="shared" ca="1" si="177"/>
        <v>-3393802079130.604</v>
      </c>
      <c r="M4046" s="471">
        <f t="shared" si="179"/>
        <v>0.05</v>
      </c>
      <c r="N4046" s="475">
        <f t="shared" si="180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78"/>
        <v>-3393802079130.604</v>
      </c>
      <c r="J4047" s="455">
        <f t="array" ref="J4047">IFERROR(INDEX('Retirement Calculator'!J:J,MATCH('Isaac 401k'!N4047,'Retirement Calculator'!A:A,0),0),0)</f>
        <v>0</v>
      </c>
      <c r="K4047" s="455">
        <f t="shared" ca="1" si="176"/>
        <v>-14140841996.377516</v>
      </c>
      <c r="L4047" s="455">
        <f t="shared" ca="1" si="177"/>
        <v>-3407942921126.9814</v>
      </c>
      <c r="M4047" s="471">
        <f t="shared" si="179"/>
        <v>0.05</v>
      </c>
      <c r="N4047" s="475">
        <f t="shared" si="180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78"/>
        <v>-3407942921126.9814</v>
      </c>
      <c r="J4048" s="455">
        <f t="array" ref="J4048">IFERROR(INDEX('Retirement Calculator'!J:J,MATCH('Isaac 401k'!N4048,'Retirement Calculator'!A:A,0),0),0)</f>
        <v>0</v>
      </c>
      <c r="K4048" s="455">
        <f t="shared" ca="1" si="176"/>
        <v>-14199762171.362423</v>
      </c>
      <c r="L4048" s="455">
        <f t="shared" ca="1" si="177"/>
        <v>-3422142683298.3438</v>
      </c>
      <c r="M4048" s="471">
        <f t="shared" si="179"/>
        <v>0.05</v>
      </c>
      <c r="N4048" s="475">
        <f t="shared" si="180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78"/>
        <v>-3422142683298.3438</v>
      </c>
      <c r="J4049" s="455">
        <f t="array" ref="J4049">IFERROR(INDEX('Retirement Calculator'!J:J,MATCH('Isaac 401k'!N4049,'Retirement Calculator'!A:A,0),0),0)</f>
        <v>0</v>
      </c>
      <c r="K4049" s="455">
        <f t="shared" ca="1" si="176"/>
        <v>-14258927847.076431</v>
      </c>
      <c r="L4049" s="455">
        <f t="shared" ca="1" si="177"/>
        <v>-3436401611145.4204</v>
      </c>
      <c r="M4049" s="471">
        <f t="shared" si="179"/>
        <v>0.05</v>
      </c>
      <c r="N4049" s="475">
        <f t="shared" si="180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78"/>
        <v>-3436401611145.4204</v>
      </c>
      <c r="J4050" s="455">
        <f t="array" ref="J4050">IFERROR(INDEX('Retirement Calculator'!J:J,MATCH('Isaac 401k'!N4050,'Retirement Calculator'!A:A,0),0),0)</f>
        <v>0</v>
      </c>
      <c r="K4050" s="455">
        <f t="shared" ca="1" si="176"/>
        <v>-14318340046.439251</v>
      </c>
      <c r="L4050" s="455">
        <f t="shared" ca="1" si="177"/>
        <v>-3450719951191.8599</v>
      </c>
      <c r="M4050" s="471">
        <f t="shared" si="179"/>
        <v>0.05</v>
      </c>
      <c r="N4050" s="475">
        <f t="shared" si="180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78"/>
        <v>-3450719951191.8599</v>
      </c>
      <c r="J4051" s="455">
        <f t="array" ref="J4051">IFERROR(INDEX('Retirement Calculator'!J:J,MATCH('Isaac 401k'!N4051,'Retirement Calculator'!A:A,0),0),0)</f>
        <v>0</v>
      </c>
      <c r="K4051" s="455">
        <f t="shared" ca="1" si="176"/>
        <v>-14377999796.632751</v>
      </c>
      <c r="L4051" s="455">
        <f t="shared" ca="1" si="177"/>
        <v>-3465097950988.4927</v>
      </c>
      <c r="M4051" s="471">
        <f t="shared" si="179"/>
        <v>0.05</v>
      </c>
      <c r="N4051" s="475">
        <f t="shared" si="180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78"/>
        <v>-3465097950988.4927</v>
      </c>
      <c r="J4052" s="455">
        <f t="array" ref="J4052">IFERROR(INDEX('Retirement Calculator'!J:J,MATCH('Isaac 401k'!N4052,'Retirement Calculator'!A:A,0),0),0)</f>
        <v>0</v>
      </c>
      <c r="K4052" s="455">
        <f t="shared" ca="1" si="176"/>
        <v>-14437908129.118719</v>
      </c>
      <c r="L4052" s="455">
        <f t="shared" ca="1" si="177"/>
        <v>-3479535859117.6113</v>
      </c>
      <c r="M4052" s="471">
        <f t="shared" si="179"/>
        <v>0.05</v>
      </c>
      <c r="N4052" s="475">
        <f t="shared" si="180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78"/>
        <v>-3479535859117.6113</v>
      </c>
      <c r="J4053" s="455">
        <f t="array" ref="J4053">IFERROR(INDEX('Retirement Calculator'!J:J,MATCH('Isaac 401k'!N4053,'Retirement Calculator'!A:A,0),0),0)</f>
        <v>0</v>
      </c>
      <c r="K4053" s="455">
        <f t="shared" ca="1" si="176"/>
        <v>-14498066079.656713</v>
      </c>
      <c r="L4053" s="455">
        <f t="shared" ca="1" si="177"/>
        <v>-3494033925197.2681</v>
      </c>
      <c r="M4053" s="471">
        <f t="shared" si="179"/>
        <v>0.05</v>
      </c>
      <c r="N4053" s="475">
        <f t="shared" si="180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78"/>
        <v>-3494033925197.2681</v>
      </c>
      <c r="J4054" s="455">
        <f t="array" ref="J4054">IFERROR(INDEX('Retirement Calculator'!J:J,MATCH('Isaac 401k'!N4054,'Retirement Calculator'!A:A,0),0),0)</f>
        <v>0</v>
      </c>
      <c r="K4054" s="455">
        <f t="shared" ca="1" si="176"/>
        <v>-14558474688.321951</v>
      </c>
      <c r="L4054" s="455">
        <f t="shared" ca="1" si="177"/>
        <v>-3508592399885.5898</v>
      </c>
      <c r="M4054" s="471">
        <f t="shared" si="179"/>
        <v>0.05</v>
      </c>
      <c r="N4054" s="475">
        <f t="shared" si="180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78"/>
        <v>-3508592399885.5898</v>
      </c>
      <c r="J4055" s="455">
        <f t="array" ref="J4055">IFERROR(INDEX('Retirement Calculator'!J:J,MATCH('Isaac 401k'!N4055,'Retirement Calculator'!A:A,0),0),0)</f>
        <v>0</v>
      </c>
      <c r="K4055" s="455">
        <f t="shared" ca="1" si="176"/>
        <v>-14619134999.523291</v>
      </c>
      <c r="L4055" s="455">
        <f t="shared" ca="1" si="177"/>
        <v>-3523211534885.1133</v>
      </c>
      <c r="M4055" s="471">
        <f t="shared" si="179"/>
        <v>0.05</v>
      </c>
      <c r="N4055" s="475">
        <f t="shared" si="180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78"/>
        <v>-3523211534885.1133</v>
      </c>
      <c r="J4056" s="455">
        <f t="array" ref="J4056">IFERROR(INDEX('Retirement Calculator'!J:J,MATCH('Isaac 401k'!N4056,'Retirement Calculator'!A:A,0),0),0)</f>
        <v>0</v>
      </c>
      <c r="K4056" s="455">
        <f t="shared" ca="1" si="176"/>
        <v>-14680048062.021305</v>
      </c>
      <c r="L4056" s="455">
        <f t="shared" ca="1" si="177"/>
        <v>-3537891582947.1348</v>
      </c>
      <c r="M4056" s="471">
        <f t="shared" si="179"/>
        <v>0.05</v>
      </c>
      <c r="N4056" s="475">
        <f t="shared" si="180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78"/>
        <v>-3537891582947.1348</v>
      </c>
      <c r="J4057" s="455">
        <f t="array" ref="J4057">IFERROR(INDEX('Retirement Calculator'!J:J,MATCH('Isaac 401k'!N4057,'Retirement Calculator'!A:A,0),0),0)</f>
        <v>0</v>
      </c>
      <c r="K4057" s="455">
        <f t="shared" ca="1" si="176"/>
        <v>-14741214928.946394</v>
      </c>
      <c r="L4057" s="455">
        <f t="shared" ca="1" si="177"/>
        <v>-3552632797876.0811</v>
      </c>
      <c r="M4057" s="471">
        <f t="shared" si="179"/>
        <v>0.05</v>
      </c>
      <c r="N4057" s="475">
        <f t="shared" si="180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78"/>
        <v>-3552632797876.0811</v>
      </c>
      <c r="J4058" s="455">
        <f t="array" ref="J4058">IFERROR(INDEX('Retirement Calculator'!J:J,MATCH('Isaac 401k'!N4058,'Retirement Calculator'!A:A,0),0),0)</f>
        <v>0</v>
      </c>
      <c r="K4058" s="455">
        <f t="shared" ca="1" si="176"/>
        <v>-14802636657.817003</v>
      </c>
      <c r="L4058" s="455">
        <f t="shared" ca="1" si="177"/>
        <v>-3567435434533.8979</v>
      </c>
      <c r="M4058" s="471">
        <f t="shared" si="179"/>
        <v>0.05</v>
      </c>
      <c r="N4058" s="475">
        <f t="shared" si="180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78"/>
        <v>-3567435434533.8979</v>
      </c>
      <c r="J4059" s="455">
        <f t="array" ref="J4059">IFERROR(INDEX('Retirement Calculator'!J:J,MATCH('Isaac 401k'!N4059,'Retirement Calculator'!A:A,0),0),0)</f>
        <v>0</v>
      </c>
      <c r="K4059" s="455">
        <f t="shared" ca="1" si="176"/>
        <v>-14864314310.557907</v>
      </c>
      <c r="L4059" s="455">
        <f t="shared" ca="1" si="177"/>
        <v>-3582299748844.4561</v>
      </c>
      <c r="M4059" s="471">
        <f t="shared" si="179"/>
        <v>0.05</v>
      </c>
      <c r="N4059" s="475">
        <f t="shared" si="180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78"/>
        <v>-3582299748844.4561</v>
      </c>
      <c r="J4060" s="455">
        <f t="array" ref="J4060">IFERROR(INDEX('Retirement Calculator'!J:J,MATCH('Isaac 401k'!N4060,'Retirement Calculator'!A:A,0),0),0)</f>
        <v>0</v>
      </c>
      <c r="K4060" s="455">
        <f t="shared" ca="1" si="176"/>
        <v>-14926248953.518566</v>
      </c>
      <c r="L4060" s="455">
        <f t="shared" ca="1" si="177"/>
        <v>-3597225997797.9746</v>
      </c>
      <c r="M4060" s="471">
        <f t="shared" si="179"/>
        <v>0.05</v>
      </c>
      <c r="N4060" s="475">
        <f t="shared" si="180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78"/>
        <v>-3597225997797.9746</v>
      </c>
      <c r="J4061" s="455">
        <f t="array" ref="J4061">IFERROR(INDEX('Retirement Calculator'!J:J,MATCH('Isaac 401k'!N4061,'Retirement Calculator'!A:A,0),0),0)</f>
        <v>0</v>
      </c>
      <c r="K4061" s="455">
        <f t="shared" ca="1" si="176"/>
        <v>-14988441657.49156</v>
      </c>
      <c r="L4061" s="455">
        <f t="shared" ca="1" si="177"/>
        <v>-3612214439455.4663</v>
      </c>
      <c r="M4061" s="471">
        <f t="shared" si="179"/>
        <v>0.05</v>
      </c>
      <c r="N4061" s="475">
        <f t="shared" si="180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78"/>
        <v>-3612214439455.4663</v>
      </c>
      <c r="J4062" s="455">
        <f t="array" ref="J4062">IFERROR(INDEX('Retirement Calculator'!J:J,MATCH('Isaac 401k'!N4062,'Retirement Calculator'!A:A,0),0),0)</f>
        <v>0</v>
      </c>
      <c r="K4062" s="455">
        <f t="shared" ca="1" si="176"/>
        <v>-15050893497.731108</v>
      </c>
      <c r="L4062" s="455">
        <f t="shared" ca="1" si="177"/>
        <v>-3627265332953.1973</v>
      </c>
      <c r="M4062" s="471">
        <f t="shared" si="179"/>
        <v>0.05</v>
      </c>
      <c r="N4062" s="475">
        <f t="shared" si="180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78"/>
        <v>-3627265332953.1973</v>
      </c>
      <c r="J4063" s="455">
        <f t="array" ref="J4063">IFERROR(INDEX('Retirement Calculator'!J:J,MATCH('Isaac 401k'!N4063,'Retirement Calculator'!A:A,0),0),0)</f>
        <v>0</v>
      </c>
      <c r="K4063" s="455">
        <f t="shared" ca="1" si="176"/>
        <v>-15113605553.971653</v>
      </c>
      <c r="L4063" s="455">
        <f t="shared" ca="1" si="177"/>
        <v>-3642378938507.1689</v>
      </c>
      <c r="M4063" s="471">
        <f t="shared" si="179"/>
        <v>0.05</v>
      </c>
      <c r="N4063" s="475">
        <f t="shared" si="180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78"/>
        <v>-3642378938507.1689</v>
      </c>
      <c r="J4064" s="455">
        <f t="array" ref="J4064">IFERROR(INDEX('Retirement Calculator'!J:J,MATCH('Isaac 401k'!N4064,'Retirement Calculator'!A:A,0),0),0)</f>
        <v>0</v>
      </c>
      <c r="K4064" s="455">
        <f t="shared" ca="1" si="176"/>
        <v>-15176578910.446537</v>
      </c>
      <c r="L4064" s="455">
        <f t="shared" ca="1" si="177"/>
        <v>-3657555517417.6157</v>
      </c>
      <c r="M4064" s="471">
        <f t="shared" si="179"/>
        <v>0.05</v>
      </c>
      <c r="N4064" s="475">
        <f t="shared" si="180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78"/>
        <v>-3657555517417.6157</v>
      </c>
      <c r="J4065" s="455">
        <f t="array" ref="J4065">IFERROR(INDEX('Retirement Calculator'!J:J,MATCH('Isaac 401k'!N4065,'Retirement Calculator'!A:A,0),0),0)</f>
        <v>0</v>
      </c>
      <c r="K4065" s="455">
        <f t="shared" ca="1" si="176"/>
        <v>-15239814655.906733</v>
      </c>
      <c r="L4065" s="455">
        <f t="shared" ca="1" si="177"/>
        <v>-3672795332073.5225</v>
      </c>
      <c r="M4065" s="471">
        <f t="shared" si="179"/>
        <v>0.05</v>
      </c>
      <c r="N4065" s="475">
        <f t="shared" si="180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78"/>
        <v>-3672795332073.5225</v>
      </c>
      <c r="J4066" s="455">
        <f t="array" ref="J4066">IFERROR(INDEX('Retirement Calculator'!J:J,MATCH('Isaac 401k'!N4066,'Retirement Calculator'!A:A,0),0),0)</f>
        <v>0</v>
      </c>
      <c r="K4066" s="455">
        <f t="shared" ca="1" si="176"/>
        <v>-15303313883.639677</v>
      </c>
      <c r="L4066" s="455">
        <f t="shared" ca="1" si="177"/>
        <v>-3688098645957.1621</v>
      </c>
      <c r="M4066" s="471">
        <f t="shared" si="179"/>
        <v>0.05</v>
      </c>
      <c r="N4066" s="475">
        <f t="shared" si="180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78"/>
        <v>-3688098645957.1621</v>
      </c>
      <c r="J4067" s="455">
        <f t="array" ref="J4067">IFERROR(INDEX('Retirement Calculator'!J:J,MATCH('Isaac 401k'!N4067,'Retirement Calculator'!A:A,0),0),0)</f>
        <v>0</v>
      </c>
      <c r="K4067" s="455">
        <f t="shared" ca="1" si="176"/>
        <v>-15367077691.488174</v>
      </c>
      <c r="L4067" s="455">
        <f t="shared" ca="1" si="177"/>
        <v>-3703465723648.6504</v>
      </c>
      <c r="M4067" s="471">
        <f t="shared" si="179"/>
        <v>0.05</v>
      </c>
      <c r="N4067" s="475">
        <f t="shared" si="180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78"/>
        <v>-3703465723648.6504</v>
      </c>
      <c r="J4068" s="455">
        <f t="array" ref="J4068">IFERROR(INDEX('Retirement Calculator'!J:J,MATCH('Isaac 401k'!N4068,'Retirement Calculator'!A:A,0),0),0)</f>
        <v>0</v>
      </c>
      <c r="K4068" s="455">
        <f t="shared" ca="1" si="176"/>
        <v>-15431107181.869377</v>
      </c>
      <c r="L4068" s="455">
        <f t="shared" ca="1" si="177"/>
        <v>-3718896830830.5195</v>
      </c>
      <c r="M4068" s="471">
        <f t="shared" si="179"/>
        <v>0.05</v>
      </c>
      <c r="N4068" s="475">
        <f t="shared" si="180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78"/>
        <v>-3718896830830.5195</v>
      </c>
      <c r="J4069" s="455">
        <f t="array" ref="J4069">IFERROR(INDEX('Retirement Calculator'!J:J,MATCH('Isaac 401k'!N4069,'Retirement Calculator'!A:A,0),0),0)</f>
        <v>0</v>
      </c>
      <c r="K4069" s="455">
        <f t="shared" ca="1" si="176"/>
        <v>-15495403461.793833</v>
      </c>
      <c r="L4069" s="455">
        <f t="shared" ca="1" si="177"/>
        <v>-3734392234292.3135</v>
      </c>
      <c r="M4069" s="471">
        <f t="shared" si="179"/>
        <v>0.05</v>
      </c>
      <c r="N4069" s="475">
        <f t="shared" si="180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78"/>
        <v>-3734392234292.3135</v>
      </c>
      <c r="J4070" s="455">
        <f t="array" ref="J4070">IFERROR(INDEX('Retirement Calculator'!J:J,MATCH('Isaac 401k'!N4070,'Retirement Calculator'!A:A,0),0),0)</f>
        <v>0</v>
      </c>
      <c r="K4070" s="455">
        <f t="shared" ca="1" si="176"/>
        <v>-15559967642.884642</v>
      </c>
      <c r="L4070" s="455">
        <f t="shared" ca="1" si="177"/>
        <v>-3749952201935.1982</v>
      </c>
      <c r="M4070" s="471">
        <f t="shared" si="179"/>
        <v>0.05</v>
      </c>
      <c r="N4070" s="475">
        <f t="shared" si="180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78"/>
        <v>-3749952201935.1982</v>
      </c>
      <c r="J4071" s="455">
        <f t="array" ref="J4071">IFERROR(INDEX('Retirement Calculator'!J:J,MATCH('Isaac 401k'!N4071,'Retirement Calculator'!A:A,0),0),0)</f>
        <v>0</v>
      </c>
      <c r="K4071" s="455">
        <f t="shared" ca="1" si="176"/>
        <v>-15624800841.39666</v>
      </c>
      <c r="L4071" s="455">
        <f t="shared" ca="1" si="177"/>
        <v>-3765577002776.5947</v>
      </c>
      <c r="M4071" s="471">
        <f t="shared" si="179"/>
        <v>0.05</v>
      </c>
      <c r="N4071" s="475">
        <f t="shared" si="180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78"/>
        <v>-3765577002776.5947</v>
      </c>
      <c r="J4072" s="455">
        <f t="array" ref="J4072">IFERROR(INDEX('Retirement Calculator'!J:J,MATCH('Isaac 401k'!N4072,'Retirement Calculator'!A:A,0),0),0)</f>
        <v>0</v>
      </c>
      <c r="K4072" s="455">
        <f t="shared" ca="1" si="176"/>
        <v>-15689904178.235811</v>
      </c>
      <c r="L4072" s="455">
        <f t="shared" ca="1" si="177"/>
        <v>-3781266906954.8306</v>
      </c>
      <c r="M4072" s="471">
        <f t="shared" si="179"/>
        <v>0.05</v>
      </c>
      <c r="N4072" s="475">
        <f t="shared" si="180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78"/>
        <v>-3781266906954.8306</v>
      </c>
      <c r="J4073" s="455">
        <f t="array" ref="J4073">IFERROR(INDEX('Retirement Calculator'!J:J,MATCH('Isaac 401k'!N4073,'Retirement Calculator'!A:A,0),0),0)</f>
        <v>0</v>
      </c>
      <c r="K4073" s="455">
        <f t="shared" ca="1" si="176"/>
        <v>-15755278778.97846</v>
      </c>
      <c r="L4073" s="455">
        <f t="shared" ca="1" si="177"/>
        <v>-3797022185733.8091</v>
      </c>
      <c r="M4073" s="471">
        <f t="shared" si="179"/>
        <v>0.05</v>
      </c>
      <c r="N4073" s="475">
        <f t="shared" si="180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78"/>
        <v>-3797022185733.8091</v>
      </c>
      <c r="J4074" s="455">
        <f t="array" ref="J4074">IFERROR(INDEX('Retirement Calculator'!J:J,MATCH('Isaac 401k'!N4074,'Retirement Calculator'!A:A,0),0),0)</f>
        <v>0</v>
      </c>
      <c r="K4074" s="455">
        <f t="shared" ca="1" si="176"/>
        <v>-15820925773.890871</v>
      </c>
      <c r="L4074" s="455">
        <f t="shared" ca="1" si="177"/>
        <v>-3812843111507.7002</v>
      </c>
      <c r="M4074" s="471">
        <f t="shared" si="179"/>
        <v>0.05</v>
      </c>
      <c r="N4074" s="475">
        <f t="shared" si="180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78"/>
        <v>-3812843111507.7002</v>
      </c>
      <c r="J4075" s="455">
        <f t="array" ref="J4075">IFERROR(INDEX('Retirement Calculator'!J:J,MATCH('Isaac 401k'!N4075,'Retirement Calculator'!A:A,0),0),0)</f>
        <v>0</v>
      </c>
      <c r="K4075" s="455">
        <f t="shared" ca="1" si="176"/>
        <v>-15886846297.948751</v>
      </c>
      <c r="L4075" s="455">
        <f t="shared" ca="1" si="177"/>
        <v>-3828729957805.6489</v>
      </c>
      <c r="M4075" s="471">
        <f t="shared" si="179"/>
        <v>0.05</v>
      </c>
      <c r="N4075" s="475">
        <f t="shared" si="180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78"/>
        <v>-3828729957805.6489</v>
      </c>
      <c r="J4076" s="455">
        <f t="array" ref="J4076">IFERROR(INDEX('Retirement Calculator'!J:J,MATCH('Isaac 401k'!N4076,'Retirement Calculator'!A:A,0),0),0)</f>
        <v>0</v>
      </c>
      <c r="K4076" s="455">
        <f t="shared" ca="1" si="176"/>
        <v>-15953041490.856871</v>
      </c>
      <c r="L4076" s="455">
        <f t="shared" ca="1" si="177"/>
        <v>-3844682999296.5059</v>
      </c>
      <c r="M4076" s="471">
        <f t="shared" si="179"/>
        <v>0.05</v>
      </c>
      <c r="N4076" s="475">
        <f t="shared" si="180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78"/>
        <v>-3844682999296.5059</v>
      </c>
      <c r="J4077" s="455">
        <f t="array" ref="J4077">IFERROR(INDEX('Retirement Calculator'!J:J,MATCH('Isaac 401k'!N4077,'Retirement Calculator'!A:A,0),0),0)</f>
        <v>0</v>
      </c>
      <c r="K4077" s="455">
        <f t="shared" ca="1" si="176"/>
        <v>-16019512497.068773</v>
      </c>
      <c r="L4077" s="455">
        <f t="shared" ca="1" si="177"/>
        <v>-3860702511793.5747</v>
      </c>
      <c r="M4077" s="471">
        <f t="shared" si="179"/>
        <v>0.05</v>
      </c>
      <c r="N4077" s="475">
        <f t="shared" si="180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78"/>
        <v>-3860702511793.5747</v>
      </c>
      <c r="J4078" s="455">
        <f t="array" ref="J4078">IFERROR(INDEX('Retirement Calculator'!J:J,MATCH('Isaac 401k'!N4078,'Retirement Calculator'!A:A,0),0),0)</f>
        <v>0</v>
      </c>
      <c r="K4078" s="455">
        <f t="shared" ca="1" si="176"/>
        <v>-16086260465.806561</v>
      </c>
      <c r="L4078" s="455">
        <f t="shared" ca="1" si="177"/>
        <v>-3876788772259.3813</v>
      </c>
      <c r="M4078" s="471">
        <f t="shared" si="179"/>
        <v>0.05</v>
      </c>
      <c r="N4078" s="475">
        <f t="shared" si="180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78"/>
        <v>-3876788772259.3813</v>
      </c>
      <c r="J4079" s="455">
        <f t="array" ref="J4079">IFERROR(INDEX('Retirement Calculator'!J:J,MATCH('Isaac 401k'!N4079,'Retirement Calculator'!A:A,0),0),0)</f>
        <v>0</v>
      </c>
      <c r="K4079" s="455">
        <f t="shared" ca="1" si="176"/>
        <v>-16153286551.080755</v>
      </c>
      <c r="L4079" s="455">
        <f t="shared" ca="1" si="177"/>
        <v>-3892942058810.4619</v>
      </c>
      <c r="M4079" s="471">
        <f t="shared" si="179"/>
        <v>0.05</v>
      </c>
      <c r="N4079" s="475">
        <f t="shared" si="180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78"/>
        <v>-3892942058810.4619</v>
      </c>
      <c r="J4080" s="455">
        <f t="array" ref="J4080">IFERROR(INDEX('Retirement Calculator'!J:J,MATCH('Isaac 401k'!N4080,'Retirement Calculator'!A:A,0),0),0)</f>
        <v>0</v>
      </c>
      <c r="K4080" s="455">
        <f t="shared" ca="1" si="176"/>
        <v>-16220591911.710258</v>
      </c>
      <c r="L4080" s="455">
        <f t="shared" ca="1" si="177"/>
        <v>-3909162650722.1724</v>
      </c>
      <c r="M4080" s="471">
        <f t="shared" si="179"/>
        <v>0.05</v>
      </c>
      <c r="N4080" s="475">
        <f t="shared" si="180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78"/>
        <v>-3909162650722.1724</v>
      </c>
      <c r="J4081" s="455">
        <f t="array" ref="J4081">IFERROR(INDEX('Retirement Calculator'!J:J,MATCH('Isaac 401k'!N4081,'Retirement Calculator'!A:A,0),0),0)</f>
        <v>0</v>
      </c>
      <c r="K4081" s="455">
        <f t="shared" ca="1" si="176"/>
        <v>-16288177711.342382</v>
      </c>
      <c r="L4081" s="455">
        <f t="shared" ca="1" si="177"/>
        <v>-3925450828433.5146</v>
      </c>
      <c r="M4081" s="471">
        <f t="shared" si="179"/>
        <v>0.05</v>
      </c>
      <c r="N4081" s="475">
        <f t="shared" si="180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78"/>
        <v>-3925450828433.5146</v>
      </c>
      <c r="J4082" s="455">
        <f t="array" ref="J4082">IFERROR(INDEX('Retirement Calculator'!J:J,MATCH('Isaac 401k'!N4082,'Retirement Calculator'!A:A,0),0),0)</f>
        <v>0</v>
      </c>
      <c r="K4082" s="455">
        <f t="shared" ca="1" si="176"/>
        <v>-16356045118.472977</v>
      </c>
      <c r="L4082" s="455">
        <f t="shared" ca="1" si="177"/>
        <v>-3941806873551.9878</v>
      </c>
      <c r="M4082" s="471">
        <f t="shared" si="179"/>
        <v>0.05</v>
      </c>
      <c r="N4082" s="475">
        <f t="shared" si="180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78"/>
        <v>-3941806873551.9878</v>
      </c>
      <c r="J4083" s="455">
        <f t="array" ref="J4083">IFERROR(INDEX('Retirement Calculator'!J:J,MATCH('Isaac 401k'!N4083,'Retirement Calculator'!A:A,0),0),0)</f>
        <v>0</v>
      </c>
      <c r="K4083" s="455">
        <f t="shared" ca="1" si="176"/>
        <v>-16424195306.466618</v>
      </c>
      <c r="L4083" s="455">
        <f t="shared" ca="1" si="177"/>
        <v>-3958231068858.4546</v>
      </c>
      <c r="M4083" s="471">
        <f t="shared" si="179"/>
        <v>0.05</v>
      </c>
      <c r="N4083" s="475">
        <f t="shared" si="180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78"/>
        <v>-3958231068858.4546</v>
      </c>
      <c r="J4084" s="455">
        <f t="array" ref="J4084">IFERROR(INDEX('Retirement Calculator'!J:J,MATCH('Isaac 401k'!N4084,'Retirement Calculator'!A:A,0),0),0)</f>
        <v>0</v>
      </c>
      <c r="K4084" s="455">
        <f t="shared" ca="1" si="176"/>
        <v>-16492629453.576895</v>
      </c>
      <c r="L4084" s="455">
        <f t="shared" ca="1" si="177"/>
        <v>-3974723698312.0313</v>
      </c>
      <c r="M4084" s="471">
        <f t="shared" si="179"/>
        <v>0.05</v>
      </c>
      <c r="N4084" s="475">
        <f t="shared" si="180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78"/>
        <v>-3974723698312.0313</v>
      </c>
      <c r="J4085" s="455">
        <f t="array" ref="J4085">IFERROR(INDEX('Retirement Calculator'!J:J,MATCH('Isaac 401k'!N4085,'Retirement Calculator'!A:A,0),0),0)</f>
        <v>0</v>
      </c>
      <c r="K4085" s="455">
        <f t="shared" ca="1" si="176"/>
        <v>-16561348742.966797</v>
      </c>
      <c r="L4085" s="455">
        <f t="shared" ca="1" si="177"/>
        <v>-3991285047054.998</v>
      </c>
      <c r="M4085" s="471">
        <f t="shared" si="179"/>
        <v>0.05</v>
      </c>
      <c r="N4085" s="475">
        <f t="shared" si="180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78"/>
        <v>-3991285047054.998</v>
      </c>
      <c r="J4086" s="455">
        <f t="array" ref="J4086">IFERROR(INDEX('Retirement Calculator'!J:J,MATCH('Isaac 401k'!N4086,'Retirement Calculator'!A:A,0),0),0)</f>
        <v>0</v>
      </c>
      <c r="K4086" s="455">
        <f t="shared" ca="1" si="176"/>
        <v>-16630354362.729158</v>
      </c>
      <c r="L4086" s="455">
        <f t="shared" ca="1" si="177"/>
        <v>-4007915401417.7271</v>
      </c>
      <c r="M4086" s="471">
        <f t="shared" si="179"/>
        <v>0.05</v>
      </c>
      <c r="N4086" s="475">
        <f t="shared" si="180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78"/>
        <v>-4007915401417.7271</v>
      </c>
      <c r="J4087" s="455">
        <f t="array" ref="J4087">IFERROR(INDEX('Retirement Calculator'!J:J,MATCH('Isaac 401k'!N4087,'Retirement Calculator'!A:A,0),0),0)</f>
        <v>0</v>
      </c>
      <c r="K4087" s="455">
        <f t="shared" ca="1" si="176"/>
        <v>-16699647505.907194</v>
      </c>
      <c r="L4087" s="455">
        <f t="shared" ca="1" si="177"/>
        <v>-4024615048923.6343</v>
      </c>
      <c r="M4087" s="471">
        <f t="shared" si="179"/>
        <v>0.05</v>
      </c>
      <c r="N4087" s="475">
        <f t="shared" si="180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78"/>
        <v>-4024615048923.6343</v>
      </c>
      <c r="J4088" s="455">
        <f t="array" ref="J4088">IFERROR(INDEX('Retirement Calculator'!J:J,MATCH('Isaac 401k'!N4088,'Retirement Calculator'!A:A,0),0),0)</f>
        <v>0</v>
      </c>
      <c r="K4088" s="455">
        <f t="shared" ref="K4088:K4342" ca="1" si="181">IPMT(M4088/12,1,12,-I4088+J4088,,0)</f>
        <v>-16769229370.515142</v>
      </c>
      <c r="L4088" s="455">
        <f t="shared" ref="L4088:L4342" ca="1" si="182">I4088-J4088+K4088</f>
        <v>-4041384278294.1494</v>
      </c>
      <c r="M4088" s="471">
        <f t="shared" si="179"/>
        <v>0.05</v>
      </c>
      <c r="N4088" s="475">
        <f t="shared" si="180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83">L4088</f>
        <v>-4041384278294.1494</v>
      </c>
      <c r="J4089" s="455">
        <f t="array" ref="J4089">IFERROR(INDEX('Retirement Calculator'!J:J,MATCH('Isaac 401k'!N4089,'Retirement Calculator'!A:A,0),0),0)</f>
        <v>0</v>
      </c>
      <c r="K4089" s="455">
        <f t="shared" ca="1" si="181"/>
        <v>-16839101159.558954</v>
      </c>
      <c r="L4089" s="455">
        <f t="shared" ca="1" si="182"/>
        <v>-4058223379453.7085</v>
      </c>
      <c r="M4089" s="471">
        <f t="shared" ref="M4089:M4343" si="184">M4088</f>
        <v>0.05</v>
      </c>
      <c r="N4089" s="475">
        <f t="shared" ref="N4089:N4343" si="185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83"/>
        <v>-4058223379453.7085</v>
      </c>
      <c r="J4090" s="455">
        <f t="array" ref="J4090">IFERROR(INDEX('Retirement Calculator'!J:J,MATCH('Isaac 401k'!N4090,'Retirement Calculator'!A:A,0),0),0)</f>
        <v>0</v>
      </c>
      <c r="K4090" s="455">
        <f t="shared" ca="1" si="181"/>
        <v>-16909264081.057121</v>
      </c>
      <c r="L4090" s="455">
        <f t="shared" ca="1" si="182"/>
        <v>-4075132643534.7656</v>
      </c>
      <c r="M4090" s="471">
        <f t="shared" si="184"/>
        <v>0.05</v>
      </c>
      <c r="N4090" s="475">
        <f t="shared" si="185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83"/>
        <v>-4075132643534.7656</v>
      </c>
      <c r="J4091" s="455">
        <f t="array" ref="J4091">IFERROR(INDEX('Retirement Calculator'!J:J,MATCH('Isaac 401k'!N4091,'Retirement Calculator'!A:A,0),0),0)</f>
        <v>0</v>
      </c>
      <c r="K4091" s="455">
        <f t="shared" ca="1" si="181"/>
        <v>-16979719348.061523</v>
      </c>
      <c r="L4091" s="455">
        <f t="shared" ca="1" si="182"/>
        <v>-4092112362882.8271</v>
      </c>
      <c r="M4091" s="471">
        <f t="shared" si="184"/>
        <v>0.05</v>
      </c>
      <c r="N4091" s="475">
        <f t="shared" si="185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83"/>
        <v>-4092112362882.8271</v>
      </c>
      <c r="J4092" s="455">
        <f t="array" ref="J4092">IFERROR(INDEX('Retirement Calculator'!J:J,MATCH('Isaac 401k'!N4092,'Retirement Calculator'!A:A,0),0),0)</f>
        <v>0</v>
      </c>
      <c r="K4092" s="455">
        <f t="shared" ca="1" si="181"/>
        <v>-17050468178.678446</v>
      </c>
      <c r="L4092" s="455">
        <f t="shared" ca="1" si="182"/>
        <v>-4109162831061.5054</v>
      </c>
      <c r="M4092" s="471">
        <f t="shared" si="184"/>
        <v>0.05</v>
      </c>
      <c r="N4092" s="475">
        <f t="shared" si="185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83"/>
        <v>-4109162831061.5054</v>
      </c>
      <c r="J4093" s="455">
        <f t="array" ref="J4093">IFERROR(INDEX('Retirement Calculator'!J:J,MATCH('Isaac 401k'!N4093,'Retirement Calculator'!A:A,0),0),0)</f>
        <v>0</v>
      </c>
      <c r="K4093" s="455">
        <f t="shared" ca="1" si="181"/>
        <v>-17121511796.089607</v>
      </c>
      <c r="L4093" s="455">
        <f t="shared" ca="1" si="182"/>
        <v>-4126284342857.5952</v>
      </c>
      <c r="M4093" s="471">
        <f t="shared" si="184"/>
        <v>0.05</v>
      </c>
      <c r="N4093" s="475">
        <f t="shared" si="185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83"/>
        <v>-4126284342857.5952</v>
      </c>
      <c r="J4094" s="455">
        <f t="array" ref="J4094">IFERROR(INDEX('Retirement Calculator'!J:J,MATCH('Isaac 401k'!N4094,'Retirement Calculator'!A:A,0),0),0)</f>
        <v>0</v>
      </c>
      <c r="K4094" s="455">
        <f t="shared" ca="1" si="181"/>
        <v>-17192851428.573315</v>
      </c>
      <c r="L4094" s="455">
        <f t="shared" ca="1" si="182"/>
        <v>-4143477194286.1685</v>
      </c>
      <c r="M4094" s="471">
        <f t="shared" si="184"/>
        <v>0.05</v>
      </c>
      <c r="N4094" s="475">
        <f t="shared" si="185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83"/>
        <v>-4143477194286.1685</v>
      </c>
      <c r="J4095" s="455">
        <f t="array" ref="J4095">IFERROR(INDEX('Retirement Calculator'!J:J,MATCH('Isaac 401k'!N4095,'Retirement Calculator'!A:A,0),0),0)</f>
        <v>0</v>
      </c>
      <c r="K4095" s="455">
        <f t="shared" ca="1" si="181"/>
        <v>-17264488309.525703</v>
      </c>
      <c r="L4095" s="455">
        <f t="shared" ca="1" si="182"/>
        <v>-4160741682595.6943</v>
      </c>
      <c r="M4095" s="471">
        <f t="shared" si="184"/>
        <v>0.05</v>
      </c>
      <c r="N4095" s="475">
        <f t="shared" si="185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83"/>
        <v>-4160741682595.6943</v>
      </c>
      <c r="J4096" s="455">
        <f t="array" ref="J4096">IFERROR(INDEX('Retirement Calculator'!J:J,MATCH('Isaac 401k'!N4096,'Retirement Calculator'!A:A,0),0),0)</f>
        <v>0</v>
      </c>
      <c r="K4096" s="455">
        <f t="shared" ca="1" si="181"/>
        <v>-17336423677.482056</v>
      </c>
      <c r="L4096" s="455">
        <f t="shared" ca="1" si="182"/>
        <v>-4178078106273.1763</v>
      </c>
      <c r="M4096" s="471">
        <f t="shared" si="184"/>
        <v>0.05</v>
      </c>
      <c r="N4096" s="475">
        <f t="shared" si="185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83"/>
        <v>-4178078106273.1763</v>
      </c>
      <c r="J4097" s="455">
        <f t="array" ref="J4097">IFERROR(INDEX('Retirement Calculator'!J:J,MATCH('Isaac 401k'!N4097,'Retirement Calculator'!A:A,0),0),0)</f>
        <v>0</v>
      </c>
      <c r="K4097" s="455">
        <f t="shared" ca="1" si="181"/>
        <v>-17408658776.138233</v>
      </c>
      <c r="L4097" s="455">
        <f t="shared" ca="1" si="182"/>
        <v>-4195486765049.3145</v>
      </c>
      <c r="M4097" s="471">
        <f t="shared" si="184"/>
        <v>0.05</v>
      </c>
      <c r="N4097" s="475">
        <f t="shared" si="185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83"/>
        <v>-4195486765049.3145</v>
      </c>
      <c r="J4098" s="455">
        <f t="array" ref="J4098">IFERROR(INDEX('Retirement Calculator'!J:J,MATCH('Isaac 401k'!N4098,'Retirement Calculator'!A:A,0),0),0)</f>
        <v>0</v>
      </c>
      <c r="K4098" s="455">
        <f t="shared" ca="1" si="181"/>
        <v>-17481194854.372143</v>
      </c>
      <c r="L4098" s="455">
        <f t="shared" ca="1" si="182"/>
        <v>-4212967959903.6865</v>
      </c>
      <c r="M4098" s="471">
        <f t="shared" si="184"/>
        <v>0.05</v>
      </c>
      <c r="N4098" s="475">
        <f t="shared" si="185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83"/>
        <v>-4212967959903.6865</v>
      </c>
      <c r="J4099" s="455">
        <f t="array" ref="J4099">IFERROR(INDEX('Retirement Calculator'!J:J,MATCH('Isaac 401k'!N4099,'Retirement Calculator'!A:A,0),0),0)</f>
        <v>0</v>
      </c>
      <c r="K4099" s="455">
        <f t="shared" ca="1" si="181"/>
        <v>-17554033166.265362</v>
      </c>
      <c r="L4099" s="455">
        <f t="shared" ca="1" si="182"/>
        <v>-4230521993069.9517</v>
      </c>
      <c r="M4099" s="471">
        <f t="shared" si="184"/>
        <v>0.05</v>
      </c>
      <c r="N4099" s="475">
        <f t="shared" si="185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83"/>
        <v>-4230521993069.9517</v>
      </c>
      <c r="J4100" s="455">
        <f t="array" ref="J4100">IFERROR(INDEX('Retirement Calculator'!J:J,MATCH('Isaac 401k'!N4100,'Retirement Calculator'!A:A,0),0),0)</f>
        <v>0</v>
      </c>
      <c r="K4100" s="455">
        <f t="shared" ca="1" si="181"/>
        <v>-17627174971.124802</v>
      </c>
      <c r="L4100" s="455">
        <f t="shared" ca="1" si="182"/>
        <v>-4248149168041.0767</v>
      </c>
      <c r="M4100" s="471">
        <f t="shared" si="184"/>
        <v>0.05</v>
      </c>
      <c r="N4100" s="475">
        <f t="shared" si="185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83"/>
        <v>-4248149168041.0767</v>
      </c>
      <c r="J4101" s="455">
        <f t="array" ref="J4101">IFERROR(INDEX('Retirement Calculator'!J:J,MATCH('Isaac 401k'!N4101,'Retirement Calculator'!A:A,0),0),0)</f>
        <v>0</v>
      </c>
      <c r="K4101" s="455">
        <f t="shared" ca="1" si="181"/>
        <v>-17700621533.504482</v>
      </c>
      <c r="L4101" s="455">
        <f t="shared" ca="1" si="182"/>
        <v>-4265849789574.5811</v>
      </c>
      <c r="M4101" s="471">
        <f t="shared" si="184"/>
        <v>0.05</v>
      </c>
      <c r="N4101" s="475">
        <f t="shared" si="185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83"/>
        <v>-4265849789574.5811</v>
      </c>
      <c r="J4102" s="455">
        <f t="array" ref="J4102">IFERROR(INDEX('Retirement Calculator'!J:J,MATCH('Isaac 401k'!N4102,'Retirement Calculator'!A:A,0),0),0)</f>
        <v>0</v>
      </c>
      <c r="K4102" s="455">
        <f t="shared" ca="1" si="181"/>
        <v>-17774374123.227417</v>
      </c>
      <c r="L4102" s="455">
        <f t="shared" ca="1" si="182"/>
        <v>-4283624163697.8086</v>
      </c>
      <c r="M4102" s="471">
        <f t="shared" si="184"/>
        <v>0.05</v>
      </c>
      <c r="N4102" s="475">
        <f t="shared" si="185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83"/>
        <v>-4283624163697.8086</v>
      </c>
      <c r="J4103" s="455">
        <f t="array" ref="J4103">IFERROR(INDEX('Retirement Calculator'!J:J,MATCH('Isaac 401k'!N4103,'Retirement Calculator'!A:A,0),0),0)</f>
        <v>0</v>
      </c>
      <c r="K4103" s="455">
        <f t="shared" ca="1" si="181"/>
        <v>-17848434015.407539</v>
      </c>
      <c r="L4103" s="455">
        <f t="shared" ca="1" si="182"/>
        <v>-4301472597713.2163</v>
      </c>
      <c r="M4103" s="471">
        <f t="shared" si="184"/>
        <v>0.05</v>
      </c>
      <c r="N4103" s="475">
        <f t="shared" si="185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83"/>
        <v>-4301472597713.2163</v>
      </c>
      <c r="J4104" s="455">
        <f t="array" ref="J4104">IFERROR(INDEX('Retirement Calculator'!J:J,MATCH('Isaac 401k'!N4104,'Retirement Calculator'!A:A,0),0),0)</f>
        <v>0</v>
      </c>
      <c r="K4104" s="455">
        <f t="shared" ca="1" si="181"/>
        <v>-17922802490.471733</v>
      </c>
      <c r="L4104" s="455">
        <f t="shared" ca="1" si="182"/>
        <v>-4319395400203.688</v>
      </c>
      <c r="M4104" s="471">
        <f t="shared" si="184"/>
        <v>0.05</v>
      </c>
      <c r="N4104" s="475">
        <f t="shared" si="185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83"/>
        <v>-4319395400203.688</v>
      </c>
      <c r="J4105" s="455">
        <f t="array" ref="J4105">IFERROR(INDEX('Retirement Calculator'!J:J,MATCH('Isaac 401k'!N4105,'Retirement Calculator'!A:A,0),0),0)</f>
        <v>0</v>
      </c>
      <c r="K4105" s="455">
        <f t="shared" ca="1" si="181"/>
        <v>-17997480834.182034</v>
      </c>
      <c r="L4105" s="455">
        <f t="shared" ca="1" si="182"/>
        <v>-4337392881037.8701</v>
      </c>
      <c r="M4105" s="471">
        <f t="shared" si="184"/>
        <v>0.05</v>
      </c>
      <c r="N4105" s="475">
        <f t="shared" si="185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83"/>
        <v>-4337392881037.8701</v>
      </c>
      <c r="J4106" s="455">
        <f t="array" ref="J4106">IFERROR(INDEX('Retirement Calculator'!J:J,MATCH('Isaac 401k'!N4106,'Retirement Calculator'!A:A,0),0),0)</f>
        <v>0</v>
      </c>
      <c r="K4106" s="455">
        <f t="shared" ca="1" si="181"/>
        <v>-18072470337.657791</v>
      </c>
      <c r="L4106" s="455">
        <f t="shared" ca="1" si="182"/>
        <v>-4355465351375.5278</v>
      </c>
      <c r="M4106" s="471">
        <f t="shared" si="184"/>
        <v>0.05</v>
      </c>
      <c r="N4106" s="475">
        <f t="shared" si="185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83"/>
        <v>-4355465351375.5278</v>
      </c>
      <c r="J4107" s="455">
        <f t="array" ref="J4107">IFERROR(INDEX('Retirement Calculator'!J:J,MATCH('Isaac 401k'!N4107,'Retirement Calculator'!A:A,0),0),0)</f>
        <v>0</v>
      </c>
      <c r="K4107" s="455">
        <f t="shared" ca="1" si="181"/>
        <v>-18147772297.398033</v>
      </c>
      <c r="L4107" s="455">
        <f t="shared" ca="1" si="182"/>
        <v>-4373613123672.9258</v>
      </c>
      <c r="M4107" s="471">
        <f t="shared" si="184"/>
        <v>0.05</v>
      </c>
      <c r="N4107" s="475">
        <f t="shared" si="185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83"/>
        <v>-4373613123672.9258</v>
      </c>
      <c r="J4108" s="455">
        <f t="array" ref="J4108">IFERROR(INDEX('Retirement Calculator'!J:J,MATCH('Isaac 401k'!N4108,'Retirement Calculator'!A:A,0),0),0)</f>
        <v>0</v>
      </c>
      <c r="K4108" s="455">
        <f t="shared" ca="1" si="181"/>
        <v>-18223388015.30386</v>
      </c>
      <c r="L4108" s="455">
        <f t="shared" ca="1" si="182"/>
        <v>-4391836511688.2295</v>
      </c>
      <c r="M4108" s="471">
        <f t="shared" si="184"/>
        <v>0.05</v>
      </c>
      <c r="N4108" s="475">
        <f t="shared" si="185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83"/>
        <v>-4391836511688.2295</v>
      </c>
      <c r="J4109" s="455">
        <f t="array" ref="J4109">IFERROR(INDEX('Retirement Calculator'!J:J,MATCH('Isaac 401k'!N4109,'Retirement Calculator'!A:A,0),0),0)</f>
        <v>0</v>
      </c>
      <c r="K4109" s="455">
        <f t="shared" ca="1" si="181"/>
        <v>-18299318798.700954</v>
      </c>
      <c r="L4109" s="455">
        <f t="shared" ca="1" si="182"/>
        <v>-4410135830486.9307</v>
      </c>
      <c r="M4109" s="471">
        <f t="shared" si="184"/>
        <v>0.05</v>
      </c>
      <c r="N4109" s="475">
        <f t="shared" si="185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83"/>
        <v>-4410135830486.9307</v>
      </c>
      <c r="J4110" s="455">
        <f t="array" ref="J4110">IFERROR(INDEX('Retirement Calculator'!J:J,MATCH('Isaac 401k'!N4110,'Retirement Calculator'!A:A,0),0),0)</f>
        <v>0</v>
      </c>
      <c r="K4110" s="455">
        <f t="shared" ca="1" si="181"/>
        <v>-18375565960.362209</v>
      </c>
      <c r="L4110" s="455">
        <f t="shared" ca="1" si="182"/>
        <v>-4428511396447.293</v>
      </c>
      <c r="M4110" s="471">
        <f t="shared" si="184"/>
        <v>0.05</v>
      </c>
      <c r="N4110" s="475">
        <f t="shared" si="185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83"/>
        <v>-4428511396447.293</v>
      </c>
      <c r="J4111" s="455">
        <f t="array" ref="J4111">IFERROR(INDEX('Retirement Calculator'!J:J,MATCH('Isaac 401k'!N4111,'Retirement Calculator'!A:A,0),0),0)</f>
        <v>0</v>
      </c>
      <c r="K4111" s="455">
        <f t="shared" ca="1" si="181"/>
        <v>-18452130818.530388</v>
      </c>
      <c r="L4111" s="455">
        <f t="shared" ca="1" si="182"/>
        <v>-4446963527265.8232</v>
      </c>
      <c r="M4111" s="471">
        <f t="shared" si="184"/>
        <v>0.05</v>
      </c>
      <c r="N4111" s="475">
        <f t="shared" si="185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83"/>
        <v>-4446963527265.8232</v>
      </c>
      <c r="J4112" s="455">
        <f t="array" ref="J4112">IFERROR(INDEX('Retirement Calculator'!J:J,MATCH('Isaac 401k'!N4112,'Retirement Calculator'!A:A,0),0),0)</f>
        <v>0</v>
      </c>
      <c r="K4112" s="455">
        <f t="shared" ca="1" si="181"/>
        <v>-18529014696.940929</v>
      </c>
      <c r="L4112" s="455">
        <f t="shared" ca="1" si="182"/>
        <v>-4465492541962.7646</v>
      </c>
      <c r="M4112" s="471">
        <f t="shared" si="184"/>
        <v>0.05</v>
      </c>
      <c r="N4112" s="475">
        <f t="shared" si="185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83"/>
        <v>-4465492541962.7646</v>
      </c>
      <c r="J4113" s="455">
        <f t="array" ref="J4113">IFERROR(INDEX('Retirement Calculator'!J:J,MATCH('Isaac 401k'!N4113,'Retirement Calculator'!A:A,0),0),0)</f>
        <v>0</v>
      </c>
      <c r="K4113" s="455">
        <f t="shared" ca="1" si="181"/>
        <v>-18606218924.844852</v>
      </c>
      <c r="L4113" s="455">
        <f t="shared" ca="1" si="182"/>
        <v>-4484098760887.6094</v>
      </c>
      <c r="M4113" s="471">
        <f t="shared" si="184"/>
        <v>0.05</v>
      </c>
      <c r="N4113" s="475">
        <f t="shared" si="185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83"/>
        <v>-4484098760887.6094</v>
      </c>
      <c r="J4114" s="455">
        <f t="array" ref="J4114">IFERROR(INDEX('Retirement Calculator'!J:J,MATCH('Isaac 401k'!N4114,'Retirement Calculator'!A:A,0),0),0)</f>
        <v>0</v>
      </c>
      <c r="K4114" s="455">
        <f t="shared" ca="1" si="181"/>
        <v>-18683744837.031704</v>
      </c>
      <c r="L4114" s="455">
        <f t="shared" ca="1" si="182"/>
        <v>-4502782505724.6406</v>
      </c>
      <c r="M4114" s="471">
        <f t="shared" si="184"/>
        <v>0.05</v>
      </c>
      <c r="N4114" s="475">
        <f t="shared" si="185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83"/>
        <v>-4502782505724.6406</v>
      </c>
      <c r="J4115" s="455">
        <f t="array" ref="J4115">IFERROR(INDEX('Retirement Calculator'!J:J,MATCH('Isaac 401k'!N4115,'Retirement Calculator'!A:A,0),0),0)</f>
        <v>0</v>
      </c>
      <c r="K4115" s="455">
        <f t="shared" ca="1" si="181"/>
        <v>-18761593773.852669</v>
      </c>
      <c r="L4115" s="455">
        <f t="shared" ca="1" si="182"/>
        <v>-4521544099498.4932</v>
      </c>
      <c r="M4115" s="471">
        <f t="shared" si="184"/>
        <v>0.05</v>
      </c>
      <c r="N4115" s="475">
        <f t="shared" si="185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83"/>
        <v>-4521544099498.4932</v>
      </c>
      <c r="J4116" s="455">
        <f t="array" ref="J4116">IFERROR(INDEX('Retirement Calculator'!J:J,MATCH('Isaac 401k'!N4116,'Retirement Calculator'!A:A,0),0),0)</f>
        <v>0</v>
      </c>
      <c r="K4116" s="455">
        <f t="shared" ca="1" si="181"/>
        <v>-18839767081.243721</v>
      </c>
      <c r="L4116" s="455">
        <f t="shared" ca="1" si="182"/>
        <v>-4540383866579.7373</v>
      </c>
      <c r="M4116" s="471">
        <f t="shared" si="184"/>
        <v>0.05</v>
      </c>
      <c r="N4116" s="475">
        <f t="shared" si="185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83"/>
        <v>-4540383866579.7373</v>
      </c>
      <c r="J4117" s="455">
        <f t="array" ref="J4117">IFERROR(INDEX('Retirement Calculator'!J:J,MATCH('Isaac 401k'!N4117,'Retirement Calculator'!A:A,0),0),0)</f>
        <v>0</v>
      </c>
      <c r="K4117" s="455">
        <f t="shared" ca="1" si="181"/>
        <v>-18918266110.748905</v>
      </c>
      <c r="L4117" s="455">
        <f t="shared" ca="1" si="182"/>
        <v>-4559302132690.4863</v>
      </c>
      <c r="M4117" s="471">
        <f t="shared" si="184"/>
        <v>0.05</v>
      </c>
      <c r="N4117" s="475">
        <f t="shared" si="185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83"/>
        <v>-4559302132690.4863</v>
      </c>
      <c r="J4118" s="455">
        <f t="array" ref="J4118">IFERROR(INDEX('Retirement Calculator'!J:J,MATCH('Isaac 401k'!N4118,'Retirement Calculator'!A:A,0),0),0)</f>
        <v>0</v>
      </c>
      <c r="K4118" s="455">
        <f t="shared" ca="1" si="181"/>
        <v>-18997092219.543694</v>
      </c>
      <c r="L4118" s="455">
        <f t="shared" ca="1" si="182"/>
        <v>-4578299224910.0303</v>
      </c>
      <c r="M4118" s="471">
        <f t="shared" si="184"/>
        <v>0.05</v>
      </c>
      <c r="N4118" s="475">
        <f t="shared" si="185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83"/>
        <v>-4578299224910.0303</v>
      </c>
      <c r="J4119" s="455">
        <f t="array" ref="J4119">IFERROR(INDEX('Retirement Calculator'!J:J,MATCH('Isaac 401k'!N4119,'Retirement Calculator'!A:A,0),0),0)</f>
        <v>0</v>
      </c>
      <c r="K4119" s="455">
        <f t="shared" ca="1" si="181"/>
        <v>-19076246770.458458</v>
      </c>
      <c r="L4119" s="455">
        <f t="shared" ca="1" si="182"/>
        <v>-4597375471680.4883</v>
      </c>
      <c r="M4119" s="471">
        <f t="shared" si="184"/>
        <v>0.05</v>
      </c>
      <c r="N4119" s="475">
        <f t="shared" si="185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83"/>
        <v>-4597375471680.4883</v>
      </c>
      <c r="J4120" s="455">
        <f t="array" ref="J4120">IFERROR(INDEX('Retirement Calculator'!J:J,MATCH('Isaac 401k'!N4120,'Retirement Calculator'!A:A,0),0),0)</f>
        <v>0</v>
      </c>
      <c r="K4120" s="455">
        <f t="shared" ca="1" si="181"/>
        <v>-19155731132.002033</v>
      </c>
      <c r="L4120" s="455">
        <f t="shared" ca="1" si="182"/>
        <v>-4616531202812.4902</v>
      </c>
      <c r="M4120" s="471">
        <f t="shared" si="184"/>
        <v>0.05</v>
      </c>
      <c r="N4120" s="475">
        <f t="shared" si="185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83"/>
        <v>-4616531202812.4902</v>
      </c>
      <c r="J4121" s="455">
        <f t="array" ref="J4121">IFERROR(INDEX('Retirement Calculator'!J:J,MATCH('Isaac 401k'!N4121,'Retirement Calculator'!A:A,0),0),0)</f>
        <v>0</v>
      </c>
      <c r="K4121" s="455">
        <f t="shared" ca="1" si="181"/>
        <v>-19235546678.385376</v>
      </c>
      <c r="L4121" s="455">
        <f t="shared" ca="1" si="182"/>
        <v>-4635766749490.876</v>
      </c>
      <c r="M4121" s="471">
        <f t="shared" si="184"/>
        <v>0.05</v>
      </c>
      <c r="N4121" s="475">
        <f t="shared" si="185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83"/>
        <v>-4635766749490.876</v>
      </c>
      <c r="J4122" s="455">
        <f t="array" ref="J4122">IFERROR(INDEX('Retirement Calculator'!J:J,MATCH('Isaac 401k'!N4122,'Retirement Calculator'!A:A,0),0),0)</f>
        <v>0</v>
      </c>
      <c r="K4122" s="455">
        <f t="shared" ca="1" si="181"/>
        <v>-19315694789.545315</v>
      </c>
      <c r="L4122" s="455">
        <f t="shared" ca="1" si="182"/>
        <v>-4655082444280.4209</v>
      </c>
      <c r="M4122" s="471">
        <f t="shared" si="184"/>
        <v>0.05</v>
      </c>
      <c r="N4122" s="475">
        <f t="shared" si="185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83"/>
        <v>-4655082444280.4209</v>
      </c>
      <c r="J4123" s="455">
        <f t="array" ref="J4123">IFERROR(INDEX('Retirement Calculator'!J:J,MATCH('Isaac 401k'!N4123,'Retirement Calculator'!A:A,0),0),0)</f>
        <v>0</v>
      </c>
      <c r="K4123" s="455">
        <f t="shared" ca="1" si="181"/>
        <v>-19396176851.168419</v>
      </c>
      <c r="L4123" s="455">
        <f t="shared" ca="1" si="182"/>
        <v>-4674478621131.5889</v>
      </c>
      <c r="M4123" s="471">
        <f t="shared" si="184"/>
        <v>0.05</v>
      </c>
      <c r="N4123" s="475">
        <f t="shared" si="185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83"/>
        <v>-4674478621131.5889</v>
      </c>
      <c r="J4124" s="455">
        <f t="array" ref="J4124">IFERROR(INDEX('Retirement Calculator'!J:J,MATCH('Isaac 401k'!N4124,'Retirement Calculator'!A:A,0),0),0)</f>
        <v>0</v>
      </c>
      <c r="K4124" s="455">
        <f t="shared" ca="1" si="181"/>
        <v>-19476994254.714954</v>
      </c>
      <c r="L4124" s="455">
        <f t="shared" ca="1" si="182"/>
        <v>-4693955615386.3037</v>
      </c>
      <c r="M4124" s="471">
        <f t="shared" si="184"/>
        <v>0.05</v>
      </c>
      <c r="N4124" s="475">
        <f t="shared" si="185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83"/>
        <v>-4693955615386.3037</v>
      </c>
      <c r="J4125" s="455">
        <f t="array" ref="J4125">IFERROR(INDEX('Retirement Calculator'!J:J,MATCH('Isaac 401k'!N4125,'Retirement Calculator'!A:A,0),0),0)</f>
        <v>0</v>
      </c>
      <c r="K4125" s="455">
        <f t="shared" ca="1" si="181"/>
        <v>-19558148397.442932</v>
      </c>
      <c r="L4125" s="455">
        <f t="shared" ca="1" si="182"/>
        <v>-4713513763783.7471</v>
      </c>
      <c r="M4125" s="471">
        <f t="shared" si="184"/>
        <v>0.05</v>
      </c>
      <c r="N4125" s="475">
        <f t="shared" si="185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83"/>
        <v>-4713513763783.7471</v>
      </c>
      <c r="J4126" s="455">
        <f t="array" ref="J4126">IFERROR(INDEX('Retirement Calculator'!J:J,MATCH('Isaac 401k'!N4126,'Retirement Calculator'!A:A,0),0),0)</f>
        <v>0</v>
      </c>
      <c r="K4126" s="455">
        <f t="shared" ca="1" si="181"/>
        <v>-19639640682.432278</v>
      </c>
      <c r="L4126" s="455">
        <f t="shared" ca="1" si="182"/>
        <v>-4733153404466.1797</v>
      </c>
      <c r="M4126" s="471">
        <f t="shared" si="184"/>
        <v>0.05</v>
      </c>
      <c r="N4126" s="475">
        <f t="shared" si="185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83"/>
        <v>-4733153404466.1797</v>
      </c>
      <c r="J4127" s="455">
        <f t="array" ref="J4127">IFERROR(INDEX('Retirement Calculator'!J:J,MATCH('Isaac 401k'!N4127,'Retirement Calculator'!A:A,0),0),0)</f>
        <v>0</v>
      </c>
      <c r="K4127" s="455">
        <f t="shared" ca="1" si="181"/>
        <v>-19721472518.609081</v>
      </c>
      <c r="L4127" s="455">
        <f t="shared" ca="1" si="182"/>
        <v>-4752874876984.7891</v>
      </c>
      <c r="M4127" s="471">
        <f t="shared" si="184"/>
        <v>0.05</v>
      </c>
      <c r="N4127" s="475">
        <f t="shared" si="185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83"/>
        <v>-4752874876984.7891</v>
      </c>
      <c r="J4128" s="455">
        <f t="array" ref="J4128">IFERROR(INDEX('Retirement Calculator'!J:J,MATCH('Isaac 401k'!N4128,'Retirement Calculator'!A:A,0),0),0)</f>
        <v>0</v>
      </c>
      <c r="K4128" s="455">
        <f t="shared" ca="1" si="181"/>
        <v>-19803645320.769955</v>
      </c>
      <c r="L4128" s="455">
        <f t="shared" ca="1" si="182"/>
        <v>-4772678522305.5586</v>
      </c>
      <c r="M4128" s="471">
        <f t="shared" si="184"/>
        <v>0.05</v>
      </c>
      <c r="N4128" s="475">
        <f t="shared" si="185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83"/>
        <v>-4772678522305.5586</v>
      </c>
      <c r="J4129" s="455">
        <f t="array" ref="J4129">IFERROR(INDEX('Retirement Calculator'!J:J,MATCH('Isaac 401k'!N4129,'Retirement Calculator'!A:A,0),0),0)</f>
        <v>0</v>
      </c>
      <c r="K4129" s="455">
        <f t="shared" ca="1" si="181"/>
        <v>-19886160509.606495</v>
      </c>
      <c r="L4129" s="455">
        <f t="shared" ca="1" si="182"/>
        <v>-4792564682815.165</v>
      </c>
      <c r="M4129" s="471">
        <f t="shared" si="184"/>
        <v>0.05</v>
      </c>
      <c r="N4129" s="475">
        <f t="shared" si="185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83"/>
        <v>-4792564682815.165</v>
      </c>
      <c r="J4130" s="455">
        <f t="array" ref="J4130">IFERROR(INDEX('Retirement Calculator'!J:J,MATCH('Isaac 401k'!N4130,'Retirement Calculator'!A:A,0),0),0)</f>
        <v>0</v>
      </c>
      <c r="K4130" s="455">
        <f t="shared" ca="1" si="181"/>
        <v>-19969019511.729855</v>
      </c>
      <c r="L4130" s="455">
        <f t="shared" ca="1" si="182"/>
        <v>-4812533702326.8945</v>
      </c>
      <c r="M4130" s="471">
        <f t="shared" si="184"/>
        <v>0.05</v>
      </c>
      <c r="N4130" s="475">
        <f t="shared" si="185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83"/>
        <v>-4812533702326.8945</v>
      </c>
      <c r="J4131" s="455">
        <f t="array" ref="J4131">IFERROR(INDEX('Retirement Calculator'!J:J,MATCH('Isaac 401k'!N4131,'Retirement Calculator'!A:A,0),0),0)</f>
        <v>0</v>
      </c>
      <c r="K4131" s="455">
        <f t="shared" ca="1" si="181"/>
        <v>-20052223759.695393</v>
      </c>
      <c r="L4131" s="455">
        <f t="shared" ca="1" si="182"/>
        <v>-4832585926086.5898</v>
      </c>
      <c r="M4131" s="471">
        <f t="shared" si="184"/>
        <v>0.05</v>
      </c>
      <c r="N4131" s="475">
        <f t="shared" si="185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83"/>
        <v>-4832585926086.5898</v>
      </c>
      <c r="J4132" s="455">
        <f t="array" ref="J4132">IFERROR(INDEX('Retirement Calculator'!J:J,MATCH('Isaac 401k'!N4132,'Retirement Calculator'!A:A,0),0),0)</f>
        <v>0</v>
      </c>
      <c r="K4132" s="455">
        <f t="shared" ca="1" si="181"/>
        <v>-20135774692.027458</v>
      </c>
      <c r="L4132" s="455">
        <f t="shared" ca="1" si="182"/>
        <v>-4852721700778.6172</v>
      </c>
      <c r="M4132" s="471">
        <f t="shared" si="184"/>
        <v>0.05</v>
      </c>
      <c r="N4132" s="475">
        <f t="shared" si="185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83"/>
        <v>-4852721700778.6172</v>
      </c>
      <c r="J4133" s="455">
        <f t="array" ref="J4133">IFERROR(INDEX('Retirement Calculator'!J:J,MATCH('Isaac 401k'!N4133,'Retirement Calculator'!A:A,0),0),0)</f>
        <v>0</v>
      </c>
      <c r="K4133" s="455">
        <f t="shared" ca="1" si="181"/>
        <v>-20219673753.24424</v>
      </c>
      <c r="L4133" s="455">
        <f t="shared" ca="1" si="182"/>
        <v>-4872941374531.8613</v>
      </c>
      <c r="M4133" s="471">
        <f t="shared" si="184"/>
        <v>0.05</v>
      </c>
      <c r="N4133" s="475">
        <f t="shared" si="185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83"/>
        <v>-4872941374531.8613</v>
      </c>
      <c r="J4134" s="455">
        <f t="array" ref="J4134">IFERROR(INDEX('Retirement Calculator'!J:J,MATCH('Isaac 401k'!N4134,'Retirement Calculator'!A:A,0),0),0)</f>
        <v>0</v>
      </c>
      <c r="K4134" s="455">
        <f t="shared" ca="1" si="181"/>
        <v>-20303922393.882755</v>
      </c>
      <c r="L4134" s="455">
        <f t="shared" ca="1" si="182"/>
        <v>-4893245296925.7441</v>
      </c>
      <c r="M4134" s="471">
        <f t="shared" si="184"/>
        <v>0.05</v>
      </c>
      <c r="N4134" s="475">
        <f t="shared" si="185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83"/>
        <v>-4893245296925.7441</v>
      </c>
      <c r="J4135" s="455">
        <f t="array" ref="J4135">IFERROR(INDEX('Retirement Calculator'!J:J,MATCH('Isaac 401k'!N4135,'Retirement Calculator'!A:A,0),0),0)</f>
        <v>0</v>
      </c>
      <c r="K4135" s="455">
        <f t="shared" ca="1" si="181"/>
        <v>-20388522070.523933</v>
      </c>
      <c r="L4135" s="455">
        <f t="shared" ca="1" si="182"/>
        <v>-4913633818996.2686</v>
      </c>
      <c r="M4135" s="471">
        <f t="shared" si="184"/>
        <v>0.05</v>
      </c>
      <c r="N4135" s="475">
        <f t="shared" si="185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83"/>
        <v>-4913633818996.2686</v>
      </c>
      <c r="J4136" s="455">
        <f t="array" ref="J4136">IFERROR(INDEX('Retirement Calculator'!J:J,MATCH('Isaac 401k'!N4136,'Retirement Calculator'!A:A,0),0),0)</f>
        <v>0</v>
      </c>
      <c r="K4136" s="455">
        <f t="shared" ca="1" si="181"/>
        <v>-20473474245.817787</v>
      </c>
      <c r="L4136" s="455">
        <f t="shared" ca="1" si="182"/>
        <v>-4934107293242.0859</v>
      </c>
      <c r="M4136" s="471">
        <f t="shared" si="184"/>
        <v>0.05</v>
      </c>
      <c r="N4136" s="475">
        <f t="shared" si="185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83"/>
        <v>-4934107293242.0859</v>
      </c>
      <c r="J4137" s="455">
        <f t="array" ref="J4137">IFERROR(INDEX('Retirement Calculator'!J:J,MATCH('Isaac 401k'!N4137,'Retirement Calculator'!A:A,0),0),0)</f>
        <v>0</v>
      </c>
      <c r="K4137" s="455">
        <f t="shared" ca="1" si="181"/>
        <v>-20558780388.50869</v>
      </c>
      <c r="L4137" s="455">
        <f t="shared" ca="1" si="182"/>
        <v>-4954666073630.5947</v>
      </c>
      <c r="M4137" s="471">
        <f t="shared" si="184"/>
        <v>0.05</v>
      </c>
      <c r="N4137" s="475">
        <f t="shared" si="185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83"/>
        <v>-4954666073630.5947</v>
      </c>
      <c r="J4138" s="455">
        <f t="array" ref="J4138">IFERROR(INDEX('Retirement Calculator'!J:J,MATCH('Isaac 401k'!N4138,'Retirement Calculator'!A:A,0),0),0)</f>
        <v>0</v>
      </c>
      <c r="K4138" s="455">
        <f t="shared" ca="1" si="181"/>
        <v>-20644441973.460812</v>
      </c>
      <c r="L4138" s="455">
        <f t="shared" ca="1" si="182"/>
        <v>-4975310515604.0557</v>
      </c>
      <c r="M4138" s="471">
        <f t="shared" si="184"/>
        <v>0.05</v>
      </c>
      <c r="N4138" s="475">
        <f t="shared" si="185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83"/>
        <v>-4975310515604.0557</v>
      </c>
      <c r="J4139" s="455">
        <f t="array" ref="J4139">IFERROR(INDEX('Retirement Calculator'!J:J,MATCH('Isaac 401k'!N4139,'Retirement Calculator'!A:A,0),0),0)</f>
        <v>0</v>
      </c>
      <c r="K4139" s="455">
        <f t="shared" ca="1" si="181"/>
        <v>-20730460481.683563</v>
      </c>
      <c r="L4139" s="455">
        <f t="shared" ca="1" si="182"/>
        <v>-4996040976085.7393</v>
      </c>
      <c r="M4139" s="471">
        <f t="shared" si="184"/>
        <v>0.05</v>
      </c>
      <c r="N4139" s="475">
        <f t="shared" si="185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83"/>
        <v>-4996040976085.7393</v>
      </c>
      <c r="J4140" s="455">
        <f t="array" ref="J4140">IFERROR(INDEX('Retirement Calculator'!J:J,MATCH('Isaac 401k'!N4140,'Retirement Calculator'!A:A,0),0),0)</f>
        <v>0</v>
      </c>
      <c r="K4140" s="455">
        <f t="shared" ca="1" si="181"/>
        <v>-20816837400.357246</v>
      </c>
      <c r="L4140" s="455">
        <f t="shared" ca="1" si="182"/>
        <v>-5016857813486.0967</v>
      </c>
      <c r="M4140" s="471">
        <f t="shared" si="184"/>
        <v>0.05</v>
      </c>
      <c r="N4140" s="475">
        <f t="shared" si="185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83"/>
        <v>-5016857813486.0967</v>
      </c>
      <c r="J4141" s="455">
        <f t="array" ref="J4141">IFERROR(INDEX('Retirement Calculator'!J:J,MATCH('Isaac 401k'!N4141,'Retirement Calculator'!A:A,0),0),0)</f>
        <v>0</v>
      </c>
      <c r="K4141" s="455">
        <f t="shared" ca="1" si="181"/>
        <v>-20903574222.858734</v>
      </c>
      <c r="L4141" s="455">
        <f t="shared" ca="1" si="182"/>
        <v>-5037761387708.9551</v>
      </c>
      <c r="M4141" s="471">
        <f t="shared" si="184"/>
        <v>0.05</v>
      </c>
      <c r="N4141" s="475">
        <f t="shared" si="185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83"/>
        <v>-5037761387708.9551</v>
      </c>
      <c r="J4142" s="455">
        <f t="array" ref="J4142">IFERROR(INDEX('Retirement Calculator'!J:J,MATCH('Isaac 401k'!N4142,'Retirement Calculator'!A:A,0),0),0)</f>
        <v>0</v>
      </c>
      <c r="K4142" s="455">
        <f t="shared" ca="1" si="181"/>
        <v>-20990672448.787312</v>
      </c>
      <c r="L4142" s="455">
        <f t="shared" ca="1" si="182"/>
        <v>-5058752060157.7422</v>
      </c>
      <c r="M4142" s="471">
        <f t="shared" si="184"/>
        <v>0.05</v>
      </c>
      <c r="N4142" s="475">
        <f t="shared" si="185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83"/>
        <v>-5058752060157.7422</v>
      </c>
      <c r="J4143" s="455">
        <f t="array" ref="J4143">IFERROR(INDEX('Retirement Calculator'!J:J,MATCH('Isaac 401k'!N4143,'Retirement Calculator'!A:A,0),0),0)</f>
        <v>0</v>
      </c>
      <c r="K4143" s="455">
        <f t="shared" ca="1" si="181"/>
        <v>-21078133583.990593</v>
      </c>
      <c r="L4143" s="455">
        <f t="shared" ca="1" si="182"/>
        <v>-5079830193741.7324</v>
      </c>
      <c r="M4143" s="471">
        <f t="shared" si="184"/>
        <v>0.05</v>
      </c>
      <c r="N4143" s="475">
        <f t="shared" si="185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83"/>
        <v>-5079830193741.7324</v>
      </c>
      <c r="J4144" s="455">
        <f t="array" ref="J4144">IFERROR(INDEX('Retirement Calculator'!J:J,MATCH('Isaac 401k'!N4144,'Retirement Calculator'!A:A,0),0),0)</f>
        <v>0</v>
      </c>
      <c r="K4144" s="455">
        <f t="shared" ca="1" si="181"/>
        <v>-21165959140.590553</v>
      </c>
      <c r="L4144" s="455">
        <f t="shared" ca="1" si="182"/>
        <v>-5100996152882.3232</v>
      </c>
      <c r="M4144" s="471">
        <f t="shared" si="184"/>
        <v>0.05</v>
      </c>
      <c r="N4144" s="475">
        <f t="shared" si="185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83"/>
        <v>-5100996152882.3232</v>
      </c>
      <c r="J4145" s="455">
        <f t="array" ref="J4145">IFERROR(INDEX('Retirement Calculator'!J:J,MATCH('Isaac 401k'!N4145,'Retirement Calculator'!A:A,0),0),0)</f>
        <v>0</v>
      </c>
      <c r="K4145" s="455">
        <f t="shared" ca="1" si="181"/>
        <v>-21254150637.009682</v>
      </c>
      <c r="L4145" s="455">
        <f t="shared" ca="1" si="182"/>
        <v>-5122250303519.333</v>
      </c>
      <c r="M4145" s="471">
        <f t="shared" si="184"/>
        <v>0.05</v>
      </c>
      <c r="N4145" s="475">
        <f t="shared" si="185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83"/>
        <v>-5122250303519.333</v>
      </c>
      <c r="J4146" s="455">
        <f t="array" ref="J4146">IFERROR(INDEX('Retirement Calculator'!J:J,MATCH('Isaac 401k'!N4146,'Retirement Calculator'!A:A,0),0),0)</f>
        <v>0</v>
      </c>
      <c r="K4146" s="455">
        <f t="shared" ca="1" si="181"/>
        <v>-21342709597.997219</v>
      </c>
      <c r="L4146" s="455">
        <f t="shared" ca="1" si="182"/>
        <v>-5143593013117.3301</v>
      </c>
      <c r="M4146" s="471">
        <f t="shared" si="184"/>
        <v>0.05</v>
      </c>
      <c r="N4146" s="475">
        <f t="shared" si="185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83"/>
        <v>-5143593013117.3301</v>
      </c>
      <c r="J4147" s="455">
        <f t="array" ref="J4147">IFERROR(INDEX('Retirement Calculator'!J:J,MATCH('Isaac 401k'!N4147,'Retirement Calculator'!A:A,0),0),0)</f>
        <v>0</v>
      </c>
      <c r="K4147" s="455">
        <f t="shared" ca="1" si="181"/>
        <v>-21431637554.65554</v>
      </c>
      <c r="L4147" s="455">
        <f t="shared" ca="1" si="182"/>
        <v>-5165024650671.9854</v>
      </c>
      <c r="M4147" s="471">
        <f t="shared" si="184"/>
        <v>0.05</v>
      </c>
      <c r="N4147" s="475">
        <f t="shared" si="185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83"/>
        <v>-5165024650671.9854</v>
      </c>
      <c r="J4148" s="455">
        <f t="array" ref="J4148">IFERROR(INDEX('Retirement Calculator'!J:J,MATCH('Isaac 401k'!N4148,'Retirement Calculator'!A:A,0),0),0)</f>
        <v>0</v>
      </c>
      <c r="K4148" s="455">
        <f t="shared" ca="1" si="181"/>
        <v>-21520936044.466606</v>
      </c>
      <c r="L4148" s="455">
        <f t="shared" ca="1" si="182"/>
        <v>-5186545586716.4521</v>
      </c>
      <c r="M4148" s="471">
        <f t="shared" si="184"/>
        <v>0.05</v>
      </c>
      <c r="N4148" s="475">
        <f t="shared" si="185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83"/>
        <v>-5186545586716.4521</v>
      </c>
      <c r="J4149" s="455">
        <f t="array" ref="J4149">IFERROR(INDEX('Retirement Calculator'!J:J,MATCH('Isaac 401k'!N4149,'Retirement Calculator'!A:A,0),0),0)</f>
        <v>0</v>
      </c>
      <c r="K4149" s="455">
        <f t="shared" ca="1" si="181"/>
        <v>-21610606611.31855</v>
      </c>
      <c r="L4149" s="455">
        <f t="shared" ca="1" si="182"/>
        <v>-5208156193327.7705</v>
      </c>
      <c r="M4149" s="471">
        <f t="shared" si="184"/>
        <v>0.05</v>
      </c>
      <c r="N4149" s="475">
        <f t="shared" si="185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83"/>
        <v>-5208156193327.7705</v>
      </c>
      <c r="J4150" s="455">
        <f t="array" ref="J4150">IFERROR(INDEX('Retirement Calculator'!J:J,MATCH('Isaac 401k'!N4150,'Retirement Calculator'!A:A,0),0),0)</f>
        <v>0</v>
      </c>
      <c r="K4150" s="455">
        <f t="shared" ca="1" si="181"/>
        <v>-21700650805.532375</v>
      </c>
      <c r="L4150" s="455">
        <f t="shared" ca="1" si="182"/>
        <v>-5229856844133.3027</v>
      </c>
      <c r="M4150" s="471">
        <f t="shared" si="184"/>
        <v>0.05</v>
      </c>
      <c r="N4150" s="475">
        <f t="shared" si="185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83"/>
        <v>-5229856844133.3027</v>
      </c>
      <c r="J4151" s="455">
        <f t="array" ref="J4151">IFERROR(INDEX('Retirement Calculator'!J:J,MATCH('Isaac 401k'!N4151,'Retirement Calculator'!A:A,0),0),0)</f>
        <v>0</v>
      </c>
      <c r="K4151" s="455">
        <f t="shared" ca="1" si="181"/>
        <v>-21791070183.88876</v>
      </c>
      <c r="L4151" s="455">
        <f t="shared" ca="1" si="182"/>
        <v>-5251647914317.1914</v>
      </c>
      <c r="M4151" s="471">
        <f t="shared" si="184"/>
        <v>0.05</v>
      </c>
      <c r="N4151" s="475">
        <f t="shared" si="185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83"/>
        <v>-5251647914317.1914</v>
      </c>
      <c r="J4152" s="455">
        <f t="array" ref="J4152">IFERROR(INDEX('Retirement Calculator'!J:J,MATCH('Isaac 401k'!N4152,'Retirement Calculator'!A:A,0),0),0)</f>
        <v>0</v>
      </c>
      <c r="K4152" s="455">
        <f t="shared" ca="1" si="181"/>
        <v>-21881866309.654964</v>
      </c>
      <c r="L4152" s="455">
        <f t="shared" ca="1" si="182"/>
        <v>-5273529780626.8467</v>
      </c>
      <c r="M4152" s="471">
        <f t="shared" si="184"/>
        <v>0.05</v>
      </c>
      <c r="N4152" s="475">
        <f t="shared" si="185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83"/>
        <v>-5273529780626.8467</v>
      </c>
      <c r="J4153" s="455">
        <f t="array" ref="J4153">IFERROR(INDEX('Retirement Calculator'!J:J,MATCH('Isaac 401k'!N4153,'Retirement Calculator'!A:A,0),0),0)</f>
        <v>0</v>
      </c>
      <c r="K4153" s="455">
        <f t="shared" ca="1" si="181"/>
        <v>-21973040752.611862</v>
      </c>
      <c r="L4153" s="455">
        <f t="shared" ca="1" si="182"/>
        <v>-5295502821379.459</v>
      </c>
      <c r="M4153" s="471">
        <f t="shared" si="184"/>
        <v>0.05</v>
      </c>
      <c r="N4153" s="475">
        <f t="shared" si="185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83"/>
        <v>-5295502821379.459</v>
      </c>
      <c r="J4154" s="455">
        <f t="array" ref="J4154">IFERROR(INDEX('Retirement Calculator'!J:J,MATCH('Isaac 401k'!N4154,'Retirement Calculator'!A:A,0),0),0)</f>
        <v>0</v>
      </c>
      <c r="K4154" s="455">
        <f t="shared" ca="1" si="181"/>
        <v>-22064595089.081078</v>
      </c>
      <c r="L4154" s="455">
        <f t="shared" ca="1" si="182"/>
        <v>-5317567416468.54</v>
      </c>
      <c r="M4154" s="471">
        <f t="shared" si="184"/>
        <v>0.05</v>
      </c>
      <c r="N4154" s="475">
        <f t="shared" si="185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83"/>
        <v>-5317567416468.54</v>
      </c>
      <c r="J4155" s="455">
        <f t="array" ref="J4155">IFERROR(INDEX('Retirement Calculator'!J:J,MATCH('Isaac 401k'!N4155,'Retirement Calculator'!A:A,0),0),0)</f>
        <v>0</v>
      </c>
      <c r="K4155" s="455">
        <f t="shared" ca="1" si="181"/>
        <v>-22156530901.952251</v>
      </c>
      <c r="L4155" s="455">
        <f t="shared" ca="1" si="182"/>
        <v>-5339723947370.4922</v>
      </c>
      <c r="M4155" s="471">
        <f t="shared" si="184"/>
        <v>0.05</v>
      </c>
      <c r="N4155" s="475">
        <f t="shared" si="185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83"/>
        <v>-5339723947370.4922</v>
      </c>
      <c r="J4156" s="455">
        <f t="array" ref="J4156">IFERROR(INDEX('Retirement Calculator'!J:J,MATCH('Isaac 401k'!N4156,'Retirement Calculator'!A:A,0),0),0)</f>
        <v>0</v>
      </c>
      <c r="K4156" s="455">
        <f t="shared" ca="1" si="181"/>
        <v>-22248849780.710384</v>
      </c>
      <c r="L4156" s="455">
        <f t="shared" ca="1" si="182"/>
        <v>-5361972797151.2021</v>
      </c>
      <c r="M4156" s="471">
        <f t="shared" si="184"/>
        <v>0.05</v>
      </c>
      <c r="N4156" s="475">
        <f t="shared" si="185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83"/>
        <v>-5361972797151.2021</v>
      </c>
      <c r="J4157" s="455">
        <f t="array" ref="J4157">IFERROR(INDEX('Retirement Calculator'!J:J,MATCH('Isaac 401k'!N4157,'Retirement Calculator'!A:A,0),0),0)</f>
        <v>0</v>
      </c>
      <c r="K4157" s="455">
        <f t="shared" ca="1" si="181"/>
        <v>-22341553321.463341</v>
      </c>
      <c r="L4157" s="455">
        <f t="shared" ca="1" si="182"/>
        <v>-5384314350472.665</v>
      </c>
      <c r="M4157" s="471">
        <f t="shared" si="184"/>
        <v>0.05</v>
      </c>
      <c r="N4157" s="475">
        <f t="shared" si="185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83"/>
        <v>-5384314350472.665</v>
      </c>
      <c r="J4158" s="455">
        <f t="array" ref="J4158">IFERROR(INDEX('Retirement Calculator'!J:J,MATCH('Isaac 401k'!N4158,'Retirement Calculator'!A:A,0),0),0)</f>
        <v>0</v>
      </c>
      <c r="K4158" s="455">
        <f t="shared" ca="1" si="181"/>
        <v>-22434643126.969437</v>
      </c>
      <c r="L4158" s="455">
        <f t="shared" ca="1" si="182"/>
        <v>-5406748993599.6348</v>
      </c>
      <c r="M4158" s="471">
        <f t="shared" si="184"/>
        <v>0.05</v>
      </c>
      <c r="N4158" s="475">
        <f t="shared" si="185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83"/>
        <v>-5406748993599.6348</v>
      </c>
      <c r="J4159" s="455">
        <f t="array" ref="J4159">IFERROR(INDEX('Retirement Calculator'!J:J,MATCH('Isaac 401k'!N4159,'Retirement Calculator'!A:A,0),0),0)</f>
        <v>0</v>
      </c>
      <c r="K4159" s="455">
        <f t="shared" ca="1" si="181"/>
        <v>-22528120806.665146</v>
      </c>
      <c r="L4159" s="455">
        <f t="shared" ca="1" si="182"/>
        <v>-5429277114406.2998</v>
      </c>
      <c r="M4159" s="471">
        <f t="shared" si="184"/>
        <v>0.05</v>
      </c>
      <c r="N4159" s="475">
        <f t="shared" si="185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83"/>
        <v>-5429277114406.2998</v>
      </c>
      <c r="J4160" s="455">
        <f t="array" ref="J4160">IFERROR(INDEX('Retirement Calculator'!J:J,MATCH('Isaac 401k'!N4160,'Retirement Calculator'!A:A,0),0),0)</f>
        <v>0</v>
      </c>
      <c r="K4160" s="455">
        <f t="shared" ca="1" si="181"/>
        <v>-22621987976.692917</v>
      </c>
      <c r="L4160" s="455">
        <f t="shared" ca="1" si="182"/>
        <v>-5451899102382.9932</v>
      </c>
      <c r="M4160" s="471">
        <f t="shared" si="184"/>
        <v>0.05</v>
      </c>
      <c r="N4160" s="475">
        <f t="shared" si="185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83"/>
        <v>-5451899102382.9932</v>
      </c>
      <c r="J4161" s="455">
        <f t="array" ref="J4161">IFERROR(INDEX('Retirement Calculator'!J:J,MATCH('Isaac 401k'!N4161,'Retirement Calculator'!A:A,0),0),0)</f>
        <v>0</v>
      </c>
      <c r="K4161" s="455">
        <f t="shared" ca="1" si="181"/>
        <v>-22716246259.929138</v>
      </c>
      <c r="L4161" s="455">
        <f t="shared" ca="1" si="182"/>
        <v>-5474615348642.9219</v>
      </c>
      <c r="M4161" s="471">
        <f t="shared" si="184"/>
        <v>0.05</v>
      </c>
      <c r="N4161" s="475">
        <f t="shared" si="185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83"/>
        <v>-5474615348642.9219</v>
      </c>
      <c r="J4162" s="455">
        <f t="array" ref="J4162">IFERROR(INDEX('Retirement Calculator'!J:J,MATCH('Isaac 401k'!N4162,'Retirement Calculator'!A:A,0),0),0)</f>
        <v>0</v>
      </c>
      <c r="K4162" s="455">
        <f t="shared" ca="1" si="181"/>
        <v>-22810897286.012173</v>
      </c>
      <c r="L4162" s="455">
        <f t="shared" ca="1" si="182"/>
        <v>-5497426245928.9336</v>
      </c>
      <c r="M4162" s="471">
        <f t="shared" si="184"/>
        <v>0.05</v>
      </c>
      <c r="N4162" s="475">
        <f t="shared" si="185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83"/>
        <v>-5497426245928.9336</v>
      </c>
      <c r="J4163" s="455">
        <f t="array" ref="J4163">IFERROR(INDEX('Retirement Calculator'!J:J,MATCH('Isaac 401k'!N4163,'Retirement Calculator'!A:A,0),0),0)</f>
        <v>0</v>
      </c>
      <c r="K4163" s="455">
        <f t="shared" ca="1" si="181"/>
        <v>-22905942691.370556</v>
      </c>
      <c r="L4163" s="455">
        <f t="shared" ca="1" si="182"/>
        <v>-5520332188620.3037</v>
      </c>
      <c r="M4163" s="471">
        <f t="shared" si="184"/>
        <v>0.05</v>
      </c>
      <c r="N4163" s="475">
        <f t="shared" si="185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83"/>
        <v>-5520332188620.3037</v>
      </c>
      <c r="J4164" s="455">
        <f t="array" ref="J4164">IFERROR(INDEX('Retirement Calculator'!J:J,MATCH('Isaac 401k'!N4164,'Retirement Calculator'!A:A,0),0),0)</f>
        <v>0</v>
      </c>
      <c r="K4164" s="455">
        <f t="shared" ca="1" si="181"/>
        <v>-23001384119.251266</v>
      </c>
      <c r="L4164" s="455">
        <f t="shared" ca="1" si="182"/>
        <v>-5543333572739.5547</v>
      </c>
      <c r="M4164" s="471">
        <f t="shared" si="184"/>
        <v>0.05</v>
      </c>
      <c r="N4164" s="475">
        <f t="shared" si="185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83"/>
        <v>-5543333572739.5547</v>
      </c>
      <c r="J4165" s="455">
        <f t="array" ref="J4165">IFERROR(INDEX('Retirement Calculator'!J:J,MATCH('Isaac 401k'!N4165,'Retirement Calculator'!A:A,0),0),0)</f>
        <v>0</v>
      </c>
      <c r="K4165" s="455">
        <f t="shared" ca="1" si="181"/>
        <v>-23097223219.748146</v>
      </c>
      <c r="L4165" s="455">
        <f t="shared" ca="1" si="182"/>
        <v>-5566430795959.3027</v>
      </c>
      <c r="M4165" s="471">
        <f t="shared" si="184"/>
        <v>0.05</v>
      </c>
      <c r="N4165" s="475">
        <f t="shared" si="185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83"/>
        <v>-5566430795959.3027</v>
      </c>
      <c r="J4166" s="455">
        <f t="array" ref="J4166">IFERROR(INDEX('Retirement Calculator'!J:J,MATCH('Isaac 401k'!N4166,'Retirement Calculator'!A:A,0),0),0)</f>
        <v>0</v>
      </c>
      <c r="K4166" s="455">
        <f t="shared" ca="1" si="181"/>
        <v>-23193461649.830429</v>
      </c>
      <c r="L4166" s="455">
        <f t="shared" ca="1" si="182"/>
        <v>-5589624257609.1328</v>
      </c>
      <c r="M4166" s="471">
        <f t="shared" si="184"/>
        <v>0.05</v>
      </c>
      <c r="N4166" s="475">
        <f t="shared" si="185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83"/>
        <v>-5589624257609.1328</v>
      </c>
      <c r="J4167" s="455">
        <f t="array" ref="J4167">IFERROR(INDEX('Retirement Calculator'!J:J,MATCH('Isaac 401k'!N4167,'Retirement Calculator'!A:A,0),0),0)</f>
        <v>0</v>
      </c>
      <c r="K4167" s="455">
        <f t="shared" ca="1" si="181"/>
        <v>-23290101073.371387</v>
      </c>
      <c r="L4167" s="455">
        <f t="shared" ca="1" si="182"/>
        <v>-5612914358682.5039</v>
      </c>
      <c r="M4167" s="471">
        <f t="shared" si="184"/>
        <v>0.05</v>
      </c>
      <c r="N4167" s="475">
        <f t="shared" si="185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83"/>
        <v>-5612914358682.5039</v>
      </c>
      <c r="J4168" s="455">
        <f t="array" ref="J4168">IFERROR(INDEX('Retirement Calculator'!J:J,MATCH('Isaac 401k'!N4168,'Retirement Calculator'!A:A,0),0),0)</f>
        <v>0</v>
      </c>
      <c r="K4168" s="455">
        <f t="shared" ca="1" si="181"/>
        <v>-23387143161.177101</v>
      </c>
      <c r="L4168" s="455">
        <f t="shared" ca="1" si="182"/>
        <v>-5636301501843.6807</v>
      </c>
      <c r="M4168" s="471">
        <f t="shared" si="184"/>
        <v>0.05</v>
      </c>
      <c r="N4168" s="475">
        <f t="shared" si="185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83"/>
        <v>-5636301501843.6807</v>
      </c>
      <c r="J4169" s="455">
        <f t="array" ref="J4169">IFERROR(INDEX('Retirement Calculator'!J:J,MATCH('Isaac 401k'!N4169,'Retirement Calculator'!A:A,0),0),0)</f>
        <v>0</v>
      </c>
      <c r="K4169" s="455">
        <f t="shared" ca="1" si="181"/>
        <v>-23484589591.015335</v>
      </c>
      <c r="L4169" s="455">
        <f t="shared" ca="1" si="182"/>
        <v>-5659786091434.6963</v>
      </c>
      <c r="M4169" s="471">
        <f t="shared" si="184"/>
        <v>0.05</v>
      </c>
      <c r="N4169" s="475">
        <f t="shared" si="185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83"/>
        <v>-5659786091434.6963</v>
      </c>
      <c r="J4170" s="455">
        <f t="array" ref="J4170">IFERROR(INDEX('Retirement Calculator'!J:J,MATCH('Isaac 401k'!N4170,'Retirement Calculator'!A:A,0),0),0)</f>
        <v>0</v>
      </c>
      <c r="K4170" s="455">
        <f t="shared" ca="1" si="181"/>
        <v>-23582442047.644569</v>
      </c>
      <c r="L4170" s="455">
        <f t="shared" ca="1" si="182"/>
        <v>-5683368533482.3408</v>
      </c>
      <c r="M4170" s="471">
        <f t="shared" si="184"/>
        <v>0.05</v>
      </c>
      <c r="N4170" s="475">
        <f t="shared" si="185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83"/>
        <v>-5683368533482.3408</v>
      </c>
      <c r="J4171" s="455">
        <f t="array" ref="J4171">IFERROR(INDEX('Retirement Calculator'!J:J,MATCH('Isaac 401k'!N4171,'Retirement Calculator'!A:A,0),0),0)</f>
        <v>0</v>
      </c>
      <c r="K4171" s="455">
        <f t="shared" ca="1" si="181"/>
        <v>-23680702222.843086</v>
      </c>
      <c r="L4171" s="455">
        <f t="shared" ca="1" si="182"/>
        <v>-5707049235705.1836</v>
      </c>
      <c r="M4171" s="471">
        <f t="shared" si="184"/>
        <v>0.05</v>
      </c>
      <c r="N4171" s="475">
        <f t="shared" si="185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83"/>
        <v>-5707049235705.1836</v>
      </c>
      <c r="J4172" s="455">
        <f t="array" ref="J4172">IFERROR(INDEX('Retirement Calculator'!J:J,MATCH('Isaac 401k'!N4172,'Retirement Calculator'!A:A,0),0),0)</f>
        <v>0</v>
      </c>
      <c r="K4172" s="455">
        <f t="shared" ca="1" si="181"/>
        <v>-23779371815.438263</v>
      </c>
      <c r="L4172" s="455">
        <f t="shared" ca="1" si="182"/>
        <v>-5730828607520.6221</v>
      </c>
      <c r="M4172" s="471">
        <f t="shared" si="184"/>
        <v>0.05</v>
      </c>
      <c r="N4172" s="475">
        <f t="shared" si="185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83"/>
        <v>-5730828607520.6221</v>
      </c>
      <c r="J4173" s="455">
        <f t="array" ref="J4173">IFERROR(INDEX('Retirement Calculator'!J:J,MATCH('Isaac 401k'!N4173,'Retirement Calculator'!A:A,0),0),0)</f>
        <v>0</v>
      </c>
      <c r="K4173" s="455">
        <f t="shared" ca="1" si="181"/>
        <v>-23878452531.335926</v>
      </c>
      <c r="L4173" s="455">
        <f t="shared" ca="1" si="182"/>
        <v>-5754707060051.958</v>
      </c>
      <c r="M4173" s="471">
        <f t="shared" si="184"/>
        <v>0.05</v>
      </c>
      <c r="N4173" s="475">
        <f t="shared" si="185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83"/>
        <v>-5754707060051.958</v>
      </c>
      <c r="J4174" s="455">
        <f t="array" ref="J4174">IFERROR(INDEX('Retirement Calculator'!J:J,MATCH('Isaac 401k'!N4174,'Retirement Calculator'!A:A,0),0),0)</f>
        <v>0</v>
      </c>
      <c r="K4174" s="455">
        <f t="shared" ca="1" si="181"/>
        <v>-23977946083.549824</v>
      </c>
      <c r="L4174" s="455">
        <f t="shared" ca="1" si="182"/>
        <v>-5778685006135.5078</v>
      </c>
      <c r="M4174" s="471">
        <f t="shared" si="184"/>
        <v>0.05</v>
      </c>
      <c r="N4174" s="475">
        <f t="shared" si="185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83"/>
        <v>-5778685006135.5078</v>
      </c>
      <c r="J4175" s="455">
        <f t="array" ref="J4175">IFERROR(INDEX('Retirement Calculator'!J:J,MATCH('Isaac 401k'!N4175,'Retirement Calculator'!A:A,0),0),0)</f>
        <v>0</v>
      </c>
      <c r="K4175" s="455">
        <f t="shared" ca="1" si="181"/>
        <v>-24077854192.231281</v>
      </c>
      <c r="L4175" s="455">
        <f t="shared" ca="1" si="182"/>
        <v>-5802762860327.7393</v>
      </c>
      <c r="M4175" s="471">
        <f t="shared" si="184"/>
        <v>0.05</v>
      </c>
      <c r="N4175" s="475">
        <f t="shared" si="185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83"/>
        <v>-5802762860327.7393</v>
      </c>
      <c r="J4176" s="455">
        <f t="array" ref="J4176">IFERROR(INDEX('Retirement Calculator'!J:J,MATCH('Isaac 401k'!N4176,'Retirement Calculator'!A:A,0),0),0)</f>
        <v>0</v>
      </c>
      <c r="K4176" s="455">
        <f t="shared" ca="1" si="181"/>
        <v>-24178178584.698914</v>
      </c>
      <c r="L4176" s="455">
        <f t="shared" ca="1" si="182"/>
        <v>-5826941038912.4385</v>
      </c>
      <c r="M4176" s="471">
        <f t="shared" si="184"/>
        <v>0.05</v>
      </c>
      <c r="N4176" s="475">
        <f t="shared" si="185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83"/>
        <v>-5826941038912.4385</v>
      </c>
      <c r="J4177" s="455">
        <f t="array" ref="J4177">IFERROR(INDEX('Retirement Calculator'!J:J,MATCH('Isaac 401k'!N4177,'Retirement Calculator'!A:A,0),0),0)</f>
        <v>0</v>
      </c>
      <c r="K4177" s="455">
        <f t="shared" ca="1" si="181"/>
        <v>-24278920995.468494</v>
      </c>
      <c r="L4177" s="455">
        <f t="shared" ca="1" si="182"/>
        <v>-5851219959907.9072</v>
      </c>
      <c r="M4177" s="471">
        <f t="shared" si="184"/>
        <v>0.05</v>
      </c>
      <c r="N4177" s="475">
        <f t="shared" si="185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83"/>
        <v>-5851219959907.9072</v>
      </c>
      <c r="J4178" s="455">
        <f t="array" ref="J4178">IFERROR(INDEX('Retirement Calculator'!J:J,MATCH('Isaac 401k'!N4178,'Retirement Calculator'!A:A,0),0),0)</f>
        <v>0</v>
      </c>
      <c r="K4178" s="455">
        <f t="shared" ca="1" si="181"/>
        <v>-24380083166.282948</v>
      </c>
      <c r="L4178" s="455">
        <f t="shared" ca="1" si="182"/>
        <v>-5875600043074.1904</v>
      </c>
      <c r="M4178" s="471">
        <f t="shared" si="184"/>
        <v>0.05</v>
      </c>
      <c r="N4178" s="475">
        <f t="shared" si="185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83"/>
        <v>-5875600043074.1904</v>
      </c>
      <c r="J4179" s="455">
        <f t="array" ref="J4179">IFERROR(INDEX('Retirement Calculator'!J:J,MATCH('Isaac 401k'!N4179,'Retirement Calculator'!A:A,0),0),0)</f>
        <v>0</v>
      </c>
      <c r="K4179" s="455">
        <f t="shared" ca="1" si="181"/>
        <v>-24481666846.14246</v>
      </c>
      <c r="L4179" s="455">
        <f t="shared" ca="1" si="182"/>
        <v>-5900081709920.333</v>
      </c>
      <c r="M4179" s="471">
        <f t="shared" si="184"/>
        <v>0.05</v>
      </c>
      <c r="N4179" s="475">
        <f t="shared" si="185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83"/>
        <v>-5900081709920.333</v>
      </c>
      <c r="J4180" s="455">
        <f t="array" ref="J4180">IFERROR(INDEX('Retirement Calculator'!J:J,MATCH('Isaac 401k'!N4180,'Retirement Calculator'!A:A,0),0),0)</f>
        <v>0</v>
      </c>
      <c r="K4180" s="455">
        <f t="shared" ca="1" si="181"/>
        <v>-24583673791.334721</v>
      </c>
      <c r="L4180" s="455">
        <f t="shared" ca="1" si="182"/>
        <v>-5924665383711.668</v>
      </c>
      <c r="M4180" s="471">
        <f t="shared" si="184"/>
        <v>0.05</v>
      </c>
      <c r="N4180" s="475">
        <f t="shared" si="185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83"/>
        <v>-5924665383711.668</v>
      </c>
      <c r="J4181" s="455">
        <f t="array" ref="J4181">IFERROR(INDEX('Retirement Calculator'!J:J,MATCH('Isaac 401k'!N4181,'Retirement Calculator'!A:A,0),0),0)</f>
        <v>0</v>
      </c>
      <c r="K4181" s="455">
        <f t="shared" ca="1" si="181"/>
        <v>-24686105765.465282</v>
      </c>
      <c r="L4181" s="455">
        <f t="shared" ca="1" si="182"/>
        <v>-5949351489477.1328</v>
      </c>
      <c r="M4181" s="471">
        <f t="shared" si="184"/>
        <v>0.05</v>
      </c>
      <c r="N4181" s="475">
        <f t="shared" si="185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83"/>
        <v>-5949351489477.1328</v>
      </c>
      <c r="J4182" s="455">
        <f t="array" ref="J4182">IFERROR(INDEX('Retirement Calculator'!J:J,MATCH('Isaac 401k'!N4182,'Retirement Calculator'!A:A,0),0),0)</f>
        <v>0</v>
      </c>
      <c r="K4182" s="455">
        <f t="shared" ca="1" si="181"/>
        <v>-24788964539.488052</v>
      </c>
      <c r="L4182" s="455">
        <f t="shared" ca="1" si="182"/>
        <v>-5974140454016.6211</v>
      </c>
      <c r="M4182" s="471">
        <f t="shared" si="184"/>
        <v>0.05</v>
      </c>
      <c r="N4182" s="475">
        <f t="shared" si="185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83"/>
        <v>-5974140454016.6211</v>
      </c>
      <c r="J4183" s="455">
        <f t="array" ref="J4183">IFERROR(INDEX('Retirement Calculator'!J:J,MATCH('Isaac 401k'!N4183,'Retirement Calculator'!A:A,0),0),0)</f>
        <v>0</v>
      </c>
      <c r="K4183" s="455">
        <f t="shared" ca="1" si="181"/>
        <v>-24892251891.73592</v>
      </c>
      <c r="L4183" s="455">
        <f t="shared" ca="1" si="182"/>
        <v>-5999032705908.3574</v>
      </c>
      <c r="M4183" s="471">
        <f t="shared" si="184"/>
        <v>0.05</v>
      </c>
      <c r="N4183" s="475">
        <f t="shared" si="185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83"/>
        <v>-5999032705908.3574</v>
      </c>
      <c r="J4184" s="455">
        <f t="array" ref="J4184">IFERROR(INDEX('Retirement Calculator'!J:J,MATCH('Isaac 401k'!N4184,'Retirement Calculator'!A:A,0),0),0)</f>
        <v>0</v>
      </c>
      <c r="K4184" s="455">
        <f t="shared" ca="1" si="181"/>
        <v>-24995969607.951488</v>
      </c>
      <c r="L4184" s="455">
        <f t="shared" ca="1" si="182"/>
        <v>-6024028675516.3086</v>
      </c>
      <c r="M4184" s="471">
        <f t="shared" si="184"/>
        <v>0.05</v>
      </c>
      <c r="N4184" s="475">
        <f t="shared" si="185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83"/>
        <v>-6024028675516.3086</v>
      </c>
      <c r="J4185" s="455">
        <f t="array" ref="J4185">IFERROR(INDEX('Retirement Calculator'!J:J,MATCH('Isaac 401k'!N4185,'Retirement Calculator'!A:A,0),0),0)</f>
        <v>0</v>
      </c>
      <c r="K4185" s="455">
        <f t="shared" ca="1" si="181"/>
        <v>-25100119481.317951</v>
      </c>
      <c r="L4185" s="455">
        <f t="shared" ca="1" si="182"/>
        <v>-6049128794997.627</v>
      </c>
      <c r="M4185" s="471">
        <f t="shared" si="184"/>
        <v>0.05</v>
      </c>
      <c r="N4185" s="475">
        <f t="shared" si="185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83"/>
        <v>-6049128794997.627</v>
      </c>
      <c r="J4186" s="455">
        <f t="array" ref="J4186">IFERROR(INDEX('Retirement Calculator'!J:J,MATCH('Isaac 401k'!N4186,'Retirement Calculator'!A:A,0),0),0)</f>
        <v>0</v>
      </c>
      <c r="K4186" s="455">
        <f t="shared" ca="1" si="181"/>
        <v>-25204703312.490112</v>
      </c>
      <c r="L4186" s="455">
        <f t="shared" ca="1" si="182"/>
        <v>-6074333498310.1172</v>
      </c>
      <c r="M4186" s="471">
        <f t="shared" si="184"/>
        <v>0.05</v>
      </c>
      <c r="N4186" s="475">
        <f t="shared" si="185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83"/>
        <v>-6074333498310.1172</v>
      </c>
      <c r="J4187" s="455">
        <f t="array" ref="J4187">IFERROR(INDEX('Retirement Calculator'!J:J,MATCH('Isaac 401k'!N4187,'Retirement Calculator'!A:A,0),0),0)</f>
        <v>0</v>
      </c>
      <c r="K4187" s="455">
        <f t="shared" ca="1" si="181"/>
        <v>-25309722909.625488</v>
      </c>
      <c r="L4187" s="455">
        <f t="shared" ca="1" si="182"/>
        <v>-6099643221219.7422</v>
      </c>
      <c r="M4187" s="471">
        <f t="shared" si="184"/>
        <v>0.05</v>
      </c>
      <c r="N4187" s="475">
        <f t="shared" si="185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83"/>
        <v>-6099643221219.7422</v>
      </c>
      <c r="J4188" s="455">
        <f t="array" ref="J4188">IFERROR(INDEX('Retirement Calculator'!J:J,MATCH('Isaac 401k'!N4188,'Retirement Calculator'!A:A,0),0),0)</f>
        <v>0</v>
      </c>
      <c r="K4188" s="455">
        <f t="shared" ca="1" si="181"/>
        <v>-25415180088.415592</v>
      </c>
      <c r="L4188" s="455">
        <f t="shared" ca="1" si="182"/>
        <v>-6125058401308.1582</v>
      </c>
      <c r="M4188" s="471">
        <f t="shared" si="184"/>
        <v>0.05</v>
      </c>
      <c r="N4188" s="475">
        <f t="shared" si="185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83"/>
        <v>-6125058401308.1582</v>
      </c>
      <c r="J4189" s="455">
        <f t="array" ref="J4189">IFERROR(INDEX('Retirement Calculator'!J:J,MATCH('Isaac 401k'!N4189,'Retirement Calculator'!A:A,0),0),0)</f>
        <v>0</v>
      </c>
      <c r="K4189" s="455">
        <f t="shared" ca="1" si="181"/>
        <v>-25521076672.117325</v>
      </c>
      <c r="L4189" s="455">
        <f t="shared" ca="1" si="182"/>
        <v>-6150579477980.2754</v>
      </c>
      <c r="M4189" s="471">
        <f t="shared" si="184"/>
        <v>0.05</v>
      </c>
      <c r="N4189" s="475">
        <f t="shared" si="185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83"/>
        <v>-6150579477980.2754</v>
      </c>
      <c r="J4190" s="455">
        <f t="array" ref="J4190">IFERROR(INDEX('Retirement Calculator'!J:J,MATCH('Isaac 401k'!N4190,'Retirement Calculator'!A:A,0),0),0)</f>
        <v>0</v>
      </c>
      <c r="K4190" s="455">
        <f t="shared" ca="1" si="181"/>
        <v>-25627414491.58448</v>
      </c>
      <c r="L4190" s="455">
        <f t="shared" ca="1" si="182"/>
        <v>-6176206892471.8604</v>
      </c>
      <c r="M4190" s="471">
        <f t="shared" si="184"/>
        <v>0.05</v>
      </c>
      <c r="N4190" s="475">
        <f t="shared" si="185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83"/>
        <v>-6176206892471.8604</v>
      </c>
      <c r="J4191" s="455">
        <f t="array" ref="J4191">IFERROR(INDEX('Retirement Calculator'!J:J,MATCH('Isaac 401k'!N4191,'Retirement Calculator'!A:A,0),0),0)</f>
        <v>0</v>
      </c>
      <c r="K4191" s="455">
        <f t="shared" ca="1" si="181"/>
        <v>-25734195385.299419</v>
      </c>
      <c r="L4191" s="455">
        <f t="shared" ca="1" si="182"/>
        <v>-6201941087857.1602</v>
      </c>
      <c r="M4191" s="471">
        <f t="shared" si="184"/>
        <v>0.05</v>
      </c>
      <c r="N4191" s="475">
        <f t="shared" si="185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83"/>
        <v>-6201941087857.1602</v>
      </c>
      <c r="J4192" s="455">
        <f t="array" ref="J4192">IFERROR(INDEX('Retirement Calculator'!J:J,MATCH('Isaac 401k'!N4192,'Retirement Calculator'!A:A,0),0),0)</f>
        <v>0</v>
      </c>
      <c r="K4192" s="455">
        <f t="shared" ca="1" si="181"/>
        <v>-25841421199.404835</v>
      </c>
      <c r="L4192" s="455">
        <f t="shared" ca="1" si="182"/>
        <v>-6227782509056.5654</v>
      </c>
      <c r="M4192" s="471">
        <f t="shared" si="184"/>
        <v>0.05</v>
      </c>
      <c r="N4192" s="475">
        <f t="shared" si="185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83"/>
        <v>-6227782509056.5654</v>
      </c>
      <c r="J4193" s="455">
        <f t="array" ref="J4193">IFERROR(INDEX('Retirement Calculator'!J:J,MATCH('Isaac 401k'!N4193,'Retirement Calculator'!A:A,0),0),0)</f>
        <v>0</v>
      </c>
      <c r="K4193" s="455">
        <f t="shared" ca="1" si="181"/>
        <v>-25949093787.735687</v>
      </c>
      <c r="L4193" s="455">
        <f t="shared" ca="1" si="182"/>
        <v>-6253731602844.3008</v>
      </c>
      <c r="M4193" s="471">
        <f t="shared" si="184"/>
        <v>0.05</v>
      </c>
      <c r="N4193" s="475">
        <f t="shared" si="185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83"/>
        <v>-6253731602844.3008</v>
      </c>
      <c r="J4194" s="455">
        <f t="array" ref="J4194">IFERROR(INDEX('Retirement Calculator'!J:J,MATCH('Isaac 401k'!N4194,'Retirement Calculator'!A:A,0),0),0)</f>
        <v>0</v>
      </c>
      <c r="K4194" s="455">
        <f t="shared" ca="1" si="181"/>
        <v>-26057215011.851254</v>
      </c>
      <c r="L4194" s="455">
        <f t="shared" ca="1" si="182"/>
        <v>-6279788817856.1523</v>
      </c>
      <c r="M4194" s="471">
        <f t="shared" si="184"/>
        <v>0.05</v>
      </c>
      <c r="N4194" s="475">
        <f t="shared" si="185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83"/>
        <v>-6279788817856.1523</v>
      </c>
      <c r="J4195" s="455">
        <f t="array" ref="J4195">IFERROR(INDEX('Retirement Calculator'!J:J,MATCH('Isaac 401k'!N4195,'Retirement Calculator'!A:A,0),0),0)</f>
        <v>0</v>
      </c>
      <c r="K4195" s="455">
        <f t="shared" ca="1" si="181"/>
        <v>-26165786741.067303</v>
      </c>
      <c r="L4195" s="455">
        <f t="shared" ca="1" si="182"/>
        <v>-6305954604597.2197</v>
      </c>
      <c r="M4195" s="471">
        <f t="shared" si="184"/>
        <v>0.05</v>
      </c>
      <c r="N4195" s="475">
        <f t="shared" si="185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83"/>
        <v>-6305954604597.2197</v>
      </c>
      <c r="J4196" s="455">
        <f t="array" ref="J4196">IFERROR(INDEX('Retirement Calculator'!J:J,MATCH('Isaac 401k'!N4196,'Retirement Calculator'!A:A,0),0),0)</f>
        <v>0</v>
      </c>
      <c r="K4196" s="455">
        <f t="shared" ca="1" si="181"/>
        <v>-26274810852.488415</v>
      </c>
      <c r="L4196" s="455">
        <f t="shared" ca="1" si="182"/>
        <v>-6332229415449.708</v>
      </c>
      <c r="M4196" s="471">
        <f t="shared" si="184"/>
        <v>0.05</v>
      </c>
      <c r="N4196" s="475">
        <f t="shared" si="185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83"/>
        <v>-6332229415449.708</v>
      </c>
      <c r="J4197" s="455">
        <f t="array" ref="J4197">IFERROR(INDEX('Retirement Calculator'!J:J,MATCH('Isaac 401k'!N4197,'Retirement Calculator'!A:A,0),0),0)</f>
        <v>0</v>
      </c>
      <c r="K4197" s="455">
        <f t="shared" ca="1" si="181"/>
        <v>-26384289231.040451</v>
      </c>
      <c r="L4197" s="455">
        <f t="shared" ca="1" si="182"/>
        <v>-6358613704680.748</v>
      </c>
      <c r="M4197" s="471">
        <f t="shared" si="184"/>
        <v>0.05</v>
      </c>
      <c r="N4197" s="475">
        <f t="shared" si="185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83"/>
        <v>-6358613704680.748</v>
      </c>
      <c r="J4198" s="455">
        <f t="array" ref="J4198">IFERROR(INDEX('Retirement Calculator'!J:J,MATCH('Isaac 401k'!N4198,'Retirement Calculator'!A:A,0),0),0)</f>
        <v>0</v>
      </c>
      <c r="K4198" s="455">
        <f t="shared" ca="1" si="181"/>
        <v>-26494223769.503117</v>
      </c>
      <c r="L4198" s="455">
        <f t="shared" ca="1" si="182"/>
        <v>-6385107928450.251</v>
      </c>
      <c r="M4198" s="471">
        <f t="shared" si="184"/>
        <v>0.05</v>
      </c>
      <c r="N4198" s="475">
        <f t="shared" si="185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83"/>
        <v>-6385107928450.251</v>
      </c>
      <c r="J4199" s="455">
        <f t="array" ref="J4199">IFERROR(INDEX('Retirement Calculator'!J:J,MATCH('Isaac 401k'!N4199,'Retirement Calculator'!A:A,0),0),0)</f>
        <v>0</v>
      </c>
      <c r="K4199" s="455">
        <f t="shared" ca="1" si="181"/>
        <v>-26604616368.542713</v>
      </c>
      <c r="L4199" s="455">
        <f t="shared" ca="1" si="182"/>
        <v>-6411712544818.7939</v>
      </c>
      <c r="M4199" s="471">
        <f t="shared" si="184"/>
        <v>0.05</v>
      </c>
      <c r="N4199" s="475">
        <f t="shared" si="185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83"/>
        <v>-6411712544818.7939</v>
      </c>
      <c r="J4200" s="455">
        <f t="array" ref="J4200">IFERROR(INDEX('Retirement Calculator'!J:J,MATCH('Isaac 401k'!N4200,'Retirement Calculator'!A:A,0),0),0)</f>
        <v>0</v>
      </c>
      <c r="K4200" s="455">
        <f t="shared" ca="1" si="181"/>
        <v>-26715468936.744976</v>
      </c>
      <c r="L4200" s="455">
        <f t="shared" ca="1" si="182"/>
        <v>-6438428013755.5391</v>
      </c>
      <c r="M4200" s="471">
        <f t="shared" si="184"/>
        <v>0.05</v>
      </c>
      <c r="N4200" s="475">
        <f t="shared" si="185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83"/>
        <v>-6438428013755.5391</v>
      </c>
      <c r="J4201" s="455">
        <f t="array" ref="J4201">IFERROR(INDEX('Retirement Calculator'!J:J,MATCH('Isaac 401k'!N4201,'Retirement Calculator'!A:A,0),0),0)</f>
        <v>0</v>
      </c>
      <c r="K4201" s="455">
        <f t="shared" ca="1" si="181"/>
        <v>-26826783390.648079</v>
      </c>
      <c r="L4201" s="455">
        <f t="shared" ca="1" si="182"/>
        <v>-6465254797146.1875</v>
      </c>
      <c r="M4201" s="471">
        <f t="shared" si="184"/>
        <v>0.05</v>
      </c>
      <c r="N4201" s="475">
        <f t="shared" si="185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83"/>
        <v>-6465254797146.1875</v>
      </c>
      <c r="J4202" s="455">
        <f t="array" ref="J4202">IFERROR(INDEX('Retirement Calculator'!J:J,MATCH('Isaac 401k'!N4202,'Retirement Calculator'!A:A,0),0),0)</f>
        <v>0</v>
      </c>
      <c r="K4202" s="455">
        <f t="shared" ca="1" si="181"/>
        <v>-26938561654.77578</v>
      </c>
      <c r="L4202" s="455">
        <f t="shared" ca="1" si="182"/>
        <v>-6492193358800.9629</v>
      </c>
      <c r="M4202" s="471">
        <f t="shared" si="184"/>
        <v>0.05</v>
      </c>
      <c r="N4202" s="475">
        <f t="shared" si="185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83"/>
        <v>-6492193358800.9629</v>
      </c>
      <c r="J4203" s="455">
        <f t="array" ref="J4203">IFERROR(INDEX('Retirement Calculator'!J:J,MATCH('Isaac 401k'!N4203,'Retirement Calculator'!A:A,0),0),0)</f>
        <v>0</v>
      </c>
      <c r="K4203" s="455">
        <f t="shared" ca="1" si="181"/>
        <v>-27050805661.670677</v>
      </c>
      <c r="L4203" s="455">
        <f t="shared" ca="1" si="182"/>
        <v>-6519244164462.6338</v>
      </c>
      <c r="M4203" s="471">
        <f t="shared" si="184"/>
        <v>0.05</v>
      </c>
      <c r="N4203" s="475">
        <f t="shared" si="185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83"/>
        <v>-6519244164462.6338</v>
      </c>
      <c r="J4204" s="455">
        <f t="array" ref="J4204">IFERROR(INDEX('Retirement Calculator'!J:J,MATCH('Isaac 401k'!N4204,'Retirement Calculator'!A:A,0),0),0)</f>
        <v>0</v>
      </c>
      <c r="K4204" s="455">
        <f t="shared" ca="1" si="181"/>
        <v>-27163517351.927639</v>
      </c>
      <c r="L4204" s="455">
        <f t="shared" ca="1" si="182"/>
        <v>-6546407681814.5615</v>
      </c>
      <c r="M4204" s="471">
        <f t="shared" si="184"/>
        <v>0.05</v>
      </c>
      <c r="N4204" s="475">
        <f t="shared" si="185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83"/>
        <v>-6546407681814.5615</v>
      </c>
      <c r="J4205" s="455">
        <f t="array" ref="J4205">IFERROR(INDEX('Retirement Calculator'!J:J,MATCH('Isaac 401k'!N4205,'Retirement Calculator'!A:A,0),0),0)</f>
        <v>0</v>
      </c>
      <c r="K4205" s="455">
        <f t="shared" ca="1" si="181"/>
        <v>-27276698674.227341</v>
      </c>
      <c r="L4205" s="455">
        <f t="shared" ca="1" si="182"/>
        <v>-6573684380488.7891</v>
      </c>
      <c r="M4205" s="471">
        <f t="shared" si="184"/>
        <v>0.05</v>
      </c>
      <c r="N4205" s="475">
        <f t="shared" si="185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83"/>
        <v>-6573684380488.7891</v>
      </c>
      <c r="J4206" s="455">
        <f t="array" ref="J4206">IFERROR(INDEX('Retirement Calculator'!J:J,MATCH('Isaac 401k'!N4206,'Retirement Calculator'!A:A,0),0),0)</f>
        <v>0</v>
      </c>
      <c r="K4206" s="455">
        <f t="shared" ca="1" si="181"/>
        <v>-27390351585.369953</v>
      </c>
      <c r="L4206" s="455">
        <f t="shared" ca="1" si="182"/>
        <v>-6601074732074.1592</v>
      </c>
      <c r="M4206" s="471">
        <f t="shared" si="184"/>
        <v>0.05</v>
      </c>
      <c r="N4206" s="475">
        <f t="shared" si="185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83"/>
        <v>-6601074732074.1592</v>
      </c>
      <c r="J4207" s="455">
        <f t="array" ref="J4207">IFERROR(INDEX('Retirement Calculator'!J:J,MATCH('Isaac 401k'!N4207,'Retirement Calculator'!A:A,0),0),0)</f>
        <v>0</v>
      </c>
      <c r="K4207" s="455">
        <f t="shared" ca="1" si="181"/>
        <v>-27504478050.308998</v>
      </c>
      <c r="L4207" s="455">
        <f t="shared" ca="1" si="182"/>
        <v>-6628579210124.4678</v>
      </c>
      <c r="M4207" s="471">
        <f t="shared" si="184"/>
        <v>0.05</v>
      </c>
      <c r="N4207" s="475">
        <f t="shared" si="185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83"/>
        <v>-6628579210124.4678</v>
      </c>
      <c r="J4208" s="455">
        <f t="array" ref="J4208">IFERROR(INDEX('Retirement Calculator'!J:J,MATCH('Isaac 401k'!N4208,'Retirement Calculator'!A:A,0),0),0)</f>
        <v>0</v>
      </c>
      <c r="K4208" s="455">
        <f t="shared" ca="1" si="181"/>
        <v>-27619080042.185284</v>
      </c>
      <c r="L4208" s="455">
        <f t="shared" ca="1" si="182"/>
        <v>-6656198290166.6533</v>
      </c>
      <c r="M4208" s="471">
        <f t="shared" si="184"/>
        <v>0.05</v>
      </c>
      <c r="N4208" s="475">
        <f t="shared" si="185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83"/>
        <v>-6656198290166.6533</v>
      </c>
      <c r="J4209" s="455">
        <f t="array" ref="J4209">IFERROR(INDEX('Retirement Calculator'!J:J,MATCH('Isaac 401k'!N4209,'Retirement Calculator'!A:A,0),0),0)</f>
        <v>0</v>
      </c>
      <c r="K4209" s="455">
        <f t="shared" ca="1" si="181"/>
        <v>-27734159542.361053</v>
      </c>
      <c r="L4209" s="455">
        <f t="shared" ca="1" si="182"/>
        <v>-6683932449709.0146</v>
      </c>
      <c r="M4209" s="471">
        <f t="shared" si="184"/>
        <v>0.05</v>
      </c>
      <c r="N4209" s="475">
        <f t="shared" si="185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83"/>
        <v>-6683932449709.0146</v>
      </c>
      <c r="J4210" s="455">
        <f t="array" ref="J4210">IFERROR(INDEX('Retirement Calculator'!J:J,MATCH('Isaac 401k'!N4210,'Retirement Calculator'!A:A,0),0),0)</f>
        <v>0</v>
      </c>
      <c r="K4210" s="455">
        <f t="shared" ca="1" si="181"/>
        <v>-27849718540.454227</v>
      </c>
      <c r="L4210" s="455">
        <f t="shared" ca="1" si="182"/>
        <v>-6711782168249.4688</v>
      </c>
      <c r="M4210" s="471">
        <f t="shared" si="184"/>
        <v>0.05</v>
      </c>
      <c r="N4210" s="475">
        <f t="shared" si="185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83"/>
        <v>-6711782168249.4688</v>
      </c>
      <c r="J4211" s="455">
        <f t="array" ref="J4211">IFERROR(INDEX('Retirement Calculator'!J:J,MATCH('Isaac 401k'!N4211,'Retirement Calculator'!A:A,0),0),0)</f>
        <v>0</v>
      </c>
      <c r="K4211" s="455">
        <f t="shared" ca="1" si="181"/>
        <v>-27965759034.372787</v>
      </c>
      <c r="L4211" s="455">
        <f t="shared" ca="1" si="182"/>
        <v>-6739747927283.8418</v>
      </c>
      <c r="M4211" s="471">
        <f t="shared" si="184"/>
        <v>0.05</v>
      </c>
      <c r="N4211" s="475">
        <f t="shared" si="185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83"/>
        <v>-6739747927283.8418</v>
      </c>
      <c r="J4212" s="455">
        <f t="array" ref="J4212">IFERROR(INDEX('Retirement Calculator'!J:J,MATCH('Isaac 401k'!N4212,'Retirement Calculator'!A:A,0),0),0)</f>
        <v>0</v>
      </c>
      <c r="K4212" s="455">
        <f t="shared" ca="1" si="181"/>
        <v>-28082283030.349339</v>
      </c>
      <c r="L4212" s="455">
        <f t="shared" ca="1" si="182"/>
        <v>-6767830210314.1914</v>
      </c>
      <c r="M4212" s="471">
        <f t="shared" si="184"/>
        <v>0.05</v>
      </c>
      <c r="N4212" s="475">
        <f t="shared" si="185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83"/>
        <v>-6767830210314.1914</v>
      </c>
      <c r="J4213" s="455">
        <f t="array" ref="J4213">IFERROR(INDEX('Retirement Calculator'!J:J,MATCH('Isaac 401k'!N4213,'Retirement Calculator'!A:A,0),0),0)</f>
        <v>0</v>
      </c>
      <c r="K4213" s="455">
        <f t="shared" ca="1" si="181"/>
        <v>-28199292542.975796</v>
      </c>
      <c r="L4213" s="455">
        <f t="shared" ca="1" si="182"/>
        <v>-6796029502857.167</v>
      </c>
      <c r="M4213" s="471">
        <f t="shared" si="184"/>
        <v>0.05</v>
      </c>
      <c r="N4213" s="475">
        <f t="shared" si="185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83"/>
        <v>-6796029502857.167</v>
      </c>
      <c r="J4214" s="455">
        <f t="array" ref="J4214">IFERROR(INDEX('Retirement Calculator'!J:J,MATCH('Isaac 401k'!N4214,'Retirement Calculator'!A:A,0),0),0)</f>
        <v>0</v>
      </c>
      <c r="K4214" s="455">
        <f t="shared" ca="1" si="181"/>
        <v>-28316789595.238194</v>
      </c>
      <c r="L4214" s="455">
        <f t="shared" ca="1" si="182"/>
        <v>-6824346292452.4053</v>
      </c>
      <c r="M4214" s="471">
        <f t="shared" si="184"/>
        <v>0.05</v>
      </c>
      <c r="N4214" s="475">
        <f t="shared" si="185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83"/>
        <v>-6824346292452.4053</v>
      </c>
      <c r="J4215" s="455">
        <f t="array" ref="J4215">IFERROR(INDEX('Retirement Calculator'!J:J,MATCH('Isaac 401k'!N4215,'Retirement Calculator'!A:A,0),0),0)</f>
        <v>0</v>
      </c>
      <c r="K4215" s="455">
        <f t="shared" ca="1" si="181"/>
        <v>-28434776218.551689</v>
      </c>
      <c r="L4215" s="455">
        <f t="shared" ca="1" si="182"/>
        <v>-6852781068670.957</v>
      </c>
      <c r="M4215" s="471">
        <f t="shared" si="184"/>
        <v>0.05</v>
      </c>
      <c r="N4215" s="475">
        <f t="shared" si="185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83"/>
        <v>-6852781068670.957</v>
      </c>
      <c r="J4216" s="455">
        <f t="array" ref="J4216">IFERROR(INDEX('Retirement Calculator'!J:J,MATCH('Isaac 401k'!N4216,'Retirement Calculator'!A:A,0),0),0)</f>
        <v>0</v>
      </c>
      <c r="K4216" s="455">
        <f t="shared" ca="1" si="181"/>
        <v>-28553254452.795654</v>
      </c>
      <c r="L4216" s="455">
        <f t="shared" ca="1" si="182"/>
        <v>-6881334323123.7529</v>
      </c>
      <c r="M4216" s="471">
        <f t="shared" si="184"/>
        <v>0.05</v>
      </c>
      <c r="N4216" s="475">
        <f t="shared" si="185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83"/>
        <v>-6881334323123.7529</v>
      </c>
      <c r="J4217" s="455">
        <f t="array" ref="J4217">IFERROR(INDEX('Retirement Calculator'!J:J,MATCH('Isaac 401k'!N4217,'Retirement Calculator'!A:A,0),0),0)</f>
        <v>0</v>
      </c>
      <c r="K4217" s="455">
        <f t="shared" ca="1" si="181"/>
        <v>-28672226346.348969</v>
      </c>
      <c r="L4217" s="455">
        <f t="shared" ca="1" si="182"/>
        <v>-6910006549470.1016</v>
      </c>
      <c r="M4217" s="471">
        <f t="shared" si="184"/>
        <v>0.05</v>
      </c>
      <c r="N4217" s="475">
        <f t="shared" si="185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83"/>
        <v>-6910006549470.1016</v>
      </c>
      <c r="J4218" s="455">
        <f t="array" ref="J4218">IFERROR(INDEX('Retirement Calculator'!J:J,MATCH('Isaac 401k'!N4218,'Retirement Calculator'!A:A,0),0),0)</f>
        <v>0</v>
      </c>
      <c r="K4218" s="455">
        <f t="shared" ca="1" si="181"/>
        <v>-28791693956.12542</v>
      </c>
      <c r="L4218" s="455">
        <f t="shared" ca="1" si="182"/>
        <v>-6938798243426.2266</v>
      </c>
      <c r="M4218" s="471">
        <f t="shared" si="184"/>
        <v>0.05</v>
      </c>
      <c r="N4218" s="475">
        <f t="shared" si="185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83"/>
        <v>-6938798243426.2266</v>
      </c>
      <c r="J4219" s="455">
        <f t="array" ref="J4219">IFERROR(INDEX('Retirement Calculator'!J:J,MATCH('Isaac 401k'!N4219,'Retirement Calculator'!A:A,0),0),0)</f>
        <v>0</v>
      </c>
      <c r="K4219" s="455">
        <f t="shared" ca="1" si="181"/>
        <v>-28911659347.609272</v>
      </c>
      <c r="L4219" s="455">
        <f t="shared" ca="1" si="182"/>
        <v>-6967709902773.8359</v>
      </c>
      <c r="M4219" s="471">
        <f t="shared" si="184"/>
        <v>0.05</v>
      </c>
      <c r="N4219" s="475">
        <f t="shared" si="185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83"/>
        <v>-6967709902773.8359</v>
      </c>
      <c r="J4220" s="455">
        <f t="array" ref="J4220">IFERROR(INDEX('Retirement Calculator'!J:J,MATCH('Isaac 401k'!N4220,'Retirement Calculator'!A:A,0),0),0)</f>
        <v>0</v>
      </c>
      <c r="K4220" s="455">
        <f t="shared" ca="1" si="181"/>
        <v>-29032124594.890984</v>
      </c>
      <c r="L4220" s="455">
        <f t="shared" ca="1" si="182"/>
        <v>-6996742027368.7266</v>
      </c>
      <c r="M4220" s="471">
        <f t="shared" si="184"/>
        <v>0.05</v>
      </c>
      <c r="N4220" s="475">
        <f t="shared" si="185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83"/>
        <v>-6996742027368.7266</v>
      </c>
      <c r="J4221" s="455">
        <f t="array" ref="J4221">IFERROR(INDEX('Retirement Calculator'!J:J,MATCH('Isaac 401k'!N4221,'Retirement Calculator'!A:A,0),0),0)</f>
        <v>0</v>
      </c>
      <c r="K4221" s="455">
        <f t="shared" ca="1" si="181"/>
        <v>-29153091780.703026</v>
      </c>
      <c r="L4221" s="455">
        <f t="shared" ca="1" si="182"/>
        <v>-7025895119149.4297</v>
      </c>
      <c r="M4221" s="471">
        <f t="shared" si="184"/>
        <v>0.05</v>
      </c>
      <c r="N4221" s="475">
        <f t="shared" si="185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83"/>
        <v>-7025895119149.4297</v>
      </c>
      <c r="J4222" s="455">
        <f t="array" ref="J4222">IFERROR(INDEX('Retirement Calculator'!J:J,MATCH('Isaac 401k'!N4222,'Retirement Calculator'!A:A,0),0),0)</f>
        <v>0</v>
      </c>
      <c r="K4222" s="455">
        <f t="shared" ca="1" si="181"/>
        <v>-29274562996.455952</v>
      </c>
      <c r="L4222" s="455">
        <f t="shared" ca="1" si="182"/>
        <v>-7055169682145.8857</v>
      </c>
      <c r="M4222" s="471">
        <f t="shared" si="184"/>
        <v>0.05</v>
      </c>
      <c r="N4222" s="475">
        <f t="shared" si="185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83"/>
        <v>-7055169682145.8857</v>
      </c>
      <c r="J4223" s="455">
        <f t="array" ref="J4223">IFERROR(INDEX('Retirement Calculator'!J:J,MATCH('Isaac 401k'!N4223,'Retirement Calculator'!A:A,0),0),0)</f>
        <v>0</v>
      </c>
      <c r="K4223" s="455">
        <f t="shared" ca="1" si="181"/>
        <v>-29396540342.274525</v>
      </c>
      <c r="L4223" s="455">
        <f t="shared" ca="1" si="182"/>
        <v>-7084566222488.1602</v>
      </c>
      <c r="M4223" s="471">
        <f t="shared" si="184"/>
        <v>0.05</v>
      </c>
      <c r="N4223" s="475">
        <f t="shared" si="185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83"/>
        <v>-7084566222488.1602</v>
      </c>
      <c r="J4224" s="455">
        <f t="array" ref="J4224">IFERROR(INDEX('Retirement Calculator'!J:J,MATCH('Isaac 401k'!N4224,'Retirement Calculator'!A:A,0),0),0)</f>
        <v>0</v>
      </c>
      <c r="K4224" s="455">
        <f t="shared" ca="1" si="181"/>
        <v>-29519025927.034</v>
      </c>
      <c r="L4224" s="455">
        <f t="shared" ca="1" si="182"/>
        <v>-7114085248415.1943</v>
      </c>
      <c r="M4224" s="471">
        <f t="shared" si="184"/>
        <v>0.05</v>
      </c>
      <c r="N4224" s="475">
        <f t="shared" si="185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83"/>
        <v>-7114085248415.1943</v>
      </c>
      <c r="J4225" s="455">
        <f t="array" ref="J4225">IFERROR(INDEX('Retirement Calculator'!J:J,MATCH('Isaac 401k'!N4225,'Retirement Calculator'!A:A,0),0),0)</f>
        <v>0</v>
      </c>
      <c r="K4225" s="455">
        <f t="shared" ca="1" si="181"/>
        <v>-29642021868.396641</v>
      </c>
      <c r="L4225" s="455">
        <f t="shared" ca="1" si="182"/>
        <v>-7143727270283.5908</v>
      </c>
      <c r="M4225" s="471">
        <f t="shared" si="184"/>
        <v>0.05</v>
      </c>
      <c r="N4225" s="475">
        <f t="shared" si="185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83"/>
        <v>-7143727270283.5908</v>
      </c>
      <c r="J4226" s="455">
        <f t="array" ref="J4226">IFERROR(INDEX('Retirement Calculator'!J:J,MATCH('Isaac 401k'!N4226,'Retirement Calculator'!A:A,0),0),0)</f>
        <v>0</v>
      </c>
      <c r="K4226" s="455">
        <f t="shared" ca="1" si="181"/>
        <v>-29765530292.848293</v>
      </c>
      <c r="L4226" s="455">
        <f t="shared" ca="1" si="182"/>
        <v>-7173492800576.4395</v>
      </c>
      <c r="M4226" s="471">
        <f t="shared" si="184"/>
        <v>0.05</v>
      </c>
      <c r="N4226" s="475">
        <f t="shared" si="185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83"/>
        <v>-7173492800576.4395</v>
      </c>
      <c r="J4227" s="455">
        <f t="array" ref="J4227">IFERROR(INDEX('Retirement Calculator'!J:J,MATCH('Isaac 401k'!N4227,'Retirement Calculator'!A:A,0),0),0)</f>
        <v>0</v>
      </c>
      <c r="K4227" s="455">
        <f t="shared" ca="1" si="181"/>
        <v>-29889553335.735168</v>
      </c>
      <c r="L4227" s="455">
        <f t="shared" ca="1" si="182"/>
        <v>-7203382353912.1748</v>
      </c>
      <c r="M4227" s="471">
        <f t="shared" si="184"/>
        <v>0.05</v>
      </c>
      <c r="N4227" s="475">
        <f t="shared" si="185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83"/>
        <v>-7203382353912.1748</v>
      </c>
      <c r="J4228" s="455">
        <f t="array" ref="J4228">IFERROR(INDEX('Retirement Calculator'!J:J,MATCH('Isaac 401k'!N4228,'Retirement Calculator'!A:A,0),0),0)</f>
        <v>0</v>
      </c>
      <c r="K4228" s="455">
        <f t="shared" ca="1" si="181"/>
        <v>-30014093141.300728</v>
      </c>
      <c r="L4228" s="455">
        <f t="shared" ca="1" si="182"/>
        <v>-7233396447053.4756</v>
      </c>
      <c r="M4228" s="471">
        <f t="shared" si="184"/>
        <v>0.05</v>
      </c>
      <c r="N4228" s="475">
        <f t="shared" si="185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83"/>
        <v>-7233396447053.4756</v>
      </c>
      <c r="J4229" s="455">
        <f t="array" ref="J4229">IFERROR(INDEX('Retirement Calculator'!J:J,MATCH('Isaac 401k'!N4229,'Retirement Calculator'!A:A,0),0),0)</f>
        <v>0</v>
      </c>
      <c r="K4229" s="455">
        <f t="shared" ca="1" si="181"/>
        <v>-30139151862.722813</v>
      </c>
      <c r="L4229" s="455">
        <f t="shared" ca="1" si="182"/>
        <v>-7263535598916.1982</v>
      </c>
      <c r="M4229" s="471">
        <f t="shared" si="184"/>
        <v>0.05</v>
      </c>
      <c r="N4229" s="475">
        <f t="shared" si="185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83"/>
        <v>-7263535598916.1982</v>
      </c>
      <c r="J4230" s="455">
        <f t="array" ref="J4230">IFERROR(INDEX('Retirement Calculator'!J:J,MATCH('Isaac 401k'!N4230,'Retirement Calculator'!A:A,0),0),0)</f>
        <v>0</v>
      </c>
      <c r="K4230" s="455">
        <f t="shared" ca="1" si="181"/>
        <v>-30264731662.150829</v>
      </c>
      <c r="L4230" s="455">
        <f t="shared" ca="1" si="182"/>
        <v>-7293800330578.3486</v>
      </c>
      <c r="M4230" s="471">
        <f t="shared" si="184"/>
        <v>0.05</v>
      </c>
      <c r="N4230" s="475">
        <f t="shared" si="185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83"/>
        <v>-7293800330578.3486</v>
      </c>
      <c r="J4231" s="455">
        <f t="array" ref="J4231">IFERROR(INDEX('Retirement Calculator'!J:J,MATCH('Isaac 401k'!N4231,'Retirement Calculator'!A:A,0),0),0)</f>
        <v>0</v>
      </c>
      <c r="K4231" s="455">
        <f t="shared" ca="1" si="181"/>
        <v>-30390834710.743122</v>
      </c>
      <c r="L4231" s="455">
        <f t="shared" ca="1" si="182"/>
        <v>-7324191165289.0918</v>
      </c>
      <c r="M4231" s="471">
        <f t="shared" si="184"/>
        <v>0.05</v>
      </c>
      <c r="N4231" s="475">
        <f t="shared" si="185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83"/>
        <v>-7324191165289.0918</v>
      </c>
      <c r="J4232" s="455">
        <f t="array" ref="J4232">IFERROR(INDEX('Retirement Calculator'!J:J,MATCH('Isaac 401k'!N4232,'Retirement Calculator'!A:A,0),0),0)</f>
        <v>0</v>
      </c>
      <c r="K4232" s="455">
        <f t="shared" ca="1" si="181"/>
        <v>-30517463188.704548</v>
      </c>
      <c r="L4232" s="455">
        <f t="shared" ca="1" si="182"/>
        <v>-7354708628477.7959</v>
      </c>
      <c r="M4232" s="471">
        <f t="shared" si="184"/>
        <v>0.05</v>
      </c>
      <c r="N4232" s="475">
        <f t="shared" si="185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83"/>
        <v>-7354708628477.7959</v>
      </c>
      <c r="J4233" s="455">
        <f t="array" ref="J4233">IFERROR(INDEX('Retirement Calculator'!J:J,MATCH('Isaac 401k'!N4233,'Retirement Calculator'!A:A,0),0),0)</f>
        <v>0</v>
      </c>
      <c r="K4233" s="455">
        <f t="shared" ca="1" si="181"/>
        <v>-30644619285.324146</v>
      </c>
      <c r="L4233" s="455">
        <f t="shared" ca="1" si="182"/>
        <v>-7385353247763.1201</v>
      </c>
      <c r="M4233" s="471">
        <f t="shared" si="184"/>
        <v>0.05</v>
      </c>
      <c r="N4233" s="475">
        <f t="shared" si="185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83"/>
        <v>-7385353247763.1201</v>
      </c>
      <c r="J4234" s="455">
        <f t="array" ref="J4234">IFERROR(INDEX('Retirement Calculator'!J:J,MATCH('Isaac 401k'!N4234,'Retirement Calculator'!A:A,0),0),0)</f>
        <v>0</v>
      </c>
      <c r="K4234" s="455">
        <f t="shared" ca="1" si="181"/>
        <v>-30772305199.013</v>
      </c>
      <c r="L4234" s="455">
        <f t="shared" ca="1" si="182"/>
        <v>-7416125552962.1328</v>
      </c>
      <c r="M4234" s="471">
        <f t="shared" si="184"/>
        <v>0.05</v>
      </c>
      <c r="N4234" s="475">
        <f t="shared" si="185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83"/>
        <v>-7416125552962.1328</v>
      </c>
      <c r="J4235" s="455">
        <f t="array" ref="J4235">IFERROR(INDEX('Retirement Calculator'!J:J,MATCH('Isaac 401k'!N4235,'Retirement Calculator'!A:A,0),0),0)</f>
        <v>0</v>
      </c>
      <c r="K4235" s="455">
        <f t="shared" ca="1" si="181"/>
        <v>-30900523137.34222</v>
      </c>
      <c r="L4235" s="455">
        <f t="shared" ca="1" si="182"/>
        <v>-7447026076099.4746</v>
      </c>
      <c r="M4235" s="471">
        <f t="shared" si="184"/>
        <v>0.05</v>
      </c>
      <c r="N4235" s="475">
        <f t="shared" si="185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83"/>
        <v>-7447026076099.4746</v>
      </c>
      <c r="J4236" s="455">
        <f t="array" ref="J4236">IFERROR(INDEX('Retirement Calculator'!J:J,MATCH('Isaac 401k'!N4236,'Retirement Calculator'!A:A,0),0),0)</f>
        <v>0</v>
      </c>
      <c r="K4236" s="455">
        <f t="shared" ca="1" si="181"/>
        <v>-31029275317.081146</v>
      </c>
      <c r="L4236" s="455">
        <f t="shared" ca="1" si="182"/>
        <v>-7478055351416.5557</v>
      </c>
      <c r="M4236" s="471">
        <f t="shared" si="184"/>
        <v>0.05</v>
      </c>
      <c r="N4236" s="475">
        <f t="shared" si="185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83"/>
        <v>-7478055351416.5557</v>
      </c>
      <c r="J4237" s="455">
        <f t="array" ref="J4237">IFERROR(INDEX('Retirement Calculator'!J:J,MATCH('Isaac 401k'!N4237,'Retirement Calculator'!A:A,0),0),0)</f>
        <v>0</v>
      </c>
      <c r="K4237" s="455">
        <f t="shared" ca="1" si="181"/>
        <v>-31158563964.235649</v>
      </c>
      <c r="L4237" s="455">
        <f t="shared" ca="1" si="182"/>
        <v>-7509213915380.791</v>
      </c>
      <c r="M4237" s="471">
        <f t="shared" si="184"/>
        <v>0.05</v>
      </c>
      <c r="N4237" s="475">
        <f t="shared" si="185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83"/>
        <v>-7509213915380.791</v>
      </c>
      <c r="J4238" s="455">
        <f t="array" ref="J4238">IFERROR(INDEX('Retirement Calculator'!J:J,MATCH('Isaac 401k'!N4238,'Retirement Calculator'!A:A,0),0),0)</f>
        <v>0</v>
      </c>
      <c r="K4238" s="455">
        <f t="shared" ca="1" si="181"/>
        <v>-31288391314.086628</v>
      </c>
      <c r="L4238" s="455">
        <f t="shared" ca="1" si="182"/>
        <v>-7540502306694.8779</v>
      </c>
      <c r="M4238" s="471">
        <f t="shared" si="184"/>
        <v>0.05</v>
      </c>
      <c r="N4238" s="475">
        <f t="shared" si="185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83"/>
        <v>-7540502306694.8779</v>
      </c>
      <c r="J4239" s="455">
        <f t="array" ref="J4239">IFERROR(INDEX('Retirement Calculator'!J:J,MATCH('Isaac 401k'!N4239,'Retirement Calculator'!A:A,0),0),0)</f>
        <v>0</v>
      </c>
      <c r="K4239" s="455">
        <f t="shared" ca="1" si="181"/>
        <v>-31418759611.228657</v>
      </c>
      <c r="L4239" s="455">
        <f t="shared" ca="1" si="182"/>
        <v>-7571921066306.1064</v>
      </c>
      <c r="M4239" s="471">
        <f t="shared" si="184"/>
        <v>0.05</v>
      </c>
      <c r="N4239" s="475">
        <f t="shared" si="185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83"/>
        <v>-7571921066306.1064</v>
      </c>
      <c r="J4240" s="455">
        <f t="array" ref="J4240">IFERROR(INDEX('Retirement Calculator'!J:J,MATCH('Isaac 401k'!N4240,'Retirement Calculator'!A:A,0),0),0)</f>
        <v>0</v>
      </c>
      <c r="K4240" s="455">
        <f t="shared" ca="1" si="181"/>
        <v>-31549671109.60878</v>
      </c>
      <c r="L4240" s="455">
        <f t="shared" ca="1" si="182"/>
        <v>-7603470737415.7148</v>
      </c>
      <c r="M4240" s="471">
        <f t="shared" si="184"/>
        <v>0.05</v>
      </c>
      <c r="N4240" s="475">
        <f t="shared" si="185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83"/>
        <v>-7603470737415.7148</v>
      </c>
      <c r="J4241" s="455">
        <f t="array" ref="J4241">IFERROR(INDEX('Retirement Calculator'!J:J,MATCH('Isaac 401k'!N4241,'Retirement Calculator'!A:A,0),0),0)</f>
        <v>0</v>
      </c>
      <c r="K4241" s="455">
        <f t="shared" ca="1" si="181"/>
        <v>-31681128072.565483</v>
      </c>
      <c r="L4241" s="455">
        <f t="shared" ca="1" si="182"/>
        <v>-7635151865488.2803</v>
      </c>
      <c r="M4241" s="471">
        <f t="shared" si="184"/>
        <v>0.05</v>
      </c>
      <c r="N4241" s="475">
        <f t="shared" si="185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83"/>
        <v>-7635151865488.2803</v>
      </c>
      <c r="J4242" s="455">
        <f t="array" ref="J4242">IFERROR(INDEX('Retirement Calculator'!J:J,MATCH('Isaac 401k'!N4242,'Retirement Calculator'!A:A,0),0),0)</f>
        <v>0</v>
      </c>
      <c r="K4242" s="455">
        <f t="shared" ca="1" si="181"/>
        <v>-31813132772.867832</v>
      </c>
      <c r="L4242" s="455">
        <f t="shared" ca="1" si="182"/>
        <v>-7666964998261.1484</v>
      </c>
      <c r="M4242" s="471">
        <f t="shared" si="184"/>
        <v>0.05</v>
      </c>
      <c r="N4242" s="475">
        <f t="shared" si="185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83"/>
        <v>-7666964998261.1484</v>
      </c>
      <c r="J4243" s="455">
        <f t="array" ref="J4243">IFERROR(INDEX('Retirement Calculator'!J:J,MATCH('Isaac 401k'!N4243,'Retirement Calculator'!A:A,0),0),0)</f>
        <v>0</v>
      </c>
      <c r="K4243" s="455">
        <f t="shared" ca="1" si="181"/>
        <v>-31945687492.75478</v>
      </c>
      <c r="L4243" s="455">
        <f t="shared" ca="1" si="182"/>
        <v>-7698910685753.9033</v>
      </c>
      <c r="M4243" s="471">
        <f t="shared" si="184"/>
        <v>0.05</v>
      </c>
      <c r="N4243" s="475">
        <f t="shared" si="185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83"/>
        <v>-7698910685753.9033</v>
      </c>
      <c r="J4244" s="455">
        <f t="array" ref="J4244">IFERROR(INDEX('Retirement Calculator'!J:J,MATCH('Isaac 401k'!N4244,'Retirement Calculator'!A:A,0),0),0)</f>
        <v>0</v>
      </c>
      <c r="K4244" s="455">
        <f t="shared" ca="1" si="181"/>
        <v>-32078794523.974598</v>
      </c>
      <c r="L4244" s="455">
        <f t="shared" ca="1" si="182"/>
        <v>-7730989480277.8779</v>
      </c>
      <c r="M4244" s="471">
        <f t="shared" si="184"/>
        <v>0.05</v>
      </c>
      <c r="N4244" s="475">
        <f t="shared" si="185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83"/>
        <v>-7730989480277.8779</v>
      </c>
      <c r="J4245" s="455">
        <f t="array" ref="J4245">IFERROR(INDEX('Retirement Calculator'!J:J,MATCH('Isaac 401k'!N4245,'Retirement Calculator'!A:A,0),0),0)</f>
        <v>0</v>
      </c>
      <c r="K4245" s="455">
        <f t="shared" ca="1" si="181"/>
        <v>-32212456167.82449</v>
      </c>
      <c r="L4245" s="455">
        <f t="shared" ca="1" si="182"/>
        <v>-7763201936445.7021</v>
      </c>
      <c r="M4245" s="471">
        <f t="shared" si="184"/>
        <v>0.05</v>
      </c>
      <c r="N4245" s="475">
        <f t="shared" si="185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83"/>
        <v>-7763201936445.7021</v>
      </c>
      <c r="J4246" s="455">
        <f t="array" ref="J4246">IFERROR(INDEX('Retirement Calculator'!J:J,MATCH('Isaac 401k'!N4246,'Retirement Calculator'!A:A,0),0),0)</f>
        <v>0</v>
      </c>
      <c r="K4246" s="455">
        <f t="shared" ca="1" si="181"/>
        <v>-32346674735.190426</v>
      </c>
      <c r="L4246" s="455">
        <f t="shared" ca="1" si="182"/>
        <v>-7795548611180.8926</v>
      </c>
      <c r="M4246" s="471">
        <f t="shared" si="184"/>
        <v>0.05</v>
      </c>
      <c r="N4246" s="475">
        <f t="shared" si="185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83"/>
        <v>-7795548611180.8926</v>
      </c>
      <c r="J4247" s="455">
        <f t="array" ref="J4247">IFERROR(INDEX('Retirement Calculator'!J:J,MATCH('Isaac 401k'!N4247,'Retirement Calculator'!A:A,0),0),0)</f>
        <v>0</v>
      </c>
      <c r="K4247" s="455">
        <f t="shared" ca="1" si="181"/>
        <v>-32481452546.587051</v>
      </c>
      <c r="L4247" s="455">
        <f t="shared" ca="1" si="182"/>
        <v>-7828030063727.4795</v>
      </c>
      <c r="M4247" s="471">
        <f t="shared" si="184"/>
        <v>0.05</v>
      </c>
      <c r="N4247" s="475">
        <f t="shared" si="185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83"/>
        <v>-7828030063727.4795</v>
      </c>
      <c r="J4248" s="455">
        <f t="array" ref="J4248">IFERROR(INDEX('Retirement Calculator'!J:J,MATCH('Isaac 401k'!N4248,'Retirement Calculator'!A:A,0),0),0)</f>
        <v>0</v>
      </c>
      <c r="K4248" s="455">
        <f t="shared" ca="1" si="181"/>
        <v>-32616791932.197834</v>
      </c>
      <c r="L4248" s="455">
        <f t="shared" ca="1" si="182"/>
        <v>-7860646855659.6777</v>
      </c>
      <c r="M4248" s="471">
        <f t="shared" si="184"/>
        <v>0.05</v>
      </c>
      <c r="N4248" s="475">
        <f t="shared" si="185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83"/>
        <v>-7860646855659.6777</v>
      </c>
      <c r="J4249" s="455">
        <f t="array" ref="J4249">IFERROR(INDEX('Retirement Calculator'!J:J,MATCH('Isaac 401k'!N4249,'Retirement Calculator'!A:A,0),0),0)</f>
        <v>0</v>
      </c>
      <c r="K4249" s="455">
        <f t="shared" ca="1" si="181"/>
        <v>-32752695231.915325</v>
      </c>
      <c r="L4249" s="455">
        <f t="shared" ca="1" si="182"/>
        <v>-7893399550891.5928</v>
      </c>
      <c r="M4249" s="471">
        <f t="shared" si="184"/>
        <v>0.05</v>
      </c>
      <c r="N4249" s="475">
        <f t="shared" si="185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83"/>
        <v>-7893399550891.5928</v>
      </c>
      <c r="J4250" s="455">
        <f t="array" ref="J4250">IFERROR(INDEX('Retirement Calculator'!J:J,MATCH('Isaac 401k'!N4250,'Retirement Calculator'!A:A,0),0),0)</f>
        <v>0</v>
      </c>
      <c r="K4250" s="455">
        <f t="shared" ca="1" si="181"/>
        <v>-32889164795.381638</v>
      </c>
      <c r="L4250" s="455">
        <f t="shared" ca="1" si="182"/>
        <v>-7926288715686.9746</v>
      </c>
      <c r="M4250" s="471">
        <f t="shared" si="184"/>
        <v>0.05</v>
      </c>
      <c r="N4250" s="475">
        <f t="shared" si="185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83"/>
        <v>-7926288715686.9746</v>
      </c>
      <c r="J4251" s="455">
        <f t="array" ref="J4251">IFERROR(INDEX('Retirement Calculator'!J:J,MATCH('Isaac 401k'!N4251,'Retirement Calculator'!A:A,0),0),0)</f>
        <v>0</v>
      </c>
      <c r="K4251" s="455">
        <f t="shared" ca="1" si="181"/>
        <v>-33026202982.02906</v>
      </c>
      <c r="L4251" s="455">
        <f t="shared" ca="1" si="182"/>
        <v>-7959314918669.0039</v>
      </c>
      <c r="M4251" s="471">
        <f t="shared" si="184"/>
        <v>0.05</v>
      </c>
      <c r="N4251" s="475">
        <f t="shared" si="185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83"/>
        <v>-7959314918669.0039</v>
      </c>
      <c r="J4252" s="455">
        <f t="array" ref="J4252">IFERROR(INDEX('Retirement Calculator'!J:J,MATCH('Isaac 401k'!N4252,'Retirement Calculator'!A:A,0),0),0)</f>
        <v>0</v>
      </c>
      <c r="K4252" s="455">
        <f t="shared" ca="1" si="181"/>
        <v>-33163812161.12085</v>
      </c>
      <c r="L4252" s="455">
        <f t="shared" ca="1" si="182"/>
        <v>-7992478730830.125</v>
      </c>
      <c r="M4252" s="471">
        <f t="shared" si="184"/>
        <v>0.05</v>
      </c>
      <c r="N4252" s="475">
        <f t="shared" si="185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83"/>
        <v>-7992478730830.125</v>
      </c>
      <c r="J4253" s="455">
        <f t="array" ref="J4253">IFERROR(INDEX('Retirement Calculator'!J:J,MATCH('Isaac 401k'!N4253,'Retirement Calculator'!A:A,0),0),0)</f>
        <v>0</v>
      </c>
      <c r="K4253" s="455">
        <f t="shared" ca="1" si="181"/>
        <v>-33301994711.792187</v>
      </c>
      <c r="L4253" s="455">
        <f t="shared" ca="1" si="182"/>
        <v>-8025780725541.917</v>
      </c>
      <c r="M4253" s="471">
        <f t="shared" si="184"/>
        <v>0.05</v>
      </c>
      <c r="N4253" s="475">
        <f t="shared" si="185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83"/>
        <v>-8025780725541.917</v>
      </c>
      <c r="J4254" s="455">
        <f t="array" ref="J4254">IFERROR(INDEX('Retirement Calculator'!J:J,MATCH('Isaac 401k'!N4254,'Retirement Calculator'!A:A,0),0),0)</f>
        <v>0</v>
      </c>
      <c r="K4254" s="455">
        <f t="shared" ca="1" si="181"/>
        <v>-33440753023.09132</v>
      </c>
      <c r="L4254" s="455">
        <f t="shared" ca="1" si="182"/>
        <v>-8059221478565.0088</v>
      </c>
      <c r="M4254" s="471">
        <f t="shared" si="184"/>
        <v>0.05</v>
      </c>
      <c r="N4254" s="475">
        <f t="shared" si="185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83"/>
        <v>-8059221478565.0088</v>
      </c>
      <c r="J4255" s="455">
        <f t="array" ref="J4255">IFERROR(INDEX('Retirement Calculator'!J:J,MATCH('Isaac 401k'!N4255,'Retirement Calculator'!A:A,0),0),0)</f>
        <v>0</v>
      </c>
      <c r="K4255" s="455">
        <f t="shared" ca="1" si="181"/>
        <v>-33580089494.02087</v>
      </c>
      <c r="L4255" s="455">
        <f t="shared" ca="1" si="182"/>
        <v>-8092801568059.0293</v>
      </c>
      <c r="M4255" s="471">
        <f t="shared" si="184"/>
        <v>0.05</v>
      </c>
      <c r="N4255" s="475">
        <f t="shared" si="185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83"/>
        <v>-8092801568059.0293</v>
      </c>
      <c r="J4256" s="455">
        <f t="array" ref="J4256">IFERROR(INDEX('Retirement Calculator'!J:J,MATCH('Isaac 401k'!N4256,'Retirement Calculator'!A:A,0),0),0)</f>
        <v>0</v>
      </c>
      <c r="K4256" s="455">
        <f t="shared" ca="1" si="181"/>
        <v>-33720006533.579285</v>
      </c>
      <c r="L4256" s="455">
        <f t="shared" ca="1" si="182"/>
        <v>-8126521574592.6084</v>
      </c>
      <c r="M4256" s="471">
        <f t="shared" si="184"/>
        <v>0.05</v>
      </c>
      <c r="N4256" s="475">
        <f t="shared" si="185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83"/>
        <v>-8126521574592.6084</v>
      </c>
      <c r="J4257" s="455">
        <f t="array" ref="J4257">IFERROR(INDEX('Retirement Calculator'!J:J,MATCH('Isaac 401k'!N4257,'Retirement Calculator'!A:A,0),0),0)</f>
        <v>0</v>
      </c>
      <c r="K4257" s="455">
        <f t="shared" ca="1" si="181"/>
        <v>-33860506560.80254</v>
      </c>
      <c r="L4257" s="455">
        <f t="shared" ca="1" si="182"/>
        <v>-8160382081153.4111</v>
      </c>
      <c r="M4257" s="471">
        <f t="shared" si="184"/>
        <v>0.05</v>
      </c>
      <c r="N4257" s="475">
        <f t="shared" si="185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83"/>
        <v>-8160382081153.4111</v>
      </c>
      <c r="J4258" s="455">
        <f t="array" ref="J4258">IFERROR(INDEX('Retirement Calculator'!J:J,MATCH('Isaac 401k'!N4258,'Retirement Calculator'!A:A,0),0),0)</f>
        <v>0</v>
      </c>
      <c r="K4258" s="455">
        <f t="shared" ca="1" si="181"/>
        <v>-34001592004.805874</v>
      </c>
      <c r="L4258" s="455">
        <f t="shared" ca="1" si="182"/>
        <v>-8194383673158.2168</v>
      </c>
      <c r="M4258" s="471">
        <f t="shared" si="184"/>
        <v>0.05</v>
      </c>
      <c r="N4258" s="475">
        <f t="shared" si="185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83"/>
        <v>-8194383673158.2168</v>
      </c>
      <c r="J4259" s="455">
        <f t="array" ref="J4259">IFERROR(INDEX('Retirement Calculator'!J:J,MATCH('Isaac 401k'!N4259,'Retirement Calculator'!A:A,0),0),0)</f>
        <v>0</v>
      </c>
      <c r="K4259" s="455">
        <f t="shared" ca="1" si="181"/>
        <v>-34143265304.825901</v>
      </c>
      <c r="L4259" s="455">
        <f t="shared" ca="1" si="182"/>
        <v>-8228526938463.043</v>
      </c>
      <c r="M4259" s="471">
        <f t="shared" si="184"/>
        <v>0.05</v>
      </c>
      <c r="N4259" s="475">
        <f t="shared" si="185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83"/>
        <v>-8228526938463.043</v>
      </c>
      <c r="J4260" s="455">
        <f t="array" ref="J4260">IFERROR(INDEX('Retirement Calculator'!J:J,MATCH('Isaac 401k'!N4260,'Retirement Calculator'!A:A,0),0),0)</f>
        <v>0</v>
      </c>
      <c r="K4260" s="455">
        <f t="shared" ca="1" si="181"/>
        <v>-34285528910.262684</v>
      </c>
      <c r="L4260" s="455">
        <f t="shared" ca="1" si="182"/>
        <v>-8262812467373.3057</v>
      </c>
      <c r="M4260" s="471">
        <f t="shared" si="184"/>
        <v>0.05</v>
      </c>
      <c r="N4260" s="475">
        <f t="shared" si="185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83"/>
        <v>-8262812467373.3057</v>
      </c>
      <c r="J4261" s="455">
        <f t="array" ref="J4261">IFERROR(INDEX('Retirement Calculator'!J:J,MATCH('Isaac 401k'!N4261,'Retirement Calculator'!A:A,0),0),0)</f>
        <v>0</v>
      </c>
      <c r="K4261" s="455">
        <f t="shared" ca="1" si="181"/>
        <v>-34428385280.722107</v>
      </c>
      <c r="L4261" s="455">
        <f t="shared" ca="1" si="182"/>
        <v>-8297240852654.0273</v>
      </c>
      <c r="M4261" s="471">
        <f t="shared" si="184"/>
        <v>0.05</v>
      </c>
      <c r="N4261" s="475">
        <f t="shared" si="185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83"/>
        <v>-8297240852654.0273</v>
      </c>
      <c r="J4262" s="455">
        <f t="array" ref="J4262">IFERROR(INDEX('Retirement Calculator'!J:J,MATCH('Isaac 401k'!N4262,'Retirement Calculator'!A:A,0),0),0)</f>
        <v>0</v>
      </c>
      <c r="K4262" s="455">
        <f t="shared" ca="1" si="181"/>
        <v>-34571836886.058441</v>
      </c>
      <c r="L4262" s="455">
        <f t="shared" ca="1" si="182"/>
        <v>-8331812689540.0859</v>
      </c>
      <c r="M4262" s="471">
        <f t="shared" si="184"/>
        <v>0.05</v>
      </c>
      <c r="N4262" s="475">
        <f t="shared" si="185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83"/>
        <v>-8331812689540.0859</v>
      </c>
      <c r="J4263" s="455">
        <f t="array" ref="J4263">IFERROR(INDEX('Retirement Calculator'!J:J,MATCH('Isaac 401k'!N4263,'Retirement Calculator'!A:A,0),0),0)</f>
        <v>0</v>
      </c>
      <c r="K4263" s="455">
        <f t="shared" ca="1" si="181"/>
        <v>-34715886206.417023</v>
      </c>
      <c r="L4263" s="455">
        <f t="shared" ca="1" si="182"/>
        <v>-8366528575746.5029</v>
      </c>
      <c r="M4263" s="471">
        <f t="shared" si="184"/>
        <v>0.05</v>
      </c>
      <c r="N4263" s="475">
        <f t="shared" si="185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83"/>
        <v>-8366528575746.5029</v>
      </c>
      <c r="J4264" s="455">
        <f t="array" ref="J4264">IFERROR(INDEX('Retirement Calculator'!J:J,MATCH('Isaac 401k'!N4264,'Retirement Calculator'!A:A,0),0),0)</f>
        <v>0</v>
      </c>
      <c r="K4264" s="455">
        <f t="shared" ca="1" si="181"/>
        <v>-34860535732.277092</v>
      </c>
      <c r="L4264" s="455">
        <f t="shared" ca="1" si="182"/>
        <v>-8401389111478.7803</v>
      </c>
      <c r="M4264" s="471">
        <f t="shared" si="184"/>
        <v>0.05</v>
      </c>
      <c r="N4264" s="475">
        <f t="shared" si="185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83"/>
        <v>-8401389111478.7803</v>
      </c>
      <c r="J4265" s="455">
        <f t="array" ref="J4265">IFERROR(INDEX('Retirement Calculator'!J:J,MATCH('Isaac 401k'!N4265,'Retirement Calculator'!A:A,0),0),0)</f>
        <v>0</v>
      </c>
      <c r="K4265" s="455">
        <f t="shared" ca="1" si="181"/>
        <v>-35005787964.494919</v>
      </c>
      <c r="L4265" s="455">
        <f t="shared" ca="1" si="182"/>
        <v>-8436394899443.2754</v>
      </c>
      <c r="M4265" s="471">
        <f t="shared" si="184"/>
        <v>0.05</v>
      </c>
      <c r="N4265" s="475">
        <f t="shared" si="185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83"/>
        <v>-8436394899443.2754</v>
      </c>
      <c r="J4266" s="455">
        <f t="array" ref="J4266">IFERROR(INDEX('Retirement Calculator'!J:J,MATCH('Isaac 401k'!N4266,'Retirement Calculator'!A:A,0),0),0)</f>
        <v>0</v>
      </c>
      <c r="K4266" s="455">
        <f t="shared" ca="1" si="181"/>
        <v>-35151645414.346977</v>
      </c>
      <c r="L4266" s="455">
        <f t="shared" ca="1" si="182"/>
        <v>-8471546544857.6221</v>
      </c>
      <c r="M4266" s="471">
        <f t="shared" si="184"/>
        <v>0.05</v>
      </c>
      <c r="N4266" s="475">
        <f t="shared" si="185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83"/>
        <v>-8471546544857.6221</v>
      </c>
      <c r="J4267" s="455">
        <f t="array" ref="J4267">IFERROR(INDEX('Retirement Calculator'!J:J,MATCH('Isaac 401k'!N4267,'Retirement Calculator'!A:A,0),0),0)</f>
        <v>0</v>
      </c>
      <c r="K4267" s="455">
        <f t="shared" ca="1" si="181"/>
        <v>-35298110603.573425</v>
      </c>
      <c r="L4267" s="455">
        <f t="shared" ca="1" si="182"/>
        <v>-8506844655461.1953</v>
      </c>
      <c r="M4267" s="471">
        <f t="shared" si="184"/>
        <v>0.05</v>
      </c>
      <c r="N4267" s="475">
        <f t="shared" si="185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83"/>
        <v>-8506844655461.1953</v>
      </c>
      <c r="J4268" s="455">
        <f t="array" ref="J4268">IFERROR(INDEX('Retirement Calculator'!J:J,MATCH('Isaac 401k'!N4268,'Retirement Calculator'!A:A,0),0),0)</f>
        <v>0</v>
      </c>
      <c r="K4268" s="455">
        <f t="shared" ca="1" si="181"/>
        <v>-35445186064.421646</v>
      </c>
      <c r="L4268" s="455">
        <f t="shared" ca="1" si="182"/>
        <v>-8542289841525.6172</v>
      </c>
      <c r="M4268" s="471">
        <f t="shared" si="184"/>
        <v>0.05</v>
      </c>
      <c r="N4268" s="475">
        <f t="shared" si="185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83"/>
        <v>-8542289841525.6172</v>
      </c>
      <c r="J4269" s="455">
        <f t="array" ref="J4269">IFERROR(INDEX('Retirement Calculator'!J:J,MATCH('Isaac 401k'!N4269,'Retirement Calculator'!A:A,0),0),0)</f>
        <v>0</v>
      </c>
      <c r="K4269" s="455">
        <f t="shared" ca="1" si="181"/>
        <v>-35592874339.690063</v>
      </c>
      <c r="L4269" s="455">
        <f t="shared" ca="1" si="182"/>
        <v>-8577882715865.3076</v>
      </c>
      <c r="M4269" s="471">
        <f t="shared" si="184"/>
        <v>0.05</v>
      </c>
      <c r="N4269" s="475">
        <f t="shared" si="185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83"/>
        <v>-8577882715865.3076</v>
      </c>
      <c r="J4270" s="455">
        <f t="array" ref="J4270">IFERROR(INDEX('Retirement Calculator'!J:J,MATCH('Isaac 401k'!N4270,'Retirement Calculator'!A:A,0),0),0)</f>
        <v>0</v>
      </c>
      <c r="K4270" s="455">
        <f t="shared" ca="1" si="181"/>
        <v>-35741177982.77211</v>
      </c>
      <c r="L4270" s="455">
        <f t="shared" ca="1" si="182"/>
        <v>-8613623893848.0801</v>
      </c>
      <c r="M4270" s="471">
        <f t="shared" si="184"/>
        <v>0.05</v>
      </c>
      <c r="N4270" s="475">
        <f t="shared" si="185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83"/>
        <v>-8613623893848.0801</v>
      </c>
      <c r="J4271" s="455">
        <f t="array" ref="J4271">IFERROR(INDEX('Retirement Calculator'!J:J,MATCH('Isaac 401k'!N4271,'Retirement Calculator'!A:A,0),0),0)</f>
        <v>0</v>
      </c>
      <c r="K4271" s="455">
        <f t="shared" ca="1" si="181"/>
        <v>-35890099557.700333</v>
      </c>
      <c r="L4271" s="455">
        <f t="shared" ca="1" si="182"/>
        <v>-8649513993405.7803</v>
      </c>
      <c r="M4271" s="471">
        <f t="shared" si="184"/>
        <v>0.05</v>
      </c>
      <c r="N4271" s="475">
        <f t="shared" si="185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83"/>
        <v>-8649513993405.7803</v>
      </c>
      <c r="J4272" s="455">
        <f t="array" ref="J4272">IFERROR(INDEX('Retirement Calculator'!J:J,MATCH('Isaac 401k'!N4272,'Retirement Calculator'!A:A,0),0),0)</f>
        <v>0</v>
      </c>
      <c r="K4272" s="455">
        <f t="shared" ca="1" si="181"/>
        <v>-36039641639.19075</v>
      </c>
      <c r="L4272" s="455">
        <f t="shared" ca="1" si="182"/>
        <v>-8685553635044.9707</v>
      </c>
      <c r="M4272" s="471">
        <f t="shared" si="184"/>
        <v>0.05</v>
      </c>
      <c r="N4272" s="475">
        <f t="shared" si="185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83"/>
        <v>-8685553635044.9707</v>
      </c>
      <c r="J4273" s="455">
        <f t="array" ref="J4273">IFERROR(INDEX('Retirement Calculator'!J:J,MATCH('Isaac 401k'!N4273,'Retirement Calculator'!A:A,0),0),0)</f>
        <v>0</v>
      </c>
      <c r="K4273" s="455">
        <f t="shared" ca="1" si="181"/>
        <v>-36189806812.687378</v>
      </c>
      <c r="L4273" s="455">
        <f t="shared" ca="1" si="182"/>
        <v>-8721743441857.6582</v>
      </c>
      <c r="M4273" s="471">
        <f t="shared" si="184"/>
        <v>0.05</v>
      </c>
      <c r="N4273" s="475">
        <f t="shared" si="185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83"/>
        <v>-8721743441857.6582</v>
      </c>
      <c r="J4274" s="455">
        <f t="array" ref="J4274">IFERROR(INDEX('Retirement Calculator'!J:J,MATCH('Isaac 401k'!N4274,'Retirement Calculator'!A:A,0),0),0)</f>
        <v>0</v>
      </c>
      <c r="K4274" s="455">
        <f t="shared" ca="1" si="181"/>
        <v>-36340597674.406906</v>
      </c>
      <c r="L4274" s="455">
        <f t="shared" ca="1" si="182"/>
        <v>-8758084039532.0654</v>
      </c>
      <c r="M4274" s="471">
        <f t="shared" si="184"/>
        <v>0.05</v>
      </c>
      <c r="N4274" s="475">
        <f t="shared" si="185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83"/>
        <v>-8758084039532.0654</v>
      </c>
      <c r="J4275" s="455">
        <f t="array" ref="J4275">IFERROR(INDEX('Retirement Calculator'!J:J,MATCH('Isaac 401k'!N4275,'Retirement Calculator'!A:A,0),0),0)</f>
        <v>0</v>
      </c>
      <c r="K4275" s="455">
        <f t="shared" ca="1" si="181"/>
        <v>-36492016831.383598</v>
      </c>
      <c r="L4275" s="455">
        <f t="shared" ca="1" si="182"/>
        <v>-8794576056363.4492</v>
      </c>
      <c r="M4275" s="471">
        <f t="shared" si="184"/>
        <v>0.05</v>
      </c>
      <c r="N4275" s="475">
        <f t="shared" si="185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83"/>
        <v>-8794576056363.4492</v>
      </c>
      <c r="J4276" s="455">
        <f t="array" ref="J4276">IFERROR(INDEX('Retirement Calculator'!J:J,MATCH('Isaac 401k'!N4276,'Retirement Calculator'!A:A,0),0),0)</f>
        <v>0</v>
      </c>
      <c r="K4276" s="455">
        <f t="shared" ca="1" si="181"/>
        <v>-36644066901.514374</v>
      </c>
      <c r="L4276" s="455">
        <f t="shared" ca="1" si="182"/>
        <v>-8831220123264.9629</v>
      </c>
      <c r="M4276" s="471">
        <f t="shared" si="184"/>
        <v>0.05</v>
      </c>
      <c r="N4276" s="475">
        <f t="shared" si="185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83"/>
        <v>-8831220123264.9629</v>
      </c>
      <c r="J4277" s="455">
        <f t="array" ref="J4277">IFERROR(INDEX('Retirement Calculator'!J:J,MATCH('Isaac 401k'!N4277,'Retirement Calculator'!A:A,0),0),0)</f>
        <v>0</v>
      </c>
      <c r="K4277" s="455">
        <f t="shared" ca="1" si="181"/>
        <v>-36796750513.604012</v>
      </c>
      <c r="L4277" s="455">
        <f t="shared" ca="1" si="182"/>
        <v>-8868016873778.5664</v>
      </c>
      <c r="M4277" s="471">
        <f t="shared" si="184"/>
        <v>0.05</v>
      </c>
      <c r="N4277" s="475">
        <f t="shared" si="185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83"/>
        <v>-8868016873778.5664</v>
      </c>
      <c r="J4278" s="455">
        <f t="array" ref="J4278">IFERROR(INDEX('Retirement Calculator'!J:J,MATCH('Isaac 401k'!N4278,'Retirement Calculator'!A:A,0),0),0)</f>
        <v>0</v>
      </c>
      <c r="K4278" s="455">
        <f t="shared" ca="1" si="181"/>
        <v>-36950070307.41069</v>
      </c>
      <c r="L4278" s="455">
        <f t="shared" ca="1" si="182"/>
        <v>-8904966944085.9766</v>
      </c>
      <c r="M4278" s="471">
        <f t="shared" si="184"/>
        <v>0.05</v>
      </c>
      <c r="N4278" s="475">
        <f t="shared" si="185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83"/>
        <v>-8904966944085.9766</v>
      </c>
      <c r="J4279" s="455">
        <f t="array" ref="J4279">IFERROR(INDEX('Retirement Calculator'!J:J,MATCH('Isaac 401k'!N4279,'Retirement Calculator'!A:A,0),0),0)</f>
        <v>0</v>
      </c>
      <c r="K4279" s="455">
        <f t="shared" ca="1" si="181"/>
        <v>-37104028933.691566</v>
      </c>
      <c r="L4279" s="455">
        <f t="shared" ca="1" si="182"/>
        <v>-8942070973019.668</v>
      </c>
      <c r="M4279" s="471">
        <f t="shared" si="184"/>
        <v>0.05</v>
      </c>
      <c r="N4279" s="475">
        <f t="shared" si="185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83"/>
        <v>-8942070973019.668</v>
      </c>
      <c r="J4280" s="455">
        <f t="array" ref="J4280">IFERROR(INDEX('Retirement Calculator'!J:J,MATCH('Isaac 401k'!N4280,'Retirement Calculator'!A:A,0),0),0)</f>
        <v>0</v>
      </c>
      <c r="K4280" s="455">
        <f t="shared" ca="1" si="181"/>
        <v>-37258629054.248619</v>
      </c>
      <c r="L4280" s="455">
        <f t="shared" ca="1" si="182"/>
        <v>-8979329602073.916</v>
      </c>
      <c r="M4280" s="471">
        <f t="shared" si="184"/>
        <v>0.05</v>
      </c>
      <c r="N4280" s="475">
        <f t="shared" si="185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83"/>
        <v>-8979329602073.916</v>
      </c>
      <c r="J4281" s="455">
        <f t="array" ref="J4281">IFERROR(INDEX('Retirement Calculator'!J:J,MATCH('Isaac 401k'!N4281,'Retirement Calculator'!A:A,0),0),0)</f>
        <v>0</v>
      </c>
      <c r="K4281" s="455">
        <f t="shared" ca="1" si="181"/>
        <v>-37413873341.974648</v>
      </c>
      <c r="L4281" s="455">
        <f t="shared" ca="1" si="182"/>
        <v>-9016743475415.8906</v>
      </c>
      <c r="M4281" s="471">
        <f t="shared" si="184"/>
        <v>0.05</v>
      </c>
      <c r="N4281" s="475">
        <f t="shared" si="185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83"/>
        <v>-9016743475415.8906</v>
      </c>
      <c r="J4282" s="455">
        <f t="array" ref="J4282">IFERROR(INDEX('Retirement Calculator'!J:J,MATCH('Isaac 401k'!N4282,'Retirement Calculator'!A:A,0),0),0)</f>
        <v>0</v>
      </c>
      <c r="K4282" s="455">
        <f t="shared" ca="1" si="181"/>
        <v>-37569764480.899544</v>
      </c>
      <c r="L4282" s="455">
        <f t="shared" ca="1" si="182"/>
        <v>-9054313239896.791</v>
      </c>
      <c r="M4282" s="471">
        <f t="shared" si="184"/>
        <v>0.05</v>
      </c>
      <c r="N4282" s="475">
        <f t="shared" si="185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83"/>
        <v>-9054313239896.791</v>
      </c>
      <c r="J4283" s="455">
        <f t="array" ref="J4283">IFERROR(INDEX('Retirement Calculator'!J:J,MATCH('Isaac 401k'!N4283,'Retirement Calculator'!A:A,0),0),0)</f>
        <v>0</v>
      </c>
      <c r="K4283" s="455">
        <f t="shared" ca="1" si="181"/>
        <v>-37726305166.236626</v>
      </c>
      <c r="L4283" s="455">
        <f t="shared" ca="1" si="182"/>
        <v>-9092039545063.0273</v>
      </c>
      <c r="M4283" s="471">
        <f t="shared" si="184"/>
        <v>0.05</v>
      </c>
      <c r="N4283" s="475">
        <f t="shared" si="185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83"/>
        <v>-9092039545063.0273</v>
      </c>
      <c r="J4284" s="455">
        <f t="array" ref="J4284">IFERROR(INDEX('Retirement Calculator'!J:J,MATCH('Isaac 401k'!N4284,'Retirement Calculator'!A:A,0),0),0)</f>
        <v>0</v>
      </c>
      <c r="K4284" s="455">
        <f t="shared" ca="1" si="181"/>
        <v>-37883498104.429283</v>
      </c>
      <c r="L4284" s="455">
        <f t="shared" ca="1" si="182"/>
        <v>-9129923043167.457</v>
      </c>
      <c r="M4284" s="471">
        <f t="shared" si="184"/>
        <v>0.05</v>
      </c>
      <c r="N4284" s="475">
        <f t="shared" si="185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83"/>
        <v>-9129923043167.457</v>
      </c>
      <c r="J4285" s="455">
        <f t="array" ref="J4285">IFERROR(INDEX('Retirement Calculator'!J:J,MATCH('Isaac 401k'!N4285,'Retirement Calculator'!A:A,0),0),0)</f>
        <v>0</v>
      </c>
      <c r="K4285" s="455">
        <f t="shared" ca="1" si="181"/>
        <v>-38041346013.197739</v>
      </c>
      <c r="L4285" s="455">
        <f t="shared" ca="1" si="182"/>
        <v>-9167964389180.6543</v>
      </c>
      <c r="M4285" s="471">
        <f t="shared" si="184"/>
        <v>0.05</v>
      </c>
      <c r="N4285" s="475">
        <f t="shared" si="185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83"/>
        <v>-9167964389180.6543</v>
      </c>
      <c r="J4286" s="455">
        <f t="array" ref="J4286">IFERROR(INDEX('Retirement Calculator'!J:J,MATCH('Isaac 401k'!N4286,'Retirement Calculator'!A:A,0),0),0)</f>
        <v>0</v>
      </c>
      <c r="K4286" s="455">
        <f t="shared" ca="1" si="181"/>
        <v>-38199851621.58606</v>
      </c>
      <c r="L4286" s="455">
        <f t="shared" ca="1" si="182"/>
        <v>-9206164240802.2402</v>
      </c>
      <c r="M4286" s="471">
        <f t="shared" si="184"/>
        <v>0.05</v>
      </c>
      <c r="N4286" s="475">
        <f t="shared" si="185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83"/>
        <v>-9206164240802.2402</v>
      </c>
      <c r="J4287" s="455">
        <f t="array" ref="J4287">IFERROR(INDEX('Retirement Calculator'!J:J,MATCH('Isaac 401k'!N4287,'Retirement Calculator'!A:A,0),0),0)</f>
        <v>0</v>
      </c>
      <c r="K4287" s="455">
        <f t="shared" ca="1" si="181"/>
        <v>-38359017670.009331</v>
      </c>
      <c r="L4287" s="455">
        <f t="shared" ca="1" si="182"/>
        <v>-9244523258472.25</v>
      </c>
      <c r="M4287" s="471">
        <f t="shared" si="184"/>
        <v>0.05</v>
      </c>
      <c r="N4287" s="475">
        <f t="shared" si="185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83"/>
        <v>-9244523258472.25</v>
      </c>
      <c r="J4288" s="455">
        <f t="array" ref="J4288">IFERROR(INDEX('Retirement Calculator'!J:J,MATCH('Isaac 401k'!N4288,'Retirement Calculator'!A:A,0),0),0)</f>
        <v>0</v>
      </c>
      <c r="K4288" s="455">
        <f t="shared" ca="1" si="181"/>
        <v>-38518846910.301041</v>
      </c>
      <c r="L4288" s="455">
        <f t="shared" ca="1" si="182"/>
        <v>-9283042105382.5508</v>
      </c>
      <c r="M4288" s="471">
        <f t="shared" si="184"/>
        <v>0.05</v>
      </c>
      <c r="N4288" s="475">
        <f t="shared" si="185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83"/>
        <v>-9283042105382.5508</v>
      </c>
      <c r="J4289" s="455">
        <f t="array" ref="J4289">IFERROR(INDEX('Retirement Calculator'!J:J,MATCH('Isaac 401k'!N4289,'Retirement Calculator'!A:A,0),0),0)</f>
        <v>0</v>
      </c>
      <c r="K4289" s="455">
        <f t="shared" ca="1" si="181"/>
        <v>-38679342105.760628</v>
      </c>
      <c r="L4289" s="455">
        <f t="shared" ca="1" si="182"/>
        <v>-9321721447488.3105</v>
      </c>
      <c r="M4289" s="471">
        <f t="shared" si="184"/>
        <v>0.05</v>
      </c>
      <c r="N4289" s="475">
        <f t="shared" si="185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83"/>
        <v>-9321721447488.3105</v>
      </c>
      <c r="J4290" s="455">
        <f t="array" ref="J4290">IFERROR(INDEX('Retirement Calculator'!J:J,MATCH('Isaac 401k'!N4290,'Retirement Calculator'!A:A,0),0),0)</f>
        <v>0</v>
      </c>
      <c r="K4290" s="455">
        <f t="shared" ca="1" si="181"/>
        <v>-38840506031.201294</v>
      </c>
      <c r="L4290" s="455">
        <f t="shared" ca="1" si="182"/>
        <v>-9360561953519.5117</v>
      </c>
      <c r="M4290" s="471">
        <f t="shared" si="184"/>
        <v>0.05</v>
      </c>
      <c r="N4290" s="475">
        <f t="shared" si="185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83"/>
        <v>-9360561953519.5117</v>
      </c>
      <c r="J4291" s="455">
        <f t="array" ref="J4291">IFERROR(INDEX('Retirement Calculator'!J:J,MATCH('Isaac 401k'!N4291,'Retirement Calculator'!A:A,0),0),0)</f>
        <v>0</v>
      </c>
      <c r="K4291" s="455">
        <f t="shared" ca="1" si="181"/>
        <v>-39002341472.997963</v>
      </c>
      <c r="L4291" s="455">
        <f t="shared" ca="1" si="182"/>
        <v>-9399564294992.5098</v>
      </c>
      <c r="M4291" s="471">
        <f t="shared" si="184"/>
        <v>0.05</v>
      </c>
      <c r="N4291" s="475">
        <f t="shared" si="185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83"/>
        <v>-9399564294992.5098</v>
      </c>
      <c r="J4292" s="455">
        <f t="array" ref="J4292">IFERROR(INDEX('Retirement Calculator'!J:J,MATCH('Isaac 401k'!N4292,'Retirement Calculator'!A:A,0),0),0)</f>
        <v>0</v>
      </c>
      <c r="K4292" s="455">
        <f t="shared" ca="1" si="181"/>
        <v>-39164851229.13546</v>
      </c>
      <c r="L4292" s="455">
        <f t="shared" ca="1" si="182"/>
        <v>-9438729146221.6445</v>
      </c>
      <c r="M4292" s="471">
        <f t="shared" si="184"/>
        <v>0.05</v>
      </c>
      <c r="N4292" s="475">
        <f t="shared" si="185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83"/>
        <v>-9438729146221.6445</v>
      </c>
      <c r="J4293" s="455">
        <f t="array" ref="J4293">IFERROR(INDEX('Retirement Calculator'!J:J,MATCH('Isaac 401k'!N4293,'Retirement Calculator'!A:A,0),0),0)</f>
        <v>0</v>
      </c>
      <c r="K4293" s="455">
        <f t="shared" ca="1" si="181"/>
        <v>-39328038109.256851</v>
      </c>
      <c r="L4293" s="455">
        <f t="shared" ca="1" si="182"/>
        <v>-9478057184330.9023</v>
      </c>
      <c r="M4293" s="471">
        <f t="shared" si="184"/>
        <v>0.05</v>
      </c>
      <c r="N4293" s="475">
        <f t="shared" si="185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83"/>
        <v>-9478057184330.9023</v>
      </c>
      <c r="J4294" s="455">
        <f t="array" ref="J4294">IFERROR(INDEX('Retirement Calculator'!J:J,MATCH('Isaac 401k'!N4294,'Retirement Calculator'!A:A,0),0),0)</f>
        <v>0</v>
      </c>
      <c r="K4294" s="455">
        <f t="shared" ca="1" si="181"/>
        <v>-39491904934.71209</v>
      </c>
      <c r="L4294" s="455">
        <f t="shared" ca="1" si="182"/>
        <v>-9517549089265.6152</v>
      </c>
      <c r="M4294" s="471">
        <f t="shared" si="184"/>
        <v>0.05</v>
      </c>
      <c r="N4294" s="475">
        <f t="shared" si="185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83"/>
        <v>-9517549089265.6152</v>
      </c>
      <c r="J4295" s="455">
        <f t="array" ref="J4295">IFERROR(INDEX('Retirement Calculator'!J:J,MATCH('Isaac 401k'!N4295,'Retirement Calculator'!A:A,0),0),0)</f>
        <v>0</v>
      </c>
      <c r="K4295" s="455">
        <f t="shared" ca="1" si="181"/>
        <v>-39656454538.606728</v>
      </c>
      <c r="L4295" s="455">
        <f t="shared" ca="1" si="182"/>
        <v>-9557205543804.2227</v>
      </c>
      <c r="M4295" s="471">
        <f t="shared" si="184"/>
        <v>0.05</v>
      </c>
      <c r="N4295" s="475">
        <f t="shared" si="185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83"/>
        <v>-9557205543804.2227</v>
      </c>
      <c r="J4296" s="455">
        <f t="array" ref="J4296">IFERROR(INDEX('Retirement Calculator'!J:J,MATCH('Isaac 401k'!N4296,'Retirement Calculator'!A:A,0),0),0)</f>
        <v>0</v>
      </c>
      <c r="K4296" s="455">
        <f t="shared" ca="1" si="181"/>
        <v>-39821689765.850929</v>
      </c>
      <c r="L4296" s="455">
        <f t="shared" ca="1" si="182"/>
        <v>-9597027233570.0742</v>
      </c>
      <c r="M4296" s="471">
        <f t="shared" si="184"/>
        <v>0.05</v>
      </c>
      <c r="N4296" s="475">
        <f t="shared" si="185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83"/>
        <v>-9597027233570.0742</v>
      </c>
      <c r="J4297" s="455">
        <f t="array" ref="J4297">IFERROR(INDEX('Retirement Calculator'!J:J,MATCH('Isaac 401k'!N4297,'Retirement Calculator'!A:A,0),0),0)</f>
        <v>0</v>
      </c>
      <c r="K4297" s="455">
        <f t="shared" ca="1" si="181"/>
        <v>-39987613473.208641</v>
      </c>
      <c r="L4297" s="455">
        <f t="shared" ca="1" si="182"/>
        <v>-9637014847043.2832</v>
      </c>
      <c r="M4297" s="471">
        <f t="shared" si="184"/>
        <v>0.05</v>
      </c>
      <c r="N4297" s="475">
        <f t="shared" si="185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83"/>
        <v>-9637014847043.2832</v>
      </c>
      <c r="J4298" s="455">
        <f t="array" ref="J4298">IFERROR(INDEX('Retirement Calculator'!J:J,MATCH('Isaac 401k'!N4298,'Retirement Calculator'!A:A,0),0),0)</f>
        <v>0</v>
      </c>
      <c r="K4298" s="455">
        <f t="shared" ca="1" si="181"/>
        <v>-40154228529.347015</v>
      </c>
      <c r="L4298" s="455">
        <f t="shared" ca="1" si="182"/>
        <v>-9677169075572.6309</v>
      </c>
      <c r="M4298" s="471">
        <f t="shared" si="184"/>
        <v>0.05</v>
      </c>
      <c r="N4298" s="475">
        <f t="shared" si="185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83"/>
        <v>-9677169075572.6309</v>
      </c>
      <c r="J4299" s="455">
        <f t="array" ref="J4299">IFERROR(INDEX('Retirement Calculator'!J:J,MATCH('Isaac 401k'!N4299,'Retirement Calculator'!A:A,0),0),0)</f>
        <v>0</v>
      </c>
      <c r="K4299" s="455">
        <f t="shared" ca="1" si="181"/>
        <v>-40321537814.885963</v>
      </c>
      <c r="L4299" s="455">
        <f t="shared" ca="1" si="182"/>
        <v>-9717490613387.5176</v>
      </c>
      <c r="M4299" s="471">
        <f t="shared" si="184"/>
        <v>0.05</v>
      </c>
      <c r="N4299" s="475">
        <f t="shared" si="185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83"/>
        <v>-9717490613387.5176</v>
      </c>
      <c r="J4300" s="455">
        <f t="array" ref="J4300">IFERROR(INDEX('Retirement Calculator'!J:J,MATCH('Isaac 401k'!N4300,'Retirement Calculator'!A:A,0),0),0)</f>
        <v>0</v>
      </c>
      <c r="K4300" s="455">
        <f t="shared" ca="1" si="181"/>
        <v>-40489544222.44799</v>
      </c>
      <c r="L4300" s="455">
        <f t="shared" ca="1" si="182"/>
        <v>-9757980157609.9648</v>
      </c>
      <c r="M4300" s="471">
        <f t="shared" si="184"/>
        <v>0.05</v>
      </c>
      <c r="N4300" s="475">
        <f t="shared" si="185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83"/>
        <v>-9757980157609.9648</v>
      </c>
      <c r="J4301" s="455">
        <f t="array" ref="J4301">IFERROR(INDEX('Retirement Calculator'!J:J,MATCH('Isaac 401k'!N4301,'Retirement Calculator'!A:A,0),0),0)</f>
        <v>0</v>
      </c>
      <c r="K4301" s="455">
        <f t="shared" ca="1" si="181"/>
        <v>-40658250656.708183</v>
      </c>
      <c r="L4301" s="455">
        <f t="shared" ca="1" si="182"/>
        <v>-9798638408266.6738</v>
      </c>
      <c r="M4301" s="471">
        <f t="shared" si="184"/>
        <v>0.05</v>
      </c>
      <c r="N4301" s="475">
        <f t="shared" si="185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83"/>
        <v>-9798638408266.6738</v>
      </c>
      <c r="J4302" s="455">
        <f t="array" ref="J4302">IFERROR(INDEX('Retirement Calculator'!J:J,MATCH('Isaac 401k'!N4302,'Retirement Calculator'!A:A,0),0),0)</f>
        <v>0</v>
      </c>
      <c r="K4302" s="455">
        <f t="shared" ca="1" si="181"/>
        <v>-40827660034.444473</v>
      </c>
      <c r="L4302" s="455">
        <f t="shared" ca="1" si="182"/>
        <v>-9839466068301.1191</v>
      </c>
      <c r="M4302" s="471">
        <f t="shared" si="184"/>
        <v>0.05</v>
      </c>
      <c r="N4302" s="475">
        <f t="shared" si="185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83"/>
        <v>-9839466068301.1191</v>
      </c>
      <c r="J4303" s="455">
        <f t="array" ref="J4303">IFERROR(INDEX('Retirement Calculator'!J:J,MATCH('Isaac 401k'!N4303,'Retirement Calculator'!A:A,0),0),0)</f>
        <v>0</v>
      </c>
      <c r="K4303" s="455">
        <f t="shared" ca="1" si="181"/>
        <v>-40997775284.587997</v>
      </c>
      <c r="L4303" s="455">
        <f t="shared" ca="1" si="182"/>
        <v>-9880463843585.707</v>
      </c>
      <c r="M4303" s="471">
        <f t="shared" si="184"/>
        <v>0.05</v>
      </c>
      <c r="N4303" s="475">
        <f t="shared" si="185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83"/>
        <v>-9880463843585.707</v>
      </c>
      <c r="J4304" s="455">
        <f t="array" ref="J4304">IFERROR(INDEX('Retirement Calculator'!J:J,MATCH('Isaac 401k'!N4304,'Retirement Calculator'!A:A,0),0),0)</f>
        <v>0</v>
      </c>
      <c r="K4304" s="455">
        <f t="shared" ca="1" si="181"/>
        <v>-41168599348.273781</v>
      </c>
      <c r="L4304" s="455">
        <f t="shared" ca="1" si="182"/>
        <v>-9921632442933.9805</v>
      </c>
      <c r="M4304" s="471">
        <f t="shared" si="184"/>
        <v>0.05</v>
      </c>
      <c r="N4304" s="475">
        <f t="shared" si="185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83"/>
        <v>-9921632442933.9805</v>
      </c>
      <c r="J4305" s="455">
        <f t="array" ref="J4305">IFERROR(INDEX('Retirement Calculator'!J:J,MATCH('Isaac 401k'!N4305,'Retirement Calculator'!A:A,0),0),0)</f>
        <v>0</v>
      </c>
      <c r="K4305" s="455">
        <f t="shared" ca="1" si="181"/>
        <v>-41340135178.891586</v>
      </c>
      <c r="L4305" s="455">
        <f t="shared" ca="1" si="182"/>
        <v>-9962972578112.8711</v>
      </c>
      <c r="M4305" s="471">
        <f t="shared" si="184"/>
        <v>0.05</v>
      </c>
      <c r="N4305" s="475">
        <f t="shared" si="185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83"/>
        <v>-9962972578112.8711</v>
      </c>
      <c r="J4306" s="455">
        <f t="array" ref="J4306">IFERROR(INDEX('Retirement Calculator'!J:J,MATCH('Isaac 401k'!N4306,'Retirement Calculator'!A:A,0),0),0)</f>
        <v>0</v>
      </c>
      <c r="K4306" s="455">
        <f t="shared" ca="1" si="181"/>
        <v>-41512385742.136963</v>
      </c>
      <c r="L4306" s="455">
        <f t="shared" ca="1" si="182"/>
        <v>-10004484963855.008</v>
      </c>
      <c r="M4306" s="471">
        <f t="shared" si="184"/>
        <v>0.05</v>
      </c>
      <c r="N4306" s="475">
        <f t="shared" si="185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83"/>
        <v>-10004484963855.008</v>
      </c>
      <c r="J4307" s="455">
        <f t="array" ref="J4307">IFERROR(INDEX('Retirement Calculator'!J:J,MATCH('Isaac 401k'!N4307,'Retirement Calculator'!A:A,0),0),0)</f>
        <v>0</v>
      </c>
      <c r="K4307" s="455">
        <f t="shared" ca="1" si="181"/>
        <v>-41685354016.062531</v>
      </c>
      <c r="L4307" s="455">
        <f t="shared" ca="1" si="182"/>
        <v>-10046170317871.07</v>
      </c>
      <c r="M4307" s="471">
        <f t="shared" si="184"/>
        <v>0.05</v>
      </c>
      <c r="N4307" s="475">
        <f t="shared" si="185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83"/>
        <v>-10046170317871.07</v>
      </c>
      <c r="J4308" s="455">
        <f t="array" ref="J4308">IFERROR(INDEX('Retirement Calculator'!J:J,MATCH('Isaac 401k'!N4308,'Retirement Calculator'!A:A,0),0),0)</f>
        <v>0</v>
      </c>
      <c r="K4308" s="455">
        <f t="shared" ca="1" si="181"/>
        <v>-41859042991.129456</v>
      </c>
      <c r="L4308" s="455">
        <f t="shared" ca="1" si="182"/>
        <v>-10088029360862.199</v>
      </c>
      <c r="M4308" s="471">
        <f t="shared" si="184"/>
        <v>0.05</v>
      </c>
      <c r="N4308" s="475">
        <f t="shared" si="185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83"/>
        <v>-10088029360862.199</v>
      </c>
      <c r="J4309" s="455">
        <f t="array" ref="J4309">IFERROR(INDEX('Retirement Calculator'!J:J,MATCH('Isaac 401k'!N4309,'Retirement Calculator'!A:A,0),0),0)</f>
        <v>0</v>
      </c>
      <c r="K4309" s="455">
        <f t="shared" ca="1" si="181"/>
        <v>-42033455670.259163</v>
      </c>
      <c r="L4309" s="455">
        <f t="shared" ca="1" si="182"/>
        <v>-10130062816532.459</v>
      </c>
      <c r="M4309" s="471">
        <f t="shared" si="184"/>
        <v>0.05</v>
      </c>
      <c r="N4309" s="475">
        <f t="shared" si="185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83"/>
        <v>-10130062816532.459</v>
      </c>
      <c r="J4310" s="455">
        <f t="array" ref="J4310">IFERROR(INDEX('Retirement Calculator'!J:J,MATCH('Isaac 401k'!N4310,'Retirement Calculator'!A:A,0),0),0)</f>
        <v>0</v>
      </c>
      <c r="K4310" s="455">
        <f t="shared" ca="1" si="181"/>
        <v>-42208595068.885246</v>
      </c>
      <c r="L4310" s="455">
        <f t="shared" ca="1" si="182"/>
        <v>-10172271411601.344</v>
      </c>
      <c r="M4310" s="471">
        <f t="shared" si="184"/>
        <v>0.05</v>
      </c>
      <c r="N4310" s="475">
        <f t="shared" si="185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83"/>
        <v>-10172271411601.344</v>
      </c>
      <c r="J4311" s="455">
        <f t="array" ref="J4311">IFERROR(INDEX('Retirement Calculator'!J:J,MATCH('Isaac 401k'!N4311,'Retirement Calculator'!A:A,0),0),0)</f>
        <v>0</v>
      </c>
      <c r="K4311" s="455">
        <f t="shared" ca="1" si="181"/>
        <v>-42384464215.0056</v>
      </c>
      <c r="L4311" s="455">
        <f t="shared" ca="1" si="182"/>
        <v>-10214655875816.35</v>
      </c>
      <c r="M4311" s="471">
        <f t="shared" si="184"/>
        <v>0.05</v>
      </c>
      <c r="N4311" s="475">
        <f t="shared" si="185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83"/>
        <v>-10214655875816.35</v>
      </c>
      <c r="J4312" s="455">
        <f t="array" ref="J4312">IFERROR(INDEX('Retirement Calculator'!J:J,MATCH('Isaac 401k'!N4312,'Retirement Calculator'!A:A,0),0),0)</f>
        <v>0</v>
      </c>
      <c r="K4312" s="455">
        <f t="shared" ca="1" si="181"/>
        <v>-42561066149.234787</v>
      </c>
      <c r="L4312" s="455">
        <f t="shared" ca="1" si="182"/>
        <v>-10257216941965.584</v>
      </c>
      <c r="M4312" s="471">
        <f t="shared" si="184"/>
        <v>0.05</v>
      </c>
      <c r="N4312" s="475">
        <f t="shared" si="185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83"/>
        <v>-10257216941965.584</v>
      </c>
      <c r="J4313" s="455">
        <f t="array" ref="J4313">IFERROR(INDEX('Retirement Calculator'!J:J,MATCH('Isaac 401k'!N4313,'Retirement Calculator'!A:A,0),0),0)</f>
        <v>0</v>
      </c>
      <c r="K4313" s="455">
        <f t="shared" ca="1" si="181"/>
        <v>-42738403924.856598</v>
      </c>
      <c r="L4313" s="455">
        <f t="shared" ca="1" si="182"/>
        <v>-10299955345890.441</v>
      </c>
      <c r="M4313" s="471">
        <f t="shared" si="184"/>
        <v>0.05</v>
      </c>
      <c r="N4313" s="475">
        <f t="shared" si="185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83"/>
        <v>-10299955345890.441</v>
      </c>
      <c r="J4314" s="455">
        <f t="array" ref="J4314">IFERROR(INDEX('Retirement Calculator'!J:J,MATCH('Isaac 401k'!N4314,'Retirement Calculator'!A:A,0),0),0)</f>
        <v>0</v>
      </c>
      <c r="K4314" s="455">
        <f t="shared" ca="1" si="181"/>
        <v>-42916480607.876839</v>
      </c>
      <c r="L4314" s="455">
        <f t="shared" ca="1" si="182"/>
        <v>-10342871826498.318</v>
      </c>
      <c r="M4314" s="471">
        <f t="shared" si="184"/>
        <v>0.05</v>
      </c>
      <c r="N4314" s="475">
        <f t="shared" si="185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83"/>
        <v>-10342871826498.318</v>
      </c>
      <c r="J4315" s="455">
        <f t="array" ref="J4315">IFERROR(INDEX('Retirement Calculator'!J:J,MATCH('Isaac 401k'!N4315,'Retirement Calculator'!A:A,0),0),0)</f>
        <v>0</v>
      </c>
      <c r="K4315" s="455">
        <f t="shared" ca="1" si="181"/>
        <v>-43095299277.076324</v>
      </c>
      <c r="L4315" s="455">
        <f t="shared" ca="1" si="182"/>
        <v>-10385967125775.395</v>
      </c>
      <c r="M4315" s="471">
        <f t="shared" si="184"/>
        <v>0.05</v>
      </c>
      <c r="N4315" s="475">
        <f t="shared" si="185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83"/>
        <v>-10385967125775.395</v>
      </c>
      <c r="J4316" s="455">
        <f t="array" ref="J4316">IFERROR(INDEX('Retirement Calculator'!J:J,MATCH('Isaac 401k'!N4316,'Retirement Calculator'!A:A,0),0),0)</f>
        <v>0</v>
      </c>
      <c r="K4316" s="455">
        <f t="shared" ca="1" si="181"/>
        <v>-43274863024.06414</v>
      </c>
      <c r="L4316" s="455">
        <f t="shared" ca="1" si="182"/>
        <v>-10429241988799.459</v>
      </c>
      <c r="M4316" s="471">
        <f t="shared" si="184"/>
        <v>0.05</v>
      </c>
      <c r="N4316" s="475">
        <f t="shared" si="185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83"/>
        <v>-10429241988799.459</v>
      </c>
      <c r="J4317" s="455">
        <f t="array" ref="J4317">IFERROR(INDEX('Retirement Calculator'!J:J,MATCH('Isaac 401k'!N4317,'Retirement Calculator'!A:A,0),0),0)</f>
        <v>0</v>
      </c>
      <c r="K4317" s="455">
        <f t="shared" ca="1" si="181"/>
        <v>-43455174953.331078</v>
      </c>
      <c r="L4317" s="455">
        <f t="shared" ca="1" si="182"/>
        <v>-10472697163752.791</v>
      </c>
      <c r="M4317" s="471">
        <f t="shared" si="184"/>
        <v>0.05</v>
      </c>
      <c r="N4317" s="475">
        <f t="shared" si="185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83"/>
        <v>-10472697163752.791</v>
      </c>
      <c r="J4318" s="455">
        <f t="array" ref="J4318">IFERROR(INDEX('Retirement Calculator'!J:J,MATCH('Isaac 401k'!N4318,'Retirement Calculator'!A:A,0),0),0)</f>
        <v>0</v>
      </c>
      <c r="K4318" s="455">
        <f t="shared" ca="1" si="181"/>
        <v>-43636238182.303299</v>
      </c>
      <c r="L4318" s="455">
        <f t="shared" ca="1" si="182"/>
        <v>-10516333401935.094</v>
      </c>
      <c r="M4318" s="471">
        <f t="shared" si="184"/>
        <v>0.05</v>
      </c>
      <c r="N4318" s="475">
        <f t="shared" si="185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83"/>
        <v>-10516333401935.094</v>
      </c>
      <c r="J4319" s="455">
        <f t="array" ref="J4319">IFERROR(INDEX('Retirement Calculator'!J:J,MATCH('Isaac 401k'!N4319,'Retirement Calculator'!A:A,0),0),0)</f>
        <v>0</v>
      </c>
      <c r="K4319" s="455">
        <f t="shared" ca="1" si="181"/>
        <v>-43818055841.396225</v>
      </c>
      <c r="L4319" s="455">
        <f t="shared" ca="1" si="182"/>
        <v>-10560151457776.49</v>
      </c>
      <c r="M4319" s="471">
        <f t="shared" si="184"/>
        <v>0.05</v>
      </c>
      <c r="N4319" s="475">
        <f t="shared" si="185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83"/>
        <v>-10560151457776.49</v>
      </c>
      <c r="J4320" s="455">
        <f t="array" ref="J4320">IFERROR(INDEX('Retirement Calculator'!J:J,MATCH('Isaac 401k'!N4320,'Retirement Calculator'!A:A,0),0),0)</f>
        <v>0</v>
      </c>
      <c r="K4320" s="455">
        <f t="shared" ca="1" si="181"/>
        <v>-44000631074.06871</v>
      </c>
      <c r="L4320" s="455">
        <f t="shared" ca="1" si="182"/>
        <v>-10604152088850.559</v>
      </c>
      <c r="M4320" s="471">
        <f t="shared" si="184"/>
        <v>0.05</v>
      </c>
      <c r="N4320" s="475">
        <f t="shared" si="185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83"/>
        <v>-10604152088850.559</v>
      </c>
      <c r="J4321" s="455">
        <f t="array" ref="J4321">IFERROR(INDEX('Retirement Calculator'!J:J,MATCH('Isaac 401k'!N4321,'Retirement Calculator'!A:A,0),0),0)</f>
        <v>0</v>
      </c>
      <c r="K4321" s="455">
        <f t="shared" ca="1" si="181"/>
        <v>-44183967036.877327</v>
      </c>
      <c r="L4321" s="455">
        <f t="shared" ca="1" si="182"/>
        <v>-10648336055887.436</v>
      </c>
      <c r="M4321" s="471">
        <f t="shared" si="184"/>
        <v>0.05</v>
      </c>
      <c r="N4321" s="475">
        <f t="shared" si="185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83"/>
        <v>-10648336055887.436</v>
      </c>
      <c r="J4322" s="455">
        <f t="array" ref="J4322">IFERROR(INDEX('Retirement Calculator'!J:J,MATCH('Isaac 401k'!N4322,'Retirement Calculator'!A:A,0),0),0)</f>
        <v>0</v>
      </c>
      <c r="K4322" s="455">
        <f t="shared" ca="1" si="181"/>
        <v>-44368066899.530983</v>
      </c>
      <c r="L4322" s="455">
        <f t="shared" ca="1" si="182"/>
        <v>-10692704122786.967</v>
      </c>
      <c r="M4322" s="471">
        <f t="shared" si="184"/>
        <v>0.05</v>
      </c>
      <c r="N4322" s="475">
        <f t="shared" si="185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83"/>
        <v>-10692704122786.967</v>
      </c>
      <c r="J4323" s="455">
        <f t="array" ref="J4323">IFERROR(INDEX('Retirement Calculator'!J:J,MATCH('Isaac 401k'!N4323,'Retirement Calculator'!A:A,0),0),0)</f>
        <v>0</v>
      </c>
      <c r="K4323" s="455">
        <f t="shared" ca="1" si="181"/>
        <v>-44552933844.945694</v>
      </c>
      <c r="L4323" s="455">
        <f t="shared" ca="1" si="182"/>
        <v>-10737257056631.912</v>
      </c>
      <c r="M4323" s="471">
        <f t="shared" si="184"/>
        <v>0.05</v>
      </c>
      <c r="N4323" s="475">
        <f t="shared" si="185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83"/>
        <v>-10737257056631.912</v>
      </c>
      <c r="J4324" s="455">
        <f t="array" ref="J4324">IFERROR(INDEX('Retirement Calculator'!J:J,MATCH('Isaac 401k'!N4324,'Retirement Calculator'!A:A,0),0),0)</f>
        <v>0</v>
      </c>
      <c r="K4324" s="455">
        <f t="shared" ca="1" si="181"/>
        <v>-44738571069.299637</v>
      </c>
      <c r="L4324" s="455">
        <f t="shared" ca="1" si="182"/>
        <v>-10781995627701.211</v>
      </c>
      <c r="M4324" s="471">
        <f t="shared" si="184"/>
        <v>0.05</v>
      </c>
      <c r="N4324" s="475">
        <f t="shared" si="185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83"/>
        <v>-10781995627701.211</v>
      </c>
      <c r="J4325" s="455">
        <f t="array" ref="J4325">IFERROR(INDEX('Retirement Calculator'!J:J,MATCH('Isaac 401k'!N4325,'Retirement Calculator'!A:A,0),0),0)</f>
        <v>0</v>
      </c>
      <c r="K4325" s="455">
        <f t="shared" ca="1" si="181"/>
        <v>-44924981782.088379</v>
      </c>
      <c r="L4325" s="455">
        <f t="shared" ca="1" si="182"/>
        <v>-10826920609483.299</v>
      </c>
      <c r="M4325" s="471">
        <f t="shared" si="184"/>
        <v>0.05</v>
      </c>
      <c r="N4325" s="475">
        <f t="shared" si="185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83"/>
        <v>-10826920609483.299</v>
      </c>
      <c r="J4326" s="455">
        <f t="array" ref="J4326">IFERROR(INDEX('Retirement Calculator'!J:J,MATCH('Isaac 401k'!N4326,'Retirement Calculator'!A:A,0),0),0)</f>
        <v>0</v>
      </c>
      <c r="K4326" s="455">
        <f t="shared" ca="1" si="181"/>
        <v>-45112169206.180412</v>
      </c>
      <c r="L4326" s="455">
        <f t="shared" ca="1" si="182"/>
        <v>-10872032778689.479</v>
      </c>
      <c r="M4326" s="471">
        <f t="shared" si="184"/>
        <v>0.05</v>
      </c>
      <c r="N4326" s="475">
        <f t="shared" si="185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83"/>
        <v>-10872032778689.479</v>
      </c>
      <c r="J4327" s="455">
        <f t="array" ref="J4327">IFERROR(INDEX('Retirement Calculator'!J:J,MATCH('Isaac 401k'!N4327,'Retirement Calculator'!A:A,0),0),0)</f>
        <v>0</v>
      </c>
      <c r="K4327" s="455">
        <f t="shared" ca="1" si="181"/>
        <v>-45300136577.872826</v>
      </c>
      <c r="L4327" s="455">
        <f t="shared" ca="1" si="182"/>
        <v>-10917332915267.352</v>
      </c>
      <c r="M4327" s="471">
        <f t="shared" si="184"/>
        <v>0.05</v>
      </c>
      <c r="N4327" s="475">
        <f t="shared" si="185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83"/>
        <v>-10917332915267.352</v>
      </c>
      <c r="J4328" s="455">
        <f t="array" ref="J4328">IFERROR(INDEX('Retirement Calculator'!J:J,MATCH('Isaac 401k'!N4328,'Retirement Calculator'!A:A,0),0),0)</f>
        <v>0</v>
      </c>
      <c r="K4328" s="455">
        <f t="shared" ca="1" si="181"/>
        <v>-45488887146.947296</v>
      </c>
      <c r="L4328" s="455">
        <f t="shared" ca="1" si="182"/>
        <v>-10962821802414.299</v>
      </c>
      <c r="M4328" s="471">
        <f t="shared" si="184"/>
        <v>0.05</v>
      </c>
      <c r="N4328" s="475">
        <f t="shared" si="185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83"/>
        <v>-10962821802414.299</v>
      </c>
      <c r="J4329" s="455">
        <f t="array" ref="J4329">IFERROR(INDEX('Retirement Calculator'!J:J,MATCH('Isaac 401k'!N4329,'Retirement Calculator'!A:A,0),0),0)</f>
        <v>0</v>
      </c>
      <c r="K4329" s="455">
        <f t="shared" ca="1" si="181"/>
        <v>-45678424176.726242</v>
      </c>
      <c r="L4329" s="455">
        <f t="shared" ca="1" si="182"/>
        <v>-11008500226591.025</v>
      </c>
      <c r="M4329" s="471">
        <f t="shared" si="184"/>
        <v>0.05</v>
      </c>
      <c r="N4329" s="475">
        <f t="shared" si="185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83"/>
        <v>-11008500226591.025</v>
      </c>
      <c r="J4330" s="455">
        <f t="array" ref="J4330">IFERROR(INDEX('Retirement Calculator'!J:J,MATCH('Isaac 401k'!N4330,'Retirement Calculator'!A:A,0),0),0)</f>
        <v>0</v>
      </c>
      <c r="K4330" s="455">
        <f t="shared" ca="1" si="181"/>
        <v>-45868750944.129272</v>
      </c>
      <c r="L4330" s="455">
        <f t="shared" ca="1" si="182"/>
        <v>-11054368977535.154</v>
      </c>
      <c r="M4330" s="471">
        <f t="shared" si="184"/>
        <v>0.05</v>
      </c>
      <c r="N4330" s="475">
        <f t="shared" si="185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83"/>
        <v>-11054368977535.154</v>
      </c>
      <c r="J4331" s="455">
        <f t="array" ref="J4331">IFERROR(INDEX('Retirement Calculator'!J:J,MATCH('Isaac 401k'!N4331,'Retirement Calculator'!A:A,0),0),0)</f>
        <v>0</v>
      </c>
      <c r="K4331" s="455">
        <f t="shared" ca="1" si="181"/>
        <v>-46059870739.729813</v>
      </c>
      <c r="L4331" s="455">
        <f t="shared" ca="1" si="182"/>
        <v>-11100428848274.885</v>
      </c>
      <c r="M4331" s="471">
        <f t="shared" si="184"/>
        <v>0.05</v>
      </c>
      <c r="N4331" s="475">
        <f t="shared" si="185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83"/>
        <v>-11100428848274.885</v>
      </c>
      <c r="J4332" s="455">
        <f t="array" ref="J4332">IFERROR(INDEX('Retirement Calculator'!J:J,MATCH('Isaac 401k'!N4332,'Retirement Calculator'!A:A,0),0),0)</f>
        <v>0</v>
      </c>
      <c r="K4332" s="455">
        <f t="shared" ca="1" si="181"/>
        <v>-46251786867.812019</v>
      </c>
      <c r="L4332" s="455">
        <f t="shared" ca="1" si="182"/>
        <v>-11146680635142.697</v>
      </c>
      <c r="M4332" s="471">
        <f t="shared" si="184"/>
        <v>0.05</v>
      </c>
      <c r="N4332" s="475">
        <f t="shared" si="185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83"/>
        <v>-11146680635142.697</v>
      </c>
      <c r="J4333" s="455">
        <f t="array" ref="J4333">IFERROR(INDEX('Retirement Calculator'!J:J,MATCH('Isaac 401k'!N4333,'Retirement Calculator'!A:A,0),0),0)</f>
        <v>0</v>
      </c>
      <c r="K4333" s="455">
        <f t="shared" ca="1" si="181"/>
        <v>-46444502646.427902</v>
      </c>
      <c r="L4333" s="455">
        <f t="shared" ca="1" si="182"/>
        <v>-11193125137789.125</v>
      </c>
      <c r="M4333" s="471">
        <f t="shared" si="184"/>
        <v>0.05</v>
      </c>
      <c r="N4333" s="475">
        <f t="shared" si="185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83"/>
        <v>-11193125137789.125</v>
      </c>
      <c r="J4334" s="455">
        <f t="array" ref="J4334">IFERROR(INDEX('Retirement Calculator'!J:J,MATCH('Isaac 401k'!N4334,'Retirement Calculator'!A:A,0),0),0)</f>
        <v>0</v>
      </c>
      <c r="K4334" s="455">
        <f t="shared" ca="1" si="181"/>
        <v>-46638021407.454689</v>
      </c>
      <c r="L4334" s="455">
        <f t="shared" ca="1" si="182"/>
        <v>-11239763159196.58</v>
      </c>
      <c r="M4334" s="471">
        <f t="shared" si="184"/>
        <v>0.05</v>
      </c>
      <c r="N4334" s="475">
        <f t="shared" si="185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83"/>
        <v>-11239763159196.58</v>
      </c>
      <c r="J4335" s="455">
        <f t="array" ref="J4335">IFERROR(INDEX('Retirement Calculator'!J:J,MATCH('Isaac 401k'!N4335,'Retirement Calculator'!A:A,0),0),0)</f>
        <v>0</v>
      </c>
      <c r="K4335" s="455">
        <f t="shared" ca="1" si="181"/>
        <v>-46832346496.65242</v>
      </c>
      <c r="L4335" s="455">
        <f t="shared" ca="1" si="182"/>
        <v>-11286595505693.232</v>
      </c>
      <c r="M4335" s="471">
        <f t="shared" si="184"/>
        <v>0.05</v>
      </c>
      <c r="N4335" s="475">
        <f t="shared" si="185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83"/>
        <v>-11286595505693.232</v>
      </c>
      <c r="J4336" s="455">
        <f t="array" ref="J4336">IFERROR(INDEX('Retirement Calculator'!J:J,MATCH('Isaac 401k'!N4336,'Retirement Calculator'!A:A,0),0),0)</f>
        <v>0</v>
      </c>
      <c r="K4336" s="455">
        <f t="shared" ca="1" si="181"/>
        <v>-47027481273.721802</v>
      </c>
      <c r="L4336" s="455">
        <f t="shared" ca="1" si="182"/>
        <v>-11333622986966.955</v>
      </c>
      <c r="M4336" s="471">
        <f t="shared" si="184"/>
        <v>0.05</v>
      </c>
      <c r="N4336" s="475">
        <f t="shared" si="185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83"/>
        <v>-11333622986966.955</v>
      </c>
      <c r="J4337" s="455">
        <f t="array" ref="J4337">IFERROR(INDEX('Retirement Calculator'!J:J,MATCH('Isaac 401k'!N4337,'Retirement Calculator'!A:A,0),0),0)</f>
        <v>0</v>
      </c>
      <c r="K4337" s="455">
        <f t="shared" ca="1" si="181"/>
        <v>-47223429112.362312</v>
      </c>
      <c r="L4337" s="455">
        <f t="shared" ca="1" si="182"/>
        <v>-11380846416079.318</v>
      </c>
      <c r="M4337" s="471">
        <f t="shared" si="184"/>
        <v>0.05</v>
      </c>
      <c r="N4337" s="475">
        <f t="shared" si="185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83"/>
        <v>-11380846416079.318</v>
      </c>
      <c r="J4338" s="455">
        <f t="array" ref="J4338">IFERROR(INDEX('Retirement Calculator'!J:J,MATCH('Isaac 401k'!N4338,'Retirement Calculator'!A:A,0),0),0)</f>
        <v>0</v>
      </c>
      <c r="K4338" s="455">
        <f t="shared" ca="1" si="181"/>
        <v>-47420193400.33049</v>
      </c>
      <c r="L4338" s="455">
        <f t="shared" ca="1" si="182"/>
        <v>-11428266609479.648</v>
      </c>
      <c r="M4338" s="471">
        <f t="shared" si="184"/>
        <v>0.05</v>
      </c>
      <c r="N4338" s="475">
        <f t="shared" si="185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83"/>
        <v>-11428266609479.648</v>
      </c>
      <c r="J4339" s="455">
        <f t="array" ref="J4339">IFERROR(INDEX('Retirement Calculator'!J:J,MATCH('Isaac 401k'!N4339,'Retirement Calculator'!A:A,0),0),0)</f>
        <v>0</v>
      </c>
      <c r="K4339" s="455">
        <f t="shared" ca="1" si="181"/>
        <v>-47617777539.498535</v>
      </c>
      <c r="L4339" s="455">
        <f t="shared" ca="1" si="182"/>
        <v>-11475884387019.146</v>
      </c>
      <c r="M4339" s="471">
        <f t="shared" si="184"/>
        <v>0.05</v>
      </c>
      <c r="N4339" s="475">
        <f t="shared" si="185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83"/>
        <v>-11475884387019.146</v>
      </c>
      <c r="J4340" s="455">
        <f t="array" ref="J4340">IFERROR(INDEX('Retirement Calculator'!J:J,MATCH('Isaac 401k'!N4340,'Retirement Calculator'!A:A,0),0),0)</f>
        <v>0</v>
      </c>
      <c r="K4340" s="455">
        <f t="shared" ca="1" si="181"/>
        <v>-47816184945.913109</v>
      </c>
      <c r="L4340" s="455">
        <f t="shared" ca="1" si="182"/>
        <v>-11523700571965.061</v>
      </c>
      <c r="M4340" s="471">
        <f t="shared" si="184"/>
        <v>0.05</v>
      </c>
      <c r="N4340" s="475">
        <f t="shared" si="185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83"/>
        <v>-11523700571965.061</v>
      </c>
      <c r="J4341" s="455">
        <f t="array" ref="J4341">IFERROR(INDEX('Retirement Calculator'!J:J,MATCH('Isaac 401k'!N4341,'Retirement Calculator'!A:A,0),0),0)</f>
        <v>0</v>
      </c>
      <c r="K4341" s="455">
        <f t="shared" ca="1" si="181"/>
        <v>-48015419049.854416</v>
      </c>
      <c r="L4341" s="455">
        <f t="shared" ca="1" si="182"/>
        <v>-11571715991014.914</v>
      </c>
      <c r="M4341" s="471">
        <f t="shared" si="184"/>
        <v>0.05</v>
      </c>
      <c r="N4341" s="475">
        <f t="shared" si="185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83"/>
        <v>-11571715991014.914</v>
      </c>
      <c r="J4342" s="455">
        <f t="array" ref="J4342">IFERROR(INDEX('Retirement Calculator'!J:J,MATCH('Isaac 401k'!N4342,'Retirement Calculator'!A:A,0),0),0)</f>
        <v>0</v>
      </c>
      <c r="K4342" s="455">
        <f t="shared" ca="1" si="181"/>
        <v>-48215483295.895477</v>
      </c>
      <c r="L4342" s="455">
        <f t="shared" ca="1" si="182"/>
        <v>-11619931474310.809</v>
      </c>
      <c r="M4342" s="471">
        <f t="shared" si="184"/>
        <v>0.05</v>
      </c>
      <c r="N4342" s="475">
        <f t="shared" si="185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83"/>
        <v>-11619931474310.809</v>
      </c>
      <c r="J4343" s="455">
        <f t="array" ref="J4343">IFERROR(INDEX('Retirement Calculator'!J:J,MATCH('Isaac 401k'!N4343,'Retirement Calculator'!A:A,0),0),0)</f>
        <v>0</v>
      </c>
      <c r="K4343" s="455">
        <f t="shared" ref="K4343:K4597" ca="1" si="186">IPMT(M4343/12,1,12,-I4343+J4343,,0)</f>
        <v>-48416381142.9617</v>
      </c>
      <c r="L4343" s="455">
        <f t="shared" ref="L4343:L4597" ca="1" si="187">I4343-J4343+K4343</f>
        <v>-11668347855453.77</v>
      </c>
      <c r="M4343" s="471">
        <f t="shared" si="184"/>
        <v>0.05</v>
      </c>
      <c r="N4343" s="475">
        <f t="shared" si="185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88">L4343</f>
        <v>-11668347855453.77</v>
      </c>
      <c r="J4344" s="455">
        <f t="array" ref="J4344">IFERROR(INDEX('Retirement Calculator'!J:J,MATCH('Isaac 401k'!N4344,'Retirement Calculator'!A:A,0),0),0)</f>
        <v>0</v>
      </c>
      <c r="K4344" s="455">
        <f t="shared" ca="1" si="186"/>
        <v>-48618116064.390709</v>
      </c>
      <c r="L4344" s="455">
        <f t="shared" ca="1" si="187"/>
        <v>-11716965971518.16</v>
      </c>
      <c r="M4344" s="471">
        <f t="shared" ref="M4344:M4598" si="189">M4343</f>
        <v>0.05</v>
      </c>
      <c r="N4344" s="475">
        <f t="shared" ref="N4344:N4598" si="190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88"/>
        <v>-11716965971518.16</v>
      </c>
      <c r="J4345" s="455">
        <f t="array" ref="J4345">IFERROR(INDEX('Retirement Calculator'!J:J,MATCH('Isaac 401k'!N4345,'Retirement Calculator'!A:A,0),0),0)</f>
        <v>0</v>
      </c>
      <c r="K4345" s="455">
        <f t="shared" ca="1" si="186"/>
        <v>-48820691547.992332</v>
      </c>
      <c r="L4345" s="455">
        <f t="shared" ca="1" si="187"/>
        <v>-11765786663066.152</v>
      </c>
      <c r="M4345" s="471">
        <f t="shared" si="189"/>
        <v>0.05</v>
      </c>
      <c r="N4345" s="475">
        <f t="shared" si="190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88"/>
        <v>-11765786663066.152</v>
      </c>
      <c r="J4346" s="455">
        <f t="array" ref="J4346">IFERROR(INDEX('Retirement Calculator'!J:J,MATCH('Isaac 401k'!N4346,'Retirement Calculator'!A:A,0),0),0)</f>
        <v>0</v>
      </c>
      <c r="K4346" s="455">
        <f t="shared" ca="1" si="186"/>
        <v>-49024111096.108971</v>
      </c>
      <c r="L4346" s="455">
        <f t="shared" ca="1" si="187"/>
        <v>-11814810774162.262</v>
      </c>
      <c r="M4346" s="471">
        <f t="shared" si="189"/>
        <v>0.05</v>
      </c>
      <c r="N4346" s="475">
        <f t="shared" si="190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88"/>
        <v>-11814810774162.262</v>
      </c>
      <c r="J4347" s="455">
        <f t="array" ref="J4347">IFERROR(INDEX('Retirement Calculator'!J:J,MATCH('Isaac 401k'!N4347,'Retirement Calculator'!A:A,0),0),0)</f>
        <v>0</v>
      </c>
      <c r="K4347" s="455">
        <f t="shared" ca="1" si="186"/>
        <v>-49228378225.676086</v>
      </c>
      <c r="L4347" s="455">
        <f t="shared" ca="1" si="187"/>
        <v>-11864039152387.938</v>
      </c>
      <c r="M4347" s="471">
        <f t="shared" si="189"/>
        <v>0.05</v>
      </c>
      <c r="N4347" s="475">
        <f t="shared" si="190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88"/>
        <v>-11864039152387.938</v>
      </c>
      <c r="J4348" s="455">
        <f t="array" ref="J4348">IFERROR(INDEX('Retirement Calculator'!J:J,MATCH('Isaac 401k'!N4348,'Retirement Calculator'!A:A,0),0),0)</f>
        <v>0</v>
      </c>
      <c r="K4348" s="455">
        <f t="shared" ca="1" si="186"/>
        <v>-49433496468.283073</v>
      </c>
      <c r="L4348" s="455">
        <f t="shared" ca="1" si="187"/>
        <v>-11913472648856.221</v>
      </c>
      <c r="M4348" s="471">
        <f t="shared" si="189"/>
        <v>0.05</v>
      </c>
      <c r="N4348" s="475">
        <f t="shared" si="190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88"/>
        <v>-11913472648856.221</v>
      </c>
      <c r="J4349" s="455">
        <f t="array" ref="J4349">IFERROR(INDEX('Retirement Calculator'!J:J,MATCH('Isaac 401k'!N4349,'Retirement Calculator'!A:A,0),0),0)</f>
        <v>0</v>
      </c>
      <c r="K4349" s="455">
        <f t="shared" ca="1" si="186"/>
        <v>-49639469370.234253</v>
      </c>
      <c r="L4349" s="455">
        <f t="shared" ca="1" si="187"/>
        <v>-11963112118226.455</v>
      </c>
      <c r="M4349" s="471">
        <f t="shared" si="189"/>
        <v>0.05</v>
      </c>
      <c r="N4349" s="475">
        <f t="shared" si="190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88"/>
        <v>-11963112118226.455</v>
      </c>
      <c r="J4350" s="455">
        <f t="array" ref="J4350">IFERROR(INDEX('Retirement Calculator'!J:J,MATCH('Isaac 401k'!N4350,'Retirement Calculator'!A:A,0),0),0)</f>
        <v>0</v>
      </c>
      <c r="K4350" s="455">
        <f t="shared" ca="1" si="186"/>
        <v>-49846300492.610229</v>
      </c>
      <c r="L4350" s="455">
        <f t="shared" ca="1" si="187"/>
        <v>-12012958418719.064</v>
      </c>
      <c r="M4350" s="471">
        <f t="shared" si="189"/>
        <v>0.05</v>
      </c>
      <c r="N4350" s="475">
        <f t="shared" si="190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88"/>
        <v>-12012958418719.064</v>
      </c>
      <c r="J4351" s="455">
        <f t="array" ref="J4351">IFERROR(INDEX('Retirement Calculator'!J:J,MATCH('Isaac 401k'!N4351,'Retirement Calculator'!A:A,0),0),0)</f>
        <v>0</v>
      </c>
      <c r="K4351" s="455">
        <f t="shared" ca="1" si="186"/>
        <v>-50053993411.329437</v>
      </c>
      <c r="L4351" s="455">
        <f t="shared" ca="1" si="187"/>
        <v>-12063012412130.395</v>
      </c>
      <c r="M4351" s="471">
        <f t="shared" si="189"/>
        <v>0.05</v>
      </c>
      <c r="N4351" s="475">
        <f t="shared" si="190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88"/>
        <v>-12063012412130.395</v>
      </c>
      <c r="J4352" s="455">
        <f t="array" ref="J4352">IFERROR(INDEX('Retirement Calculator'!J:J,MATCH('Isaac 401k'!N4352,'Retirement Calculator'!A:A,0),0),0)</f>
        <v>0</v>
      </c>
      <c r="K4352" s="455">
        <f t="shared" ca="1" si="186"/>
        <v>-50262551717.209976</v>
      </c>
      <c r="L4352" s="455">
        <f t="shared" ca="1" si="187"/>
        <v>-12113274963847.605</v>
      </c>
      <c r="M4352" s="471">
        <f t="shared" si="189"/>
        <v>0.05</v>
      </c>
      <c r="N4352" s="475">
        <f t="shared" si="190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88"/>
        <v>-12113274963847.605</v>
      </c>
      <c r="J4353" s="455">
        <f t="array" ref="J4353">IFERROR(INDEX('Retirement Calculator'!J:J,MATCH('Isaac 401k'!N4353,'Retirement Calculator'!A:A,0),0),0)</f>
        <v>0</v>
      </c>
      <c r="K4353" s="455">
        <f t="shared" ca="1" si="186"/>
        <v>-50471979016.031693</v>
      </c>
      <c r="L4353" s="455">
        <f t="shared" ca="1" si="187"/>
        <v>-12163746942863.637</v>
      </c>
      <c r="M4353" s="471">
        <f t="shared" si="189"/>
        <v>0.05</v>
      </c>
      <c r="N4353" s="475">
        <f t="shared" si="190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88"/>
        <v>-12163746942863.637</v>
      </c>
      <c r="J4354" s="455">
        <f t="array" ref="J4354">IFERROR(INDEX('Retirement Calculator'!J:J,MATCH('Isaac 401k'!N4354,'Retirement Calculator'!A:A,0),0),0)</f>
        <v>0</v>
      </c>
      <c r="K4354" s="455">
        <f t="shared" ca="1" si="186"/>
        <v>-50682278928.598488</v>
      </c>
      <c r="L4354" s="455">
        <f t="shared" ca="1" si="187"/>
        <v>-12214429221792.234</v>
      </c>
      <c r="M4354" s="471">
        <f t="shared" si="189"/>
        <v>0.05</v>
      </c>
      <c r="N4354" s="475">
        <f t="shared" si="190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88"/>
        <v>-12214429221792.234</v>
      </c>
      <c r="J4355" s="455">
        <f t="array" ref="J4355">IFERROR(INDEX('Retirement Calculator'!J:J,MATCH('Isaac 401k'!N4355,'Retirement Calculator'!A:A,0),0),0)</f>
        <v>0</v>
      </c>
      <c r="K4355" s="455">
        <f t="shared" ca="1" si="186"/>
        <v>-50893455090.80098</v>
      </c>
      <c r="L4355" s="455">
        <f t="shared" ca="1" si="187"/>
        <v>-12265322676883.035</v>
      </c>
      <c r="M4355" s="471">
        <f t="shared" si="189"/>
        <v>0.05</v>
      </c>
      <c r="N4355" s="475">
        <f t="shared" si="190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88"/>
        <v>-12265322676883.035</v>
      </c>
      <c r="J4356" s="455">
        <f t="array" ref="J4356">IFERROR(INDEX('Retirement Calculator'!J:J,MATCH('Isaac 401k'!N4356,'Retirement Calculator'!A:A,0),0),0)</f>
        <v>0</v>
      </c>
      <c r="K4356" s="455">
        <f t="shared" ca="1" si="186"/>
        <v>-51105511153.679314</v>
      </c>
      <c r="L4356" s="455">
        <f t="shared" ca="1" si="187"/>
        <v>-12316428188036.715</v>
      </c>
      <c r="M4356" s="471">
        <f t="shared" si="189"/>
        <v>0.05</v>
      </c>
      <c r="N4356" s="475">
        <f t="shared" si="190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88"/>
        <v>-12316428188036.715</v>
      </c>
      <c r="J4357" s="455">
        <f t="array" ref="J4357">IFERROR(INDEX('Retirement Calculator'!J:J,MATCH('Isaac 401k'!N4357,'Retirement Calculator'!A:A,0),0),0)</f>
        <v>0</v>
      </c>
      <c r="K4357" s="455">
        <f t="shared" ca="1" si="186"/>
        <v>-51318450783.486313</v>
      </c>
      <c r="L4357" s="455">
        <f t="shared" ca="1" si="187"/>
        <v>-12367746638820.201</v>
      </c>
      <c r="M4357" s="471">
        <f t="shared" si="189"/>
        <v>0.05</v>
      </c>
      <c r="N4357" s="475">
        <f t="shared" si="190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88"/>
        <v>-12367746638820.201</v>
      </c>
      <c r="J4358" s="455">
        <f t="array" ref="J4358">IFERROR(INDEX('Retirement Calculator'!J:J,MATCH('Isaac 401k'!N4358,'Retirement Calculator'!A:A,0),0),0)</f>
        <v>0</v>
      </c>
      <c r="K4358" s="455">
        <f t="shared" ca="1" si="186"/>
        <v>-51532277661.750839</v>
      </c>
      <c r="L4358" s="455">
        <f t="shared" ca="1" si="187"/>
        <v>-12419278916481.951</v>
      </c>
      <c r="M4358" s="471">
        <f t="shared" si="189"/>
        <v>0.05</v>
      </c>
      <c r="N4358" s="475">
        <f t="shared" si="190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88"/>
        <v>-12419278916481.951</v>
      </c>
      <c r="J4359" s="455">
        <f t="array" ref="J4359">IFERROR(INDEX('Retirement Calculator'!J:J,MATCH('Isaac 401k'!N4359,'Retirement Calculator'!A:A,0),0),0)</f>
        <v>0</v>
      </c>
      <c r="K4359" s="455">
        <f t="shared" ca="1" si="186"/>
        <v>-51746995485.341461</v>
      </c>
      <c r="L4359" s="455">
        <f t="shared" ca="1" si="187"/>
        <v>-12471025911967.293</v>
      </c>
      <c r="M4359" s="471">
        <f t="shared" si="189"/>
        <v>0.05</v>
      </c>
      <c r="N4359" s="475">
        <f t="shared" si="190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88"/>
        <v>-12471025911967.293</v>
      </c>
      <c r="J4360" s="455">
        <f t="array" ref="J4360">IFERROR(INDEX('Retirement Calculator'!J:J,MATCH('Isaac 401k'!N4360,'Retirement Calculator'!A:A,0),0),0)</f>
        <v>0</v>
      </c>
      <c r="K4360" s="455">
        <f t="shared" ca="1" si="186"/>
        <v>-51962607966.530388</v>
      </c>
      <c r="L4360" s="455">
        <f t="shared" ca="1" si="187"/>
        <v>-12522988519933.824</v>
      </c>
      <c r="M4360" s="471">
        <f t="shared" si="189"/>
        <v>0.05</v>
      </c>
      <c r="N4360" s="475">
        <f t="shared" si="190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88"/>
        <v>-12522988519933.824</v>
      </c>
      <c r="J4361" s="455">
        <f t="array" ref="J4361">IFERROR(INDEX('Retirement Calculator'!J:J,MATCH('Isaac 401k'!N4361,'Retirement Calculator'!A:A,0),0),0)</f>
        <v>0</v>
      </c>
      <c r="K4361" s="455">
        <f t="shared" ca="1" si="186"/>
        <v>-52179118833.057602</v>
      </c>
      <c r="L4361" s="455">
        <f t="shared" ca="1" si="187"/>
        <v>-12575167638766.881</v>
      </c>
      <c r="M4361" s="471">
        <f t="shared" si="189"/>
        <v>0.05</v>
      </c>
      <c r="N4361" s="475">
        <f t="shared" si="190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88"/>
        <v>-12575167638766.881</v>
      </c>
      <c r="J4362" s="455">
        <f t="array" ref="J4362">IFERROR(INDEX('Retirement Calculator'!J:J,MATCH('Isaac 401k'!N4362,'Retirement Calculator'!A:A,0),0),0)</f>
        <v>0</v>
      </c>
      <c r="K4362" s="455">
        <f t="shared" ca="1" si="186"/>
        <v>-52396531828.195335</v>
      </c>
      <c r="L4362" s="455">
        <f t="shared" ca="1" si="187"/>
        <v>-12627564170595.076</v>
      </c>
      <c r="M4362" s="471">
        <f t="shared" si="189"/>
        <v>0.05</v>
      </c>
      <c r="N4362" s="475">
        <f t="shared" si="190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88"/>
        <v>-12627564170595.076</v>
      </c>
      <c r="J4363" s="455">
        <f t="array" ref="J4363">IFERROR(INDEX('Retirement Calculator'!J:J,MATCH('Isaac 401k'!N4363,'Retirement Calculator'!A:A,0),0),0)</f>
        <v>0</v>
      </c>
      <c r="K4363" s="455">
        <f t="shared" ca="1" si="186"/>
        <v>-52614850710.81282</v>
      </c>
      <c r="L4363" s="455">
        <f t="shared" ca="1" si="187"/>
        <v>-12680179021305.889</v>
      </c>
      <c r="M4363" s="471">
        <f t="shared" si="189"/>
        <v>0.05</v>
      </c>
      <c r="N4363" s="475">
        <f t="shared" si="190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88"/>
        <v>-12680179021305.889</v>
      </c>
      <c r="J4364" s="455">
        <f t="array" ref="J4364">IFERROR(INDEX('Retirement Calculator'!J:J,MATCH('Isaac 401k'!N4364,'Retirement Calculator'!A:A,0),0),0)</f>
        <v>0</v>
      </c>
      <c r="K4364" s="455">
        <f t="shared" ca="1" si="186"/>
        <v>-52834079255.4412</v>
      </c>
      <c r="L4364" s="455">
        <f t="shared" ca="1" si="187"/>
        <v>-12733013100561.33</v>
      </c>
      <c r="M4364" s="471">
        <f t="shared" si="189"/>
        <v>0.05</v>
      </c>
      <c r="N4364" s="475">
        <f t="shared" si="190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88"/>
        <v>-12733013100561.33</v>
      </c>
      <c r="J4365" s="455">
        <f t="array" ref="J4365">IFERROR(INDEX('Retirement Calculator'!J:J,MATCH('Isaac 401k'!N4365,'Retirement Calculator'!A:A,0),0),0)</f>
        <v>0</v>
      </c>
      <c r="K4365" s="455">
        <f t="shared" ca="1" si="186"/>
        <v>-53054221252.338875</v>
      </c>
      <c r="L4365" s="455">
        <f t="shared" ca="1" si="187"/>
        <v>-12786067321813.67</v>
      </c>
      <c r="M4365" s="471">
        <f t="shared" si="189"/>
        <v>0.05</v>
      </c>
      <c r="N4365" s="475">
        <f t="shared" si="190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88"/>
        <v>-12786067321813.67</v>
      </c>
      <c r="J4366" s="455">
        <f t="array" ref="J4366">IFERROR(INDEX('Retirement Calculator'!J:J,MATCH('Isaac 401k'!N4366,'Retirement Calculator'!A:A,0),0),0)</f>
        <v>0</v>
      </c>
      <c r="K4366" s="455">
        <f t="shared" ca="1" si="186"/>
        <v>-53275280507.556961</v>
      </c>
      <c r="L4366" s="455">
        <f t="shared" ca="1" si="187"/>
        <v>-12839342602321.227</v>
      </c>
      <c r="M4366" s="471">
        <f t="shared" si="189"/>
        <v>0.05</v>
      </c>
      <c r="N4366" s="475">
        <f t="shared" si="190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88"/>
        <v>-12839342602321.227</v>
      </c>
      <c r="J4367" s="455">
        <f t="array" ref="J4367">IFERROR(INDEX('Retirement Calculator'!J:J,MATCH('Isaac 401k'!N4367,'Retirement Calculator'!A:A,0),0),0)</f>
        <v>0</v>
      </c>
      <c r="K4367" s="455">
        <f t="shared" ca="1" si="186"/>
        <v>-53497260843.005112</v>
      </c>
      <c r="L4367" s="455">
        <f t="shared" ca="1" si="187"/>
        <v>-12892839863164.232</v>
      </c>
      <c r="M4367" s="471">
        <f t="shared" si="189"/>
        <v>0.05</v>
      </c>
      <c r="N4367" s="475">
        <f t="shared" si="190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88"/>
        <v>-12892839863164.232</v>
      </c>
      <c r="J4368" s="455">
        <f t="array" ref="J4368">IFERROR(INDEX('Retirement Calculator'!J:J,MATCH('Isaac 401k'!N4368,'Retirement Calculator'!A:A,0),0),0)</f>
        <v>0</v>
      </c>
      <c r="K4368" s="455">
        <f t="shared" ca="1" si="186"/>
        <v>-53720166096.517632</v>
      </c>
      <c r="L4368" s="455">
        <f t="shared" ca="1" si="187"/>
        <v>-12946560029260.75</v>
      </c>
      <c r="M4368" s="471">
        <f t="shared" si="189"/>
        <v>0.05</v>
      </c>
      <c r="N4368" s="475">
        <f t="shared" si="190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88"/>
        <v>-12946560029260.75</v>
      </c>
      <c r="J4369" s="455">
        <f t="array" ref="J4369">IFERROR(INDEX('Retirement Calculator'!J:J,MATCH('Isaac 401k'!N4369,'Retirement Calculator'!A:A,0),0),0)</f>
        <v>0</v>
      </c>
      <c r="K4369" s="455">
        <f t="shared" ca="1" si="186"/>
        <v>-53944000121.919792</v>
      </c>
      <c r="L4369" s="455">
        <f t="shared" ca="1" si="187"/>
        <v>-13000504029382.67</v>
      </c>
      <c r="M4369" s="471">
        <f t="shared" si="189"/>
        <v>0.05</v>
      </c>
      <c r="N4369" s="475">
        <f t="shared" si="190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88"/>
        <v>-13000504029382.67</v>
      </c>
      <c r="J4370" s="455">
        <f t="array" ref="J4370">IFERROR(INDEX('Retirement Calculator'!J:J,MATCH('Isaac 401k'!N4370,'Retirement Calculator'!A:A,0),0),0)</f>
        <v>0</v>
      </c>
      <c r="K4370" s="455">
        <f t="shared" ca="1" si="186"/>
        <v>-54168766789.09446</v>
      </c>
      <c r="L4370" s="455">
        <f t="shared" ca="1" si="187"/>
        <v>-13054672796171.764</v>
      </c>
      <c r="M4370" s="471">
        <f t="shared" si="189"/>
        <v>0.05</v>
      </c>
      <c r="N4370" s="475">
        <f t="shared" si="190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88"/>
        <v>-13054672796171.764</v>
      </c>
      <c r="J4371" s="455">
        <f t="array" ref="J4371">IFERROR(INDEX('Retirement Calculator'!J:J,MATCH('Isaac 401k'!N4371,'Retirement Calculator'!A:A,0),0),0)</f>
        <v>0</v>
      </c>
      <c r="K4371" s="455">
        <f t="shared" ca="1" si="186"/>
        <v>-54394469984.049011</v>
      </c>
      <c r="L4371" s="455">
        <f t="shared" ca="1" si="187"/>
        <v>-13109067266155.813</v>
      </c>
      <c r="M4371" s="471">
        <f t="shared" si="189"/>
        <v>0.05</v>
      </c>
      <c r="N4371" s="475">
        <f t="shared" si="190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88"/>
        <v>-13109067266155.813</v>
      </c>
      <c r="J4372" s="455">
        <f t="array" ref="J4372">IFERROR(INDEX('Retirement Calculator'!J:J,MATCH('Isaac 401k'!N4372,'Retirement Calculator'!A:A,0),0),0)</f>
        <v>0</v>
      </c>
      <c r="K4372" s="455">
        <f t="shared" ca="1" si="186"/>
        <v>-54621113608.982552</v>
      </c>
      <c r="L4372" s="455">
        <f t="shared" ca="1" si="187"/>
        <v>-13163688379764.795</v>
      </c>
      <c r="M4372" s="471">
        <f t="shared" si="189"/>
        <v>0.05</v>
      </c>
      <c r="N4372" s="475">
        <f t="shared" si="190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88"/>
        <v>-13163688379764.795</v>
      </c>
      <c r="J4373" s="455">
        <f t="array" ref="J4373">IFERROR(INDEX('Retirement Calculator'!J:J,MATCH('Isaac 401k'!N4373,'Retirement Calculator'!A:A,0),0),0)</f>
        <v>0</v>
      </c>
      <c r="K4373" s="455">
        <f t="shared" ca="1" si="186"/>
        <v>-54848701582.35331</v>
      </c>
      <c r="L4373" s="455">
        <f t="shared" ca="1" si="187"/>
        <v>-13218537081347.148</v>
      </c>
      <c r="M4373" s="471">
        <f t="shared" si="189"/>
        <v>0.05</v>
      </c>
      <c r="N4373" s="475">
        <f t="shared" si="190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88"/>
        <v>-13218537081347.148</v>
      </c>
      <c r="J4374" s="455">
        <f t="array" ref="J4374">IFERROR(INDEX('Retirement Calculator'!J:J,MATCH('Isaac 401k'!N4374,'Retirement Calculator'!A:A,0),0),0)</f>
        <v>0</v>
      </c>
      <c r="K4374" s="455">
        <f t="shared" ca="1" si="186"/>
        <v>-55077237838.946449</v>
      </c>
      <c r="L4374" s="455">
        <f t="shared" ca="1" si="187"/>
        <v>-13273614319186.096</v>
      </c>
      <c r="M4374" s="471">
        <f t="shared" si="189"/>
        <v>0.05</v>
      </c>
      <c r="N4374" s="475">
        <f t="shared" si="190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88"/>
        <v>-13273614319186.096</v>
      </c>
      <c r="J4375" s="455">
        <f t="array" ref="J4375">IFERROR(INDEX('Retirement Calculator'!J:J,MATCH('Isaac 401k'!N4375,'Retirement Calculator'!A:A,0),0),0)</f>
        <v>0</v>
      </c>
      <c r="K4375" s="455">
        <f t="shared" ca="1" si="186"/>
        <v>-55306726329.942062</v>
      </c>
      <c r="L4375" s="455">
        <f t="shared" ca="1" si="187"/>
        <v>-13328921045516.037</v>
      </c>
      <c r="M4375" s="471">
        <f t="shared" si="189"/>
        <v>0.05</v>
      </c>
      <c r="N4375" s="475">
        <f t="shared" si="190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88"/>
        <v>-13328921045516.037</v>
      </c>
      <c r="J4376" s="455">
        <f t="array" ref="J4376">IFERROR(INDEX('Retirement Calculator'!J:J,MATCH('Isaac 401k'!N4376,'Retirement Calculator'!A:A,0),0),0)</f>
        <v>0</v>
      </c>
      <c r="K4376" s="455">
        <f t="shared" ca="1" si="186"/>
        <v>-55537171022.98349</v>
      </c>
      <c r="L4376" s="455">
        <f t="shared" ca="1" si="187"/>
        <v>-13384458216539.021</v>
      </c>
      <c r="M4376" s="471">
        <f t="shared" si="189"/>
        <v>0.05</v>
      </c>
      <c r="N4376" s="475">
        <f t="shared" si="190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88"/>
        <v>-13384458216539.021</v>
      </c>
      <c r="J4377" s="455">
        <f t="array" ref="J4377">IFERROR(INDEX('Retirement Calculator'!J:J,MATCH('Isaac 401k'!N4377,'Retirement Calculator'!A:A,0),0),0)</f>
        <v>0</v>
      </c>
      <c r="K4377" s="455">
        <f t="shared" ca="1" si="186"/>
        <v>-55768575902.245918</v>
      </c>
      <c r="L4377" s="455">
        <f t="shared" ca="1" si="187"/>
        <v>-13440226792441.268</v>
      </c>
      <c r="M4377" s="471">
        <f t="shared" si="189"/>
        <v>0.05</v>
      </c>
      <c r="N4377" s="475">
        <f t="shared" si="190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88"/>
        <v>-13440226792441.268</v>
      </c>
      <c r="J4378" s="455">
        <f t="array" ref="J4378">IFERROR(INDEX('Retirement Calculator'!J:J,MATCH('Isaac 401k'!N4378,'Retirement Calculator'!A:A,0),0),0)</f>
        <v>0</v>
      </c>
      <c r="K4378" s="455">
        <f t="shared" ca="1" si="186"/>
        <v>-56000944968.50528</v>
      </c>
      <c r="L4378" s="455">
        <f t="shared" ca="1" si="187"/>
        <v>-13496227737409.773</v>
      </c>
      <c r="M4378" s="471">
        <f t="shared" si="189"/>
        <v>0.05</v>
      </c>
      <c r="N4378" s="475">
        <f t="shared" si="190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88"/>
        <v>-13496227737409.773</v>
      </c>
      <c r="J4379" s="455">
        <f t="array" ref="J4379">IFERROR(INDEX('Retirement Calculator'!J:J,MATCH('Isaac 401k'!N4379,'Retirement Calculator'!A:A,0),0),0)</f>
        <v>0</v>
      </c>
      <c r="K4379" s="455">
        <f t="shared" ca="1" si="186"/>
        <v>-56234282239.20739</v>
      </c>
      <c r="L4379" s="455">
        <f t="shared" ca="1" si="187"/>
        <v>-13552462019648.98</v>
      </c>
      <c r="M4379" s="471">
        <f t="shared" si="189"/>
        <v>0.05</v>
      </c>
      <c r="N4379" s="475">
        <f t="shared" si="190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88"/>
        <v>-13552462019648.98</v>
      </c>
      <c r="J4380" s="455">
        <f t="array" ref="J4380">IFERROR(INDEX('Retirement Calculator'!J:J,MATCH('Isaac 401k'!N4380,'Retirement Calculator'!A:A,0),0),0)</f>
        <v>0</v>
      </c>
      <c r="K4380" s="455">
        <f t="shared" ca="1" si="186"/>
        <v>-56468591748.537415</v>
      </c>
      <c r="L4380" s="455">
        <f t="shared" ca="1" si="187"/>
        <v>-13608930611397.518</v>
      </c>
      <c r="M4380" s="471">
        <f t="shared" si="189"/>
        <v>0.05</v>
      </c>
      <c r="N4380" s="475">
        <f t="shared" si="190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88"/>
        <v>-13608930611397.518</v>
      </c>
      <c r="J4381" s="455">
        <f t="array" ref="J4381">IFERROR(INDEX('Retirement Calculator'!J:J,MATCH('Isaac 401k'!N4381,'Retirement Calculator'!A:A,0),0),0)</f>
        <v>0</v>
      </c>
      <c r="K4381" s="455">
        <f t="shared" ca="1" si="186"/>
        <v>-56703877547.489655</v>
      </c>
      <c r="L4381" s="455">
        <f t="shared" ca="1" si="187"/>
        <v>-13665634488945.008</v>
      </c>
      <c r="M4381" s="471">
        <f t="shared" si="189"/>
        <v>0.05</v>
      </c>
      <c r="N4381" s="475">
        <f t="shared" si="190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88"/>
        <v>-13665634488945.008</v>
      </c>
      <c r="J4382" s="455">
        <f t="array" ref="J4382">IFERROR(INDEX('Retirement Calculator'!J:J,MATCH('Isaac 401k'!N4382,'Retirement Calculator'!A:A,0),0),0)</f>
        <v>0</v>
      </c>
      <c r="K4382" s="455">
        <f t="shared" ca="1" si="186"/>
        <v>-56940143703.937531</v>
      </c>
      <c r="L4382" s="455">
        <f t="shared" ca="1" si="187"/>
        <v>-13722574632648.945</v>
      </c>
      <c r="M4382" s="471">
        <f t="shared" si="189"/>
        <v>0.05</v>
      </c>
      <c r="N4382" s="475">
        <f t="shared" si="190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88"/>
        <v>-13722574632648.945</v>
      </c>
      <c r="J4383" s="455">
        <f t="array" ref="J4383">IFERROR(INDEX('Retirement Calculator'!J:J,MATCH('Isaac 401k'!N4383,'Retirement Calculator'!A:A,0),0),0)</f>
        <v>0</v>
      </c>
      <c r="K4383" s="455">
        <f t="shared" ca="1" si="186"/>
        <v>-57177394302.703941</v>
      </c>
      <c r="L4383" s="455">
        <f t="shared" ca="1" si="187"/>
        <v>-13779752026951.648</v>
      </c>
      <c r="M4383" s="471">
        <f t="shared" si="189"/>
        <v>0.05</v>
      </c>
      <c r="N4383" s="475">
        <f t="shared" si="190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88"/>
        <v>-13779752026951.648</v>
      </c>
      <c r="J4384" s="455">
        <f t="array" ref="J4384">IFERROR(INDEX('Retirement Calculator'!J:J,MATCH('Isaac 401k'!N4384,'Retirement Calculator'!A:A,0),0),0)</f>
        <v>0</v>
      </c>
      <c r="K4384" s="455">
        <f t="shared" ca="1" si="186"/>
        <v>-57415633445.631866</v>
      </c>
      <c r="L4384" s="455">
        <f t="shared" ca="1" si="187"/>
        <v>-13837167660397.281</v>
      </c>
      <c r="M4384" s="471">
        <f t="shared" si="189"/>
        <v>0.05</v>
      </c>
      <c r="N4384" s="475">
        <f t="shared" si="190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88"/>
        <v>-13837167660397.281</v>
      </c>
      <c r="J4385" s="455">
        <f t="array" ref="J4385">IFERROR(INDEX('Retirement Calculator'!J:J,MATCH('Isaac 401k'!N4385,'Retirement Calculator'!A:A,0),0),0)</f>
        <v>0</v>
      </c>
      <c r="K4385" s="455">
        <f t="shared" ca="1" si="186"/>
        <v>-57654865251.655334</v>
      </c>
      <c r="L4385" s="455">
        <f t="shared" ca="1" si="187"/>
        <v>-13894822525648.938</v>
      </c>
      <c r="M4385" s="471">
        <f t="shared" si="189"/>
        <v>0.05</v>
      </c>
      <c r="N4385" s="475">
        <f t="shared" si="190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88"/>
        <v>-13894822525648.938</v>
      </c>
      <c r="J4386" s="455">
        <f t="array" ref="J4386">IFERROR(INDEX('Retirement Calculator'!J:J,MATCH('Isaac 401k'!N4386,'Retirement Calculator'!A:A,0),0),0)</f>
        <v>0</v>
      </c>
      <c r="K4386" s="455">
        <f t="shared" ca="1" si="186"/>
        <v>-57895093856.870575</v>
      </c>
      <c r="L4386" s="455">
        <f t="shared" ca="1" si="187"/>
        <v>-13952717619505.809</v>
      </c>
      <c r="M4386" s="471">
        <f t="shared" si="189"/>
        <v>0.05</v>
      </c>
      <c r="N4386" s="475">
        <f t="shared" si="190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88"/>
        <v>-13952717619505.809</v>
      </c>
      <c r="J4387" s="455">
        <f t="array" ref="J4387">IFERROR(INDEX('Retirement Calculator'!J:J,MATCH('Isaac 401k'!N4387,'Retirement Calculator'!A:A,0),0),0)</f>
        <v>0</v>
      </c>
      <c r="K4387" s="455">
        <f t="shared" ca="1" si="186"/>
        <v>-58136323414.607536</v>
      </c>
      <c r="L4387" s="455">
        <f t="shared" ca="1" si="187"/>
        <v>-14010853942920.416</v>
      </c>
      <c r="M4387" s="471">
        <f t="shared" si="189"/>
        <v>0.05</v>
      </c>
      <c r="N4387" s="475">
        <f t="shared" si="190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88"/>
        <v>-14010853942920.416</v>
      </c>
      <c r="J4388" s="455">
        <f t="array" ref="J4388">IFERROR(INDEX('Retirement Calculator'!J:J,MATCH('Isaac 401k'!N4388,'Retirement Calculator'!A:A,0),0),0)</f>
        <v>0</v>
      </c>
      <c r="K4388" s="455">
        <f t="shared" ca="1" si="186"/>
        <v>-58378558095.501724</v>
      </c>
      <c r="L4388" s="455">
        <f t="shared" ca="1" si="187"/>
        <v>-14069232501015.918</v>
      </c>
      <c r="M4388" s="471">
        <f t="shared" si="189"/>
        <v>0.05</v>
      </c>
      <c r="N4388" s="475">
        <f t="shared" si="190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88"/>
        <v>-14069232501015.918</v>
      </c>
      <c r="J4389" s="455">
        <f t="array" ref="J4389">IFERROR(INDEX('Retirement Calculator'!J:J,MATCH('Isaac 401k'!N4389,'Retirement Calculator'!A:A,0),0),0)</f>
        <v>0</v>
      </c>
      <c r="K4389" s="455">
        <f t="shared" ca="1" si="186"/>
        <v>-58621802087.566315</v>
      </c>
      <c r="L4389" s="455">
        <f t="shared" ca="1" si="187"/>
        <v>-14127854303103.484</v>
      </c>
      <c r="M4389" s="471">
        <f t="shared" si="189"/>
        <v>0.05</v>
      </c>
      <c r="N4389" s="475">
        <f t="shared" si="190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88"/>
        <v>-14127854303103.484</v>
      </c>
      <c r="J4390" s="455">
        <f t="array" ref="J4390">IFERROR(INDEX('Retirement Calculator'!J:J,MATCH('Isaac 401k'!N4390,'Retirement Calculator'!A:A,0),0),0)</f>
        <v>0</v>
      </c>
      <c r="K4390" s="455">
        <f t="shared" ca="1" si="186"/>
        <v>-58866059596.264519</v>
      </c>
      <c r="L4390" s="455">
        <f t="shared" ca="1" si="187"/>
        <v>-14186720362699.748</v>
      </c>
      <c r="M4390" s="471">
        <f t="shared" si="189"/>
        <v>0.05</v>
      </c>
      <c r="N4390" s="475">
        <f t="shared" si="190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88"/>
        <v>-14186720362699.748</v>
      </c>
      <c r="J4391" s="455">
        <f t="array" ref="J4391">IFERROR(INDEX('Retirement Calculator'!J:J,MATCH('Isaac 401k'!N4391,'Retirement Calculator'!A:A,0),0),0)</f>
        <v>0</v>
      </c>
      <c r="K4391" s="455">
        <f t="shared" ca="1" si="186"/>
        <v>-59111334844.582283</v>
      </c>
      <c r="L4391" s="455">
        <f t="shared" ca="1" si="187"/>
        <v>-14245831697544.33</v>
      </c>
      <c r="M4391" s="471">
        <f t="shared" si="189"/>
        <v>0.05</v>
      </c>
      <c r="N4391" s="475">
        <f t="shared" si="190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88"/>
        <v>-14245831697544.33</v>
      </c>
      <c r="J4392" s="455">
        <f t="array" ref="J4392">IFERROR(INDEX('Retirement Calculator'!J:J,MATCH('Isaac 401k'!N4392,'Retirement Calculator'!A:A,0),0),0)</f>
        <v>0</v>
      </c>
      <c r="K4392" s="455">
        <f t="shared" ca="1" si="186"/>
        <v>-59357632073.101372</v>
      </c>
      <c r="L4392" s="455">
        <f t="shared" ca="1" si="187"/>
        <v>-14305189329617.432</v>
      </c>
      <c r="M4392" s="471">
        <f t="shared" si="189"/>
        <v>0.05</v>
      </c>
      <c r="N4392" s="475">
        <f t="shared" si="190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88"/>
        <v>-14305189329617.432</v>
      </c>
      <c r="J4393" s="455">
        <f t="array" ref="J4393">IFERROR(INDEX('Retirement Calculator'!J:J,MATCH('Isaac 401k'!N4393,'Retirement Calculator'!A:A,0),0),0)</f>
        <v>0</v>
      </c>
      <c r="K4393" s="455">
        <f t="shared" ca="1" si="186"/>
        <v>-59604955540.072639</v>
      </c>
      <c r="L4393" s="455">
        <f t="shared" ca="1" si="187"/>
        <v>-14364794285157.504</v>
      </c>
      <c r="M4393" s="471">
        <f t="shared" si="189"/>
        <v>0.05</v>
      </c>
      <c r="N4393" s="475">
        <f t="shared" si="190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88"/>
        <v>-14364794285157.504</v>
      </c>
      <c r="J4394" s="455">
        <f t="array" ref="J4394">IFERROR(INDEX('Retirement Calculator'!J:J,MATCH('Isaac 401k'!N4394,'Retirement Calculator'!A:A,0),0),0)</f>
        <v>0</v>
      </c>
      <c r="K4394" s="455">
        <f t="shared" ca="1" si="186"/>
        <v>-59853309521.489601</v>
      </c>
      <c r="L4394" s="455">
        <f t="shared" ca="1" si="187"/>
        <v>-14424647594678.994</v>
      </c>
      <c r="M4394" s="471">
        <f t="shared" si="189"/>
        <v>0.05</v>
      </c>
      <c r="N4394" s="475">
        <f t="shared" si="190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88"/>
        <v>-14424647594678.994</v>
      </c>
      <c r="J4395" s="455">
        <f t="array" ref="J4395">IFERROR(INDEX('Retirement Calculator'!J:J,MATCH('Isaac 401k'!N4395,'Retirement Calculator'!A:A,0),0),0)</f>
        <v>0</v>
      </c>
      <c r="K4395" s="455">
        <f t="shared" ca="1" si="186"/>
        <v>-60102698311.162483</v>
      </c>
      <c r="L4395" s="455">
        <f t="shared" ca="1" si="187"/>
        <v>-14484750292990.156</v>
      </c>
      <c r="M4395" s="471">
        <f t="shared" si="189"/>
        <v>0.05</v>
      </c>
      <c r="N4395" s="475">
        <f t="shared" si="190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88"/>
        <v>-14484750292990.156</v>
      </c>
      <c r="J4396" s="455">
        <f t="array" ref="J4396">IFERROR(INDEX('Retirement Calculator'!J:J,MATCH('Isaac 401k'!N4396,'Retirement Calculator'!A:A,0),0),0)</f>
        <v>0</v>
      </c>
      <c r="K4396" s="455">
        <f t="shared" ca="1" si="186"/>
        <v>-60353126220.79232</v>
      </c>
      <c r="L4396" s="455">
        <f t="shared" ca="1" si="187"/>
        <v>-14545103419210.949</v>
      </c>
      <c r="M4396" s="471">
        <f t="shared" si="189"/>
        <v>0.05</v>
      </c>
      <c r="N4396" s="475">
        <f t="shared" si="190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88"/>
        <v>-14545103419210.949</v>
      </c>
      <c r="J4397" s="455">
        <f t="array" ref="J4397">IFERROR(INDEX('Retirement Calculator'!J:J,MATCH('Isaac 401k'!N4397,'Retirement Calculator'!A:A,0),0),0)</f>
        <v>0</v>
      </c>
      <c r="K4397" s="455">
        <f t="shared" ca="1" si="186"/>
        <v>-60604597580.045631</v>
      </c>
      <c r="L4397" s="455">
        <f t="shared" ca="1" si="187"/>
        <v>-14605708016790.994</v>
      </c>
      <c r="M4397" s="471">
        <f t="shared" si="189"/>
        <v>0.05</v>
      </c>
      <c r="N4397" s="475">
        <f t="shared" si="190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88"/>
        <v>-14605708016790.994</v>
      </c>
      <c r="J4398" s="455">
        <f t="array" ref="J4398">IFERROR(INDEX('Retirement Calculator'!J:J,MATCH('Isaac 401k'!N4398,'Retirement Calculator'!A:A,0),0),0)</f>
        <v>0</v>
      </c>
      <c r="K4398" s="455">
        <f t="shared" ca="1" si="186"/>
        <v>-60857116736.629143</v>
      </c>
      <c r="L4398" s="455">
        <f t="shared" ca="1" si="187"/>
        <v>-14666565133527.623</v>
      </c>
      <c r="M4398" s="471">
        <f t="shared" si="189"/>
        <v>0.05</v>
      </c>
      <c r="N4398" s="475">
        <f t="shared" si="190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88"/>
        <v>-14666565133527.623</v>
      </c>
      <c r="J4399" s="455">
        <f t="array" ref="J4399">IFERROR(INDEX('Retirement Calculator'!J:J,MATCH('Isaac 401k'!N4399,'Retirement Calculator'!A:A,0),0),0)</f>
        <v>0</v>
      </c>
      <c r="K4399" s="455">
        <f t="shared" ca="1" si="186"/>
        <v>-61110688056.365105</v>
      </c>
      <c r="L4399" s="455">
        <f t="shared" ca="1" si="187"/>
        <v>-14727675821583.988</v>
      </c>
      <c r="M4399" s="471">
        <f t="shared" si="189"/>
        <v>0.05</v>
      </c>
      <c r="N4399" s="475">
        <f t="shared" si="190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88"/>
        <v>-14727675821583.988</v>
      </c>
      <c r="J4400" s="455">
        <f t="array" ref="J4400">IFERROR(INDEX('Retirement Calculator'!J:J,MATCH('Isaac 401k'!N4400,'Retirement Calculator'!A:A,0),0),0)</f>
        <v>0</v>
      </c>
      <c r="K4400" s="455">
        <f t="shared" ca="1" si="186"/>
        <v>-61365315923.266617</v>
      </c>
      <c r="L4400" s="455">
        <f t="shared" ca="1" si="187"/>
        <v>-14789041137507.256</v>
      </c>
      <c r="M4400" s="471">
        <f t="shared" si="189"/>
        <v>0.05</v>
      </c>
      <c r="N4400" s="475">
        <f t="shared" si="190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88"/>
        <v>-14789041137507.256</v>
      </c>
      <c r="J4401" s="455">
        <f t="array" ref="J4401">IFERROR(INDEX('Retirement Calculator'!J:J,MATCH('Isaac 401k'!N4401,'Retirement Calculator'!A:A,0),0),0)</f>
        <v>0</v>
      </c>
      <c r="K4401" s="455">
        <f t="shared" ca="1" si="186"/>
        <v>-61621004739.613556</v>
      </c>
      <c r="L4401" s="455">
        <f t="shared" ca="1" si="187"/>
        <v>-14850662142246.869</v>
      </c>
      <c r="M4401" s="471">
        <f t="shared" si="189"/>
        <v>0.05</v>
      </c>
      <c r="N4401" s="475">
        <f t="shared" si="190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88"/>
        <v>-14850662142246.869</v>
      </c>
      <c r="J4402" s="455">
        <f t="array" ref="J4402">IFERROR(INDEX('Retirement Calculator'!J:J,MATCH('Isaac 401k'!N4402,'Retirement Calculator'!A:A,0),0),0)</f>
        <v>0</v>
      </c>
      <c r="K4402" s="455">
        <f t="shared" ca="1" si="186"/>
        <v>-61877758926.028618</v>
      </c>
      <c r="L4402" s="455">
        <f t="shared" ca="1" si="187"/>
        <v>-14912539901172.898</v>
      </c>
      <c r="M4402" s="471">
        <f t="shared" si="189"/>
        <v>0.05</v>
      </c>
      <c r="N4402" s="475">
        <f t="shared" si="190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88"/>
        <v>-14912539901172.898</v>
      </c>
      <c r="J4403" s="455">
        <f t="array" ref="J4403">IFERROR(INDEX('Retirement Calculator'!J:J,MATCH('Isaac 401k'!N4403,'Retirement Calculator'!A:A,0),0),0)</f>
        <v>0</v>
      </c>
      <c r="K4403" s="455">
        <f t="shared" ca="1" si="186"/>
        <v>-62135582921.553749</v>
      </c>
      <c r="L4403" s="455">
        <f t="shared" ca="1" si="187"/>
        <v>-14974675484094.453</v>
      </c>
      <c r="M4403" s="471">
        <f t="shared" si="189"/>
        <v>0.05</v>
      </c>
      <c r="N4403" s="475">
        <f t="shared" si="190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88"/>
        <v>-14974675484094.453</v>
      </c>
      <c r="J4404" s="455">
        <f t="array" ref="J4404">IFERROR(INDEX('Retirement Calculator'!J:J,MATCH('Isaac 401k'!N4404,'Retirement Calculator'!A:A,0),0),0)</f>
        <v>0</v>
      </c>
      <c r="K4404" s="455">
        <f t="shared" ca="1" si="186"/>
        <v>-62394481183.726891</v>
      </c>
      <c r="L4404" s="455">
        <f t="shared" ca="1" si="187"/>
        <v>-15037069965278.18</v>
      </c>
      <c r="M4404" s="471">
        <f t="shared" si="189"/>
        <v>0.05</v>
      </c>
      <c r="N4404" s="475">
        <f t="shared" si="190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88"/>
        <v>-15037069965278.18</v>
      </c>
      <c r="J4405" s="455">
        <f t="array" ref="J4405">IFERROR(INDEX('Retirement Calculator'!J:J,MATCH('Isaac 401k'!N4405,'Retirement Calculator'!A:A,0),0),0)</f>
        <v>0</v>
      </c>
      <c r="K4405" s="455">
        <f t="shared" ca="1" si="186"/>
        <v>-62654458188.659081</v>
      </c>
      <c r="L4405" s="455">
        <f t="shared" ca="1" si="187"/>
        <v>-15099724423466.838</v>
      </c>
      <c r="M4405" s="471">
        <f t="shared" si="189"/>
        <v>0.05</v>
      </c>
      <c r="N4405" s="475">
        <f t="shared" si="190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88"/>
        <v>-15099724423466.838</v>
      </c>
      <c r="J4406" s="455">
        <f t="array" ref="J4406">IFERROR(INDEX('Retirement Calculator'!J:J,MATCH('Isaac 401k'!N4406,'Retirement Calculator'!A:A,0),0),0)</f>
        <v>0</v>
      </c>
      <c r="K4406" s="455">
        <f t="shared" ca="1" si="186"/>
        <v>-62915518431.111824</v>
      </c>
      <c r="L4406" s="455">
        <f t="shared" ca="1" si="187"/>
        <v>-15162639941897.949</v>
      </c>
      <c r="M4406" s="471">
        <f t="shared" si="189"/>
        <v>0.05</v>
      </c>
      <c r="N4406" s="475">
        <f t="shared" si="190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88"/>
        <v>-15162639941897.949</v>
      </c>
      <c r="J4407" s="455">
        <f t="array" ref="J4407">IFERROR(INDEX('Retirement Calculator'!J:J,MATCH('Isaac 401k'!N4407,'Retirement Calculator'!A:A,0),0),0)</f>
        <v>0</v>
      </c>
      <c r="K4407" s="455">
        <f t="shared" ca="1" si="186"/>
        <v>-63177666424.574791</v>
      </c>
      <c r="L4407" s="455">
        <f t="shared" ca="1" si="187"/>
        <v>-15225817608322.523</v>
      </c>
      <c r="M4407" s="471">
        <f t="shared" si="189"/>
        <v>0.05</v>
      </c>
      <c r="N4407" s="475">
        <f t="shared" si="190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88"/>
        <v>-15225817608322.523</v>
      </c>
      <c r="J4408" s="455">
        <f t="array" ref="J4408">IFERROR(INDEX('Retirement Calculator'!J:J,MATCH('Isaac 401k'!N4408,'Retirement Calculator'!A:A,0),0),0)</f>
        <v>0</v>
      </c>
      <c r="K4408" s="455">
        <f t="shared" ca="1" si="186"/>
        <v>-63440906701.343842</v>
      </c>
      <c r="L4408" s="455">
        <f t="shared" ca="1" si="187"/>
        <v>-15289258515023.867</v>
      </c>
      <c r="M4408" s="471">
        <f t="shared" si="189"/>
        <v>0.05</v>
      </c>
      <c r="N4408" s="475">
        <f t="shared" si="190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88"/>
        <v>-15289258515023.867</v>
      </c>
      <c r="J4409" s="455">
        <f t="array" ref="J4409">IFERROR(INDEX('Retirement Calculator'!J:J,MATCH('Isaac 401k'!N4409,'Retirement Calculator'!A:A,0),0),0)</f>
        <v>0</v>
      </c>
      <c r="K4409" s="455">
        <f t="shared" ca="1" si="186"/>
        <v>-63705243812.599449</v>
      </c>
      <c r="L4409" s="455">
        <f t="shared" ca="1" si="187"/>
        <v>-15352963758836.467</v>
      </c>
      <c r="M4409" s="471">
        <f t="shared" si="189"/>
        <v>0.05</v>
      </c>
      <c r="N4409" s="475">
        <f t="shared" si="190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88"/>
        <v>-15352963758836.467</v>
      </c>
      <c r="J4410" s="455">
        <f t="array" ref="J4410">IFERROR(INDEX('Retirement Calculator'!J:J,MATCH('Isaac 401k'!N4410,'Retirement Calculator'!A:A,0),0),0)</f>
        <v>0</v>
      </c>
      <c r="K4410" s="455">
        <f t="shared" ca="1" si="186"/>
        <v>-63970682328.485283</v>
      </c>
      <c r="L4410" s="455">
        <f t="shared" ca="1" si="187"/>
        <v>-15416934441164.951</v>
      </c>
      <c r="M4410" s="471">
        <f t="shared" si="189"/>
        <v>0.05</v>
      </c>
      <c r="N4410" s="475">
        <f t="shared" si="190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88"/>
        <v>-15416934441164.951</v>
      </c>
      <c r="J4411" s="455">
        <f t="array" ref="J4411">IFERROR(INDEX('Retirement Calculator'!J:J,MATCH('Isaac 401k'!N4411,'Retirement Calculator'!A:A,0),0),0)</f>
        <v>0</v>
      </c>
      <c r="K4411" s="455">
        <f t="shared" ca="1" si="186"/>
        <v>-64237226838.187302</v>
      </c>
      <c r="L4411" s="455">
        <f t="shared" ca="1" si="187"/>
        <v>-15481171668003.139</v>
      </c>
      <c r="M4411" s="471">
        <f t="shared" si="189"/>
        <v>0.05</v>
      </c>
      <c r="N4411" s="475">
        <f t="shared" si="190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88"/>
        <v>-15481171668003.139</v>
      </c>
      <c r="J4412" s="455">
        <f t="array" ref="J4412">IFERROR(INDEX('Retirement Calculator'!J:J,MATCH('Isaac 401k'!N4412,'Retirement Calculator'!A:A,0),0),0)</f>
        <v>0</v>
      </c>
      <c r="K4412" s="455">
        <f t="shared" ca="1" si="186"/>
        <v>-64504881950.013077</v>
      </c>
      <c r="L4412" s="455">
        <f t="shared" ca="1" si="187"/>
        <v>-15545676549953.152</v>
      </c>
      <c r="M4412" s="471">
        <f t="shared" si="189"/>
        <v>0.05</v>
      </c>
      <c r="N4412" s="475">
        <f t="shared" si="190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88"/>
        <v>-15545676549953.152</v>
      </c>
      <c r="J4413" s="455">
        <f t="array" ref="J4413">IFERROR(INDEX('Retirement Calculator'!J:J,MATCH('Isaac 401k'!N4413,'Retirement Calculator'!A:A,0),0),0)</f>
        <v>0</v>
      </c>
      <c r="K4413" s="455">
        <f t="shared" ca="1" si="186"/>
        <v>-64773652291.471474</v>
      </c>
      <c r="L4413" s="455">
        <f t="shared" ca="1" si="187"/>
        <v>-15610450202244.623</v>
      </c>
      <c r="M4413" s="471">
        <f t="shared" si="189"/>
        <v>0.05</v>
      </c>
      <c r="N4413" s="475">
        <f t="shared" si="190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88"/>
        <v>-15610450202244.623</v>
      </c>
      <c r="J4414" s="455">
        <f t="array" ref="J4414">IFERROR(INDEX('Retirement Calculator'!J:J,MATCH('Isaac 401k'!N4414,'Retirement Calculator'!A:A,0),0),0)</f>
        <v>0</v>
      </c>
      <c r="K4414" s="455">
        <f t="shared" ca="1" si="186"/>
        <v>-65043542509.3526</v>
      </c>
      <c r="L4414" s="455">
        <f t="shared" ca="1" si="187"/>
        <v>-15675493744753.977</v>
      </c>
      <c r="M4414" s="471">
        <f t="shared" si="189"/>
        <v>0.05</v>
      </c>
      <c r="N4414" s="475">
        <f t="shared" si="190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88"/>
        <v>-15675493744753.977</v>
      </c>
      <c r="J4415" s="455">
        <f t="array" ref="J4415">IFERROR(INDEX('Retirement Calculator'!J:J,MATCH('Isaac 401k'!N4415,'Retirement Calculator'!A:A,0),0),0)</f>
        <v>0</v>
      </c>
      <c r="K4415" s="455">
        <f t="shared" ca="1" si="186"/>
        <v>-65314557269.808235</v>
      </c>
      <c r="L4415" s="455">
        <f t="shared" ca="1" si="187"/>
        <v>-15740808302023.785</v>
      </c>
      <c r="M4415" s="471">
        <f t="shared" si="189"/>
        <v>0.05</v>
      </c>
      <c r="N4415" s="475">
        <f t="shared" si="190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88"/>
        <v>-15740808302023.785</v>
      </c>
      <c r="J4416" s="455">
        <f t="array" ref="J4416">IFERROR(INDEX('Retirement Calculator'!J:J,MATCH('Isaac 401k'!N4416,'Retirement Calculator'!A:A,0),0),0)</f>
        <v>0</v>
      </c>
      <c r="K4416" s="455">
        <f t="shared" ca="1" si="186"/>
        <v>-65586701258.432434</v>
      </c>
      <c r="L4416" s="455">
        <f t="shared" ca="1" si="187"/>
        <v>-15806395003282.217</v>
      </c>
      <c r="M4416" s="471">
        <f t="shared" si="189"/>
        <v>0.05</v>
      </c>
      <c r="N4416" s="475">
        <f t="shared" si="190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88"/>
        <v>-15806395003282.217</v>
      </c>
      <c r="J4417" s="455">
        <f t="array" ref="J4417">IFERROR(INDEX('Retirement Calculator'!J:J,MATCH('Isaac 401k'!N4417,'Retirement Calculator'!A:A,0),0),0)</f>
        <v>0</v>
      </c>
      <c r="K4417" s="455">
        <f t="shared" ca="1" si="186"/>
        <v>-65859979180.342567</v>
      </c>
      <c r="L4417" s="455">
        <f t="shared" ca="1" si="187"/>
        <v>-15872254982462.559</v>
      </c>
      <c r="M4417" s="471">
        <f t="shared" si="189"/>
        <v>0.05</v>
      </c>
      <c r="N4417" s="475">
        <f t="shared" si="190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88"/>
        <v>-15872254982462.559</v>
      </c>
      <c r="J4418" s="455">
        <f t="array" ref="J4418">IFERROR(INDEX('Retirement Calculator'!J:J,MATCH('Isaac 401k'!N4418,'Retirement Calculator'!A:A,0),0),0)</f>
        <v>0</v>
      </c>
      <c r="K4418" s="455">
        <f t="shared" ca="1" si="186"/>
        <v>-66134395760.260651</v>
      </c>
      <c r="L4418" s="455">
        <f t="shared" ca="1" si="187"/>
        <v>-15938389378222.818</v>
      </c>
      <c r="M4418" s="471">
        <f t="shared" si="189"/>
        <v>0.05</v>
      </c>
      <c r="N4418" s="475">
        <f t="shared" si="190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88"/>
        <v>-15938389378222.818</v>
      </c>
      <c r="J4419" s="455">
        <f t="array" ref="J4419">IFERROR(INDEX('Retirement Calculator'!J:J,MATCH('Isaac 401k'!N4419,'Retirement Calculator'!A:A,0),0),0)</f>
        <v>0</v>
      </c>
      <c r="K4419" s="455">
        <f t="shared" ca="1" si="186"/>
        <v>-66409955742.595078</v>
      </c>
      <c r="L4419" s="455">
        <f t="shared" ca="1" si="187"/>
        <v>-16004799333965.414</v>
      </c>
      <c r="M4419" s="471">
        <f t="shared" si="189"/>
        <v>0.05</v>
      </c>
      <c r="N4419" s="475">
        <f t="shared" si="190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88"/>
        <v>-16004799333965.414</v>
      </c>
      <c r="J4420" s="455">
        <f t="array" ref="J4420">IFERROR(INDEX('Retirement Calculator'!J:J,MATCH('Isaac 401k'!N4420,'Retirement Calculator'!A:A,0),0),0)</f>
        <v>0</v>
      </c>
      <c r="K4420" s="455">
        <f t="shared" ca="1" si="186"/>
        <v>-66686663891.52256</v>
      </c>
      <c r="L4420" s="455">
        <f t="shared" ca="1" si="187"/>
        <v>-16071485997856.938</v>
      </c>
      <c r="M4420" s="471">
        <f t="shared" si="189"/>
        <v>0.05</v>
      </c>
      <c r="N4420" s="475">
        <f t="shared" si="190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88"/>
        <v>-16071485997856.938</v>
      </c>
      <c r="J4421" s="455">
        <f t="array" ref="J4421">IFERROR(INDEX('Retirement Calculator'!J:J,MATCH('Isaac 401k'!N4421,'Retirement Calculator'!A:A,0),0),0)</f>
        <v>0</v>
      </c>
      <c r="K4421" s="455">
        <f t="shared" ca="1" si="186"/>
        <v>-66964524991.070572</v>
      </c>
      <c r="L4421" s="455">
        <f t="shared" ca="1" si="187"/>
        <v>-16138450522848.008</v>
      </c>
      <c r="M4421" s="471">
        <f t="shared" si="189"/>
        <v>0.05</v>
      </c>
      <c r="N4421" s="475">
        <f t="shared" si="190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88"/>
        <v>-16138450522848.008</v>
      </c>
      <c r="J4422" s="455">
        <f t="array" ref="J4422">IFERROR(INDEX('Retirement Calculator'!J:J,MATCH('Isaac 401k'!N4422,'Retirement Calculator'!A:A,0),0),0)</f>
        <v>0</v>
      </c>
      <c r="K4422" s="455">
        <f t="shared" ca="1" si="186"/>
        <v>-67243543845.20002</v>
      </c>
      <c r="L4422" s="455">
        <f t="shared" ca="1" si="187"/>
        <v>-16205694066693.207</v>
      </c>
      <c r="M4422" s="471">
        <f t="shared" si="189"/>
        <v>0.05</v>
      </c>
      <c r="N4422" s="475">
        <f t="shared" si="190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88"/>
        <v>-16205694066693.207</v>
      </c>
      <c r="J4423" s="455">
        <f t="array" ref="J4423">IFERROR(INDEX('Retirement Calculator'!J:J,MATCH('Isaac 401k'!N4423,'Retirement Calculator'!A:A,0),0),0)</f>
        <v>0</v>
      </c>
      <c r="K4423" s="455">
        <f t="shared" ca="1" si="186"/>
        <v>-67523725277.888359</v>
      </c>
      <c r="L4423" s="455">
        <f t="shared" ca="1" si="187"/>
        <v>-16273217791971.096</v>
      </c>
      <c r="M4423" s="471">
        <f t="shared" si="189"/>
        <v>0.05</v>
      </c>
      <c r="N4423" s="475">
        <f t="shared" si="190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88"/>
        <v>-16273217791971.096</v>
      </c>
      <c r="J4424" s="455">
        <f t="array" ref="J4424">IFERROR(INDEX('Retirement Calculator'!J:J,MATCH('Isaac 401k'!N4424,'Retirement Calculator'!A:A,0),0),0)</f>
        <v>0</v>
      </c>
      <c r="K4424" s="455">
        <f t="shared" ca="1" si="186"/>
        <v>-67805074133.212891</v>
      </c>
      <c r="L4424" s="455">
        <f t="shared" ca="1" si="187"/>
        <v>-16341022866104.309</v>
      </c>
      <c r="M4424" s="471">
        <f t="shared" si="189"/>
        <v>0.05</v>
      </c>
      <c r="N4424" s="475">
        <f t="shared" si="190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88"/>
        <v>-16341022866104.309</v>
      </c>
      <c r="J4425" s="455">
        <f t="array" ref="J4425">IFERROR(INDEX('Retirement Calculator'!J:J,MATCH('Isaac 401k'!N4425,'Retirement Calculator'!A:A,0),0),0)</f>
        <v>0</v>
      </c>
      <c r="K4425" s="455">
        <f t="shared" ca="1" si="186"/>
        <v>-68087595275.434616</v>
      </c>
      <c r="L4425" s="455">
        <f t="shared" ca="1" si="187"/>
        <v>-16409110461379.744</v>
      </c>
      <c r="M4425" s="471">
        <f t="shared" si="189"/>
        <v>0.05</v>
      </c>
      <c r="N4425" s="475">
        <f t="shared" si="190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88"/>
        <v>-16409110461379.744</v>
      </c>
      <c r="J4426" s="455">
        <f t="array" ref="J4426">IFERROR(INDEX('Retirement Calculator'!J:J,MATCH('Isaac 401k'!N4426,'Retirement Calculator'!A:A,0),0),0)</f>
        <v>0</v>
      </c>
      <c r="K4426" s="455">
        <f t="shared" ca="1" si="186"/>
        <v>-68371293589.082268</v>
      </c>
      <c r="L4426" s="455">
        <f t="shared" ca="1" si="187"/>
        <v>-16477481754968.826</v>
      </c>
      <c r="M4426" s="471">
        <f t="shared" si="189"/>
        <v>0.05</v>
      </c>
      <c r="N4426" s="475">
        <f t="shared" si="190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88"/>
        <v>-16477481754968.826</v>
      </c>
      <c r="J4427" s="455">
        <f t="array" ref="J4427">IFERROR(INDEX('Retirement Calculator'!J:J,MATCH('Isaac 401k'!N4427,'Retirement Calculator'!A:A,0),0),0)</f>
        <v>0</v>
      </c>
      <c r="K4427" s="455">
        <f t="shared" ca="1" si="186"/>
        <v>-68656173979.036774</v>
      </c>
      <c r="L4427" s="455">
        <f t="shared" ca="1" si="187"/>
        <v>-16546137928947.863</v>
      </c>
      <c r="M4427" s="471">
        <f t="shared" si="189"/>
        <v>0.05</v>
      </c>
      <c r="N4427" s="475">
        <f t="shared" si="190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88"/>
        <v>-16546137928947.863</v>
      </c>
      <c r="J4428" s="455">
        <f t="array" ref="J4428">IFERROR(INDEX('Retirement Calculator'!J:J,MATCH('Isaac 401k'!N4428,'Retirement Calculator'!A:A,0),0),0)</f>
        <v>0</v>
      </c>
      <c r="K4428" s="455">
        <f t="shared" ca="1" si="186"/>
        <v>-68942241370.616104</v>
      </c>
      <c r="L4428" s="455">
        <f t="shared" ca="1" si="187"/>
        <v>-16615080170318.479</v>
      </c>
      <c r="M4428" s="471">
        <f t="shared" si="189"/>
        <v>0.05</v>
      </c>
      <c r="N4428" s="475">
        <f t="shared" si="190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88"/>
        <v>-16615080170318.479</v>
      </c>
      <c r="J4429" s="455">
        <f t="array" ref="J4429">IFERROR(INDEX('Retirement Calculator'!J:J,MATCH('Isaac 401k'!N4429,'Retirement Calculator'!A:A,0),0),0)</f>
        <v>0</v>
      </c>
      <c r="K4429" s="455">
        <f t="shared" ca="1" si="186"/>
        <v>-69229500709.660324</v>
      </c>
      <c r="L4429" s="455">
        <f t="shared" ca="1" si="187"/>
        <v>-16684309671028.139</v>
      </c>
      <c r="M4429" s="471">
        <f t="shared" si="189"/>
        <v>0.05</v>
      </c>
      <c r="N4429" s="475">
        <f t="shared" si="190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88"/>
        <v>-16684309671028.139</v>
      </c>
      <c r="J4430" s="455">
        <f t="array" ref="J4430">IFERROR(INDEX('Retirement Calculator'!J:J,MATCH('Isaac 401k'!N4430,'Retirement Calculator'!A:A,0),0),0)</f>
        <v>0</v>
      </c>
      <c r="K4430" s="455">
        <f t="shared" ca="1" si="186"/>
        <v>-69517956962.617249</v>
      </c>
      <c r="L4430" s="455">
        <f t="shared" ca="1" si="187"/>
        <v>-16753827627990.756</v>
      </c>
      <c r="M4430" s="471">
        <f t="shared" si="189"/>
        <v>0.05</v>
      </c>
      <c r="N4430" s="475">
        <f t="shared" si="190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88"/>
        <v>-16753827627990.756</v>
      </c>
      <c r="J4431" s="455">
        <f t="array" ref="J4431">IFERROR(INDEX('Retirement Calculator'!J:J,MATCH('Isaac 401k'!N4431,'Retirement Calculator'!A:A,0),0),0)</f>
        <v>0</v>
      </c>
      <c r="K4431" s="455">
        <f t="shared" ca="1" si="186"/>
        <v>-69807615116.628159</v>
      </c>
      <c r="L4431" s="455">
        <f t="shared" ca="1" si="187"/>
        <v>-16823635243107.385</v>
      </c>
      <c r="M4431" s="471">
        <f t="shared" si="189"/>
        <v>0.05</v>
      </c>
      <c r="N4431" s="475">
        <f t="shared" si="190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88"/>
        <v>-16823635243107.385</v>
      </c>
      <c r="J4432" s="455">
        <f t="array" ref="J4432">IFERROR(INDEX('Retirement Calculator'!J:J,MATCH('Isaac 401k'!N4432,'Retirement Calculator'!A:A,0),0),0)</f>
        <v>0</v>
      </c>
      <c r="K4432" s="455">
        <f t="shared" ca="1" si="186"/>
        <v>-70098480179.614105</v>
      </c>
      <c r="L4432" s="455">
        <f t="shared" ca="1" si="187"/>
        <v>-16893733723286.998</v>
      </c>
      <c r="M4432" s="471">
        <f t="shared" si="189"/>
        <v>0.05</v>
      </c>
      <c r="N4432" s="475">
        <f t="shared" si="190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88"/>
        <v>-16893733723286.998</v>
      </c>
      <c r="J4433" s="455">
        <f t="array" ref="J4433">IFERROR(INDEX('Retirement Calculator'!J:J,MATCH('Isaac 401k'!N4433,'Retirement Calculator'!A:A,0),0),0)</f>
        <v>0</v>
      </c>
      <c r="K4433" s="455">
        <f t="shared" ca="1" si="186"/>
        <v>-70390557180.362488</v>
      </c>
      <c r="L4433" s="455">
        <f t="shared" ca="1" si="187"/>
        <v>-16964124280467.361</v>
      </c>
      <c r="M4433" s="471">
        <f t="shared" si="189"/>
        <v>0.05</v>
      </c>
      <c r="N4433" s="475">
        <f t="shared" si="190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88"/>
        <v>-16964124280467.361</v>
      </c>
      <c r="J4434" s="455">
        <f t="array" ref="J4434">IFERROR(INDEX('Retirement Calculator'!J:J,MATCH('Isaac 401k'!N4434,'Retirement Calculator'!A:A,0),0),0)</f>
        <v>0</v>
      </c>
      <c r="K4434" s="455">
        <f t="shared" ca="1" si="186"/>
        <v>-70683851168.613998</v>
      </c>
      <c r="L4434" s="455">
        <f t="shared" ca="1" si="187"/>
        <v>-17034808131635.975</v>
      </c>
      <c r="M4434" s="471">
        <f t="shared" si="189"/>
        <v>0.05</v>
      </c>
      <c r="N4434" s="475">
        <f t="shared" si="190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88"/>
        <v>-17034808131635.975</v>
      </c>
      <c r="J4435" s="455">
        <f t="array" ref="J4435">IFERROR(INDEX('Retirement Calculator'!J:J,MATCH('Isaac 401k'!N4435,'Retirement Calculator'!A:A,0),0),0)</f>
        <v>0</v>
      </c>
      <c r="K4435" s="455">
        <f t="shared" ca="1" si="186"/>
        <v>-70978367215.149887</v>
      </c>
      <c r="L4435" s="455">
        <f t="shared" ca="1" si="187"/>
        <v>-17105786498851.125</v>
      </c>
      <c r="M4435" s="471">
        <f t="shared" si="189"/>
        <v>0.05</v>
      </c>
      <c r="N4435" s="475">
        <f t="shared" si="190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88"/>
        <v>-17105786498851.125</v>
      </c>
      <c r="J4436" s="455">
        <f t="array" ref="J4436">IFERROR(INDEX('Retirement Calculator'!J:J,MATCH('Isaac 401k'!N4436,'Retirement Calculator'!A:A,0),0),0)</f>
        <v>0</v>
      </c>
      <c r="K4436" s="455">
        <f t="shared" ca="1" si="186"/>
        <v>-71274110411.8797</v>
      </c>
      <c r="L4436" s="455">
        <f t="shared" ca="1" si="187"/>
        <v>-17177060609263.004</v>
      </c>
      <c r="M4436" s="471">
        <f t="shared" si="189"/>
        <v>0.05</v>
      </c>
      <c r="N4436" s="475">
        <f t="shared" si="190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88"/>
        <v>-17177060609263.004</v>
      </c>
      <c r="J4437" s="455">
        <f t="array" ref="J4437">IFERROR(INDEX('Retirement Calculator'!J:J,MATCH('Isaac 401k'!N4437,'Retirement Calculator'!A:A,0),0),0)</f>
        <v>0</v>
      </c>
      <c r="K4437" s="455">
        <f t="shared" ca="1" si="186"/>
        <v>-71571085871.929184</v>
      </c>
      <c r="L4437" s="455">
        <f t="shared" ca="1" si="187"/>
        <v>-17248631695134.934</v>
      </c>
      <c r="M4437" s="471">
        <f t="shared" si="189"/>
        <v>0.05</v>
      </c>
      <c r="N4437" s="475">
        <f t="shared" si="190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88"/>
        <v>-17248631695134.934</v>
      </c>
      <c r="J4438" s="455">
        <f t="array" ref="J4438">IFERROR(INDEX('Retirement Calculator'!J:J,MATCH('Isaac 401k'!N4438,'Retirement Calculator'!A:A,0),0),0)</f>
        <v>0</v>
      </c>
      <c r="K4438" s="455">
        <f t="shared" ca="1" si="186"/>
        <v>-71869298729.728882</v>
      </c>
      <c r="L4438" s="455">
        <f t="shared" ca="1" si="187"/>
        <v>-17320500993864.662</v>
      </c>
      <c r="M4438" s="471">
        <f t="shared" si="189"/>
        <v>0.05</v>
      </c>
      <c r="N4438" s="475">
        <f t="shared" si="190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88"/>
        <v>-17320500993864.662</v>
      </c>
      <c r="J4439" s="455">
        <f t="array" ref="J4439">IFERROR(INDEX('Retirement Calculator'!J:J,MATCH('Isaac 401k'!N4439,'Retirement Calculator'!A:A,0),0),0)</f>
        <v>0</v>
      </c>
      <c r="K4439" s="455">
        <f t="shared" ca="1" si="186"/>
        <v>-72168754141.102753</v>
      </c>
      <c r="L4439" s="455">
        <f t="shared" ca="1" si="187"/>
        <v>-17392669748005.766</v>
      </c>
      <c r="M4439" s="471">
        <f t="shared" si="189"/>
        <v>0.05</v>
      </c>
      <c r="N4439" s="475">
        <f t="shared" si="190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88"/>
        <v>-17392669748005.766</v>
      </c>
      <c r="J4440" s="455">
        <f t="array" ref="J4440">IFERROR(INDEX('Retirement Calculator'!J:J,MATCH('Isaac 401k'!N4440,'Retirement Calculator'!A:A,0),0),0)</f>
        <v>0</v>
      </c>
      <c r="K4440" s="455">
        <f t="shared" ca="1" si="186"/>
        <v>-72469457283.357361</v>
      </c>
      <c r="L4440" s="455">
        <f t="shared" ca="1" si="187"/>
        <v>-17465139205289.123</v>
      </c>
      <c r="M4440" s="471">
        <f t="shared" si="189"/>
        <v>0.05</v>
      </c>
      <c r="N4440" s="475">
        <f t="shared" si="190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88"/>
        <v>-17465139205289.123</v>
      </c>
      <c r="J4441" s="455">
        <f t="array" ref="J4441">IFERROR(INDEX('Retirement Calculator'!J:J,MATCH('Isaac 401k'!N4441,'Retirement Calculator'!A:A,0),0),0)</f>
        <v>0</v>
      </c>
      <c r="K4441" s="455">
        <f t="shared" ca="1" si="186"/>
        <v>-72771413355.371338</v>
      </c>
      <c r="L4441" s="455">
        <f t="shared" ca="1" si="187"/>
        <v>-17537910618644.494</v>
      </c>
      <c r="M4441" s="471">
        <f t="shared" si="189"/>
        <v>0.05</v>
      </c>
      <c r="N4441" s="475">
        <f t="shared" si="190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88"/>
        <v>-17537910618644.494</v>
      </c>
      <c r="J4442" s="455">
        <f t="array" ref="J4442">IFERROR(INDEX('Retirement Calculator'!J:J,MATCH('Isaac 401k'!N4442,'Retirement Calculator'!A:A,0),0),0)</f>
        <v>0</v>
      </c>
      <c r="K4442" s="455">
        <f t="shared" ca="1" si="186"/>
        <v>-73074627577.685394</v>
      </c>
      <c r="L4442" s="455">
        <f t="shared" ca="1" si="187"/>
        <v>-17610985246222.18</v>
      </c>
      <c r="M4442" s="471">
        <f t="shared" si="189"/>
        <v>0.05</v>
      </c>
      <c r="N4442" s="475">
        <f t="shared" si="190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88"/>
        <v>-17610985246222.18</v>
      </c>
      <c r="J4443" s="455">
        <f t="array" ref="J4443">IFERROR(INDEX('Retirement Calculator'!J:J,MATCH('Isaac 401k'!N4443,'Retirement Calculator'!A:A,0),0),0)</f>
        <v>0</v>
      </c>
      <c r="K4443" s="455">
        <f t="shared" ca="1" si="186"/>
        <v>-73379105192.592407</v>
      </c>
      <c r="L4443" s="455">
        <f t="shared" ca="1" si="187"/>
        <v>-17684364351414.773</v>
      </c>
      <c r="M4443" s="471">
        <f t="shared" si="189"/>
        <v>0.05</v>
      </c>
      <c r="N4443" s="475">
        <f t="shared" si="190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88"/>
        <v>-17684364351414.773</v>
      </c>
      <c r="J4444" s="455">
        <f t="array" ref="J4444">IFERROR(INDEX('Retirement Calculator'!J:J,MATCH('Isaac 401k'!N4444,'Retirement Calculator'!A:A,0),0),0)</f>
        <v>0</v>
      </c>
      <c r="K4444" s="455">
        <f t="shared" ca="1" si="186"/>
        <v>-73684851464.228226</v>
      </c>
      <c r="L4444" s="455">
        <f t="shared" ca="1" si="187"/>
        <v>-17758049202879</v>
      </c>
      <c r="M4444" s="471">
        <f t="shared" si="189"/>
        <v>0.05</v>
      </c>
      <c r="N4444" s="475">
        <f t="shared" si="190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88"/>
        <v>-17758049202879</v>
      </c>
      <c r="J4445" s="455">
        <f t="array" ref="J4445">IFERROR(INDEX('Retirement Calculator'!J:J,MATCH('Isaac 401k'!N4445,'Retirement Calculator'!A:A,0),0),0)</f>
        <v>0</v>
      </c>
      <c r="K4445" s="455">
        <f t="shared" ca="1" si="186"/>
        <v>-73991871678.662506</v>
      </c>
      <c r="L4445" s="455">
        <f t="shared" ca="1" si="187"/>
        <v>-17832041074557.664</v>
      </c>
      <c r="M4445" s="471">
        <f t="shared" si="189"/>
        <v>0.05</v>
      </c>
      <c r="N4445" s="475">
        <f t="shared" si="190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88"/>
        <v>-17832041074557.664</v>
      </c>
      <c r="J4446" s="455">
        <f t="array" ref="J4446">IFERROR(INDEX('Retirement Calculator'!J:J,MATCH('Isaac 401k'!N4446,'Retirement Calculator'!A:A,0),0),0)</f>
        <v>0</v>
      </c>
      <c r="K4446" s="455">
        <f t="shared" ca="1" si="186"/>
        <v>-74300171143.990265</v>
      </c>
      <c r="L4446" s="455">
        <f t="shared" ca="1" si="187"/>
        <v>-17906341245701.656</v>
      </c>
      <c r="M4446" s="471">
        <f t="shared" si="189"/>
        <v>0.05</v>
      </c>
      <c r="N4446" s="475">
        <f t="shared" si="190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88"/>
        <v>-17906341245701.656</v>
      </c>
      <c r="J4447" s="455">
        <f t="array" ref="J4447">IFERROR(INDEX('Retirement Calculator'!J:J,MATCH('Isaac 401k'!N4447,'Retirement Calculator'!A:A,0),0),0)</f>
        <v>0</v>
      </c>
      <c r="K4447" s="455">
        <f t="shared" ca="1" si="186"/>
        <v>-74609755190.423569</v>
      </c>
      <c r="L4447" s="455">
        <f t="shared" ca="1" si="187"/>
        <v>-17980951000892.078</v>
      </c>
      <c r="M4447" s="471">
        <f t="shared" si="189"/>
        <v>0.05</v>
      </c>
      <c r="N4447" s="475">
        <f t="shared" si="190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88"/>
        <v>-17980951000892.078</v>
      </c>
      <c r="J4448" s="455">
        <f t="array" ref="J4448">IFERROR(INDEX('Retirement Calculator'!J:J,MATCH('Isaac 401k'!N4448,'Retirement Calculator'!A:A,0),0),0)</f>
        <v>0</v>
      </c>
      <c r="K4448" s="455">
        <f t="shared" ca="1" si="186"/>
        <v>-74920629170.383652</v>
      </c>
      <c r="L4448" s="455">
        <f t="shared" ca="1" si="187"/>
        <v>-18055871630062.461</v>
      </c>
      <c r="M4448" s="471">
        <f t="shared" si="189"/>
        <v>0.05</v>
      </c>
      <c r="N4448" s="475">
        <f t="shared" si="190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88"/>
        <v>-18055871630062.461</v>
      </c>
      <c r="J4449" s="455">
        <f t="array" ref="J4449">IFERROR(INDEX('Retirement Calculator'!J:J,MATCH('Isaac 401k'!N4449,'Retirement Calculator'!A:A,0),0),0)</f>
        <v>0</v>
      </c>
      <c r="K4449" s="455">
        <f t="shared" ca="1" si="186"/>
        <v>-75232798458.593582</v>
      </c>
      <c r="L4449" s="455">
        <f t="shared" ca="1" si="187"/>
        <v>-18131104428521.055</v>
      </c>
      <c r="M4449" s="471">
        <f t="shared" si="189"/>
        <v>0.05</v>
      </c>
      <c r="N4449" s="475">
        <f t="shared" si="190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88"/>
        <v>-18131104428521.055</v>
      </c>
      <c r="J4450" s="455">
        <f t="array" ref="J4450">IFERROR(INDEX('Retirement Calculator'!J:J,MATCH('Isaac 401k'!N4450,'Retirement Calculator'!A:A,0),0),0)</f>
        <v>0</v>
      </c>
      <c r="K4450" s="455">
        <f t="shared" ca="1" si="186"/>
        <v>-75546268452.171066</v>
      </c>
      <c r="L4450" s="455">
        <f t="shared" ca="1" si="187"/>
        <v>-18206650696973.227</v>
      </c>
      <c r="M4450" s="471">
        <f t="shared" si="189"/>
        <v>0.05</v>
      </c>
      <c r="N4450" s="475">
        <f t="shared" si="190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88"/>
        <v>-18206650696973.227</v>
      </c>
      <c r="J4451" s="455">
        <f t="array" ref="J4451">IFERROR(INDEX('Retirement Calculator'!J:J,MATCH('Isaac 401k'!N4451,'Retirement Calculator'!A:A,0),0),0)</f>
        <v>0</v>
      </c>
      <c r="K4451" s="455">
        <f t="shared" ca="1" si="186"/>
        <v>-75861044570.721771</v>
      </c>
      <c r="L4451" s="455">
        <f t="shared" ca="1" si="187"/>
        <v>-18282511741543.949</v>
      </c>
      <c r="M4451" s="471">
        <f t="shared" si="189"/>
        <v>0.05</v>
      </c>
      <c r="N4451" s="475">
        <f t="shared" si="190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88"/>
        <v>-18282511741543.949</v>
      </c>
      <c r="J4452" s="455">
        <f t="array" ref="J4452">IFERROR(INDEX('Retirement Calculator'!J:J,MATCH('Isaac 401k'!N4452,'Retirement Calculator'!A:A,0),0),0)</f>
        <v>0</v>
      </c>
      <c r="K4452" s="455">
        <f t="shared" ca="1" si="186"/>
        <v>-76177132256.433121</v>
      </c>
      <c r="L4452" s="455">
        <f t="shared" ca="1" si="187"/>
        <v>-18358688873800.383</v>
      </c>
      <c r="M4452" s="471">
        <f t="shared" si="189"/>
        <v>0.05</v>
      </c>
      <c r="N4452" s="475">
        <f t="shared" si="190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88"/>
        <v>-18358688873800.383</v>
      </c>
      <c r="J4453" s="455">
        <f t="array" ref="J4453">IFERROR(INDEX('Retirement Calculator'!J:J,MATCH('Isaac 401k'!N4453,'Retirement Calculator'!A:A,0),0),0)</f>
        <v>0</v>
      </c>
      <c r="K4453" s="455">
        <f t="shared" ca="1" si="186"/>
        <v>-76494536974.168259</v>
      </c>
      <c r="L4453" s="455">
        <f t="shared" ca="1" si="187"/>
        <v>-18435183410774.551</v>
      </c>
      <c r="M4453" s="471">
        <f t="shared" si="189"/>
        <v>0.05</v>
      </c>
      <c r="N4453" s="475">
        <f t="shared" si="190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88"/>
        <v>-18435183410774.551</v>
      </c>
      <c r="J4454" s="455">
        <f t="array" ref="J4454">IFERROR(INDEX('Retirement Calculator'!J:J,MATCH('Isaac 401k'!N4454,'Retirement Calculator'!A:A,0),0),0)</f>
        <v>0</v>
      </c>
      <c r="K4454" s="455">
        <f t="shared" ca="1" si="186"/>
        <v>-76813264211.560623</v>
      </c>
      <c r="L4454" s="455">
        <f t="shared" ca="1" si="187"/>
        <v>-18511996674986.113</v>
      </c>
      <c r="M4454" s="471">
        <f t="shared" si="189"/>
        <v>0.05</v>
      </c>
      <c r="N4454" s="475">
        <f t="shared" si="190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88"/>
        <v>-18511996674986.113</v>
      </c>
      <c r="J4455" s="455">
        <f t="array" ref="J4455">IFERROR(INDEX('Retirement Calculator'!J:J,MATCH('Isaac 401k'!N4455,'Retirement Calculator'!A:A,0),0),0)</f>
        <v>0</v>
      </c>
      <c r="K4455" s="455">
        <f t="shared" ca="1" si="186"/>
        <v>-77133319479.10881</v>
      </c>
      <c r="L4455" s="455">
        <f t="shared" ca="1" si="187"/>
        <v>-18589129994465.223</v>
      </c>
      <c r="M4455" s="471">
        <f t="shared" si="189"/>
        <v>0.05</v>
      </c>
      <c r="N4455" s="475">
        <f t="shared" si="190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88"/>
        <v>-18589129994465.223</v>
      </c>
      <c r="J4456" s="455">
        <f t="array" ref="J4456">IFERROR(INDEX('Retirement Calculator'!J:J,MATCH('Isaac 401k'!N4456,'Retirement Calculator'!A:A,0),0),0)</f>
        <v>0</v>
      </c>
      <c r="K4456" s="455">
        <f t="shared" ca="1" si="186"/>
        <v>-77454708310.271759</v>
      </c>
      <c r="L4456" s="455">
        <f t="shared" ca="1" si="187"/>
        <v>-18666584702775.496</v>
      </c>
      <c r="M4456" s="471">
        <f t="shared" si="189"/>
        <v>0.05</v>
      </c>
      <c r="N4456" s="475">
        <f t="shared" si="190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88"/>
        <v>-18666584702775.496</v>
      </c>
      <c r="J4457" s="455">
        <f t="array" ref="J4457">IFERROR(INDEX('Retirement Calculator'!J:J,MATCH('Isaac 401k'!N4457,'Retirement Calculator'!A:A,0),0),0)</f>
        <v>0</v>
      </c>
      <c r="K4457" s="455">
        <f t="shared" ca="1" si="186"/>
        <v>-77777436261.56456</v>
      </c>
      <c r="L4457" s="455">
        <f t="shared" ca="1" si="187"/>
        <v>-18744362139037.063</v>
      </c>
      <c r="M4457" s="471">
        <f t="shared" si="189"/>
        <v>0.05</v>
      </c>
      <c r="N4457" s="475">
        <f t="shared" si="190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88"/>
        <v>-18744362139037.063</v>
      </c>
      <c r="J4458" s="455">
        <f t="array" ref="J4458">IFERROR(INDEX('Retirement Calculator'!J:J,MATCH('Isaac 401k'!N4458,'Retirement Calculator'!A:A,0),0),0)</f>
        <v>0</v>
      </c>
      <c r="K4458" s="455">
        <f t="shared" ca="1" si="186"/>
        <v>-78101508912.654419</v>
      </c>
      <c r="L4458" s="455">
        <f t="shared" ca="1" si="187"/>
        <v>-18822463647949.719</v>
      </c>
      <c r="M4458" s="471">
        <f t="shared" si="189"/>
        <v>0.05</v>
      </c>
      <c r="N4458" s="475">
        <f t="shared" si="190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88"/>
        <v>-18822463647949.719</v>
      </c>
      <c r="J4459" s="455">
        <f t="array" ref="J4459">IFERROR(INDEX('Retirement Calculator'!J:J,MATCH('Isaac 401k'!N4459,'Retirement Calculator'!A:A,0),0),0)</f>
        <v>0</v>
      </c>
      <c r="K4459" s="455">
        <f t="shared" ca="1" si="186"/>
        <v>-78426931866.457153</v>
      </c>
      <c r="L4459" s="455">
        <f t="shared" ca="1" si="187"/>
        <v>-18900890579816.176</v>
      </c>
      <c r="M4459" s="471">
        <f t="shared" si="189"/>
        <v>0.05</v>
      </c>
      <c r="N4459" s="475">
        <f t="shared" si="190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88"/>
        <v>-18900890579816.176</v>
      </c>
      <c r="J4460" s="455">
        <f t="array" ref="J4460">IFERROR(INDEX('Retirement Calculator'!J:J,MATCH('Isaac 401k'!N4460,'Retirement Calculator'!A:A,0),0),0)</f>
        <v>0</v>
      </c>
      <c r="K4460" s="455">
        <f t="shared" ca="1" si="186"/>
        <v>-78753710749.23407</v>
      </c>
      <c r="L4460" s="455">
        <f t="shared" ca="1" si="187"/>
        <v>-18979644290565.41</v>
      </c>
      <c r="M4460" s="471">
        <f t="shared" si="189"/>
        <v>0.05</v>
      </c>
      <c r="N4460" s="475">
        <f t="shared" si="190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88"/>
        <v>-18979644290565.41</v>
      </c>
      <c r="J4461" s="455">
        <f t="array" ref="J4461">IFERROR(INDEX('Retirement Calculator'!J:J,MATCH('Isaac 401k'!N4461,'Retirement Calculator'!A:A,0),0),0)</f>
        <v>0</v>
      </c>
      <c r="K4461" s="455">
        <f t="shared" ca="1" si="186"/>
        <v>-79081851210.689209</v>
      </c>
      <c r="L4461" s="455">
        <f t="shared" ca="1" si="187"/>
        <v>-19058726141776.098</v>
      </c>
      <c r="M4461" s="471">
        <f t="shared" si="189"/>
        <v>0.05</v>
      </c>
      <c r="N4461" s="475">
        <f t="shared" si="190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88"/>
        <v>-19058726141776.098</v>
      </c>
      <c r="J4462" s="455">
        <f t="array" ref="J4462">IFERROR(INDEX('Retirement Calculator'!J:J,MATCH('Isaac 401k'!N4462,'Retirement Calculator'!A:A,0),0),0)</f>
        <v>0</v>
      </c>
      <c r="K4462" s="455">
        <f t="shared" ca="1" si="186"/>
        <v>-79411358924.067078</v>
      </c>
      <c r="L4462" s="455">
        <f t="shared" ca="1" si="187"/>
        <v>-19138137500700.164</v>
      </c>
      <c r="M4462" s="471">
        <f t="shared" si="189"/>
        <v>0.05</v>
      </c>
      <c r="N4462" s="475">
        <f t="shared" si="190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88"/>
        <v>-19138137500700.164</v>
      </c>
      <c r="J4463" s="455">
        <f t="array" ref="J4463">IFERROR(INDEX('Retirement Calculator'!J:J,MATCH('Isaac 401k'!N4463,'Retirement Calculator'!A:A,0),0),0)</f>
        <v>0</v>
      </c>
      <c r="K4463" s="455">
        <f t="shared" ca="1" si="186"/>
        <v>-79742239586.250687</v>
      </c>
      <c r="L4463" s="455">
        <f t="shared" ca="1" si="187"/>
        <v>-19217879740286.414</v>
      </c>
      <c r="M4463" s="471">
        <f t="shared" si="189"/>
        <v>0.05</v>
      </c>
      <c r="N4463" s="475">
        <f t="shared" si="190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88"/>
        <v>-19217879740286.414</v>
      </c>
      <c r="J4464" s="455">
        <f t="array" ref="J4464">IFERROR(INDEX('Retirement Calculator'!J:J,MATCH('Isaac 401k'!N4464,'Retirement Calculator'!A:A,0),0),0)</f>
        <v>0</v>
      </c>
      <c r="K4464" s="455">
        <f t="shared" ca="1" si="186"/>
        <v>-80074498917.860062</v>
      </c>
      <c r="L4464" s="455">
        <f t="shared" ca="1" si="187"/>
        <v>-19297954239204.273</v>
      </c>
      <c r="M4464" s="471">
        <f t="shared" si="189"/>
        <v>0.05</v>
      </c>
      <c r="N4464" s="475">
        <f t="shared" si="190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88"/>
        <v>-19297954239204.273</v>
      </c>
      <c r="J4465" s="455">
        <f t="array" ref="J4465">IFERROR(INDEX('Retirement Calculator'!J:J,MATCH('Isaac 401k'!N4465,'Retirement Calculator'!A:A,0),0),0)</f>
        <v>0</v>
      </c>
      <c r="K4465" s="455">
        <f t="shared" ca="1" si="186"/>
        <v>-80408142663.351135</v>
      </c>
      <c r="L4465" s="455">
        <f t="shared" ca="1" si="187"/>
        <v>-19378362381867.625</v>
      </c>
      <c r="M4465" s="471">
        <f t="shared" si="189"/>
        <v>0.05</v>
      </c>
      <c r="N4465" s="475">
        <f t="shared" si="190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88"/>
        <v>-19378362381867.625</v>
      </c>
      <c r="J4466" s="455">
        <f t="array" ref="J4466">IFERROR(INDEX('Retirement Calculator'!J:J,MATCH('Isaac 401k'!N4466,'Retirement Calculator'!A:A,0),0),0)</f>
        <v>0</v>
      </c>
      <c r="K4466" s="455">
        <f t="shared" ca="1" si="186"/>
        <v>-80743176591.115097</v>
      </c>
      <c r="L4466" s="455">
        <f t="shared" ca="1" si="187"/>
        <v>-19459105558458.738</v>
      </c>
      <c r="M4466" s="471">
        <f t="shared" si="189"/>
        <v>0.05</v>
      </c>
      <c r="N4466" s="475">
        <f t="shared" si="190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88"/>
        <v>-19459105558458.738</v>
      </c>
      <c r="J4467" s="455">
        <f t="array" ref="J4467">IFERROR(INDEX('Retirement Calculator'!J:J,MATCH('Isaac 401k'!N4467,'Retirement Calculator'!A:A,0),0),0)</f>
        <v>0</v>
      </c>
      <c r="K4467" s="455">
        <f t="shared" ca="1" si="186"/>
        <v>-81079606493.578079</v>
      </c>
      <c r="L4467" s="455">
        <f t="shared" ca="1" si="187"/>
        <v>-19540185164952.316</v>
      </c>
      <c r="M4467" s="471">
        <f t="shared" si="189"/>
        <v>0.05</v>
      </c>
      <c r="N4467" s="475">
        <f t="shared" si="190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88"/>
        <v>-19540185164952.316</v>
      </c>
      <c r="J4468" s="455">
        <f t="array" ref="J4468">IFERROR(INDEX('Retirement Calculator'!J:J,MATCH('Isaac 401k'!N4468,'Retirement Calculator'!A:A,0),0),0)</f>
        <v>0</v>
      </c>
      <c r="K4468" s="455">
        <f t="shared" ca="1" si="186"/>
        <v>-81417438187.301315</v>
      </c>
      <c r="L4468" s="455">
        <f t="shared" ca="1" si="187"/>
        <v>-19621602603139.617</v>
      </c>
      <c r="M4468" s="471">
        <f t="shared" si="189"/>
        <v>0.05</v>
      </c>
      <c r="N4468" s="475">
        <f t="shared" si="190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88"/>
        <v>-19621602603139.617</v>
      </c>
      <c r="J4469" s="455">
        <f t="array" ref="J4469">IFERROR(INDEX('Retirement Calculator'!J:J,MATCH('Isaac 401k'!N4469,'Retirement Calculator'!A:A,0),0),0)</f>
        <v>0</v>
      </c>
      <c r="K4469" s="455">
        <f t="shared" ca="1" si="186"/>
        <v>-81756677513.081741</v>
      </c>
      <c r="L4469" s="455">
        <f t="shared" ca="1" si="187"/>
        <v>-19703359280652.699</v>
      </c>
      <c r="M4469" s="471">
        <f t="shared" si="189"/>
        <v>0.05</v>
      </c>
      <c r="N4469" s="475">
        <f t="shared" si="190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88"/>
        <v>-19703359280652.699</v>
      </c>
      <c r="J4470" s="455">
        <f t="array" ref="J4470">IFERROR(INDEX('Retirement Calculator'!J:J,MATCH('Isaac 401k'!N4470,'Retirement Calculator'!A:A,0),0),0)</f>
        <v>0</v>
      </c>
      <c r="K4470" s="455">
        <f t="shared" ca="1" si="186"/>
        <v>-82097330336.052917</v>
      </c>
      <c r="L4470" s="455">
        <f t="shared" ca="1" si="187"/>
        <v>-19785456610988.754</v>
      </c>
      <c r="M4470" s="471">
        <f t="shared" si="189"/>
        <v>0.05</v>
      </c>
      <c r="N4470" s="475">
        <f t="shared" si="190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88"/>
        <v>-19785456610988.754</v>
      </c>
      <c r="J4471" s="455">
        <f t="array" ref="J4471">IFERROR(INDEX('Retirement Calculator'!J:J,MATCH('Isaac 401k'!N4471,'Retirement Calculator'!A:A,0),0),0)</f>
        <v>0</v>
      </c>
      <c r="K4471" s="455">
        <f t="shared" ca="1" si="186"/>
        <v>-82439402545.786469</v>
      </c>
      <c r="L4471" s="455">
        <f t="shared" ca="1" si="187"/>
        <v>-19867896013534.539</v>
      </c>
      <c r="M4471" s="471">
        <f t="shared" si="189"/>
        <v>0.05</v>
      </c>
      <c r="N4471" s="475">
        <f t="shared" si="190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88"/>
        <v>-19867896013534.539</v>
      </c>
      <c r="J4472" s="455">
        <f t="array" ref="J4472">IFERROR(INDEX('Retirement Calculator'!J:J,MATCH('Isaac 401k'!N4472,'Retirement Calculator'!A:A,0),0),0)</f>
        <v>0</v>
      </c>
      <c r="K4472" s="455">
        <f t="shared" ca="1" si="186"/>
        <v>-82782900056.393906</v>
      </c>
      <c r="L4472" s="455">
        <f t="shared" ca="1" si="187"/>
        <v>-19950678913590.934</v>
      </c>
      <c r="M4472" s="471">
        <f t="shared" si="189"/>
        <v>0.05</v>
      </c>
      <c r="N4472" s="475">
        <f t="shared" si="190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88"/>
        <v>-19950678913590.934</v>
      </c>
      <c r="J4473" s="455">
        <f t="array" ref="J4473">IFERROR(INDEX('Retirement Calculator'!J:J,MATCH('Isaac 401k'!N4473,'Retirement Calculator'!A:A,0),0),0)</f>
        <v>0</v>
      </c>
      <c r="K4473" s="455">
        <f t="shared" ca="1" si="186"/>
        <v>-83127828806.628891</v>
      </c>
      <c r="L4473" s="455">
        <f t="shared" ca="1" si="187"/>
        <v>-20033806742397.563</v>
      </c>
      <c r="M4473" s="471">
        <f t="shared" si="189"/>
        <v>0.05</v>
      </c>
      <c r="N4473" s="475">
        <f t="shared" si="190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88"/>
        <v>-20033806742397.563</v>
      </c>
      <c r="J4474" s="455">
        <f t="array" ref="J4474">IFERROR(INDEX('Retirement Calculator'!J:J,MATCH('Isaac 401k'!N4474,'Retirement Calculator'!A:A,0),0),0)</f>
        <v>0</v>
      </c>
      <c r="K4474" s="455">
        <f t="shared" ca="1" si="186"/>
        <v>-83474194759.989838</v>
      </c>
      <c r="L4474" s="455">
        <f t="shared" ca="1" si="187"/>
        <v>-20117280937157.551</v>
      </c>
      <c r="M4474" s="471">
        <f t="shared" si="189"/>
        <v>0.05</v>
      </c>
      <c r="N4474" s="475">
        <f t="shared" si="190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88"/>
        <v>-20117280937157.551</v>
      </c>
      <c r="J4475" s="455">
        <f t="array" ref="J4475">IFERROR(INDEX('Retirement Calculator'!J:J,MATCH('Isaac 401k'!N4475,'Retirement Calculator'!A:A,0),0),0)</f>
        <v>0</v>
      </c>
      <c r="K4475" s="455">
        <f t="shared" ca="1" si="186"/>
        <v>-83822003904.82312</v>
      </c>
      <c r="L4475" s="455">
        <f t="shared" ca="1" si="187"/>
        <v>-20201102941062.375</v>
      </c>
      <c r="M4475" s="471">
        <f t="shared" si="189"/>
        <v>0.05</v>
      </c>
      <c r="N4475" s="475">
        <f t="shared" si="190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88"/>
        <v>-20201102941062.375</v>
      </c>
      <c r="J4476" s="455">
        <f t="array" ref="J4476">IFERROR(INDEX('Retirement Calculator'!J:J,MATCH('Isaac 401k'!N4476,'Retirement Calculator'!A:A,0),0),0)</f>
        <v>0</v>
      </c>
      <c r="K4476" s="455">
        <f t="shared" ca="1" si="186"/>
        <v>-84171262254.426559</v>
      </c>
      <c r="L4476" s="455">
        <f t="shared" ca="1" si="187"/>
        <v>-20285274203316.801</v>
      </c>
      <c r="M4476" s="471">
        <f t="shared" si="189"/>
        <v>0.05</v>
      </c>
      <c r="N4476" s="475">
        <f t="shared" si="190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88"/>
        <v>-20285274203316.801</v>
      </c>
      <c r="J4477" s="455">
        <f t="array" ref="J4477">IFERROR(INDEX('Retirement Calculator'!J:J,MATCH('Isaac 401k'!N4477,'Retirement Calculator'!A:A,0),0),0)</f>
        <v>0</v>
      </c>
      <c r="K4477" s="455">
        <f t="shared" ca="1" si="186"/>
        <v>-84521975847.153336</v>
      </c>
      <c r="L4477" s="455">
        <f t="shared" ca="1" si="187"/>
        <v>-20369796179163.953</v>
      </c>
      <c r="M4477" s="471">
        <f t="shared" si="189"/>
        <v>0.05</v>
      </c>
      <c r="N4477" s="475">
        <f t="shared" si="190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88"/>
        <v>-20369796179163.953</v>
      </c>
      <c r="J4478" s="455">
        <f t="array" ref="J4478">IFERROR(INDEX('Retirement Calculator'!J:J,MATCH('Isaac 401k'!N4478,'Retirement Calculator'!A:A,0),0),0)</f>
        <v>0</v>
      </c>
      <c r="K4478" s="455">
        <f t="shared" ca="1" si="186"/>
        <v>-84874150746.516464</v>
      </c>
      <c r="L4478" s="455">
        <f t="shared" ca="1" si="187"/>
        <v>-20454670329910.469</v>
      </c>
      <c r="M4478" s="471">
        <f t="shared" si="189"/>
        <v>0.05</v>
      </c>
      <c r="N4478" s="475">
        <f t="shared" si="190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88"/>
        <v>-20454670329910.469</v>
      </c>
      <c r="J4479" s="455">
        <f t="array" ref="J4479">IFERROR(INDEX('Retirement Calculator'!J:J,MATCH('Isaac 401k'!N4479,'Retirement Calculator'!A:A,0),0),0)</f>
        <v>0</v>
      </c>
      <c r="K4479" s="455">
        <f t="shared" ca="1" si="186"/>
        <v>-85227793041.293625</v>
      </c>
      <c r="L4479" s="455">
        <f t="shared" ca="1" si="187"/>
        <v>-20539898122951.762</v>
      </c>
      <c r="M4479" s="471">
        <f t="shared" si="189"/>
        <v>0.05</v>
      </c>
      <c r="N4479" s="475">
        <f t="shared" si="190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88"/>
        <v>-20539898122951.762</v>
      </c>
      <c r="J4480" s="455">
        <f t="array" ref="J4480">IFERROR(INDEX('Retirement Calculator'!J:J,MATCH('Isaac 401k'!N4480,'Retirement Calculator'!A:A,0),0),0)</f>
        <v>0</v>
      </c>
      <c r="K4480" s="455">
        <f t="shared" ca="1" si="186"/>
        <v>-85582908845.632339</v>
      </c>
      <c r="L4480" s="455">
        <f t="shared" ca="1" si="187"/>
        <v>-20625481031797.395</v>
      </c>
      <c r="M4480" s="471">
        <f t="shared" si="189"/>
        <v>0.05</v>
      </c>
      <c r="N4480" s="475">
        <f t="shared" si="190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88"/>
        <v>-20625481031797.395</v>
      </c>
      <c r="J4481" s="455">
        <f t="array" ref="J4481">IFERROR(INDEX('Retirement Calculator'!J:J,MATCH('Isaac 401k'!N4481,'Retirement Calculator'!A:A,0),0),0)</f>
        <v>0</v>
      </c>
      <c r="K4481" s="455">
        <f t="shared" ca="1" si="186"/>
        <v>-85939504299.155807</v>
      </c>
      <c r="L4481" s="455">
        <f t="shared" ca="1" si="187"/>
        <v>-20711420536096.551</v>
      </c>
      <c r="M4481" s="471">
        <f t="shared" si="189"/>
        <v>0.05</v>
      </c>
      <c r="N4481" s="475">
        <f t="shared" si="190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88"/>
        <v>-20711420536096.551</v>
      </c>
      <c r="J4482" s="455">
        <f t="array" ref="J4482">IFERROR(INDEX('Retirement Calculator'!J:J,MATCH('Isaac 401k'!N4482,'Retirement Calculator'!A:A,0),0),0)</f>
        <v>0</v>
      </c>
      <c r="K4482" s="455">
        <f t="shared" ca="1" si="186"/>
        <v>-86297585567.068954</v>
      </c>
      <c r="L4482" s="455">
        <f t="shared" ca="1" si="187"/>
        <v>-20797718121663.621</v>
      </c>
      <c r="M4482" s="471">
        <f t="shared" si="189"/>
        <v>0.05</v>
      </c>
      <c r="N4482" s="475">
        <f t="shared" si="190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88"/>
        <v>-20797718121663.621</v>
      </c>
      <c r="J4483" s="455">
        <f t="array" ref="J4483">IFERROR(INDEX('Retirement Calculator'!J:J,MATCH('Isaac 401k'!N4483,'Retirement Calculator'!A:A,0),0),0)</f>
        <v>0</v>
      </c>
      <c r="K4483" s="455">
        <f t="shared" ca="1" si="186"/>
        <v>-86657158840.265091</v>
      </c>
      <c r="L4483" s="455">
        <f t="shared" ca="1" si="187"/>
        <v>-20884375280503.887</v>
      </c>
      <c r="M4483" s="471">
        <f t="shared" si="189"/>
        <v>0.05</v>
      </c>
      <c r="N4483" s="475">
        <f t="shared" si="190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88"/>
        <v>-20884375280503.887</v>
      </c>
      <c r="J4484" s="455">
        <f t="array" ref="J4484">IFERROR(INDEX('Retirement Calculator'!J:J,MATCH('Isaac 401k'!N4484,'Retirement Calculator'!A:A,0),0),0)</f>
        <v>0</v>
      </c>
      <c r="K4484" s="455">
        <f t="shared" ca="1" si="186"/>
        <v>-87018230335.432861</v>
      </c>
      <c r="L4484" s="455">
        <f t="shared" ca="1" si="187"/>
        <v>-20971393510839.32</v>
      </c>
      <c r="M4484" s="471">
        <f t="shared" si="189"/>
        <v>0.05</v>
      </c>
      <c r="N4484" s="475">
        <f t="shared" si="190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88"/>
        <v>-20971393510839.32</v>
      </c>
      <c r="J4485" s="455">
        <f t="array" ref="J4485">IFERROR(INDEX('Retirement Calculator'!J:J,MATCH('Isaac 401k'!N4485,'Retirement Calculator'!A:A,0),0),0)</f>
        <v>0</v>
      </c>
      <c r="K4485" s="455">
        <f t="shared" ca="1" si="186"/>
        <v>-87380806295.163834</v>
      </c>
      <c r="L4485" s="455">
        <f t="shared" ca="1" si="187"/>
        <v>-21058774317134.484</v>
      </c>
      <c r="M4485" s="471">
        <f t="shared" si="189"/>
        <v>0.05</v>
      </c>
      <c r="N4485" s="475">
        <f t="shared" si="190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88"/>
        <v>-21058774317134.484</v>
      </c>
      <c r="J4486" s="455">
        <f t="array" ref="J4486">IFERROR(INDEX('Retirement Calculator'!J:J,MATCH('Isaac 401k'!N4486,'Retirement Calculator'!A:A,0),0),0)</f>
        <v>0</v>
      </c>
      <c r="K4486" s="455">
        <f t="shared" ca="1" si="186"/>
        <v>-87744892988.060349</v>
      </c>
      <c r="L4486" s="455">
        <f t="shared" ca="1" si="187"/>
        <v>-21146519210122.543</v>
      </c>
      <c r="M4486" s="471">
        <f t="shared" si="189"/>
        <v>0.05</v>
      </c>
      <c r="N4486" s="475">
        <f t="shared" si="190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88"/>
        <v>-21146519210122.543</v>
      </c>
      <c r="J4487" s="455">
        <f t="array" ref="J4487">IFERROR(INDEX('Retirement Calculator'!J:J,MATCH('Isaac 401k'!N4487,'Retirement Calculator'!A:A,0),0),0)</f>
        <v>0</v>
      </c>
      <c r="K4487" s="455">
        <f t="shared" ca="1" si="186"/>
        <v>-88110496708.843933</v>
      </c>
      <c r="L4487" s="455">
        <f t="shared" ca="1" si="187"/>
        <v>-21234629706831.387</v>
      </c>
      <c r="M4487" s="471">
        <f t="shared" si="189"/>
        <v>0.05</v>
      </c>
      <c r="N4487" s="475">
        <f t="shared" si="190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88"/>
        <v>-21234629706831.387</v>
      </c>
      <c r="J4488" s="455">
        <f t="array" ref="J4488">IFERROR(INDEX('Retirement Calculator'!J:J,MATCH('Isaac 401k'!N4488,'Retirement Calculator'!A:A,0),0),0)</f>
        <v>0</v>
      </c>
      <c r="K4488" s="455">
        <f t="shared" ca="1" si="186"/>
        <v>-88477623778.464111</v>
      </c>
      <c r="L4488" s="455">
        <f t="shared" ca="1" si="187"/>
        <v>-21323107330609.852</v>
      </c>
      <c r="M4488" s="471">
        <f t="shared" si="189"/>
        <v>0.05</v>
      </c>
      <c r="N4488" s="475">
        <f t="shared" si="190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88"/>
        <v>-21323107330609.852</v>
      </c>
      <c r="J4489" s="455">
        <f t="array" ref="J4489">IFERROR(INDEX('Retirement Calculator'!J:J,MATCH('Isaac 401k'!N4489,'Retirement Calculator'!A:A,0),0),0)</f>
        <v>0</v>
      </c>
      <c r="K4489" s="455">
        <f t="shared" ca="1" si="186"/>
        <v>-88846280544.207718</v>
      </c>
      <c r="L4489" s="455">
        <f t="shared" ca="1" si="187"/>
        <v>-21411953611154.059</v>
      </c>
      <c r="M4489" s="471">
        <f t="shared" si="189"/>
        <v>0.05</v>
      </c>
      <c r="N4489" s="475">
        <f t="shared" si="190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88"/>
        <v>-21411953611154.059</v>
      </c>
      <c r="J4490" s="455">
        <f t="array" ref="J4490">IFERROR(INDEX('Retirement Calculator'!J:J,MATCH('Isaac 401k'!N4490,'Retirement Calculator'!A:A,0),0),0)</f>
        <v>0</v>
      </c>
      <c r="K4490" s="455">
        <f t="shared" ca="1" si="186"/>
        <v>-89216473379.808578</v>
      </c>
      <c r="L4490" s="455">
        <f t="shared" ca="1" si="187"/>
        <v>-21501170084533.867</v>
      </c>
      <c r="M4490" s="471">
        <f t="shared" si="189"/>
        <v>0.05</v>
      </c>
      <c r="N4490" s="475">
        <f t="shared" si="190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88"/>
        <v>-21501170084533.867</v>
      </c>
      <c r="J4491" s="455">
        <f t="array" ref="J4491">IFERROR(INDEX('Retirement Calculator'!J:J,MATCH('Isaac 401k'!N4491,'Retirement Calculator'!A:A,0),0),0)</f>
        <v>0</v>
      </c>
      <c r="K4491" s="455">
        <f t="shared" ca="1" si="186"/>
        <v>-89588208685.557785</v>
      </c>
      <c r="L4491" s="455">
        <f t="shared" ca="1" si="187"/>
        <v>-21590758293219.426</v>
      </c>
      <c r="M4491" s="471">
        <f t="shared" si="189"/>
        <v>0.05</v>
      </c>
      <c r="N4491" s="475">
        <f t="shared" si="190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88"/>
        <v>-21590758293219.426</v>
      </c>
      <c r="J4492" s="455">
        <f t="array" ref="J4492">IFERROR(INDEX('Retirement Calculator'!J:J,MATCH('Isaac 401k'!N4492,'Retirement Calculator'!A:A,0),0),0)</f>
        <v>0</v>
      </c>
      <c r="K4492" s="455">
        <f t="shared" ca="1" si="186"/>
        <v>-89961492888.414276</v>
      </c>
      <c r="L4492" s="455">
        <f t="shared" ca="1" si="187"/>
        <v>-21680719786107.84</v>
      </c>
      <c r="M4492" s="471">
        <f t="shared" si="189"/>
        <v>0.05</v>
      </c>
      <c r="N4492" s="475">
        <f t="shared" si="190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88"/>
        <v>-21680719786107.84</v>
      </c>
      <c r="J4493" s="455">
        <f t="array" ref="J4493">IFERROR(INDEX('Retirement Calculator'!J:J,MATCH('Isaac 401k'!N4493,'Retirement Calculator'!A:A,0),0),0)</f>
        <v>0</v>
      </c>
      <c r="K4493" s="455">
        <f t="shared" ca="1" si="186"/>
        <v>-90336332442.115997</v>
      </c>
      <c r="L4493" s="455">
        <f t="shared" ca="1" si="187"/>
        <v>-21771056118549.957</v>
      </c>
      <c r="M4493" s="471">
        <f t="shared" si="189"/>
        <v>0.05</v>
      </c>
      <c r="N4493" s="475">
        <f t="shared" si="190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88"/>
        <v>-21771056118549.957</v>
      </c>
      <c r="J4494" s="455">
        <f t="array" ref="J4494">IFERROR(INDEX('Retirement Calculator'!J:J,MATCH('Isaac 401k'!N4494,'Retirement Calculator'!A:A,0),0),0)</f>
        <v>0</v>
      </c>
      <c r="K4494" s="455">
        <f t="shared" ca="1" si="186"/>
        <v>-90712733827.291489</v>
      </c>
      <c r="L4494" s="455">
        <f t="shared" ca="1" si="187"/>
        <v>-21861768852377.25</v>
      </c>
      <c r="M4494" s="471">
        <f t="shared" si="189"/>
        <v>0.05</v>
      </c>
      <c r="N4494" s="475">
        <f t="shared" si="190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88"/>
        <v>-21861768852377.25</v>
      </c>
      <c r="J4495" s="455">
        <f t="array" ref="J4495">IFERROR(INDEX('Retirement Calculator'!J:J,MATCH('Isaac 401k'!N4495,'Retirement Calculator'!A:A,0),0),0)</f>
        <v>0</v>
      </c>
      <c r="K4495" s="455">
        <f t="shared" ca="1" si="186"/>
        <v>-91090703551.571869</v>
      </c>
      <c r="L4495" s="455">
        <f t="shared" ca="1" si="187"/>
        <v>-21952859555928.82</v>
      </c>
      <c r="M4495" s="471">
        <f t="shared" si="189"/>
        <v>0.05</v>
      </c>
      <c r="N4495" s="475">
        <f t="shared" si="190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88"/>
        <v>-21952859555928.82</v>
      </c>
      <c r="J4496" s="455">
        <f t="array" ref="J4496">IFERROR(INDEX('Retirement Calculator'!J:J,MATCH('Isaac 401k'!N4496,'Retirement Calculator'!A:A,0),0),0)</f>
        <v>0</v>
      </c>
      <c r="K4496" s="455">
        <f t="shared" ca="1" si="186"/>
        <v>-91470248149.703415</v>
      </c>
      <c r="L4496" s="455">
        <f t="shared" ca="1" si="187"/>
        <v>-22044329804078.523</v>
      </c>
      <c r="M4496" s="471">
        <f t="shared" si="189"/>
        <v>0.05</v>
      </c>
      <c r="N4496" s="475">
        <f t="shared" si="190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88"/>
        <v>-22044329804078.523</v>
      </c>
      <c r="J4497" s="455">
        <f t="array" ref="J4497">IFERROR(INDEX('Retirement Calculator'!J:J,MATCH('Isaac 401k'!N4497,'Retirement Calculator'!A:A,0),0),0)</f>
        <v>0</v>
      </c>
      <c r="K4497" s="455">
        <f t="shared" ca="1" si="186"/>
        <v>-91851374183.660507</v>
      </c>
      <c r="L4497" s="455">
        <f t="shared" ca="1" si="187"/>
        <v>-22136181178262.184</v>
      </c>
      <c r="M4497" s="471">
        <f t="shared" si="189"/>
        <v>0.05</v>
      </c>
      <c r="N4497" s="475">
        <f t="shared" si="190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88"/>
        <v>-22136181178262.184</v>
      </c>
      <c r="J4498" s="455">
        <f t="array" ref="J4498">IFERROR(INDEX('Retirement Calculator'!J:J,MATCH('Isaac 401k'!N4498,'Retirement Calculator'!A:A,0),0),0)</f>
        <v>0</v>
      </c>
      <c r="K4498" s="455">
        <f t="shared" ca="1" si="186"/>
        <v>-92234088242.759094</v>
      </c>
      <c r="L4498" s="455">
        <f t="shared" ca="1" si="187"/>
        <v>-22228415266504.941</v>
      </c>
      <c r="M4498" s="471">
        <f t="shared" si="189"/>
        <v>0.05</v>
      </c>
      <c r="N4498" s="475">
        <f t="shared" si="190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88"/>
        <v>-22228415266504.941</v>
      </c>
      <c r="J4499" s="455">
        <f t="array" ref="J4499">IFERROR(INDEX('Retirement Calculator'!J:J,MATCH('Isaac 401k'!N4499,'Retirement Calculator'!A:A,0),0),0)</f>
        <v>0</v>
      </c>
      <c r="K4499" s="455">
        <f t="shared" ca="1" si="186"/>
        <v>-92618396943.770584</v>
      </c>
      <c r="L4499" s="455">
        <f t="shared" ca="1" si="187"/>
        <v>-22321033663448.711</v>
      </c>
      <c r="M4499" s="471">
        <f t="shared" si="189"/>
        <v>0.05</v>
      </c>
      <c r="N4499" s="475">
        <f t="shared" si="190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88"/>
        <v>-22321033663448.711</v>
      </c>
      <c r="J4500" s="455">
        <f t="array" ref="J4500">IFERROR(INDEX('Retirement Calculator'!J:J,MATCH('Isaac 401k'!N4500,'Retirement Calculator'!A:A,0),0),0)</f>
        <v>0</v>
      </c>
      <c r="K4500" s="455">
        <f t="shared" ca="1" si="186"/>
        <v>-93004306931.036301</v>
      </c>
      <c r="L4500" s="455">
        <f t="shared" ca="1" si="187"/>
        <v>-22414037970379.746</v>
      </c>
      <c r="M4500" s="471">
        <f t="shared" si="189"/>
        <v>0.05</v>
      </c>
      <c r="N4500" s="475">
        <f t="shared" si="190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88"/>
        <v>-22414037970379.746</v>
      </c>
      <c r="J4501" s="455">
        <f t="array" ref="J4501">IFERROR(INDEX('Retirement Calculator'!J:J,MATCH('Isaac 401k'!N4501,'Retirement Calculator'!A:A,0),0),0)</f>
        <v>0</v>
      </c>
      <c r="K4501" s="455">
        <f t="shared" ca="1" si="186"/>
        <v>-93391824876.582275</v>
      </c>
      <c r="L4501" s="455">
        <f t="shared" ca="1" si="187"/>
        <v>-22507429795256.328</v>
      </c>
      <c r="M4501" s="471">
        <f t="shared" si="189"/>
        <v>0.05</v>
      </c>
      <c r="N4501" s="475">
        <f t="shared" si="190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88"/>
        <v>-22507429795256.328</v>
      </c>
      <c r="J4502" s="455">
        <f t="array" ref="J4502">IFERROR(INDEX('Retirement Calculator'!J:J,MATCH('Isaac 401k'!N4502,'Retirement Calculator'!A:A,0),0),0)</f>
        <v>0</v>
      </c>
      <c r="K4502" s="455">
        <f t="shared" ca="1" si="186"/>
        <v>-93780957480.234695</v>
      </c>
      <c r="L4502" s="455">
        <f t="shared" ca="1" si="187"/>
        <v>-22601210752736.563</v>
      </c>
      <c r="M4502" s="471">
        <f t="shared" si="189"/>
        <v>0.05</v>
      </c>
      <c r="N4502" s="475">
        <f t="shared" si="190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88"/>
        <v>-22601210752736.563</v>
      </c>
      <c r="J4503" s="455">
        <f t="array" ref="J4503">IFERROR(INDEX('Retirement Calculator'!J:J,MATCH('Isaac 401k'!N4503,'Retirement Calculator'!A:A,0),0),0)</f>
        <v>0</v>
      </c>
      <c r="K4503" s="455">
        <f t="shared" ca="1" si="186"/>
        <v>-94171711469.735672</v>
      </c>
      <c r="L4503" s="455">
        <f t="shared" ca="1" si="187"/>
        <v>-22695382464206.297</v>
      </c>
      <c r="M4503" s="471">
        <f t="shared" si="189"/>
        <v>0.05</v>
      </c>
      <c r="N4503" s="475">
        <f t="shared" si="190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88"/>
        <v>-22695382464206.297</v>
      </c>
      <c r="J4504" s="455">
        <f t="array" ref="J4504">IFERROR(INDEX('Retirement Calculator'!J:J,MATCH('Isaac 401k'!N4504,'Retirement Calculator'!A:A,0),0),0)</f>
        <v>0</v>
      </c>
      <c r="K4504" s="455">
        <f t="shared" ca="1" si="186"/>
        <v>-94564093600.859573</v>
      </c>
      <c r="L4504" s="455">
        <f t="shared" ca="1" si="187"/>
        <v>-22789946557807.156</v>
      </c>
      <c r="M4504" s="471">
        <f t="shared" si="189"/>
        <v>0.05</v>
      </c>
      <c r="N4504" s="475">
        <f t="shared" si="190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88"/>
        <v>-22789946557807.156</v>
      </c>
      <c r="J4505" s="455">
        <f t="array" ref="J4505">IFERROR(INDEX('Retirement Calculator'!J:J,MATCH('Isaac 401k'!N4505,'Retirement Calculator'!A:A,0),0),0)</f>
        <v>0</v>
      </c>
      <c r="K4505" s="455">
        <f t="shared" ca="1" si="186"/>
        <v>-94958110657.529816</v>
      </c>
      <c r="L4505" s="455">
        <f t="shared" ca="1" si="187"/>
        <v>-22884904668464.688</v>
      </c>
      <c r="M4505" s="471">
        <f t="shared" si="189"/>
        <v>0.05</v>
      </c>
      <c r="N4505" s="475">
        <f t="shared" si="190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88"/>
        <v>-22884904668464.688</v>
      </c>
      <c r="J4506" s="455">
        <f t="array" ref="J4506">IFERROR(INDEX('Retirement Calculator'!J:J,MATCH('Isaac 401k'!N4506,'Retirement Calculator'!A:A,0),0),0)</f>
        <v>0</v>
      </c>
      <c r="K4506" s="455">
        <f t="shared" ca="1" si="186"/>
        <v>-95353769451.936203</v>
      </c>
      <c r="L4506" s="455">
        <f t="shared" ca="1" si="187"/>
        <v>-22980258437916.625</v>
      </c>
      <c r="M4506" s="471">
        <f t="shared" si="189"/>
        <v>0.05</v>
      </c>
      <c r="N4506" s="475">
        <f t="shared" si="190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88"/>
        <v>-22980258437916.625</v>
      </c>
      <c r="J4507" s="455">
        <f t="array" ref="J4507">IFERROR(INDEX('Retirement Calculator'!J:J,MATCH('Isaac 401k'!N4507,'Retirement Calculator'!A:A,0),0),0)</f>
        <v>0</v>
      </c>
      <c r="K4507" s="455">
        <f t="shared" ca="1" si="186"/>
        <v>-95751076824.652603</v>
      </c>
      <c r="L4507" s="455">
        <f t="shared" ca="1" si="187"/>
        <v>-23076009514741.277</v>
      </c>
      <c r="M4507" s="471">
        <f t="shared" si="189"/>
        <v>0.05</v>
      </c>
      <c r="N4507" s="475">
        <f t="shared" si="190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88"/>
        <v>-23076009514741.277</v>
      </c>
      <c r="J4508" s="455">
        <f t="array" ref="J4508">IFERROR(INDEX('Retirement Calculator'!J:J,MATCH('Isaac 401k'!N4508,'Retirement Calculator'!A:A,0),0),0)</f>
        <v>0</v>
      </c>
      <c r="K4508" s="455">
        <f t="shared" ca="1" si="186"/>
        <v>-96150039644.755325</v>
      </c>
      <c r="L4508" s="455">
        <f t="shared" ca="1" si="187"/>
        <v>-23172159554386.031</v>
      </c>
      <c r="M4508" s="471">
        <f t="shared" si="189"/>
        <v>0.05</v>
      </c>
      <c r="N4508" s="475">
        <f t="shared" si="190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88"/>
        <v>-23172159554386.031</v>
      </c>
      <c r="J4509" s="455">
        <f t="array" ref="J4509">IFERROR(INDEX('Retirement Calculator'!J:J,MATCH('Isaac 401k'!N4509,'Retirement Calculator'!A:A,0),0),0)</f>
        <v>0</v>
      </c>
      <c r="K4509" s="455">
        <f t="shared" ca="1" si="186"/>
        <v>-96550664809.941803</v>
      </c>
      <c r="L4509" s="455">
        <f t="shared" ca="1" si="187"/>
        <v>-23268710219195.973</v>
      </c>
      <c r="M4509" s="471">
        <f t="shared" si="189"/>
        <v>0.05</v>
      </c>
      <c r="N4509" s="475">
        <f t="shared" si="190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88"/>
        <v>-23268710219195.973</v>
      </c>
      <c r="J4510" s="455">
        <f t="array" ref="J4510">IFERROR(INDEX('Retirement Calculator'!J:J,MATCH('Isaac 401k'!N4510,'Retirement Calculator'!A:A,0),0),0)</f>
        <v>0</v>
      </c>
      <c r="K4510" s="455">
        <f t="shared" ca="1" si="186"/>
        <v>-96952959246.649887</v>
      </c>
      <c r="L4510" s="455">
        <f t="shared" ca="1" si="187"/>
        <v>-23365663178442.621</v>
      </c>
      <c r="M4510" s="471">
        <f t="shared" si="189"/>
        <v>0.05</v>
      </c>
      <c r="N4510" s="475">
        <f t="shared" si="190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88"/>
        <v>-23365663178442.621</v>
      </c>
      <c r="J4511" s="455">
        <f t="array" ref="J4511">IFERROR(INDEX('Retirement Calculator'!J:J,MATCH('Isaac 401k'!N4511,'Retirement Calculator'!A:A,0),0),0)</f>
        <v>0</v>
      </c>
      <c r="K4511" s="455">
        <f t="shared" ca="1" si="186"/>
        <v>-97356929910.177582</v>
      </c>
      <c r="L4511" s="455">
        <f t="shared" ca="1" si="187"/>
        <v>-23463020108352.797</v>
      </c>
      <c r="M4511" s="471">
        <f t="shared" si="189"/>
        <v>0.05</v>
      </c>
      <c r="N4511" s="475">
        <f t="shared" si="190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88"/>
        <v>-23463020108352.797</v>
      </c>
      <c r="J4512" s="455">
        <f t="array" ref="J4512">IFERROR(INDEX('Retirement Calculator'!J:J,MATCH('Isaac 401k'!N4512,'Retirement Calculator'!A:A,0),0),0)</f>
        <v>0</v>
      </c>
      <c r="K4512" s="455">
        <f t="shared" ca="1" si="186"/>
        <v>-97762583784.803314</v>
      </c>
      <c r="L4512" s="455">
        <f t="shared" ca="1" si="187"/>
        <v>-23560782692137.602</v>
      </c>
      <c r="M4512" s="471">
        <f t="shared" si="189"/>
        <v>0.05</v>
      </c>
      <c r="N4512" s="475">
        <f t="shared" si="190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88"/>
        <v>-23560782692137.602</v>
      </c>
      <c r="J4513" s="455">
        <f t="array" ref="J4513">IFERROR(INDEX('Retirement Calculator'!J:J,MATCH('Isaac 401k'!N4513,'Retirement Calculator'!A:A,0),0),0)</f>
        <v>0</v>
      </c>
      <c r="K4513" s="455">
        <f t="shared" ca="1" si="186"/>
        <v>-98169927883.906677</v>
      </c>
      <c r="L4513" s="455">
        <f t="shared" ca="1" si="187"/>
        <v>-23658952620021.508</v>
      </c>
      <c r="M4513" s="471">
        <f t="shared" si="189"/>
        <v>0.05</v>
      </c>
      <c r="N4513" s="475">
        <f t="shared" si="190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88"/>
        <v>-23658952620021.508</v>
      </c>
      <c r="J4514" s="455">
        <f t="array" ref="J4514">IFERROR(INDEX('Retirement Calculator'!J:J,MATCH('Isaac 401k'!N4514,'Retirement Calculator'!A:A,0),0),0)</f>
        <v>0</v>
      </c>
      <c r="K4514" s="455">
        <f t="shared" ca="1" si="186"/>
        <v>-98578969250.089615</v>
      </c>
      <c r="L4514" s="455">
        <f t="shared" ca="1" si="187"/>
        <v>-23757531589271.598</v>
      </c>
      <c r="M4514" s="471">
        <f t="shared" si="189"/>
        <v>0.05</v>
      </c>
      <c r="N4514" s="475">
        <f t="shared" si="190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88"/>
        <v>-23757531589271.598</v>
      </c>
      <c r="J4515" s="455">
        <f t="array" ref="J4515">IFERROR(INDEX('Retirement Calculator'!J:J,MATCH('Isaac 401k'!N4515,'Retirement Calculator'!A:A,0),0),0)</f>
        <v>0</v>
      </c>
      <c r="K4515" s="455">
        <f t="shared" ca="1" si="186"/>
        <v>-98989714955.298325</v>
      </c>
      <c r="L4515" s="455">
        <f t="shared" ca="1" si="187"/>
        <v>-23856521304226.895</v>
      </c>
      <c r="M4515" s="471">
        <f t="shared" si="189"/>
        <v>0.05</v>
      </c>
      <c r="N4515" s="475">
        <f t="shared" si="190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88"/>
        <v>-23856521304226.895</v>
      </c>
      <c r="J4516" s="455">
        <f t="array" ref="J4516">IFERROR(INDEX('Retirement Calculator'!J:J,MATCH('Isaac 401k'!N4516,'Retirement Calculator'!A:A,0),0),0)</f>
        <v>0</v>
      </c>
      <c r="K4516" s="455">
        <f t="shared" ca="1" si="186"/>
        <v>-99402172100.945389</v>
      </c>
      <c r="L4516" s="455">
        <f t="shared" ca="1" si="187"/>
        <v>-23955923476327.84</v>
      </c>
      <c r="M4516" s="471">
        <f t="shared" si="189"/>
        <v>0.05</v>
      </c>
      <c r="N4516" s="475">
        <f t="shared" si="190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88"/>
        <v>-23955923476327.84</v>
      </c>
      <c r="J4517" s="455">
        <f t="array" ref="J4517">IFERROR(INDEX('Retirement Calculator'!J:J,MATCH('Isaac 401k'!N4517,'Retirement Calculator'!A:A,0),0),0)</f>
        <v>0</v>
      </c>
      <c r="K4517" s="455">
        <f t="shared" ca="1" si="186"/>
        <v>-99816347818.032669</v>
      </c>
      <c r="L4517" s="455">
        <f t="shared" ca="1" si="187"/>
        <v>-24055739824145.871</v>
      </c>
      <c r="M4517" s="471">
        <f t="shared" si="189"/>
        <v>0.05</v>
      </c>
      <c r="N4517" s="475">
        <f t="shared" si="190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88"/>
        <v>-24055739824145.871</v>
      </c>
      <c r="J4518" s="455">
        <f t="array" ref="J4518">IFERROR(INDEX('Retirement Calculator'!J:J,MATCH('Isaac 401k'!N4518,'Retirement Calculator'!A:A,0),0),0)</f>
        <v>0</v>
      </c>
      <c r="K4518" s="455">
        <f t="shared" ca="1" si="186"/>
        <v>-100232249267.27446</v>
      </c>
      <c r="L4518" s="455">
        <f t="shared" ca="1" si="187"/>
        <v>-24155972073413.145</v>
      </c>
      <c r="M4518" s="471">
        <f t="shared" si="189"/>
        <v>0.05</v>
      </c>
      <c r="N4518" s="475">
        <f t="shared" si="190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88"/>
        <v>-24155972073413.145</v>
      </c>
      <c r="J4519" s="455">
        <f t="array" ref="J4519">IFERROR(INDEX('Retirement Calculator'!J:J,MATCH('Isaac 401k'!N4519,'Retirement Calculator'!A:A,0),0),0)</f>
        <v>0</v>
      </c>
      <c r="K4519" s="455">
        <f t="shared" ca="1" si="186"/>
        <v>-100649883639.22144</v>
      </c>
      <c r="L4519" s="455">
        <f t="shared" ca="1" si="187"/>
        <v>-24256621957052.367</v>
      </c>
      <c r="M4519" s="471">
        <f t="shared" si="189"/>
        <v>0.05</v>
      </c>
      <c r="N4519" s="475">
        <f t="shared" si="190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88"/>
        <v>-24256621957052.367</v>
      </c>
      <c r="J4520" s="455">
        <f t="array" ref="J4520">IFERROR(INDEX('Retirement Calculator'!J:J,MATCH('Isaac 401k'!N4520,'Retirement Calculator'!A:A,0),0),0)</f>
        <v>0</v>
      </c>
      <c r="K4520" s="455">
        <f t="shared" ca="1" si="186"/>
        <v>-101069258154.38486</v>
      </c>
      <c r="L4520" s="455">
        <f t="shared" ca="1" si="187"/>
        <v>-24357691215206.754</v>
      </c>
      <c r="M4520" s="471">
        <f t="shared" si="189"/>
        <v>0.05</v>
      </c>
      <c r="N4520" s="475">
        <f t="shared" si="190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88"/>
        <v>-24357691215206.754</v>
      </c>
      <c r="J4521" s="455">
        <f t="array" ref="J4521">IFERROR(INDEX('Retirement Calculator'!J:J,MATCH('Isaac 401k'!N4521,'Retirement Calculator'!A:A,0),0),0)</f>
        <v>0</v>
      </c>
      <c r="K4521" s="455">
        <f t="shared" ca="1" si="186"/>
        <v>-101490380063.36148</v>
      </c>
      <c r="L4521" s="455">
        <f t="shared" ca="1" si="187"/>
        <v>-24459181595270.117</v>
      </c>
      <c r="M4521" s="471">
        <f t="shared" si="189"/>
        <v>0.05</v>
      </c>
      <c r="N4521" s="475">
        <f t="shared" si="190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88"/>
        <v>-24459181595270.117</v>
      </c>
      <c r="J4522" s="455">
        <f t="array" ref="J4522">IFERROR(INDEX('Retirement Calculator'!J:J,MATCH('Isaac 401k'!N4522,'Retirement Calculator'!A:A,0),0),0)</f>
        <v>0</v>
      </c>
      <c r="K4522" s="455">
        <f t="shared" ca="1" si="186"/>
        <v>-101913256646.95882</v>
      </c>
      <c r="L4522" s="455">
        <f t="shared" ca="1" si="187"/>
        <v>-24561094851917.074</v>
      </c>
      <c r="M4522" s="471">
        <f t="shared" si="189"/>
        <v>0.05</v>
      </c>
      <c r="N4522" s="475">
        <f t="shared" si="190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88"/>
        <v>-24561094851917.074</v>
      </c>
      <c r="J4523" s="455">
        <f t="array" ref="J4523">IFERROR(INDEX('Retirement Calculator'!J:J,MATCH('Isaac 401k'!N4523,'Retirement Calculator'!A:A,0),0),0)</f>
        <v>0</v>
      </c>
      <c r="K4523" s="455">
        <f t="shared" ca="1" si="186"/>
        <v>-102337895216.32114</v>
      </c>
      <c r="L4523" s="455">
        <f t="shared" ca="1" si="187"/>
        <v>-24663432747133.395</v>
      </c>
      <c r="M4523" s="471">
        <f t="shared" si="189"/>
        <v>0.05</v>
      </c>
      <c r="N4523" s="475">
        <f t="shared" si="190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88"/>
        <v>-24663432747133.395</v>
      </c>
      <c r="J4524" s="455">
        <f t="array" ref="J4524">IFERROR(INDEX('Retirement Calculator'!J:J,MATCH('Isaac 401k'!N4524,'Retirement Calculator'!A:A,0),0),0)</f>
        <v>0</v>
      </c>
      <c r="K4524" s="455">
        <f t="shared" ca="1" si="186"/>
        <v>-102764303113.05582</v>
      </c>
      <c r="L4524" s="455">
        <f t="shared" ca="1" si="187"/>
        <v>-24766197050246.449</v>
      </c>
      <c r="M4524" s="471">
        <f t="shared" si="189"/>
        <v>0.05</v>
      </c>
      <c r="N4524" s="475">
        <f t="shared" si="190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88"/>
        <v>-24766197050246.449</v>
      </c>
      <c r="J4525" s="455">
        <f t="array" ref="J4525">IFERROR(INDEX('Retirement Calculator'!J:J,MATCH('Isaac 401k'!N4525,'Retirement Calculator'!A:A,0),0),0)</f>
        <v>0</v>
      </c>
      <c r="K4525" s="455">
        <f t="shared" ca="1" si="186"/>
        <v>-103192487709.3602</v>
      </c>
      <c r="L4525" s="455">
        <f t="shared" ca="1" si="187"/>
        <v>-24869389537955.809</v>
      </c>
      <c r="M4525" s="471">
        <f t="shared" si="189"/>
        <v>0.05</v>
      </c>
      <c r="N4525" s="475">
        <f t="shared" si="190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88"/>
        <v>-24869389537955.809</v>
      </c>
      <c r="J4526" s="455">
        <f t="array" ref="J4526">IFERROR(INDEX('Retirement Calculator'!J:J,MATCH('Isaac 401k'!N4526,'Retirement Calculator'!A:A,0),0),0)</f>
        <v>0</v>
      </c>
      <c r="K4526" s="455">
        <f t="shared" ca="1" si="186"/>
        <v>-103622456408.1492</v>
      </c>
      <c r="L4526" s="455">
        <f t="shared" ca="1" si="187"/>
        <v>-24973011994363.957</v>
      </c>
      <c r="M4526" s="471">
        <f t="shared" si="189"/>
        <v>0.05</v>
      </c>
      <c r="N4526" s="475">
        <f t="shared" si="190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88"/>
        <v>-24973011994363.957</v>
      </c>
      <c r="J4527" s="455">
        <f t="array" ref="J4527">IFERROR(INDEX('Retirement Calculator'!J:J,MATCH('Isaac 401k'!N4527,'Retirement Calculator'!A:A,0),0),0)</f>
        <v>0</v>
      </c>
      <c r="K4527" s="455">
        <f t="shared" ca="1" si="186"/>
        <v>-104054216643.18315</v>
      </c>
      <c r="L4527" s="455">
        <f t="shared" ca="1" si="187"/>
        <v>-25077066211007.141</v>
      </c>
      <c r="M4527" s="471">
        <f t="shared" si="189"/>
        <v>0.05</v>
      </c>
      <c r="N4527" s="475">
        <f t="shared" si="190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88"/>
        <v>-25077066211007.141</v>
      </c>
      <c r="J4528" s="455">
        <f t="array" ref="J4528">IFERROR(INDEX('Retirement Calculator'!J:J,MATCH('Isaac 401k'!N4528,'Retirement Calculator'!A:A,0),0),0)</f>
        <v>0</v>
      </c>
      <c r="K4528" s="455">
        <f t="shared" ca="1" si="186"/>
        <v>-104487775879.19641</v>
      </c>
      <c r="L4528" s="455">
        <f t="shared" ca="1" si="187"/>
        <v>-25181553986886.336</v>
      </c>
      <c r="M4528" s="471">
        <f t="shared" si="189"/>
        <v>0.05</v>
      </c>
      <c r="N4528" s="475">
        <f t="shared" si="190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88"/>
        <v>-25181553986886.336</v>
      </c>
      <c r="J4529" s="455">
        <f t="array" ref="J4529">IFERROR(INDEX('Retirement Calculator'!J:J,MATCH('Isaac 401k'!N4529,'Retirement Calculator'!A:A,0),0),0)</f>
        <v>0</v>
      </c>
      <c r="K4529" s="455">
        <f t="shared" ca="1" si="186"/>
        <v>-104923141612.0264</v>
      </c>
      <c r="L4529" s="455">
        <f t="shared" ca="1" si="187"/>
        <v>-25286477128498.363</v>
      </c>
      <c r="M4529" s="471">
        <f t="shared" si="189"/>
        <v>0.05</v>
      </c>
      <c r="N4529" s="475">
        <f t="shared" si="190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88"/>
        <v>-25286477128498.363</v>
      </c>
      <c r="J4530" s="455">
        <f t="array" ref="J4530">IFERROR(INDEX('Retirement Calculator'!J:J,MATCH('Isaac 401k'!N4530,'Retirement Calculator'!A:A,0),0),0)</f>
        <v>0</v>
      </c>
      <c r="K4530" s="455">
        <f t="shared" ca="1" si="186"/>
        <v>-105360321368.74318</v>
      </c>
      <c r="L4530" s="455">
        <f t="shared" ca="1" si="187"/>
        <v>-25391837449867.105</v>
      </c>
      <c r="M4530" s="471">
        <f t="shared" si="189"/>
        <v>0.05</v>
      </c>
      <c r="N4530" s="475">
        <f t="shared" si="190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88"/>
        <v>-25391837449867.105</v>
      </c>
      <c r="J4531" s="455">
        <f t="array" ref="J4531">IFERROR(INDEX('Retirement Calculator'!J:J,MATCH('Isaac 401k'!N4531,'Retirement Calculator'!A:A,0),0),0)</f>
        <v>0</v>
      </c>
      <c r="K4531" s="455">
        <f t="shared" ca="1" si="186"/>
        <v>-105799322707.7796</v>
      </c>
      <c r="L4531" s="455">
        <f t="shared" ca="1" si="187"/>
        <v>-25497636772574.887</v>
      </c>
      <c r="M4531" s="471">
        <f t="shared" si="189"/>
        <v>0.05</v>
      </c>
      <c r="N4531" s="475">
        <f t="shared" si="190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88"/>
        <v>-25497636772574.887</v>
      </c>
      <c r="J4532" s="455">
        <f t="array" ref="J4532">IFERROR(INDEX('Retirement Calculator'!J:J,MATCH('Isaac 401k'!N4532,'Retirement Calculator'!A:A,0),0),0)</f>
        <v>0</v>
      </c>
      <c r="K4532" s="455">
        <f t="shared" ca="1" si="186"/>
        <v>-106240153219.06203</v>
      </c>
      <c r="L4532" s="455">
        <f t="shared" ca="1" si="187"/>
        <v>-25603876925793.949</v>
      </c>
      <c r="M4532" s="471">
        <f t="shared" si="189"/>
        <v>0.05</v>
      </c>
      <c r="N4532" s="475">
        <f t="shared" si="190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88"/>
        <v>-25603876925793.949</v>
      </c>
      <c r="J4533" s="455">
        <f t="array" ref="J4533">IFERROR(INDEX('Retirement Calculator'!J:J,MATCH('Isaac 401k'!N4533,'Retirement Calculator'!A:A,0),0),0)</f>
        <v>0</v>
      </c>
      <c r="K4533" s="455">
        <f t="shared" ca="1" si="186"/>
        <v>-106682820524.14145</v>
      </c>
      <c r="L4533" s="455">
        <f t="shared" ca="1" si="187"/>
        <v>-25710559746318.09</v>
      </c>
      <c r="M4533" s="471">
        <f t="shared" si="189"/>
        <v>0.05</v>
      </c>
      <c r="N4533" s="475">
        <f t="shared" si="190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88"/>
        <v>-25710559746318.09</v>
      </c>
      <c r="J4534" s="455">
        <f t="array" ref="J4534">IFERROR(INDEX('Retirement Calculator'!J:J,MATCH('Isaac 401k'!N4534,'Retirement Calculator'!A:A,0),0),0)</f>
        <v>0</v>
      </c>
      <c r="K4534" s="455">
        <f t="shared" ca="1" si="186"/>
        <v>-107127332276.32538</v>
      </c>
      <c r="L4534" s="455">
        <f t="shared" ca="1" si="187"/>
        <v>-25817687078594.414</v>
      </c>
      <c r="M4534" s="471">
        <f t="shared" si="189"/>
        <v>0.05</v>
      </c>
      <c r="N4534" s="475">
        <f t="shared" si="190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88"/>
        <v>-25817687078594.414</v>
      </c>
      <c r="J4535" s="455">
        <f t="array" ref="J4535">IFERROR(INDEX('Retirement Calculator'!J:J,MATCH('Isaac 401k'!N4535,'Retirement Calculator'!A:A,0),0),0)</f>
        <v>0</v>
      </c>
      <c r="K4535" s="455">
        <f t="shared" ca="1" si="186"/>
        <v>-107573696160.81006</v>
      </c>
      <c r="L4535" s="455">
        <f t="shared" ca="1" si="187"/>
        <v>-25925260774755.223</v>
      </c>
      <c r="M4535" s="471">
        <f t="shared" si="189"/>
        <v>0.05</v>
      </c>
      <c r="N4535" s="475">
        <f t="shared" si="190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88"/>
        <v>-25925260774755.223</v>
      </c>
      <c r="J4536" s="455">
        <f t="array" ref="J4536">IFERROR(INDEX('Retirement Calculator'!J:J,MATCH('Isaac 401k'!N4536,'Retirement Calculator'!A:A,0),0),0)</f>
        <v>0</v>
      </c>
      <c r="K4536" s="455">
        <f t="shared" ca="1" si="186"/>
        <v>-108021919894.81343</v>
      </c>
      <c r="L4536" s="455">
        <f t="shared" ca="1" si="187"/>
        <v>-26033282694650.035</v>
      </c>
      <c r="M4536" s="471">
        <f t="shared" si="189"/>
        <v>0.05</v>
      </c>
      <c r="N4536" s="475">
        <f t="shared" si="190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88"/>
        <v>-26033282694650.035</v>
      </c>
      <c r="J4537" s="455">
        <f t="array" ref="J4537">IFERROR(INDEX('Retirement Calculator'!J:J,MATCH('Isaac 401k'!N4537,'Retirement Calculator'!A:A,0),0),0)</f>
        <v>0</v>
      </c>
      <c r="K4537" s="455">
        <f t="shared" ca="1" si="186"/>
        <v>-108472011227.70848</v>
      </c>
      <c r="L4537" s="455">
        <f t="shared" ca="1" si="187"/>
        <v>-26141754705877.742</v>
      </c>
      <c r="M4537" s="471">
        <f t="shared" si="189"/>
        <v>0.05</v>
      </c>
      <c r="N4537" s="475">
        <f t="shared" si="190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88"/>
        <v>-26141754705877.742</v>
      </c>
      <c r="J4538" s="455">
        <f t="array" ref="J4538">IFERROR(INDEX('Retirement Calculator'!J:J,MATCH('Isaac 401k'!N4538,'Retirement Calculator'!A:A,0),0),0)</f>
        <v>0</v>
      </c>
      <c r="K4538" s="455">
        <f t="shared" ca="1" si="186"/>
        <v>-108923977941.15726</v>
      </c>
      <c r="L4538" s="455">
        <f t="shared" ca="1" si="187"/>
        <v>-26250678683818.898</v>
      </c>
      <c r="M4538" s="471">
        <f t="shared" si="189"/>
        <v>0.05</v>
      </c>
      <c r="N4538" s="475">
        <f t="shared" si="190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88"/>
        <v>-26250678683818.898</v>
      </c>
      <c r="J4539" s="455">
        <f t="array" ref="J4539">IFERROR(INDEX('Retirement Calculator'!J:J,MATCH('Isaac 401k'!N4539,'Retirement Calculator'!A:A,0),0),0)</f>
        <v>0</v>
      </c>
      <c r="K4539" s="455">
        <f t="shared" ca="1" si="186"/>
        <v>-109377827849.24541</v>
      </c>
      <c r="L4539" s="455">
        <f t="shared" ca="1" si="187"/>
        <v>-26360056511668.145</v>
      </c>
      <c r="M4539" s="471">
        <f t="shared" si="189"/>
        <v>0.05</v>
      </c>
      <c r="N4539" s="475">
        <f t="shared" si="190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88"/>
        <v>-26360056511668.145</v>
      </c>
      <c r="J4540" s="455">
        <f t="array" ref="J4540">IFERROR(INDEX('Retirement Calculator'!J:J,MATCH('Isaac 401k'!N4540,'Retirement Calculator'!A:A,0),0),0)</f>
        <v>0</v>
      </c>
      <c r="K4540" s="455">
        <f t="shared" ca="1" si="186"/>
        <v>-109833568798.61726</v>
      </c>
      <c r="L4540" s="455">
        <f t="shared" ca="1" si="187"/>
        <v>-26469890080466.762</v>
      </c>
      <c r="M4540" s="471">
        <f t="shared" si="189"/>
        <v>0.05</v>
      </c>
      <c r="N4540" s="475">
        <f t="shared" si="190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88"/>
        <v>-26469890080466.762</v>
      </c>
      <c r="J4541" s="455">
        <f t="array" ref="J4541">IFERROR(INDEX('Retirement Calculator'!J:J,MATCH('Isaac 401k'!N4541,'Retirement Calculator'!A:A,0),0),0)</f>
        <v>0</v>
      </c>
      <c r="K4541" s="455">
        <f t="shared" ca="1" si="186"/>
        <v>-110291208668.61151</v>
      </c>
      <c r="L4541" s="455">
        <f t="shared" ca="1" si="187"/>
        <v>-26580181289135.375</v>
      </c>
      <c r="M4541" s="471">
        <f t="shared" si="189"/>
        <v>0.05</v>
      </c>
      <c r="N4541" s="475">
        <f t="shared" si="190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88"/>
        <v>-26580181289135.375</v>
      </c>
      <c r="J4542" s="455">
        <f t="array" ref="J4542">IFERROR(INDEX('Retirement Calculator'!J:J,MATCH('Isaac 401k'!N4542,'Retirement Calculator'!A:A,0),0),0)</f>
        <v>0</v>
      </c>
      <c r="K4542" s="455">
        <f t="shared" ca="1" si="186"/>
        <v>-110750755371.3974</v>
      </c>
      <c r="L4542" s="455">
        <f t="shared" ca="1" si="187"/>
        <v>-26690932044506.773</v>
      </c>
      <c r="M4542" s="471">
        <f t="shared" si="189"/>
        <v>0.05</v>
      </c>
      <c r="N4542" s="475">
        <f t="shared" si="190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88"/>
        <v>-26690932044506.773</v>
      </c>
      <c r="J4543" s="455">
        <f t="array" ref="J4543">IFERROR(INDEX('Retirement Calculator'!J:J,MATCH('Isaac 401k'!N4543,'Retirement Calculator'!A:A,0),0),0)</f>
        <v>0</v>
      </c>
      <c r="K4543" s="455">
        <f t="shared" ca="1" si="186"/>
        <v>-111212216852.11156</v>
      </c>
      <c r="L4543" s="455">
        <f t="shared" ca="1" si="187"/>
        <v>-26802144261358.887</v>
      </c>
      <c r="M4543" s="471">
        <f t="shared" si="189"/>
        <v>0.05</v>
      </c>
      <c r="N4543" s="475">
        <f t="shared" si="190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88"/>
        <v>-26802144261358.887</v>
      </c>
      <c r="J4544" s="455">
        <f t="array" ref="J4544">IFERROR(INDEX('Retirement Calculator'!J:J,MATCH('Isaac 401k'!N4544,'Retirement Calculator'!A:A,0),0),0)</f>
        <v>0</v>
      </c>
      <c r="K4544" s="455">
        <f t="shared" ca="1" si="186"/>
        <v>-111675601088.99536</v>
      </c>
      <c r="L4544" s="455">
        <f t="shared" ca="1" si="187"/>
        <v>-26913819862447.883</v>
      </c>
      <c r="M4544" s="471">
        <f t="shared" si="189"/>
        <v>0.05</v>
      </c>
      <c r="N4544" s="475">
        <f t="shared" si="190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88"/>
        <v>-26913819862447.883</v>
      </c>
      <c r="J4545" s="455">
        <f t="array" ref="J4545">IFERROR(INDEX('Retirement Calculator'!J:J,MATCH('Isaac 401k'!N4545,'Retirement Calculator'!A:A,0),0),0)</f>
        <v>0</v>
      </c>
      <c r="K4545" s="455">
        <f t="shared" ca="1" si="186"/>
        <v>-112140916093.53284</v>
      </c>
      <c r="L4545" s="455">
        <f t="shared" ca="1" si="187"/>
        <v>-27025960778541.414</v>
      </c>
      <c r="M4545" s="471">
        <f t="shared" si="189"/>
        <v>0.05</v>
      </c>
      <c r="N4545" s="475">
        <f t="shared" si="190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88"/>
        <v>-27025960778541.414</v>
      </c>
      <c r="J4546" s="455">
        <f t="array" ref="J4546">IFERROR(INDEX('Retirement Calculator'!J:J,MATCH('Isaac 401k'!N4546,'Retirement Calculator'!A:A,0),0),0)</f>
        <v>0</v>
      </c>
      <c r="K4546" s="455">
        <f t="shared" ca="1" si="186"/>
        <v>-112608169910.58922</v>
      </c>
      <c r="L4546" s="455">
        <f t="shared" ca="1" si="187"/>
        <v>-27138568948452.004</v>
      </c>
      <c r="M4546" s="471">
        <f t="shared" si="189"/>
        <v>0.05</v>
      </c>
      <c r="N4546" s="475">
        <f t="shared" si="190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88"/>
        <v>-27138568948452.004</v>
      </c>
      <c r="J4547" s="455">
        <f t="array" ref="J4547">IFERROR(INDEX('Retirement Calculator'!J:J,MATCH('Isaac 401k'!N4547,'Retirement Calculator'!A:A,0),0),0)</f>
        <v>0</v>
      </c>
      <c r="K4547" s="455">
        <f t="shared" ca="1" si="186"/>
        <v>-113077370618.55002</v>
      </c>
      <c r="L4547" s="455">
        <f t="shared" ca="1" si="187"/>
        <v>-27251646319070.555</v>
      </c>
      <c r="M4547" s="471">
        <f t="shared" si="189"/>
        <v>0.05</v>
      </c>
      <c r="N4547" s="475">
        <f t="shared" si="190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88"/>
        <v>-27251646319070.555</v>
      </c>
      <c r="J4548" s="455">
        <f t="array" ref="J4548">IFERROR(INDEX('Retirement Calculator'!J:J,MATCH('Isaac 401k'!N4548,'Retirement Calculator'!A:A,0),0),0)</f>
        <v>0</v>
      </c>
      <c r="K4548" s="455">
        <f t="shared" ca="1" si="186"/>
        <v>-113548526329.46065</v>
      </c>
      <c r="L4548" s="455">
        <f t="shared" ca="1" si="187"/>
        <v>-27365194845400.016</v>
      </c>
      <c r="M4548" s="471">
        <f t="shared" si="189"/>
        <v>0.05</v>
      </c>
      <c r="N4548" s="475">
        <f t="shared" si="190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88"/>
        <v>-27365194845400.016</v>
      </c>
      <c r="J4549" s="455">
        <f t="array" ref="J4549">IFERROR(INDEX('Retirement Calculator'!J:J,MATCH('Isaac 401k'!N4549,'Retirement Calculator'!A:A,0),0),0)</f>
        <v>0</v>
      </c>
      <c r="K4549" s="455">
        <f t="shared" ca="1" si="186"/>
        <v>-114021645189.16673</v>
      </c>
      <c r="L4549" s="455">
        <f t="shared" ca="1" si="187"/>
        <v>-27479216490589.184</v>
      </c>
      <c r="M4549" s="471">
        <f t="shared" si="189"/>
        <v>0.05</v>
      </c>
      <c r="N4549" s="475">
        <f t="shared" si="190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88"/>
        <v>-27479216490589.184</v>
      </c>
      <c r="J4550" s="455">
        <f t="array" ref="J4550">IFERROR(INDEX('Retirement Calculator'!J:J,MATCH('Isaac 401k'!N4550,'Retirement Calculator'!A:A,0),0),0)</f>
        <v>0</v>
      </c>
      <c r="K4550" s="455">
        <f t="shared" ca="1" si="186"/>
        <v>-114496735377.45494</v>
      </c>
      <c r="L4550" s="455">
        <f t="shared" ca="1" si="187"/>
        <v>-27593713225966.637</v>
      </c>
      <c r="M4550" s="471">
        <f t="shared" si="189"/>
        <v>0.05</v>
      </c>
      <c r="N4550" s="475">
        <f t="shared" si="190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88"/>
        <v>-27593713225966.637</v>
      </c>
      <c r="J4551" s="455">
        <f t="array" ref="J4551">IFERROR(INDEX('Retirement Calculator'!J:J,MATCH('Isaac 401k'!N4551,'Retirement Calculator'!A:A,0),0),0)</f>
        <v>0</v>
      </c>
      <c r="K4551" s="455">
        <f t="shared" ca="1" si="186"/>
        <v>-114973805108.19432</v>
      </c>
      <c r="L4551" s="455">
        <f t="shared" ca="1" si="187"/>
        <v>-27708687031074.832</v>
      </c>
      <c r="M4551" s="471">
        <f t="shared" si="189"/>
        <v>0.05</v>
      </c>
      <c r="N4551" s="475">
        <f t="shared" si="190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88"/>
        <v>-27708687031074.832</v>
      </c>
      <c r="J4552" s="455">
        <f t="array" ref="J4552">IFERROR(INDEX('Retirement Calculator'!J:J,MATCH('Isaac 401k'!N4552,'Retirement Calculator'!A:A,0),0),0)</f>
        <v>0</v>
      </c>
      <c r="K4552" s="455">
        <f t="shared" ca="1" si="186"/>
        <v>-115452862629.47847</v>
      </c>
      <c r="L4552" s="455">
        <f t="shared" ca="1" si="187"/>
        <v>-27824139893704.309</v>
      </c>
      <c r="M4552" s="471">
        <f t="shared" si="189"/>
        <v>0.05</v>
      </c>
      <c r="N4552" s="475">
        <f t="shared" si="190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88"/>
        <v>-27824139893704.309</v>
      </c>
      <c r="J4553" s="455">
        <f t="array" ref="J4553">IFERROR(INDEX('Retirement Calculator'!J:J,MATCH('Isaac 401k'!N4553,'Retirement Calculator'!A:A,0),0),0)</f>
        <v>0</v>
      </c>
      <c r="K4553" s="455">
        <f t="shared" ca="1" si="186"/>
        <v>-115933916223.76793</v>
      </c>
      <c r="L4553" s="455">
        <f t="shared" ca="1" si="187"/>
        <v>-27940073809928.078</v>
      </c>
      <c r="M4553" s="471">
        <f t="shared" si="189"/>
        <v>0.05</v>
      </c>
      <c r="N4553" s="475">
        <f t="shared" si="190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88"/>
        <v>-27940073809928.078</v>
      </c>
      <c r="J4554" s="455">
        <f t="array" ref="J4554">IFERROR(INDEX('Retirement Calculator'!J:J,MATCH('Isaac 401k'!N4554,'Retirement Calculator'!A:A,0),0),0)</f>
        <v>0</v>
      </c>
      <c r="K4554" s="455">
        <f t="shared" ca="1" si="186"/>
        <v>-116416974208.03366</v>
      </c>
      <c r="L4554" s="455">
        <f t="shared" ca="1" si="187"/>
        <v>-28056490784136.113</v>
      </c>
      <c r="M4554" s="471">
        <f t="shared" si="189"/>
        <v>0.05</v>
      </c>
      <c r="N4554" s="475">
        <f t="shared" si="190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88"/>
        <v>-28056490784136.113</v>
      </c>
      <c r="J4555" s="455">
        <f t="array" ref="J4555">IFERROR(INDEX('Retirement Calculator'!J:J,MATCH('Isaac 401k'!N4555,'Retirement Calculator'!A:A,0),0),0)</f>
        <v>0</v>
      </c>
      <c r="K4555" s="455">
        <f t="shared" ca="1" si="186"/>
        <v>-116902044933.90047</v>
      </c>
      <c r="L4555" s="455">
        <f t="shared" ca="1" si="187"/>
        <v>-28173392829070.016</v>
      </c>
      <c r="M4555" s="471">
        <f t="shared" si="189"/>
        <v>0.05</v>
      </c>
      <c r="N4555" s="475">
        <f t="shared" si="190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88"/>
        <v>-28173392829070.016</v>
      </c>
      <c r="J4556" s="455">
        <f t="array" ref="J4556">IFERROR(INDEX('Retirement Calculator'!J:J,MATCH('Isaac 401k'!N4556,'Retirement Calculator'!A:A,0),0),0)</f>
        <v>0</v>
      </c>
      <c r="K4556" s="455">
        <f t="shared" ca="1" si="186"/>
        <v>-117389136787.79173</v>
      </c>
      <c r="L4556" s="455">
        <f t="shared" ca="1" si="187"/>
        <v>-28290781965857.809</v>
      </c>
      <c r="M4556" s="471">
        <f t="shared" si="189"/>
        <v>0.05</v>
      </c>
      <c r="N4556" s="475">
        <f t="shared" si="190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88"/>
        <v>-28290781965857.809</v>
      </c>
      <c r="J4557" s="455">
        <f t="array" ref="J4557">IFERROR(INDEX('Retirement Calculator'!J:J,MATCH('Isaac 401k'!N4557,'Retirement Calculator'!A:A,0),0),0)</f>
        <v>0</v>
      </c>
      <c r="K4557" s="455">
        <f t="shared" ca="1" si="186"/>
        <v>-117878258191.0742</v>
      </c>
      <c r="L4557" s="455">
        <f t="shared" ca="1" si="187"/>
        <v>-28408660224048.883</v>
      </c>
      <c r="M4557" s="471">
        <f t="shared" si="189"/>
        <v>0.05</v>
      </c>
      <c r="N4557" s="475">
        <f t="shared" si="190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88"/>
        <v>-28408660224048.883</v>
      </c>
      <c r="J4558" s="455">
        <f t="array" ref="J4558">IFERROR(INDEX('Retirement Calculator'!J:J,MATCH('Isaac 401k'!N4558,'Retirement Calculator'!A:A,0),0),0)</f>
        <v>0</v>
      </c>
      <c r="K4558" s="455">
        <f t="shared" ca="1" si="186"/>
        <v>-118369417600.20367</v>
      </c>
      <c r="L4558" s="455">
        <f t="shared" ca="1" si="187"/>
        <v>-28527029641649.086</v>
      </c>
      <c r="M4558" s="471">
        <f t="shared" si="189"/>
        <v>0.05</v>
      </c>
      <c r="N4558" s="475">
        <f t="shared" si="190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88"/>
        <v>-28527029641649.086</v>
      </c>
      <c r="J4559" s="455">
        <f t="array" ref="J4559">IFERROR(INDEX('Retirement Calculator'!J:J,MATCH('Isaac 401k'!N4559,'Retirement Calculator'!A:A,0),0),0)</f>
        <v>0</v>
      </c>
      <c r="K4559" s="455">
        <f t="shared" ca="1" si="186"/>
        <v>-118862623506.87117</v>
      </c>
      <c r="L4559" s="455">
        <f t="shared" ca="1" si="187"/>
        <v>-28645892265155.957</v>
      </c>
      <c r="M4559" s="471">
        <f t="shared" si="189"/>
        <v>0.05</v>
      </c>
      <c r="N4559" s="475">
        <f t="shared" si="190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88"/>
        <v>-28645892265155.957</v>
      </c>
      <c r="J4560" s="455">
        <f t="array" ref="J4560">IFERROR(INDEX('Retirement Calculator'!J:J,MATCH('Isaac 401k'!N4560,'Retirement Calculator'!A:A,0),0),0)</f>
        <v>0</v>
      </c>
      <c r="K4560" s="455">
        <f t="shared" ca="1" si="186"/>
        <v>-119357884438.14984</v>
      </c>
      <c r="L4560" s="455">
        <f t="shared" ca="1" si="187"/>
        <v>-28765250149594.105</v>
      </c>
      <c r="M4560" s="471">
        <f t="shared" si="189"/>
        <v>0.05</v>
      </c>
      <c r="N4560" s="475">
        <f t="shared" si="190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88"/>
        <v>-28765250149594.105</v>
      </c>
      <c r="J4561" s="455">
        <f t="array" ref="J4561">IFERROR(INDEX('Retirement Calculator'!J:J,MATCH('Isaac 401k'!N4561,'Retirement Calculator'!A:A,0),0),0)</f>
        <v>0</v>
      </c>
      <c r="K4561" s="455">
        <f t="shared" ca="1" si="186"/>
        <v>-119855208956.64211</v>
      </c>
      <c r="L4561" s="455">
        <f t="shared" ca="1" si="187"/>
        <v>-28885105358550.746</v>
      </c>
      <c r="M4561" s="471">
        <f t="shared" si="189"/>
        <v>0.05</v>
      </c>
      <c r="N4561" s="475">
        <f t="shared" si="190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88"/>
        <v>-28885105358550.746</v>
      </c>
      <c r="J4562" s="455">
        <f t="array" ref="J4562">IFERROR(INDEX('Retirement Calculator'!J:J,MATCH('Isaac 401k'!N4562,'Retirement Calculator'!A:A,0),0),0)</f>
        <v>0</v>
      </c>
      <c r="K4562" s="455">
        <f t="shared" ca="1" si="186"/>
        <v>-120354605660.62813</v>
      </c>
      <c r="L4562" s="455">
        <f t="shared" ca="1" si="187"/>
        <v>-29005459964211.375</v>
      </c>
      <c r="M4562" s="471">
        <f t="shared" si="189"/>
        <v>0.05</v>
      </c>
      <c r="N4562" s="475">
        <f t="shared" si="190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88"/>
        <v>-29005459964211.375</v>
      </c>
      <c r="J4563" s="455">
        <f t="array" ref="J4563">IFERROR(INDEX('Retirement Calculator'!J:J,MATCH('Isaac 401k'!N4563,'Retirement Calculator'!A:A,0),0),0)</f>
        <v>0</v>
      </c>
      <c r="K4563" s="455">
        <f t="shared" ca="1" si="186"/>
        <v>-120856083184.21405</v>
      </c>
      <c r="L4563" s="455">
        <f t="shared" ca="1" si="187"/>
        <v>-29126316047395.59</v>
      </c>
      <c r="M4563" s="471">
        <f t="shared" si="189"/>
        <v>0.05</v>
      </c>
      <c r="N4563" s="475">
        <f t="shared" si="190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88"/>
        <v>-29126316047395.59</v>
      </c>
      <c r="J4564" s="455">
        <f t="array" ref="J4564">IFERROR(INDEX('Retirement Calculator'!J:J,MATCH('Isaac 401k'!N4564,'Retirement Calculator'!A:A,0),0),0)</f>
        <v>0</v>
      </c>
      <c r="K4564" s="455">
        <f t="shared" ca="1" si="186"/>
        <v>-121359650197.48163</v>
      </c>
      <c r="L4564" s="455">
        <f t="shared" ca="1" si="187"/>
        <v>-29247675697593.07</v>
      </c>
      <c r="M4564" s="471">
        <f t="shared" si="189"/>
        <v>0.05</v>
      </c>
      <c r="N4564" s="475">
        <f t="shared" si="190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88"/>
        <v>-29247675697593.07</v>
      </c>
      <c r="J4565" s="455">
        <f t="array" ref="J4565">IFERROR(INDEX('Retirement Calculator'!J:J,MATCH('Isaac 401k'!N4565,'Retirement Calculator'!A:A,0),0),0)</f>
        <v>0</v>
      </c>
      <c r="K4565" s="455">
        <f t="shared" ca="1" si="186"/>
        <v>-121865315406.6378</v>
      </c>
      <c r="L4565" s="455">
        <f t="shared" ca="1" si="187"/>
        <v>-29369541012999.707</v>
      </c>
      <c r="M4565" s="471">
        <f t="shared" si="189"/>
        <v>0.05</v>
      </c>
      <c r="N4565" s="475">
        <f t="shared" si="190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88"/>
        <v>-29369541012999.707</v>
      </c>
      <c r="J4566" s="455">
        <f t="array" ref="J4566">IFERROR(INDEX('Retirement Calculator'!J:J,MATCH('Isaac 401k'!N4566,'Retirement Calculator'!A:A,0),0),0)</f>
        <v>0</v>
      </c>
      <c r="K4566" s="455">
        <f t="shared" ca="1" si="186"/>
        <v>-122373087554.16545</v>
      </c>
      <c r="L4566" s="455">
        <f t="shared" ca="1" si="187"/>
        <v>-29491914100553.871</v>
      </c>
      <c r="M4566" s="471">
        <f t="shared" si="189"/>
        <v>0.05</v>
      </c>
      <c r="N4566" s="475">
        <f t="shared" si="190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88"/>
        <v>-29491914100553.871</v>
      </c>
      <c r="J4567" s="455">
        <f t="array" ref="J4567">IFERROR(INDEX('Retirement Calculator'!J:J,MATCH('Isaac 401k'!N4567,'Retirement Calculator'!A:A,0),0),0)</f>
        <v>0</v>
      </c>
      <c r="K4567" s="455">
        <f t="shared" ca="1" si="186"/>
        <v>-122882975418.97446</v>
      </c>
      <c r="L4567" s="455">
        <f t="shared" ca="1" si="187"/>
        <v>-29614797075972.844</v>
      </c>
      <c r="M4567" s="471">
        <f t="shared" si="189"/>
        <v>0.05</v>
      </c>
      <c r="N4567" s="475">
        <f t="shared" si="190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88"/>
        <v>-29614797075972.844</v>
      </c>
      <c r="J4568" s="455">
        <f t="array" ref="J4568">IFERROR(INDEX('Retirement Calculator'!J:J,MATCH('Isaac 401k'!N4568,'Retirement Calculator'!A:A,0),0),0)</f>
        <v>0</v>
      </c>
      <c r="K4568" s="455">
        <f t="shared" ca="1" si="186"/>
        <v>-123394987816.55351</v>
      </c>
      <c r="L4568" s="455">
        <f t="shared" ca="1" si="187"/>
        <v>-29738192063789.398</v>
      </c>
      <c r="M4568" s="471">
        <f t="shared" si="189"/>
        <v>0.05</v>
      </c>
      <c r="N4568" s="475">
        <f t="shared" si="190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88"/>
        <v>-29738192063789.398</v>
      </c>
      <c r="J4569" s="455">
        <f t="array" ref="J4569">IFERROR(INDEX('Retirement Calculator'!J:J,MATCH('Isaac 401k'!N4569,'Retirement Calculator'!A:A,0),0),0)</f>
        <v>0</v>
      </c>
      <c r="K4569" s="455">
        <f t="shared" ca="1" si="186"/>
        <v>-123909133599.1225</v>
      </c>
      <c r="L4569" s="455">
        <f t="shared" ca="1" si="187"/>
        <v>-29862101197388.52</v>
      </c>
      <c r="M4569" s="471">
        <f t="shared" si="189"/>
        <v>0.05</v>
      </c>
      <c r="N4569" s="475">
        <f t="shared" si="190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88"/>
        <v>-29862101197388.52</v>
      </c>
      <c r="J4570" s="455">
        <f t="array" ref="J4570">IFERROR(INDEX('Retirement Calculator'!J:J,MATCH('Isaac 401k'!N4570,'Retirement Calculator'!A:A,0),0),0)</f>
        <v>0</v>
      </c>
      <c r="K4570" s="455">
        <f t="shared" ca="1" si="186"/>
        <v>-124425421655.78549</v>
      </c>
      <c r="L4570" s="455">
        <f t="shared" ca="1" si="187"/>
        <v>-29986526619044.305</v>
      </c>
      <c r="M4570" s="471">
        <f t="shared" si="189"/>
        <v>0.05</v>
      </c>
      <c r="N4570" s="475">
        <f t="shared" si="190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88"/>
        <v>-29986526619044.305</v>
      </c>
      <c r="J4571" s="455">
        <f t="array" ref="J4571">IFERROR(INDEX('Retirement Calculator'!J:J,MATCH('Isaac 401k'!N4571,'Retirement Calculator'!A:A,0),0),0)</f>
        <v>0</v>
      </c>
      <c r="K4571" s="455">
        <f t="shared" ca="1" si="186"/>
        <v>-124943860912.68462</v>
      </c>
      <c r="L4571" s="455">
        <f t="shared" ca="1" si="187"/>
        <v>-30111470479956.988</v>
      </c>
      <c r="M4571" s="471">
        <f t="shared" si="189"/>
        <v>0.05</v>
      </c>
      <c r="N4571" s="475">
        <f t="shared" si="190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88"/>
        <v>-30111470479956.988</v>
      </c>
      <c r="J4572" s="455">
        <f t="array" ref="J4572">IFERROR(INDEX('Retirement Calculator'!J:J,MATCH('Isaac 401k'!N4572,'Retirement Calculator'!A:A,0),0),0)</f>
        <v>0</v>
      </c>
      <c r="K4572" s="455">
        <f t="shared" ca="1" si="186"/>
        <v>-125464460333.15411</v>
      </c>
      <c r="L4572" s="455">
        <f t="shared" ca="1" si="187"/>
        <v>-30236934940290.141</v>
      </c>
      <c r="M4572" s="471">
        <f t="shared" si="189"/>
        <v>0.05</v>
      </c>
      <c r="N4572" s="475">
        <f t="shared" si="190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88"/>
        <v>-30236934940290.141</v>
      </c>
      <c r="J4573" s="455">
        <f t="array" ref="J4573">IFERROR(INDEX('Retirement Calculator'!J:J,MATCH('Isaac 401k'!N4573,'Retirement Calculator'!A:A,0),0),0)</f>
        <v>0</v>
      </c>
      <c r="K4573" s="455">
        <f t="shared" ca="1" si="186"/>
        <v>-125987228917.87558</v>
      </c>
      <c r="L4573" s="455">
        <f t="shared" ca="1" si="187"/>
        <v>-30362922169208.016</v>
      </c>
      <c r="M4573" s="471">
        <f t="shared" si="189"/>
        <v>0.05</v>
      </c>
      <c r="N4573" s="475">
        <f t="shared" si="190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88"/>
        <v>-30362922169208.016</v>
      </c>
      <c r="J4574" s="455">
        <f t="array" ref="J4574">IFERROR(INDEX('Retirement Calculator'!J:J,MATCH('Isaac 401k'!N4574,'Retirement Calculator'!A:A,0),0),0)</f>
        <v>0</v>
      </c>
      <c r="K4574" s="455">
        <f t="shared" ca="1" si="186"/>
        <v>-126512175705.03342</v>
      </c>
      <c r="L4574" s="455">
        <f t="shared" ca="1" si="187"/>
        <v>-30489434344913.051</v>
      </c>
      <c r="M4574" s="471">
        <f t="shared" si="189"/>
        <v>0.05</v>
      </c>
      <c r="N4574" s="475">
        <f t="shared" si="190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88"/>
        <v>-30489434344913.051</v>
      </c>
      <c r="J4575" s="455">
        <f t="array" ref="J4575">IFERROR(INDEX('Retirement Calculator'!J:J,MATCH('Isaac 401k'!N4575,'Retirement Calculator'!A:A,0),0),0)</f>
        <v>0</v>
      </c>
      <c r="K4575" s="455">
        <f t="shared" ca="1" si="186"/>
        <v>-127039309770.47104</v>
      </c>
      <c r="L4575" s="455">
        <f t="shared" ca="1" si="187"/>
        <v>-30616473654683.523</v>
      </c>
      <c r="M4575" s="471">
        <f t="shared" si="189"/>
        <v>0.05</v>
      </c>
      <c r="N4575" s="475">
        <f t="shared" si="190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88"/>
        <v>-30616473654683.523</v>
      </c>
      <c r="J4576" s="455">
        <f t="array" ref="J4576">IFERROR(INDEX('Retirement Calculator'!J:J,MATCH('Isaac 401k'!N4576,'Retirement Calculator'!A:A,0),0),0)</f>
        <v>0</v>
      </c>
      <c r="K4576" s="455">
        <f t="shared" ca="1" si="186"/>
        <v>-127568640227.84802</v>
      </c>
      <c r="L4576" s="455">
        <f t="shared" ca="1" si="187"/>
        <v>-30744042294911.371</v>
      </c>
      <c r="M4576" s="471">
        <f t="shared" si="189"/>
        <v>0.05</v>
      </c>
      <c r="N4576" s="475">
        <f t="shared" si="190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88"/>
        <v>-30744042294911.371</v>
      </c>
      <c r="J4577" s="455">
        <f t="array" ref="J4577">IFERROR(INDEX('Retirement Calculator'!J:J,MATCH('Isaac 401k'!N4577,'Retirement Calculator'!A:A,0),0),0)</f>
        <v>0</v>
      </c>
      <c r="K4577" s="455">
        <f t="shared" ca="1" si="186"/>
        <v>-128100176228.79739</v>
      </c>
      <c r="L4577" s="455">
        <f t="shared" ca="1" si="187"/>
        <v>-30872142471140.168</v>
      </c>
      <c r="M4577" s="471">
        <f t="shared" si="189"/>
        <v>0.05</v>
      </c>
      <c r="N4577" s="475">
        <f t="shared" si="190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88"/>
        <v>-30872142471140.168</v>
      </c>
      <c r="J4578" s="455">
        <f t="array" ref="J4578">IFERROR(INDEX('Retirement Calculator'!J:J,MATCH('Isaac 401k'!N4578,'Retirement Calculator'!A:A,0),0),0)</f>
        <v>0</v>
      </c>
      <c r="K4578" s="455">
        <f t="shared" ca="1" si="186"/>
        <v>-128633926963.08405</v>
      </c>
      <c r="L4578" s="455">
        <f t="shared" ca="1" si="187"/>
        <v>-31000776398103.254</v>
      </c>
      <c r="M4578" s="471">
        <f t="shared" si="189"/>
        <v>0.05</v>
      </c>
      <c r="N4578" s="475">
        <f t="shared" si="190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88"/>
        <v>-31000776398103.254</v>
      </c>
      <c r="J4579" s="455">
        <f t="array" ref="J4579">IFERROR(INDEX('Retirement Calculator'!J:J,MATCH('Isaac 401k'!N4579,'Retirement Calculator'!A:A,0),0),0)</f>
        <v>0</v>
      </c>
      <c r="K4579" s="455">
        <f t="shared" ca="1" si="186"/>
        <v>-129169901658.76357</v>
      </c>
      <c r="L4579" s="455">
        <f t="shared" ca="1" si="187"/>
        <v>-31129946299762.016</v>
      </c>
      <c r="M4579" s="471">
        <f t="shared" si="189"/>
        <v>0.05</v>
      </c>
      <c r="N4579" s="475">
        <f t="shared" si="190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88"/>
        <v>-31129946299762.016</v>
      </c>
      <c r="J4580" s="455">
        <f t="array" ref="J4580">IFERROR(INDEX('Retirement Calculator'!J:J,MATCH('Isaac 401k'!N4580,'Retirement Calculator'!A:A,0),0),0)</f>
        <v>0</v>
      </c>
      <c r="K4580" s="455">
        <f t="shared" ca="1" si="186"/>
        <v>-129708109582.34174</v>
      </c>
      <c r="L4580" s="455">
        <f t="shared" ca="1" si="187"/>
        <v>-31259654409344.355</v>
      </c>
      <c r="M4580" s="471">
        <f t="shared" si="189"/>
        <v>0.05</v>
      </c>
      <c r="N4580" s="475">
        <f t="shared" si="190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88"/>
        <v>-31259654409344.355</v>
      </c>
      <c r="J4581" s="455">
        <f t="array" ref="J4581">IFERROR(INDEX('Retirement Calculator'!J:J,MATCH('Isaac 401k'!N4581,'Retirement Calculator'!A:A,0),0),0)</f>
        <v>0</v>
      </c>
      <c r="K4581" s="455">
        <f t="shared" ca="1" si="186"/>
        <v>-130248560038.9348</v>
      </c>
      <c r="L4581" s="455">
        <f t="shared" ca="1" si="187"/>
        <v>-31389902969383.289</v>
      </c>
      <c r="M4581" s="471">
        <f t="shared" si="189"/>
        <v>0.05</v>
      </c>
      <c r="N4581" s="475">
        <f t="shared" si="190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88"/>
        <v>-31389902969383.289</v>
      </c>
      <c r="J4582" s="455">
        <f t="array" ref="J4582">IFERROR(INDEX('Retirement Calculator'!J:J,MATCH('Isaac 401k'!N4582,'Retirement Calculator'!A:A,0),0),0)</f>
        <v>0</v>
      </c>
      <c r="K4582" s="455">
        <f t="shared" ca="1" si="186"/>
        <v>-130791262372.43037</v>
      </c>
      <c r="L4582" s="455">
        <f t="shared" ca="1" si="187"/>
        <v>-31520694231755.719</v>
      </c>
      <c r="M4582" s="471">
        <f t="shared" si="189"/>
        <v>0.05</v>
      </c>
      <c r="N4582" s="475">
        <f t="shared" si="190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88"/>
        <v>-31520694231755.719</v>
      </c>
      <c r="J4583" s="455">
        <f t="array" ref="J4583">IFERROR(INDEX('Retirement Calculator'!J:J,MATCH('Isaac 401k'!N4583,'Retirement Calculator'!A:A,0),0),0)</f>
        <v>0</v>
      </c>
      <c r="K4583" s="455">
        <f t="shared" ca="1" si="186"/>
        <v>-131336225965.64882</v>
      </c>
      <c r="L4583" s="455">
        <f t="shared" ca="1" si="187"/>
        <v>-31652030457721.367</v>
      </c>
      <c r="M4583" s="471">
        <f t="shared" si="189"/>
        <v>0.05</v>
      </c>
      <c r="N4583" s="475">
        <f t="shared" si="190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88"/>
        <v>-31652030457721.367</v>
      </c>
      <c r="J4584" s="455">
        <f t="array" ref="J4584">IFERROR(INDEX('Retirement Calculator'!J:J,MATCH('Isaac 401k'!N4584,'Retirement Calculator'!A:A,0),0),0)</f>
        <v>0</v>
      </c>
      <c r="K4584" s="455">
        <f t="shared" ca="1" si="186"/>
        <v>-131883460240.50571</v>
      </c>
      <c r="L4584" s="455">
        <f t="shared" ca="1" si="187"/>
        <v>-31783913917961.871</v>
      </c>
      <c r="M4584" s="471">
        <f t="shared" si="189"/>
        <v>0.05</v>
      </c>
      <c r="N4584" s="475">
        <f t="shared" si="190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88"/>
        <v>-31783913917961.871</v>
      </c>
      <c r="J4585" s="455">
        <f t="array" ref="J4585">IFERROR(INDEX('Retirement Calculator'!J:J,MATCH('Isaac 401k'!N4585,'Retirement Calculator'!A:A,0),0),0)</f>
        <v>0</v>
      </c>
      <c r="K4585" s="455">
        <f t="shared" ca="1" si="186"/>
        <v>-132432974658.17444</v>
      </c>
      <c r="L4585" s="455">
        <f t="shared" ca="1" si="187"/>
        <v>-31916346892620.047</v>
      </c>
      <c r="M4585" s="471">
        <f t="shared" si="189"/>
        <v>0.05</v>
      </c>
      <c r="N4585" s="475">
        <f t="shared" si="190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88"/>
        <v>-31916346892620.047</v>
      </c>
      <c r="J4586" s="455">
        <f t="array" ref="J4586">IFERROR(INDEX('Retirement Calculator'!J:J,MATCH('Isaac 401k'!N4586,'Retirement Calculator'!A:A,0),0),0)</f>
        <v>0</v>
      </c>
      <c r="K4586" s="455">
        <f t="shared" ca="1" si="186"/>
        <v>-132984778719.25021</v>
      </c>
      <c r="L4586" s="455">
        <f t="shared" ca="1" si="187"/>
        <v>-32049331671339.297</v>
      </c>
      <c r="M4586" s="471">
        <f t="shared" si="189"/>
        <v>0.05</v>
      </c>
      <c r="N4586" s="475">
        <f t="shared" si="190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88"/>
        <v>-32049331671339.297</v>
      </c>
      <c r="J4587" s="455">
        <f t="array" ref="J4587">IFERROR(INDEX('Retirement Calculator'!J:J,MATCH('Isaac 401k'!N4587,'Retirement Calculator'!A:A,0),0),0)</f>
        <v>0</v>
      </c>
      <c r="K4587" s="455">
        <f t="shared" ca="1" si="186"/>
        <v>-133538881963.91376</v>
      </c>
      <c r="L4587" s="455">
        <f t="shared" ca="1" si="187"/>
        <v>-32182870553303.211</v>
      </c>
      <c r="M4587" s="471">
        <f t="shared" si="189"/>
        <v>0.05</v>
      </c>
      <c r="N4587" s="475">
        <f t="shared" si="190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88"/>
        <v>-32182870553303.211</v>
      </c>
      <c r="J4588" s="455">
        <f t="array" ref="J4588">IFERROR(INDEX('Retirement Calculator'!J:J,MATCH('Isaac 401k'!N4588,'Retirement Calculator'!A:A,0),0),0)</f>
        <v>0</v>
      </c>
      <c r="K4588" s="455">
        <f t="shared" ca="1" si="186"/>
        <v>-134095293972.09669</v>
      </c>
      <c r="L4588" s="455">
        <f t="shared" ca="1" si="187"/>
        <v>-32316965847275.309</v>
      </c>
      <c r="M4588" s="471">
        <f t="shared" si="189"/>
        <v>0.05</v>
      </c>
      <c r="N4588" s="475">
        <f t="shared" si="190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88"/>
        <v>-32316965847275.309</v>
      </c>
      <c r="J4589" s="455">
        <f t="array" ref="J4589">IFERROR(INDEX('Retirement Calculator'!J:J,MATCH('Isaac 401k'!N4589,'Retirement Calculator'!A:A,0),0),0)</f>
        <v>0</v>
      </c>
      <c r="K4589" s="455">
        <f t="shared" ca="1" si="186"/>
        <v>-134654024363.64714</v>
      </c>
      <c r="L4589" s="455">
        <f t="shared" ca="1" si="187"/>
        <v>-32451619871638.957</v>
      </c>
      <c r="M4589" s="471">
        <f t="shared" si="189"/>
        <v>0.05</v>
      </c>
      <c r="N4589" s="475">
        <f t="shared" si="190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88"/>
        <v>-32451619871638.957</v>
      </c>
      <c r="J4590" s="455">
        <f t="array" ref="J4590">IFERROR(INDEX('Retirement Calculator'!J:J,MATCH('Isaac 401k'!N4590,'Retirement Calculator'!A:A,0),0),0)</f>
        <v>0</v>
      </c>
      <c r="K4590" s="455">
        <f t="shared" ca="1" si="186"/>
        <v>-135215082798.49565</v>
      </c>
      <c r="L4590" s="455">
        <f t="shared" ca="1" si="187"/>
        <v>-32586834954437.453</v>
      </c>
      <c r="M4590" s="471">
        <f t="shared" si="189"/>
        <v>0.05</v>
      </c>
      <c r="N4590" s="475">
        <f t="shared" si="190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88"/>
        <v>-32586834954437.453</v>
      </c>
      <c r="J4591" s="455">
        <f t="array" ref="J4591">IFERROR(INDEX('Retirement Calculator'!J:J,MATCH('Isaac 401k'!N4591,'Retirement Calculator'!A:A,0),0),0)</f>
        <v>0</v>
      </c>
      <c r="K4591" s="455">
        <f t="shared" ca="1" si="186"/>
        <v>-135778478976.82274</v>
      </c>
      <c r="L4591" s="455">
        <f t="shared" ca="1" si="187"/>
        <v>-32722613433414.277</v>
      </c>
      <c r="M4591" s="471">
        <f t="shared" si="189"/>
        <v>0.05</v>
      </c>
      <c r="N4591" s="475">
        <f t="shared" si="190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88"/>
        <v>-32722613433414.277</v>
      </c>
      <c r="J4592" s="455">
        <f t="array" ref="J4592">IFERROR(INDEX('Retirement Calculator'!J:J,MATCH('Isaac 401k'!N4592,'Retirement Calculator'!A:A,0),0),0)</f>
        <v>0</v>
      </c>
      <c r="K4592" s="455">
        <f t="shared" ca="1" si="186"/>
        <v>-136344222639.22615</v>
      </c>
      <c r="L4592" s="455">
        <f t="shared" ca="1" si="187"/>
        <v>-32858957656053.504</v>
      </c>
      <c r="M4592" s="471">
        <f t="shared" si="189"/>
        <v>0.05</v>
      </c>
      <c r="N4592" s="475">
        <f t="shared" si="190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88"/>
        <v>-32858957656053.504</v>
      </c>
      <c r="J4593" s="455">
        <f t="array" ref="J4593">IFERROR(INDEX('Retirement Calculator'!J:J,MATCH('Isaac 401k'!N4593,'Retirement Calculator'!A:A,0),0),0)</f>
        <v>0</v>
      </c>
      <c r="K4593" s="455">
        <f t="shared" ca="1" si="186"/>
        <v>-136912323566.8896</v>
      </c>
      <c r="L4593" s="455">
        <f t="shared" ca="1" si="187"/>
        <v>-32995869979620.395</v>
      </c>
      <c r="M4593" s="471">
        <f t="shared" si="189"/>
        <v>0.05</v>
      </c>
      <c r="N4593" s="475">
        <f t="shared" si="190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88"/>
        <v>-32995869979620.395</v>
      </c>
      <c r="J4594" s="455">
        <f t="array" ref="J4594">IFERROR(INDEX('Retirement Calculator'!J:J,MATCH('Isaac 401k'!N4594,'Retirement Calculator'!A:A,0),0),0)</f>
        <v>0</v>
      </c>
      <c r="K4594" s="455">
        <f t="shared" ca="1" si="186"/>
        <v>-137482791581.75165</v>
      </c>
      <c r="L4594" s="455">
        <f t="shared" ca="1" si="187"/>
        <v>-33133352771202.145</v>
      </c>
      <c r="M4594" s="471">
        <f t="shared" si="189"/>
        <v>0.05</v>
      </c>
      <c r="N4594" s="475">
        <f t="shared" si="190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88"/>
        <v>-33133352771202.145</v>
      </c>
      <c r="J4595" s="455">
        <f t="array" ref="J4595">IFERROR(INDEX('Retirement Calculator'!J:J,MATCH('Isaac 401k'!N4595,'Retirement Calculator'!A:A,0),0),0)</f>
        <v>0</v>
      </c>
      <c r="K4595" s="455">
        <f t="shared" ca="1" si="186"/>
        <v>-138055636546.6756</v>
      </c>
      <c r="L4595" s="455">
        <f t="shared" ca="1" si="187"/>
        <v>-33271408407748.82</v>
      </c>
      <c r="M4595" s="471">
        <f t="shared" si="189"/>
        <v>0.05</v>
      </c>
      <c r="N4595" s="475">
        <f t="shared" si="190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88"/>
        <v>-33271408407748.82</v>
      </c>
      <c r="J4596" s="455">
        <f t="array" ref="J4596">IFERROR(INDEX('Retirement Calculator'!J:J,MATCH('Isaac 401k'!N4596,'Retirement Calculator'!A:A,0),0),0)</f>
        <v>0</v>
      </c>
      <c r="K4596" s="455">
        <f t="shared" ca="1" si="186"/>
        <v>-138630868365.62009</v>
      </c>
      <c r="L4596" s="455">
        <f t="shared" ca="1" si="187"/>
        <v>-33410039276114.441</v>
      </c>
      <c r="M4596" s="471">
        <f t="shared" si="189"/>
        <v>0.05</v>
      </c>
      <c r="N4596" s="475">
        <f t="shared" si="190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88"/>
        <v>-33410039276114.441</v>
      </c>
      <c r="J4597" s="455">
        <f t="array" ref="J4597">IFERROR(INDEX('Retirement Calculator'!J:J,MATCH('Isaac 401k'!N4597,'Retirement Calculator'!A:A,0),0),0)</f>
        <v>0</v>
      </c>
      <c r="K4597" s="455">
        <f t="shared" ca="1" si="186"/>
        <v>-139208496983.81018</v>
      </c>
      <c r="L4597" s="455">
        <f t="shared" ca="1" si="187"/>
        <v>-33549247773098.25</v>
      </c>
      <c r="M4597" s="471">
        <f t="shared" si="189"/>
        <v>0.05</v>
      </c>
      <c r="N4597" s="475">
        <f t="shared" si="190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88"/>
        <v>-33549247773098.25</v>
      </c>
      <c r="J4598" s="455">
        <f t="array" ref="J4598">IFERROR(INDEX('Retirement Calculator'!J:J,MATCH('Isaac 401k'!N4598,'Retirement Calculator'!A:A,0),0),0)</f>
        <v>0</v>
      </c>
      <c r="K4598" s="455">
        <f t="shared" ref="K4598:K4852" ca="1" si="191">IPMT(M4598/12,1,12,-I4598+J4598,,0)</f>
        <v>-139788532387.90936</v>
      </c>
      <c r="L4598" s="455">
        <f t="shared" ref="L4598:L4852" ca="1" si="192">I4598-J4598+K4598</f>
        <v>-33689036305486.16</v>
      </c>
      <c r="M4598" s="471">
        <f t="shared" si="189"/>
        <v>0.05</v>
      </c>
      <c r="N4598" s="475">
        <f t="shared" si="190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93">L4598</f>
        <v>-33689036305486.16</v>
      </c>
      <c r="J4599" s="455">
        <f t="array" ref="J4599">IFERROR(INDEX('Retirement Calculator'!J:J,MATCH('Isaac 401k'!N4599,'Retirement Calculator'!A:A,0),0),0)</f>
        <v>0</v>
      </c>
      <c r="K4599" s="455">
        <f t="shared" ca="1" si="191"/>
        <v>-140370984606.19235</v>
      </c>
      <c r="L4599" s="455">
        <f t="shared" ca="1" si="192"/>
        <v>-33829407290092.352</v>
      </c>
      <c r="M4599" s="471">
        <f t="shared" ref="M4599:M4853" si="194">M4598</f>
        <v>0.05</v>
      </c>
      <c r="N4599" s="475">
        <f t="shared" ref="N4599:N4853" si="195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93"/>
        <v>-33829407290092.352</v>
      </c>
      <c r="J4600" s="455">
        <f t="array" ref="J4600">IFERROR(INDEX('Retirement Calculator'!J:J,MATCH('Isaac 401k'!N4600,'Retirement Calculator'!A:A,0),0),0)</f>
        <v>0</v>
      </c>
      <c r="K4600" s="455">
        <f t="shared" ca="1" si="191"/>
        <v>-140955863708.71814</v>
      </c>
      <c r="L4600" s="455">
        <f t="shared" ca="1" si="192"/>
        <v>-33970363153801.07</v>
      </c>
      <c r="M4600" s="471">
        <f t="shared" si="194"/>
        <v>0.05</v>
      </c>
      <c r="N4600" s="475">
        <f t="shared" si="195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93"/>
        <v>-33970363153801.07</v>
      </c>
      <c r="J4601" s="455">
        <f t="array" ref="J4601">IFERROR(INDEX('Retirement Calculator'!J:J,MATCH('Isaac 401k'!N4601,'Retirement Calculator'!A:A,0),0),0)</f>
        <v>0</v>
      </c>
      <c r="K4601" s="455">
        <f t="shared" ca="1" si="191"/>
        <v>-141543179807.50449</v>
      </c>
      <c r="L4601" s="455">
        <f t="shared" ca="1" si="192"/>
        <v>-34111906333608.574</v>
      </c>
      <c r="M4601" s="471">
        <f t="shared" si="194"/>
        <v>0.05</v>
      </c>
      <c r="N4601" s="475">
        <f t="shared" si="195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93"/>
        <v>-34111906333608.574</v>
      </c>
      <c r="J4602" s="455">
        <f t="array" ref="J4602">IFERROR(INDEX('Retirement Calculator'!J:J,MATCH('Isaac 401k'!N4602,'Retirement Calculator'!A:A,0),0),0)</f>
        <v>0</v>
      </c>
      <c r="K4602" s="455">
        <f t="shared" ca="1" si="191"/>
        <v>-142132943056.70239</v>
      </c>
      <c r="L4602" s="455">
        <f t="shared" ca="1" si="192"/>
        <v>-34254039276665.277</v>
      </c>
      <c r="M4602" s="471">
        <f t="shared" si="194"/>
        <v>0.05</v>
      </c>
      <c r="N4602" s="475">
        <f t="shared" si="195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93"/>
        <v>-34254039276665.277</v>
      </c>
      <c r="J4603" s="455">
        <f t="array" ref="J4603">IFERROR(INDEX('Retirement Calculator'!J:J,MATCH('Isaac 401k'!N4603,'Retirement Calculator'!A:A,0),0),0)</f>
        <v>0</v>
      </c>
      <c r="K4603" s="455">
        <f t="shared" ca="1" si="191"/>
        <v>-142725163652.77197</v>
      </c>
      <c r="L4603" s="455">
        <f t="shared" ca="1" si="192"/>
        <v>-34396764440318.051</v>
      </c>
      <c r="M4603" s="471">
        <f t="shared" si="194"/>
        <v>0.05</v>
      </c>
      <c r="N4603" s="475">
        <f t="shared" si="195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93"/>
        <v>-34396764440318.051</v>
      </c>
      <c r="J4604" s="455">
        <f t="array" ref="J4604">IFERROR(INDEX('Retirement Calculator'!J:J,MATCH('Isaac 401k'!N4604,'Retirement Calculator'!A:A,0),0),0)</f>
        <v>0</v>
      </c>
      <c r="K4604" s="455">
        <f t="shared" ca="1" si="191"/>
        <v>-143319851834.65854</v>
      </c>
      <c r="L4604" s="455">
        <f t="shared" ca="1" si="192"/>
        <v>-34540084292152.711</v>
      </c>
      <c r="M4604" s="471">
        <f t="shared" si="194"/>
        <v>0.05</v>
      </c>
      <c r="N4604" s="475">
        <f t="shared" si="195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93"/>
        <v>-34540084292152.711</v>
      </c>
      <c r="J4605" s="455">
        <f t="array" ref="J4605">IFERROR(INDEX('Retirement Calculator'!J:J,MATCH('Isaac 401k'!N4605,'Retirement Calculator'!A:A,0),0),0)</f>
        <v>0</v>
      </c>
      <c r="K4605" s="455">
        <f t="shared" ca="1" si="191"/>
        <v>-143917017883.96964</v>
      </c>
      <c r="L4605" s="455">
        <f t="shared" ca="1" si="192"/>
        <v>-34684001310036.68</v>
      </c>
      <c r="M4605" s="471">
        <f t="shared" si="194"/>
        <v>0.05</v>
      </c>
      <c r="N4605" s="475">
        <f t="shared" si="195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93"/>
        <v>-34684001310036.68</v>
      </c>
      <c r="J4606" s="455">
        <f t="array" ref="J4606">IFERROR(INDEX('Retirement Calculator'!J:J,MATCH('Isaac 401k'!N4606,'Retirement Calculator'!A:A,0),0),0)</f>
        <v>0</v>
      </c>
      <c r="K4606" s="455">
        <f t="shared" ca="1" si="191"/>
        <v>-144516672125.1528</v>
      </c>
      <c r="L4606" s="455">
        <f t="shared" ca="1" si="192"/>
        <v>-34828517982161.832</v>
      </c>
      <c r="M4606" s="471">
        <f t="shared" si="194"/>
        <v>0.05</v>
      </c>
      <c r="N4606" s="475">
        <f t="shared" si="195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93"/>
        <v>-34828517982161.832</v>
      </c>
      <c r="J4607" s="455">
        <f t="array" ref="J4607">IFERROR(INDEX('Retirement Calculator'!J:J,MATCH('Isaac 401k'!N4607,'Retirement Calculator'!A:A,0),0),0)</f>
        <v>0</v>
      </c>
      <c r="K4607" s="455">
        <f t="shared" ca="1" si="191"/>
        <v>-145118824925.67429</v>
      </c>
      <c r="L4607" s="455">
        <f t="shared" ca="1" si="192"/>
        <v>-34973636807087.508</v>
      </c>
      <c r="M4607" s="471">
        <f t="shared" si="194"/>
        <v>0.05</v>
      </c>
      <c r="N4607" s="475">
        <f t="shared" si="195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93"/>
        <v>-34973636807087.508</v>
      </c>
      <c r="J4608" s="455">
        <f t="array" ref="J4608">IFERROR(INDEX('Retirement Calculator'!J:J,MATCH('Isaac 401k'!N4608,'Retirement Calculator'!A:A,0),0),0)</f>
        <v>0</v>
      </c>
      <c r="K4608" s="455">
        <f t="shared" ca="1" si="191"/>
        <v>-145723486696.19794</v>
      </c>
      <c r="L4608" s="455">
        <f t="shared" ca="1" si="192"/>
        <v>-35119360293783.707</v>
      </c>
      <c r="M4608" s="471">
        <f t="shared" si="194"/>
        <v>0.05</v>
      </c>
      <c r="N4608" s="475">
        <f t="shared" si="195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93"/>
        <v>-35119360293783.707</v>
      </c>
      <c r="J4609" s="455">
        <f t="array" ref="J4609">IFERROR(INDEX('Retirement Calculator'!J:J,MATCH('Isaac 401k'!N4609,'Retirement Calculator'!A:A,0),0),0)</f>
        <v>0</v>
      </c>
      <c r="K4609" s="455">
        <f t="shared" ca="1" si="191"/>
        <v>-146330667890.76544</v>
      </c>
      <c r="L4609" s="455">
        <f t="shared" ca="1" si="192"/>
        <v>-35265690961674.469</v>
      </c>
      <c r="M4609" s="471">
        <f t="shared" si="194"/>
        <v>0.05</v>
      </c>
      <c r="N4609" s="475">
        <f t="shared" si="195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93"/>
        <v>-35265690961674.469</v>
      </c>
      <c r="J4610" s="455">
        <f t="array" ref="J4610">IFERROR(INDEX('Retirement Calculator'!J:J,MATCH('Isaac 401k'!N4610,'Retirement Calculator'!A:A,0),0),0)</f>
        <v>0</v>
      </c>
      <c r="K4610" s="455">
        <f t="shared" ca="1" si="191"/>
        <v>-146940379006.97696</v>
      </c>
      <c r="L4610" s="455">
        <f t="shared" ca="1" si="192"/>
        <v>-35412631340681.445</v>
      </c>
      <c r="M4610" s="471">
        <f t="shared" si="194"/>
        <v>0.05</v>
      </c>
      <c r="N4610" s="475">
        <f t="shared" si="195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93"/>
        <v>-35412631340681.445</v>
      </c>
      <c r="J4611" s="455">
        <f t="array" ref="J4611">IFERROR(INDEX('Retirement Calculator'!J:J,MATCH('Isaac 401k'!N4611,'Retirement Calculator'!A:A,0),0),0)</f>
        <v>0</v>
      </c>
      <c r="K4611" s="455">
        <f t="shared" ca="1" si="191"/>
        <v>-147552630586.1727</v>
      </c>
      <c r="L4611" s="455">
        <f t="shared" ca="1" si="192"/>
        <v>-35560183971267.617</v>
      </c>
      <c r="M4611" s="471">
        <f t="shared" si="194"/>
        <v>0.05</v>
      </c>
      <c r="N4611" s="475">
        <f t="shared" si="195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93"/>
        <v>-35560183971267.617</v>
      </c>
      <c r="J4612" s="455">
        <f t="array" ref="J4612">IFERROR(INDEX('Retirement Calculator'!J:J,MATCH('Isaac 401k'!N4612,'Retirement Calculator'!A:A,0),0),0)</f>
        <v>0</v>
      </c>
      <c r="K4612" s="455">
        <f t="shared" ca="1" si="191"/>
        <v>-148167433213.61508</v>
      </c>
      <c r="L4612" s="455">
        <f t="shared" ca="1" si="192"/>
        <v>-35708351404481.234</v>
      </c>
      <c r="M4612" s="471">
        <f t="shared" si="194"/>
        <v>0.05</v>
      </c>
      <c r="N4612" s="475">
        <f t="shared" si="195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93"/>
        <v>-35708351404481.234</v>
      </c>
      <c r="J4613" s="455">
        <f t="array" ref="J4613">IFERROR(INDEX('Retirement Calculator'!J:J,MATCH('Isaac 401k'!N4613,'Retirement Calculator'!A:A,0),0),0)</f>
        <v>0</v>
      </c>
      <c r="K4613" s="455">
        <f t="shared" ca="1" si="191"/>
        <v>-148784797518.67181</v>
      </c>
      <c r="L4613" s="455">
        <f t="shared" ca="1" si="192"/>
        <v>-35857136201999.906</v>
      </c>
      <c r="M4613" s="471">
        <f t="shared" si="194"/>
        <v>0.05</v>
      </c>
      <c r="N4613" s="475">
        <f t="shared" si="195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93"/>
        <v>-35857136201999.906</v>
      </c>
      <c r="J4614" s="455">
        <f t="array" ref="J4614">IFERROR(INDEX('Retirement Calculator'!J:J,MATCH('Isaac 401k'!N4614,'Retirement Calculator'!A:A,0),0),0)</f>
        <v>0</v>
      </c>
      <c r="K4614" s="455">
        <f t="shared" ca="1" si="191"/>
        <v>-149404734174.9996</v>
      </c>
      <c r="L4614" s="455">
        <f t="shared" ca="1" si="192"/>
        <v>-36006540936174.906</v>
      </c>
      <c r="M4614" s="471">
        <f t="shared" si="194"/>
        <v>0.05</v>
      </c>
      <c r="N4614" s="475">
        <f t="shared" si="195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93"/>
        <v>-36006540936174.906</v>
      </c>
      <c r="J4615" s="455">
        <f t="array" ref="J4615">IFERROR(INDEX('Retirement Calculator'!J:J,MATCH('Isaac 401k'!N4615,'Retirement Calculator'!A:A,0),0),0)</f>
        <v>0</v>
      </c>
      <c r="K4615" s="455">
        <f t="shared" ca="1" si="191"/>
        <v>-150027253900.72876</v>
      </c>
      <c r="L4615" s="455">
        <f t="shared" ca="1" si="192"/>
        <v>-36156568190075.633</v>
      </c>
      <c r="M4615" s="471">
        <f t="shared" si="194"/>
        <v>0.05</v>
      </c>
      <c r="N4615" s="475">
        <f t="shared" si="195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93"/>
        <v>-36156568190075.633</v>
      </c>
      <c r="J4616" s="455">
        <f t="array" ref="J4616">IFERROR(INDEX('Retirement Calculator'!J:J,MATCH('Isaac 401k'!N4616,'Retirement Calculator'!A:A,0),0),0)</f>
        <v>0</v>
      </c>
      <c r="K4616" s="455">
        <f t="shared" ca="1" si="191"/>
        <v>-150652367458.64847</v>
      </c>
      <c r="L4616" s="455">
        <f t="shared" ca="1" si="192"/>
        <v>-36307220557534.281</v>
      </c>
      <c r="M4616" s="471">
        <f t="shared" si="194"/>
        <v>0.05</v>
      </c>
      <c r="N4616" s="475">
        <f t="shared" si="195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93"/>
        <v>-36307220557534.281</v>
      </c>
      <c r="J4617" s="455">
        <f t="array" ref="J4617">IFERROR(INDEX('Retirement Calculator'!J:J,MATCH('Isaac 401k'!N4617,'Retirement Calculator'!A:A,0),0),0)</f>
        <v>0</v>
      </c>
      <c r="K4617" s="455">
        <f t="shared" ca="1" si="191"/>
        <v>-151280085656.39282</v>
      </c>
      <c r="L4617" s="455">
        <f t="shared" ca="1" si="192"/>
        <v>-36458500643190.672</v>
      </c>
      <c r="M4617" s="471">
        <f t="shared" si="194"/>
        <v>0.05</v>
      </c>
      <c r="N4617" s="475">
        <f t="shared" si="195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93"/>
        <v>-36458500643190.672</v>
      </c>
      <c r="J4618" s="455">
        <f t="array" ref="J4618">IFERROR(INDEX('Retirement Calculator'!J:J,MATCH('Isaac 401k'!N4618,'Retirement Calculator'!A:A,0),0),0)</f>
        <v>0</v>
      </c>
      <c r="K4618" s="455">
        <f t="shared" ca="1" si="191"/>
        <v>-151910419346.62781</v>
      </c>
      <c r="L4618" s="455">
        <f t="shared" ca="1" si="192"/>
        <v>-36610411062537.297</v>
      </c>
      <c r="M4618" s="471">
        <f t="shared" si="194"/>
        <v>0.05</v>
      </c>
      <c r="N4618" s="475">
        <f t="shared" si="195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93"/>
        <v>-36610411062537.297</v>
      </c>
      <c r="J4619" s="455">
        <f t="array" ref="J4619">IFERROR(INDEX('Retirement Calculator'!J:J,MATCH('Isaac 401k'!N4619,'Retirement Calculator'!A:A,0),0),0)</f>
        <v>0</v>
      </c>
      <c r="K4619" s="455">
        <f t="shared" ca="1" si="191"/>
        <v>-152543379427.23874</v>
      </c>
      <c r="L4619" s="455">
        <f t="shared" ca="1" si="192"/>
        <v>-36762954441964.539</v>
      </c>
      <c r="M4619" s="471">
        <f t="shared" si="194"/>
        <v>0.05</v>
      </c>
      <c r="N4619" s="475">
        <f t="shared" si="195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93"/>
        <v>-36762954441964.539</v>
      </c>
      <c r="J4620" s="455">
        <f t="array" ref="J4620">IFERROR(INDEX('Retirement Calculator'!J:J,MATCH('Isaac 401k'!N4620,'Retirement Calculator'!A:A,0),0),0)</f>
        <v>0</v>
      </c>
      <c r="K4620" s="455">
        <f t="shared" ca="1" si="191"/>
        <v>-153178976841.51892</v>
      </c>
      <c r="L4620" s="455">
        <f t="shared" ca="1" si="192"/>
        <v>-36916133418806.055</v>
      </c>
      <c r="M4620" s="471">
        <f t="shared" si="194"/>
        <v>0.05</v>
      </c>
      <c r="N4620" s="475">
        <f t="shared" si="195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93"/>
        <v>-36916133418806.055</v>
      </c>
      <c r="J4621" s="455">
        <f t="array" ref="J4621">IFERROR(INDEX('Retirement Calculator'!J:J,MATCH('Isaac 401k'!N4621,'Retirement Calculator'!A:A,0),0),0)</f>
        <v>0</v>
      </c>
      <c r="K4621" s="455">
        <f t="shared" ca="1" si="191"/>
        <v>-153817222578.35855</v>
      </c>
      <c r="L4621" s="455">
        <f t="shared" ca="1" si="192"/>
        <v>-37069950641384.414</v>
      </c>
      <c r="M4621" s="471">
        <f t="shared" si="194"/>
        <v>0.05</v>
      </c>
      <c r="N4621" s="475">
        <f t="shared" si="195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93"/>
        <v>-37069950641384.414</v>
      </c>
      <c r="J4622" s="455">
        <f t="array" ref="J4622">IFERROR(INDEX('Retirement Calculator'!J:J,MATCH('Isaac 401k'!N4622,'Retirement Calculator'!A:A,0),0),0)</f>
        <v>0</v>
      </c>
      <c r="K4622" s="455">
        <f t="shared" ca="1" si="191"/>
        <v>-154458127672.43506</v>
      </c>
      <c r="L4622" s="455">
        <f t="shared" ca="1" si="192"/>
        <v>-37224408769056.852</v>
      </c>
      <c r="M4622" s="471">
        <f t="shared" si="194"/>
        <v>0.05</v>
      </c>
      <c r="N4622" s="475">
        <f t="shared" si="195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93"/>
        <v>-37224408769056.852</v>
      </c>
      <c r="J4623" s="455">
        <f t="array" ref="J4623">IFERROR(INDEX('Retirement Calculator'!J:J,MATCH('Isaac 401k'!N4623,'Retirement Calculator'!A:A,0),0),0)</f>
        <v>0</v>
      </c>
      <c r="K4623" s="455">
        <f t="shared" ca="1" si="191"/>
        <v>-155101703204.40353</v>
      </c>
      <c r="L4623" s="455">
        <f t="shared" ca="1" si="192"/>
        <v>-37379510472261.258</v>
      </c>
      <c r="M4623" s="471">
        <f t="shared" si="194"/>
        <v>0.05</v>
      </c>
      <c r="N4623" s="475">
        <f t="shared" si="195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93"/>
        <v>-37379510472261.258</v>
      </c>
      <c r="J4624" s="455">
        <f t="array" ref="J4624">IFERROR(INDEX('Retirement Calculator'!J:J,MATCH('Isaac 401k'!N4624,'Retirement Calculator'!A:A,0),0),0)</f>
        <v>0</v>
      </c>
      <c r="K4624" s="455">
        <f t="shared" ca="1" si="191"/>
        <v>-155747960301.08856</v>
      </c>
      <c r="L4624" s="455">
        <f t="shared" ca="1" si="192"/>
        <v>-37535258432562.344</v>
      </c>
      <c r="M4624" s="471">
        <f t="shared" si="194"/>
        <v>0.05</v>
      </c>
      <c r="N4624" s="475">
        <f t="shared" si="195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93"/>
        <v>-37535258432562.344</v>
      </c>
      <c r="J4625" s="455">
        <f t="array" ref="J4625">IFERROR(INDEX('Retirement Calculator'!J:J,MATCH('Isaac 401k'!N4625,'Retirement Calculator'!A:A,0),0),0)</f>
        <v>0</v>
      </c>
      <c r="K4625" s="455">
        <f t="shared" ca="1" si="191"/>
        <v>-156396910135.67642</v>
      </c>
      <c r="L4625" s="455">
        <f t="shared" ca="1" si="192"/>
        <v>-37691655342698.023</v>
      </c>
      <c r="M4625" s="471">
        <f t="shared" si="194"/>
        <v>0.05</v>
      </c>
      <c r="N4625" s="475">
        <f t="shared" si="195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93"/>
        <v>-37691655342698.023</v>
      </c>
      <c r="J4626" s="455">
        <f t="array" ref="J4626">IFERROR(INDEX('Retirement Calculator'!J:J,MATCH('Isaac 401k'!N4626,'Retirement Calculator'!A:A,0),0),0)</f>
        <v>0</v>
      </c>
      <c r="K4626" s="455">
        <f t="shared" ca="1" si="191"/>
        <v>-157048563927.90842</v>
      </c>
      <c r="L4626" s="455">
        <f t="shared" ca="1" si="192"/>
        <v>-37848703906625.93</v>
      </c>
      <c r="M4626" s="471">
        <f t="shared" si="194"/>
        <v>0.05</v>
      </c>
      <c r="N4626" s="475">
        <f t="shared" si="195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93"/>
        <v>-37848703906625.93</v>
      </c>
      <c r="J4627" s="455">
        <f t="array" ref="J4627">IFERROR(INDEX('Retirement Calculator'!J:J,MATCH('Isaac 401k'!N4627,'Retirement Calculator'!A:A,0),0),0)</f>
        <v>0</v>
      </c>
      <c r="K4627" s="455">
        <f t="shared" ca="1" si="191"/>
        <v>-157702932944.27472</v>
      </c>
      <c r="L4627" s="455">
        <f t="shared" ca="1" si="192"/>
        <v>-38006406839570.203</v>
      </c>
      <c r="M4627" s="471">
        <f t="shared" si="194"/>
        <v>0.05</v>
      </c>
      <c r="N4627" s="475">
        <f t="shared" si="195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93"/>
        <v>-38006406839570.203</v>
      </c>
      <c r="J4628" s="455">
        <f t="array" ref="J4628">IFERROR(INDEX('Retirement Calculator'!J:J,MATCH('Isaac 401k'!N4628,'Retirement Calculator'!A:A,0),0),0)</f>
        <v>0</v>
      </c>
      <c r="K4628" s="455">
        <f t="shared" ca="1" si="191"/>
        <v>-158360028498.20917</v>
      </c>
      <c r="L4628" s="455">
        <f t="shared" ca="1" si="192"/>
        <v>-38164766868068.414</v>
      </c>
      <c r="M4628" s="471">
        <f t="shared" si="194"/>
        <v>0.05</v>
      </c>
      <c r="N4628" s="475">
        <f t="shared" si="195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93"/>
        <v>-38164766868068.414</v>
      </c>
      <c r="J4629" s="455">
        <f t="array" ref="J4629">IFERROR(INDEX('Retirement Calculator'!J:J,MATCH('Isaac 401k'!N4629,'Retirement Calculator'!A:A,0),0),0)</f>
        <v>0</v>
      </c>
      <c r="K4629" s="455">
        <f t="shared" ca="1" si="191"/>
        <v>-159019861950.28506</v>
      </c>
      <c r="L4629" s="455">
        <f t="shared" ca="1" si="192"/>
        <v>-38323786730018.695</v>
      </c>
      <c r="M4629" s="471">
        <f t="shared" si="194"/>
        <v>0.05</v>
      </c>
      <c r="N4629" s="475">
        <f t="shared" si="195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93"/>
        <v>-38323786730018.695</v>
      </c>
      <c r="J4630" s="455">
        <f t="array" ref="J4630">IFERROR(INDEX('Retirement Calculator'!J:J,MATCH('Isaac 401k'!N4630,'Retirement Calculator'!A:A,0),0),0)</f>
        <v>0</v>
      </c>
      <c r="K4630" s="455">
        <f t="shared" ca="1" si="191"/>
        <v>-159682444708.41122</v>
      </c>
      <c r="L4630" s="455">
        <f t="shared" ca="1" si="192"/>
        <v>-38483469174727.109</v>
      </c>
      <c r="M4630" s="471">
        <f t="shared" si="194"/>
        <v>0.05</v>
      </c>
      <c r="N4630" s="475">
        <f t="shared" si="195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93"/>
        <v>-38483469174727.109</v>
      </c>
      <c r="J4631" s="455">
        <f t="array" ref="J4631">IFERROR(INDEX('Retirement Calculator'!J:J,MATCH('Isaac 401k'!N4631,'Retirement Calculator'!A:A,0),0),0)</f>
        <v>0</v>
      </c>
      <c r="K4631" s="455">
        <f t="shared" ca="1" si="191"/>
        <v>-160347788228.02963</v>
      </c>
      <c r="L4631" s="455">
        <f t="shared" ca="1" si="192"/>
        <v>-38643816962955.141</v>
      </c>
      <c r="M4631" s="471">
        <f t="shared" si="194"/>
        <v>0.05</v>
      </c>
      <c r="N4631" s="475">
        <f t="shared" si="195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93"/>
        <v>-38643816962955.141</v>
      </c>
      <c r="J4632" s="455">
        <f t="array" ref="J4632">IFERROR(INDEX('Retirement Calculator'!J:J,MATCH('Isaac 401k'!N4632,'Retirement Calculator'!A:A,0),0),0)</f>
        <v>0</v>
      </c>
      <c r="K4632" s="455">
        <f t="shared" ca="1" si="191"/>
        <v>-161015904012.31308</v>
      </c>
      <c r="L4632" s="455">
        <f t="shared" ca="1" si="192"/>
        <v>-38804832866967.453</v>
      </c>
      <c r="M4632" s="471">
        <f t="shared" si="194"/>
        <v>0.05</v>
      </c>
      <c r="N4632" s="475">
        <f t="shared" si="195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93"/>
        <v>-38804832866967.453</v>
      </c>
      <c r="J4633" s="455">
        <f t="array" ref="J4633">IFERROR(INDEX('Retirement Calculator'!J:J,MATCH('Isaac 401k'!N4633,'Retirement Calculator'!A:A,0),0),0)</f>
        <v>0</v>
      </c>
      <c r="K4633" s="455">
        <f t="shared" ca="1" si="191"/>
        <v>-161686803612.36438</v>
      </c>
      <c r="L4633" s="455">
        <f t="shared" ca="1" si="192"/>
        <v>-38966519670579.82</v>
      </c>
      <c r="M4633" s="471">
        <f t="shared" si="194"/>
        <v>0.05</v>
      </c>
      <c r="N4633" s="475">
        <f t="shared" si="195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93"/>
        <v>-38966519670579.82</v>
      </c>
      <c r="J4634" s="455">
        <f t="array" ref="J4634">IFERROR(INDEX('Retirement Calculator'!J:J,MATCH('Isaac 401k'!N4634,'Retirement Calculator'!A:A,0),0),0)</f>
        <v>0</v>
      </c>
      <c r="K4634" s="455">
        <f t="shared" ca="1" si="191"/>
        <v>-162360498627.41592</v>
      </c>
      <c r="L4634" s="455">
        <f t="shared" ca="1" si="192"/>
        <v>-39128880169207.234</v>
      </c>
      <c r="M4634" s="471">
        <f t="shared" si="194"/>
        <v>0.05</v>
      </c>
      <c r="N4634" s="475">
        <f t="shared" si="195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93"/>
        <v>-39128880169207.234</v>
      </c>
      <c r="J4635" s="455">
        <f t="array" ref="J4635">IFERROR(INDEX('Retirement Calculator'!J:J,MATCH('Isaac 401k'!N4635,'Retirement Calculator'!A:A,0),0),0)</f>
        <v>0</v>
      </c>
      <c r="K4635" s="455">
        <f t="shared" ca="1" si="191"/>
        <v>-163037000705.03015</v>
      </c>
      <c r="L4635" s="455">
        <f t="shared" ca="1" si="192"/>
        <v>-39291917169912.266</v>
      </c>
      <c r="M4635" s="471">
        <f t="shared" si="194"/>
        <v>0.05</v>
      </c>
      <c r="N4635" s="475">
        <f t="shared" si="195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93"/>
        <v>-39291917169912.266</v>
      </c>
      <c r="J4636" s="455">
        <f t="array" ref="J4636">IFERROR(INDEX('Retirement Calculator'!J:J,MATCH('Isaac 401k'!N4636,'Retirement Calculator'!A:A,0),0),0)</f>
        <v>0</v>
      </c>
      <c r="K4636" s="455">
        <f t="shared" ca="1" si="191"/>
        <v>-163716321541.30112</v>
      </c>
      <c r="L4636" s="455">
        <f t="shared" ca="1" si="192"/>
        <v>-39455633491453.57</v>
      </c>
      <c r="M4636" s="471">
        <f t="shared" si="194"/>
        <v>0.05</v>
      </c>
      <c r="N4636" s="475">
        <f t="shared" si="195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93"/>
        <v>-39455633491453.57</v>
      </c>
      <c r="J4637" s="455">
        <f t="array" ref="J4637">IFERROR(INDEX('Retirement Calculator'!J:J,MATCH('Isaac 401k'!N4637,'Retirement Calculator'!A:A,0),0),0)</f>
        <v>0</v>
      </c>
      <c r="K4637" s="455">
        <f t="shared" ca="1" si="191"/>
        <v>-164398472881.05655</v>
      </c>
      <c r="L4637" s="455">
        <f t="shared" ca="1" si="192"/>
        <v>-39620031964334.625</v>
      </c>
      <c r="M4637" s="471">
        <f t="shared" si="194"/>
        <v>0.05</v>
      </c>
      <c r="N4637" s="475">
        <f t="shared" si="195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93"/>
        <v>-39620031964334.625</v>
      </c>
      <c r="J4638" s="455">
        <f t="array" ref="J4638">IFERROR(INDEX('Retirement Calculator'!J:J,MATCH('Isaac 401k'!N4638,'Retirement Calculator'!A:A,0),0),0)</f>
        <v>0</v>
      </c>
      <c r="K4638" s="455">
        <f t="shared" ca="1" si="191"/>
        <v>-165083466518.06094</v>
      </c>
      <c r="L4638" s="455">
        <f t="shared" ca="1" si="192"/>
        <v>-39785115430852.688</v>
      </c>
      <c r="M4638" s="471">
        <f t="shared" si="194"/>
        <v>0.05</v>
      </c>
      <c r="N4638" s="475">
        <f t="shared" si="195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93"/>
        <v>-39785115430852.688</v>
      </c>
      <c r="J4639" s="455">
        <f t="array" ref="J4639">IFERROR(INDEX('Retirement Calculator'!J:J,MATCH('Isaac 401k'!N4639,'Retirement Calculator'!A:A,0),0),0)</f>
        <v>0</v>
      </c>
      <c r="K4639" s="455">
        <f t="shared" ca="1" si="191"/>
        <v>-165771314295.21954</v>
      </c>
      <c r="L4639" s="455">
        <f t="shared" ca="1" si="192"/>
        <v>-39950886745147.906</v>
      </c>
      <c r="M4639" s="471">
        <f t="shared" si="194"/>
        <v>0.05</v>
      </c>
      <c r="N4639" s="475">
        <f t="shared" si="195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93"/>
        <v>-39950886745147.906</v>
      </c>
      <c r="J4640" s="455">
        <f t="array" ref="J4640">IFERROR(INDEX('Retirement Calculator'!J:J,MATCH('Isaac 401k'!N4640,'Retirement Calculator'!A:A,0),0),0)</f>
        <v>0</v>
      </c>
      <c r="K4640" s="455">
        <f t="shared" ca="1" si="191"/>
        <v>-166462028104.78293</v>
      </c>
      <c r="L4640" s="455">
        <f t="shared" ca="1" si="192"/>
        <v>-40117348773252.688</v>
      </c>
      <c r="M4640" s="471">
        <f t="shared" si="194"/>
        <v>0.05</v>
      </c>
      <c r="N4640" s="475">
        <f t="shared" si="195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93"/>
        <v>-40117348773252.688</v>
      </c>
      <c r="J4641" s="455">
        <f t="array" ref="J4641">IFERROR(INDEX('Retirement Calculator'!J:J,MATCH('Isaac 401k'!N4641,'Retirement Calculator'!A:A,0),0),0)</f>
        <v>0</v>
      </c>
      <c r="K4641" s="455">
        <f t="shared" ca="1" si="191"/>
        <v>-167155619888.55286</v>
      </c>
      <c r="L4641" s="455">
        <f t="shared" ca="1" si="192"/>
        <v>-40284504393141.242</v>
      </c>
      <c r="M4641" s="471">
        <f t="shared" si="194"/>
        <v>0.05</v>
      </c>
      <c r="N4641" s="475">
        <f t="shared" si="195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93"/>
        <v>-40284504393141.242</v>
      </c>
      <c r="J4642" s="455">
        <f t="array" ref="J4642">IFERROR(INDEX('Retirement Calculator'!J:J,MATCH('Isaac 401k'!N4642,'Retirement Calculator'!A:A,0),0),0)</f>
        <v>0</v>
      </c>
      <c r="K4642" s="455">
        <f t="shared" ca="1" si="191"/>
        <v>-167852101638.0885</v>
      </c>
      <c r="L4642" s="455">
        <f t="shared" ca="1" si="192"/>
        <v>-40452356494779.328</v>
      </c>
      <c r="M4642" s="471">
        <f t="shared" si="194"/>
        <v>0.05</v>
      </c>
      <c r="N4642" s="475">
        <f t="shared" si="195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93"/>
        <v>-40452356494779.328</v>
      </c>
      <c r="J4643" s="455">
        <f t="array" ref="J4643">IFERROR(INDEX('Retirement Calculator'!J:J,MATCH('Isaac 401k'!N4643,'Retirement Calculator'!A:A,0),0),0)</f>
        <v>0</v>
      </c>
      <c r="K4643" s="455">
        <f t="shared" ca="1" si="191"/>
        <v>-168551485394.91388</v>
      </c>
      <c r="L4643" s="455">
        <f t="shared" ca="1" si="192"/>
        <v>-40620907980174.242</v>
      </c>
      <c r="M4643" s="471">
        <f t="shared" si="194"/>
        <v>0.05</v>
      </c>
      <c r="N4643" s="475">
        <f t="shared" si="195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93"/>
        <v>-40620907980174.242</v>
      </c>
      <c r="J4644" s="455">
        <f t="array" ref="J4644">IFERROR(INDEX('Retirement Calculator'!J:J,MATCH('Isaac 401k'!N4644,'Retirement Calculator'!A:A,0),0),0)</f>
        <v>0</v>
      </c>
      <c r="K4644" s="455">
        <f t="shared" ca="1" si="191"/>
        <v>-169253783250.72601</v>
      </c>
      <c r="L4644" s="455">
        <f t="shared" ca="1" si="192"/>
        <v>-40790161763424.969</v>
      </c>
      <c r="M4644" s="471">
        <f t="shared" si="194"/>
        <v>0.05</v>
      </c>
      <c r="N4644" s="475">
        <f t="shared" si="195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93"/>
        <v>-40790161763424.969</v>
      </c>
      <c r="J4645" s="455">
        <f t="array" ref="J4645">IFERROR(INDEX('Retirement Calculator'!J:J,MATCH('Isaac 401k'!N4645,'Retirement Calculator'!A:A,0),0),0)</f>
        <v>0</v>
      </c>
      <c r="K4645" s="455">
        <f t="shared" ca="1" si="191"/>
        <v>-169959007347.60403</v>
      </c>
      <c r="L4645" s="455">
        <f t="shared" ca="1" si="192"/>
        <v>-40960120770772.57</v>
      </c>
      <c r="M4645" s="471">
        <f t="shared" si="194"/>
        <v>0.05</v>
      </c>
      <c r="N4645" s="475">
        <f t="shared" si="195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93"/>
        <v>-40960120770772.57</v>
      </c>
      <c r="J4646" s="455">
        <f t="array" ref="J4646">IFERROR(INDEX('Retirement Calculator'!J:J,MATCH('Isaac 401k'!N4646,'Retirement Calculator'!A:A,0),0),0)</f>
        <v>0</v>
      </c>
      <c r="K4646" s="455">
        <f t="shared" ca="1" si="191"/>
        <v>-170667169878.21906</v>
      </c>
      <c r="L4646" s="455">
        <f t="shared" ca="1" si="192"/>
        <v>-41130787940650.789</v>
      </c>
      <c r="M4646" s="471">
        <f t="shared" si="194"/>
        <v>0.05</v>
      </c>
      <c r="N4646" s="475">
        <f t="shared" si="195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93"/>
        <v>-41130787940650.789</v>
      </c>
      <c r="J4647" s="455">
        <f t="array" ref="J4647">IFERROR(INDEX('Retirement Calculator'!J:J,MATCH('Isaac 401k'!N4647,'Retirement Calculator'!A:A,0),0),0)</f>
        <v>0</v>
      </c>
      <c r="K4647" s="455">
        <f t="shared" ca="1" si="191"/>
        <v>-171378283086.04495</v>
      </c>
      <c r="L4647" s="455">
        <f t="shared" ca="1" si="192"/>
        <v>-41302166223736.836</v>
      </c>
      <c r="M4647" s="471">
        <f t="shared" si="194"/>
        <v>0.05</v>
      </c>
      <c r="N4647" s="475">
        <f t="shared" si="195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93"/>
        <v>-41302166223736.836</v>
      </c>
      <c r="J4648" s="455">
        <f t="array" ref="J4648">IFERROR(INDEX('Retirement Calculator'!J:J,MATCH('Isaac 401k'!N4648,'Retirement Calculator'!A:A,0),0),0)</f>
        <v>0</v>
      </c>
      <c r="K4648" s="455">
        <f t="shared" ca="1" si="191"/>
        <v>-172092359265.57016</v>
      </c>
      <c r="L4648" s="455">
        <f t="shared" ca="1" si="192"/>
        <v>-41474258583002.406</v>
      </c>
      <c r="M4648" s="471">
        <f t="shared" si="194"/>
        <v>0.05</v>
      </c>
      <c r="N4648" s="475">
        <f t="shared" si="195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93"/>
        <v>-41474258583002.406</v>
      </c>
      <c r="J4649" s="455">
        <f t="array" ref="J4649">IFERROR(INDEX('Retirement Calculator'!J:J,MATCH('Isaac 401k'!N4649,'Retirement Calculator'!A:A,0),0),0)</f>
        <v>0</v>
      </c>
      <c r="K4649" s="455">
        <f t="shared" ca="1" si="191"/>
        <v>-172809410762.51001</v>
      </c>
      <c r="L4649" s="455">
        <f t="shared" ca="1" si="192"/>
        <v>-41647067993764.914</v>
      </c>
      <c r="M4649" s="471">
        <f t="shared" si="194"/>
        <v>0.05</v>
      </c>
      <c r="N4649" s="475">
        <f t="shared" si="195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93"/>
        <v>-41647067993764.914</v>
      </c>
      <c r="J4650" s="455">
        <f t="array" ref="J4650">IFERROR(INDEX('Retirement Calculator'!J:J,MATCH('Isaac 401k'!N4650,'Retirement Calculator'!A:A,0),0),0)</f>
        <v>0</v>
      </c>
      <c r="K4650" s="455">
        <f t="shared" ca="1" si="191"/>
        <v>-173529449974.02048</v>
      </c>
      <c r="L4650" s="455">
        <f t="shared" ca="1" si="192"/>
        <v>-41820597443738.938</v>
      </c>
      <c r="M4650" s="471">
        <f t="shared" si="194"/>
        <v>0.05</v>
      </c>
      <c r="N4650" s="475">
        <f t="shared" si="195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93"/>
        <v>-41820597443738.938</v>
      </c>
      <c r="J4651" s="455">
        <f t="array" ref="J4651">IFERROR(INDEX('Retirement Calculator'!J:J,MATCH('Isaac 401k'!N4651,'Retirement Calculator'!A:A,0),0),0)</f>
        <v>0</v>
      </c>
      <c r="K4651" s="455">
        <f t="shared" ca="1" si="191"/>
        <v>-174252489348.91223</v>
      </c>
      <c r="L4651" s="455">
        <f t="shared" ca="1" si="192"/>
        <v>-41994849933087.852</v>
      </c>
      <c r="M4651" s="471">
        <f t="shared" si="194"/>
        <v>0.05</v>
      </c>
      <c r="N4651" s="475">
        <f t="shared" si="195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93"/>
        <v>-41994849933087.852</v>
      </c>
      <c r="J4652" s="455">
        <f t="array" ref="J4652">IFERROR(INDEX('Retirement Calculator'!J:J,MATCH('Isaac 401k'!N4652,'Retirement Calculator'!A:A,0),0),0)</f>
        <v>0</v>
      </c>
      <c r="K4652" s="455">
        <f t="shared" ca="1" si="191"/>
        <v>-174978541387.86606</v>
      </c>
      <c r="L4652" s="455">
        <f t="shared" ca="1" si="192"/>
        <v>-42169828474475.719</v>
      </c>
      <c r="M4652" s="471">
        <f t="shared" si="194"/>
        <v>0.05</v>
      </c>
      <c r="N4652" s="475">
        <f t="shared" si="195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93"/>
        <v>-42169828474475.719</v>
      </c>
      <c r="J4653" s="455">
        <f t="array" ref="J4653">IFERROR(INDEX('Retirement Calculator'!J:J,MATCH('Isaac 401k'!N4653,'Retirement Calculator'!A:A,0),0),0)</f>
        <v>0</v>
      </c>
      <c r="K4653" s="455">
        <f t="shared" ca="1" si="191"/>
        <v>-175707618643.64883</v>
      </c>
      <c r="L4653" s="455">
        <f t="shared" ca="1" si="192"/>
        <v>-42345536093119.367</v>
      </c>
      <c r="M4653" s="471">
        <f t="shared" si="194"/>
        <v>0.05</v>
      </c>
      <c r="N4653" s="475">
        <f t="shared" si="195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93"/>
        <v>-42345536093119.367</v>
      </c>
      <c r="J4654" s="455">
        <f t="array" ref="J4654">IFERROR(INDEX('Retirement Calculator'!J:J,MATCH('Isaac 401k'!N4654,'Retirement Calculator'!A:A,0),0),0)</f>
        <v>0</v>
      </c>
      <c r="K4654" s="455">
        <f t="shared" ca="1" si="191"/>
        <v>-176439733721.33069</v>
      </c>
      <c r="L4654" s="455">
        <f t="shared" ca="1" si="192"/>
        <v>-42521975826840.695</v>
      </c>
      <c r="M4654" s="471">
        <f t="shared" si="194"/>
        <v>0.05</v>
      </c>
      <c r="N4654" s="475">
        <f t="shared" si="195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93"/>
        <v>-42521975826840.695</v>
      </c>
      <c r="J4655" s="455">
        <f t="array" ref="J4655">IFERROR(INDEX('Retirement Calculator'!J:J,MATCH('Isaac 401k'!N4655,'Retirement Calculator'!A:A,0),0),0)</f>
        <v>0</v>
      </c>
      <c r="K4655" s="455">
        <f t="shared" ca="1" si="191"/>
        <v>-177174899278.5029</v>
      </c>
      <c r="L4655" s="455">
        <f t="shared" ca="1" si="192"/>
        <v>-42699150726119.195</v>
      </c>
      <c r="M4655" s="471">
        <f t="shared" si="194"/>
        <v>0.05</v>
      </c>
      <c r="N4655" s="475">
        <f t="shared" si="195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93"/>
        <v>-42699150726119.195</v>
      </c>
      <c r="J4656" s="455">
        <f t="array" ref="J4656">IFERROR(INDEX('Retirement Calculator'!J:J,MATCH('Isaac 401k'!N4656,'Retirement Calculator'!A:A,0),0),0)</f>
        <v>0</v>
      </c>
      <c r="K4656" s="455">
        <f t="shared" ca="1" si="191"/>
        <v>-177913128025.49664</v>
      </c>
      <c r="L4656" s="455">
        <f t="shared" ca="1" si="192"/>
        <v>-42877063854144.695</v>
      </c>
      <c r="M4656" s="471">
        <f t="shared" si="194"/>
        <v>0.05</v>
      </c>
      <c r="N4656" s="475">
        <f t="shared" si="195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93"/>
        <v>-42877063854144.695</v>
      </c>
      <c r="J4657" s="455">
        <f t="array" ref="J4657">IFERROR(INDEX('Retirement Calculator'!J:J,MATCH('Isaac 401k'!N4657,'Retirement Calculator'!A:A,0),0),0)</f>
        <v>0</v>
      </c>
      <c r="K4657" s="455">
        <f t="shared" ca="1" si="191"/>
        <v>-178654432725.60291</v>
      </c>
      <c r="L4657" s="455">
        <f t="shared" ca="1" si="192"/>
        <v>-43055718286870.297</v>
      </c>
      <c r="M4657" s="471">
        <f t="shared" si="194"/>
        <v>0.05</v>
      </c>
      <c r="N4657" s="475">
        <f t="shared" si="195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93"/>
        <v>-43055718286870.297</v>
      </c>
      <c r="J4658" s="455">
        <f t="array" ref="J4658">IFERROR(INDEX('Retirement Calculator'!J:J,MATCH('Isaac 401k'!N4658,'Retirement Calculator'!A:A,0),0),0)</f>
        <v>0</v>
      </c>
      <c r="K4658" s="455">
        <f t="shared" ca="1" si="191"/>
        <v>-179398826195.29291</v>
      </c>
      <c r="L4658" s="455">
        <f t="shared" ca="1" si="192"/>
        <v>-43235117113065.586</v>
      </c>
      <c r="M4658" s="471">
        <f t="shared" si="194"/>
        <v>0.05</v>
      </c>
      <c r="N4658" s="475">
        <f t="shared" si="195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93"/>
        <v>-43235117113065.586</v>
      </c>
      <c r="J4659" s="455">
        <f t="array" ref="J4659">IFERROR(INDEX('Retirement Calculator'!J:J,MATCH('Isaac 401k'!N4659,'Retirement Calculator'!A:A,0),0),0)</f>
        <v>0</v>
      </c>
      <c r="K4659" s="455">
        <f t="shared" ca="1" si="191"/>
        <v>-180146321304.43994</v>
      </c>
      <c r="L4659" s="455">
        <f t="shared" ca="1" si="192"/>
        <v>-43415263434370.023</v>
      </c>
      <c r="M4659" s="471">
        <f t="shared" si="194"/>
        <v>0.05</v>
      </c>
      <c r="N4659" s="475">
        <f t="shared" si="195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93"/>
        <v>-43415263434370.023</v>
      </c>
      <c r="J4660" s="455">
        <f t="array" ref="J4660">IFERROR(INDEX('Retirement Calculator'!J:J,MATCH('Isaac 401k'!N4660,'Retirement Calculator'!A:A,0),0),0)</f>
        <v>0</v>
      </c>
      <c r="K4660" s="455">
        <f t="shared" ca="1" si="191"/>
        <v>-180896930976.54175</v>
      </c>
      <c r="L4660" s="455">
        <f t="shared" ca="1" si="192"/>
        <v>-43596160365346.563</v>
      </c>
      <c r="M4660" s="471">
        <f t="shared" si="194"/>
        <v>0.05</v>
      </c>
      <c r="N4660" s="475">
        <f t="shared" si="195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93"/>
        <v>-43596160365346.563</v>
      </c>
      <c r="J4661" s="455">
        <f t="array" ref="J4661">IFERROR(INDEX('Retirement Calculator'!J:J,MATCH('Isaac 401k'!N4661,'Retirement Calculator'!A:A,0),0),0)</f>
        <v>0</v>
      </c>
      <c r="K4661" s="455">
        <f t="shared" ca="1" si="191"/>
        <v>-181650668188.944</v>
      </c>
      <c r="L4661" s="455">
        <f t="shared" ca="1" si="192"/>
        <v>-43777811033535.508</v>
      </c>
      <c r="M4661" s="471">
        <f t="shared" si="194"/>
        <v>0.05</v>
      </c>
      <c r="N4661" s="475">
        <f t="shared" si="195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93"/>
        <v>-43777811033535.508</v>
      </c>
      <c r="J4662" s="455">
        <f t="array" ref="J4662">IFERROR(INDEX('Retirement Calculator'!J:J,MATCH('Isaac 401k'!N4662,'Retirement Calculator'!A:A,0),0),0)</f>
        <v>0</v>
      </c>
      <c r="K4662" s="455">
        <f t="shared" ca="1" si="191"/>
        <v>-182407545973.06461</v>
      </c>
      <c r="L4662" s="455">
        <f t="shared" ca="1" si="192"/>
        <v>-43960218579508.57</v>
      </c>
      <c r="M4662" s="471">
        <f t="shared" si="194"/>
        <v>0.05</v>
      </c>
      <c r="N4662" s="475">
        <f t="shared" si="195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93"/>
        <v>-43960218579508.57</v>
      </c>
      <c r="J4663" s="455">
        <f t="array" ref="J4663">IFERROR(INDEX('Retirement Calculator'!J:J,MATCH('Isaac 401k'!N4663,'Retirement Calculator'!A:A,0),0),0)</f>
        <v>0</v>
      </c>
      <c r="K4663" s="455">
        <f t="shared" ca="1" si="191"/>
        <v>-183167577414.61905</v>
      </c>
      <c r="L4663" s="455">
        <f t="shared" ca="1" si="192"/>
        <v>-44143386156923.188</v>
      </c>
      <c r="M4663" s="471">
        <f t="shared" si="194"/>
        <v>0.05</v>
      </c>
      <c r="N4663" s="475">
        <f t="shared" si="195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93"/>
        <v>-44143386156923.188</v>
      </c>
      <c r="J4664" s="455">
        <f t="array" ref="J4664">IFERROR(INDEX('Retirement Calculator'!J:J,MATCH('Isaac 401k'!N4664,'Retirement Calculator'!A:A,0),0),0)</f>
        <v>0</v>
      </c>
      <c r="K4664" s="455">
        <f t="shared" ca="1" si="191"/>
        <v>-183930775653.84662</v>
      </c>
      <c r="L4664" s="455">
        <f t="shared" ca="1" si="192"/>
        <v>-44327316932577.031</v>
      </c>
      <c r="M4664" s="471">
        <f t="shared" si="194"/>
        <v>0.05</v>
      </c>
      <c r="N4664" s="475">
        <f t="shared" si="195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93"/>
        <v>-44327316932577.031</v>
      </c>
      <c r="J4665" s="455">
        <f t="array" ref="J4665">IFERROR(INDEX('Retirement Calculator'!J:J,MATCH('Isaac 401k'!N4665,'Retirement Calculator'!A:A,0),0),0)</f>
        <v>0</v>
      </c>
      <c r="K4665" s="455">
        <f t="shared" ca="1" si="191"/>
        <v>-184697153885.73764</v>
      </c>
      <c r="L4665" s="455">
        <f t="shared" ca="1" si="192"/>
        <v>-44512014086462.766</v>
      </c>
      <c r="M4665" s="471">
        <f t="shared" si="194"/>
        <v>0.05</v>
      </c>
      <c r="N4665" s="475">
        <f t="shared" si="195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93"/>
        <v>-44512014086462.766</v>
      </c>
      <c r="J4666" s="455">
        <f t="array" ref="J4666">IFERROR(INDEX('Retirement Calculator'!J:J,MATCH('Isaac 401k'!N4666,'Retirement Calculator'!A:A,0),0),0)</f>
        <v>0</v>
      </c>
      <c r="K4666" s="455">
        <f t="shared" ca="1" si="191"/>
        <v>-185466725360.26154</v>
      </c>
      <c r="L4666" s="455">
        <f t="shared" ca="1" si="192"/>
        <v>-44697480811823.023</v>
      </c>
      <c r="M4666" s="471">
        <f t="shared" si="194"/>
        <v>0.05</v>
      </c>
      <c r="N4666" s="475">
        <f t="shared" si="195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93"/>
        <v>-44697480811823.023</v>
      </c>
      <c r="J4667" s="455">
        <f t="array" ref="J4667">IFERROR(INDEX('Retirement Calculator'!J:J,MATCH('Isaac 401k'!N4667,'Retirement Calculator'!A:A,0),0),0)</f>
        <v>0</v>
      </c>
      <c r="K4667" s="455">
        <f t="shared" ca="1" si="191"/>
        <v>-186239503382.59592</v>
      </c>
      <c r="L4667" s="455">
        <f t="shared" ca="1" si="192"/>
        <v>-44883720315205.617</v>
      </c>
      <c r="M4667" s="471">
        <f t="shared" si="194"/>
        <v>0.05</v>
      </c>
      <c r="N4667" s="475">
        <f t="shared" si="195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93"/>
        <v>-44883720315205.617</v>
      </c>
      <c r="J4668" s="455">
        <f t="array" ref="J4668">IFERROR(INDEX('Retirement Calculator'!J:J,MATCH('Isaac 401k'!N4668,'Retirement Calculator'!A:A,0),0),0)</f>
        <v>0</v>
      </c>
      <c r="K4668" s="455">
        <f t="shared" ca="1" si="191"/>
        <v>-187015501313.35675</v>
      </c>
      <c r="L4668" s="455">
        <f t="shared" ca="1" si="192"/>
        <v>-45070735816518.977</v>
      </c>
      <c r="M4668" s="471">
        <f t="shared" si="194"/>
        <v>0.05</v>
      </c>
      <c r="N4668" s="475">
        <f t="shared" si="195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93"/>
        <v>-45070735816518.977</v>
      </c>
      <c r="J4669" s="455">
        <f t="array" ref="J4669">IFERROR(INDEX('Retirement Calculator'!J:J,MATCH('Isaac 401k'!N4669,'Retirement Calculator'!A:A,0),0),0)</f>
        <v>0</v>
      </c>
      <c r="K4669" s="455">
        <f t="shared" ca="1" si="191"/>
        <v>-187794732568.82907</v>
      </c>
      <c r="L4669" s="455">
        <f t="shared" ca="1" si="192"/>
        <v>-45258530549087.805</v>
      </c>
      <c r="M4669" s="471">
        <f t="shared" si="194"/>
        <v>0.05</v>
      </c>
      <c r="N4669" s="475">
        <f t="shared" si="195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93"/>
        <v>-45258530549087.805</v>
      </c>
      <c r="J4670" s="455">
        <f t="array" ref="J4670">IFERROR(INDEX('Retirement Calculator'!J:J,MATCH('Isaac 401k'!N4670,'Retirement Calculator'!A:A,0),0),0)</f>
        <v>0</v>
      </c>
      <c r="K4670" s="455">
        <f t="shared" ca="1" si="191"/>
        <v>-188577210621.19919</v>
      </c>
      <c r="L4670" s="455">
        <f t="shared" ca="1" si="192"/>
        <v>-45447107759709</v>
      </c>
      <c r="M4670" s="471">
        <f t="shared" si="194"/>
        <v>0.05</v>
      </c>
      <c r="N4670" s="475">
        <f t="shared" si="195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93"/>
        <v>-45447107759709</v>
      </c>
      <c r="J4671" s="455">
        <f t="array" ref="J4671">IFERROR(INDEX('Retirement Calculator'!J:J,MATCH('Isaac 401k'!N4671,'Retirement Calculator'!A:A,0),0),0)</f>
        <v>0</v>
      </c>
      <c r="K4671" s="455">
        <f t="shared" ca="1" si="191"/>
        <v>-189362948998.78751</v>
      </c>
      <c r="L4671" s="455">
        <f t="shared" ca="1" si="192"/>
        <v>-45636470708707.789</v>
      </c>
      <c r="M4671" s="471">
        <f t="shared" si="194"/>
        <v>0.05</v>
      </c>
      <c r="N4671" s="475">
        <f t="shared" si="195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93"/>
        <v>-45636470708707.789</v>
      </c>
      <c r="J4672" s="455">
        <f t="array" ref="J4672">IFERROR(INDEX('Retirement Calculator'!J:J,MATCH('Isaac 401k'!N4672,'Retirement Calculator'!A:A,0),0),0)</f>
        <v>0</v>
      </c>
      <c r="K4672" s="455">
        <f t="shared" ca="1" si="191"/>
        <v>-190151961286.28244</v>
      </c>
      <c r="L4672" s="455">
        <f t="shared" ca="1" si="192"/>
        <v>-45826622669994.07</v>
      </c>
      <c r="M4672" s="471">
        <f t="shared" si="194"/>
        <v>0.05</v>
      </c>
      <c r="N4672" s="475">
        <f t="shared" si="195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93"/>
        <v>-45826622669994.07</v>
      </c>
      <c r="J4673" s="455">
        <f t="array" ref="J4673">IFERROR(INDEX('Retirement Calculator'!J:J,MATCH('Isaac 401k'!N4673,'Retirement Calculator'!A:A,0),0),0)</f>
        <v>0</v>
      </c>
      <c r="K4673" s="455">
        <f t="shared" ca="1" si="191"/>
        <v>-190944261124.97528</v>
      </c>
      <c r="L4673" s="455">
        <f t="shared" ca="1" si="192"/>
        <v>-46017566931119.047</v>
      </c>
      <c r="M4673" s="471">
        <f t="shared" si="194"/>
        <v>0.05</v>
      </c>
      <c r="N4673" s="475">
        <f t="shared" si="195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93"/>
        <v>-46017566931119.047</v>
      </c>
      <c r="J4674" s="455">
        <f t="array" ref="J4674">IFERROR(INDEX('Retirement Calculator'!J:J,MATCH('Isaac 401k'!N4674,'Retirement Calculator'!A:A,0),0),0)</f>
        <v>0</v>
      </c>
      <c r="K4674" s="455">
        <f t="shared" ca="1" si="191"/>
        <v>-191739862212.99603</v>
      </c>
      <c r="L4674" s="455">
        <f t="shared" ca="1" si="192"/>
        <v>-46209306793332.039</v>
      </c>
      <c r="M4674" s="471">
        <f t="shared" si="194"/>
        <v>0.05</v>
      </c>
      <c r="N4674" s="475">
        <f t="shared" si="195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93"/>
        <v>-46209306793332.039</v>
      </c>
      <c r="J4675" s="455">
        <f t="array" ref="J4675">IFERROR(INDEX('Retirement Calculator'!J:J,MATCH('Isaac 401k'!N4675,'Retirement Calculator'!A:A,0),0),0)</f>
        <v>0</v>
      </c>
      <c r="K4675" s="455">
        <f t="shared" ca="1" si="191"/>
        <v>-192538778305.55017</v>
      </c>
      <c r="L4675" s="455">
        <f t="shared" ca="1" si="192"/>
        <v>-46401845571637.586</v>
      </c>
      <c r="M4675" s="471">
        <f t="shared" si="194"/>
        <v>0.05</v>
      </c>
      <c r="N4675" s="475">
        <f t="shared" si="195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93"/>
        <v>-46401845571637.586</v>
      </c>
      <c r="J4676" s="455">
        <f t="array" ref="J4676">IFERROR(INDEX('Retirement Calculator'!J:J,MATCH('Isaac 401k'!N4676,'Retirement Calculator'!A:A,0),0),0)</f>
        <v>0</v>
      </c>
      <c r="K4676" s="455">
        <f t="shared" ca="1" si="191"/>
        <v>-193341023215.15662</v>
      </c>
      <c r="L4676" s="455">
        <f t="shared" ca="1" si="192"/>
        <v>-46595186594852.742</v>
      </c>
      <c r="M4676" s="471">
        <f t="shared" si="194"/>
        <v>0.05</v>
      </c>
      <c r="N4676" s="475">
        <f t="shared" si="195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93"/>
        <v>-46595186594852.742</v>
      </c>
      <c r="J4677" s="455">
        <f t="array" ref="J4677">IFERROR(INDEX('Retirement Calculator'!J:J,MATCH('Isaac 401k'!N4677,'Retirement Calculator'!A:A,0),0),0)</f>
        <v>0</v>
      </c>
      <c r="K4677" s="455">
        <f t="shared" ca="1" si="191"/>
        <v>-194146610811.88641</v>
      </c>
      <c r="L4677" s="455">
        <f t="shared" ca="1" si="192"/>
        <v>-46789333205664.625</v>
      </c>
      <c r="M4677" s="471">
        <f t="shared" si="194"/>
        <v>0.05</v>
      </c>
      <c r="N4677" s="475">
        <f t="shared" si="195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93"/>
        <v>-46789333205664.625</v>
      </c>
      <c r="J4678" s="455">
        <f t="array" ref="J4678">IFERROR(INDEX('Retirement Calculator'!J:J,MATCH('Isaac 401k'!N4678,'Retirement Calculator'!A:A,0),0),0)</f>
        <v>0</v>
      </c>
      <c r="K4678" s="455">
        <f t="shared" ca="1" si="191"/>
        <v>-194955555023.6026</v>
      </c>
      <c r="L4678" s="455">
        <f t="shared" ca="1" si="192"/>
        <v>-46984288760688.227</v>
      </c>
      <c r="M4678" s="471">
        <f t="shared" si="194"/>
        <v>0.05</v>
      </c>
      <c r="N4678" s="475">
        <f t="shared" si="195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93"/>
        <v>-46984288760688.227</v>
      </c>
      <c r="J4679" s="455">
        <f t="array" ref="J4679">IFERROR(INDEX('Retirement Calculator'!J:J,MATCH('Isaac 401k'!N4679,'Retirement Calculator'!A:A,0),0),0)</f>
        <v>0</v>
      </c>
      <c r="K4679" s="455">
        <f t="shared" ca="1" si="191"/>
        <v>-195767869836.20093</v>
      </c>
      <c r="L4679" s="455">
        <f t="shared" ca="1" si="192"/>
        <v>-47180056630524.43</v>
      </c>
      <c r="M4679" s="471">
        <f t="shared" si="194"/>
        <v>0.05</v>
      </c>
      <c r="N4679" s="475">
        <f t="shared" si="195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93"/>
        <v>-47180056630524.43</v>
      </c>
      <c r="J4680" s="455">
        <f t="array" ref="J4680">IFERROR(INDEX('Retirement Calculator'!J:J,MATCH('Isaac 401k'!N4680,'Retirement Calculator'!A:A,0),0),0)</f>
        <v>0</v>
      </c>
      <c r="K4680" s="455">
        <f t="shared" ca="1" si="191"/>
        <v>-196583569293.85178</v>
      </c>
      <c r="L4680" s="455">
        <f t="shared" ca="1" si="192"/>
        <v>-47376640199818.281</v>
      </c>
      <c r="M4680" s="471">
        <f t="shared" si="194"/>
        <v>0.05</v>
      </c>
      <c r="N4680" s="475">
        <f t="shared" si="195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93"/>
        <v>-47376640199818.281</v>
      </c>
      <c r="J4681" s="455">
        <f t="array" ref="J4681">IFERROR(INDEX('Retirement Calculator'!J:J,MATCH('Isaac 401k'!N4681,'Retirement Calculator'!A:A,0),0),0)</f>
        <v>0</v>
      </c>
      <c r="K4681" s="455">
        <f t="shared" ca="1" si="191"/>
        <v>-197402667499.24283</v>
      </c>
      <c r="L4681" s="455">
        <f t="shared" ca="1" si="192"/>
        <v>-47574042867317.523</v>
      </c>
      <c r="M4681" s="471">
        <f t="shared" si="194"/>
        <v>0.05</v>
      </c>
      <c r="N4681" s="475">
        <f t="shared" si="195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93"/>
        <v>-47574042867317.523</v>
      </c>
      <c r="J4682" s="455">
        <f t="array" ref="J4682">IFERROR(INDEX('Retirement Calculator'!J:J,MATCH('Isaac 401k'!N4682,'Retirement Calculator'!A:A,0),0),0)</f>
        <v>0</v>
      </c>
      <c r="K4682" s="455">
        <f t="shared" ca="1" si="191"/>
        <v>-198225178613.823</v>
      </c>
      <c r="L4682" s="455">
        <f t="shared" ca="1" si="192"/>
        <v>-47772268045931.344</v>
      </c>
      <c r="M4682" s="471">
        <f t="shared" si="194"/>
        <v>0.05</v>
      </c>
      <c r="N4682" s="475">
        <f t="shared" si="195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93"/>
        <v>-47772268045931.344</v>
      </c>
      <c r="J4683" s="455">
        <f t="array" ref="J4683">IFERROR(INDEX('Retirement Calculator'!J:J,MATCH('Isaac 401k'!N4683,'Retirement Calculator'!A:A,0),0),0)</f>
        <v>0</v>
      </c>
      <c r="K4683" s="455">
        <f t="shared" ca="1" si="191"/>
        <v>-199051116858.04727</v>
      </c>
      <c r="L4683" s="455">
        <f t="shared" ca="1" si="192"/>
        <v>-47971319162789.391</v>
      </c>
      <c r="M4683" s="471">
        <f t="shared" si="194"/>
        <v>0.05</v>
      </c>
      <c r="N4683" s="475">
        <f t="shared" si="195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93"/>
        <v>-47971319162789.391</v>
      </c>
      <c r="J4684" s="455">
        <f t="array" ref="J4684">IFERROR(INDEX('Retirement Calculator'!J:J,MATCH('Isaac 401k'!N4684,'Retirement Calculator'!A:A,0),0),0)</f>
        <v>0</v>
      </c>
      <c r="K4684" s="455">
        <f t="shared" ca="1" si="191"/>
        <v>-199880496511.62247</v>
      </c>
      <c r="L4684" s="455">
        <f t="shared" ca="1" si="192"/>
        <v>-48171199659301.016</v>
      </c>
      <c r="M4684" s="471">
        <f t="shared" si="194"/>
        <v>0.05</v>
      </c>
      <c r="N4684" s="475">
        <f t="shared" si="195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93"/>
        <v>-48171199659301.016</v>
      </c>
      <c r="J4685" s="455">
        <f t="array" ref="J4685">IFERROR(INDEX('Retirement Calculator'!J:J,MATCH('Isaac 401k'!N4685,'Retirement Calculator'!A:A,0),0),0)</f>
        <v>0</v>
      </c>
      <c r="K4685" s="455">
        <f t="shared" ca="1" si="191"/>
        <v>-200713331913.75424</v>
      </c>
      <c r="L4685" s="455">
        <f t="shared" ca="1" si="192"/>
        <v>-48371912991214.773</v>
      </c>
      <c r="M4685" s="471">
        <f t="shared" si="194"/>
        <v>0.05</v>
      </c>
      <c r="N4685" s="475">
        <f t="shared" si="195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93"/>
        <v>-48371912991214.773</v>
      </c>
      <c r="J4686" s="455">
        <f t="array" ref="J4686">IFERROR(INDEX('Retirement Calculator'!J:J,MATCH('Isaac 401k'!N4686,'Retirement Calculator'!A:A,0),0),0)</f>
        <v>0</v>
      </c>
      <c r="K4686" s="455">
        <f t="shared" ca="1" si="191"/>
        <v>-201549637463.3949</v>
      </c>
      <c r="L4686" s="455">
        <f t="shared" ca="1" si="192"/>
        <v>-48573462628678.172</v>
      </c>
      <c r="M4686" s="471">
        <f t="shared" si="194"/>
        <v>0.05</v>
      </c>
      <c r="N4686" s="475">
        <f t="shared" si="195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93"/>
        <v>-48573462628678.172</v>
      </c>
      <c r="J4687" s="455">
        <f t="array" ref="J4687">IFERROR(INDEX('Retirement Calculator'!J:J,MATCH('Isaac 401k'!N4687,'Retirement Calculator'!A:A,0),0),0)</f>
        <v>0</v>
      </c>
      <c r="K4687" s="455">
        <f t="shared" ca="1" si="191"/>
        <v>-202389427619.49237</v>
      </c>
      <c r="L4687" s="455">
        <f t="shared" ca="1" si="192"/>
        <v>-48775852056297.664</v>
      </c>
      <c r="M4687" s="471">
        <f t="shared" si="194"/>
        <v>0.05</v>
      </c>
      <c r="N4687" s="475">
        <f t="shared" si="195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93"/>
        <v>-48775852056297.664</v>
      </c>
      <c r="J4688" s="455">
        <f t="array" ref="J4688">IFERROR(INDEX('Retirement Calculator'!J:J,MATCH('Isaac 401k'!N4688,'Retirement Calculator'!A:A,0),0),0)</f>
        <v>0</v>
      </c>
      <c r="K4688" s="455">
        <f t="shared" ca="1" si="191"/>
        <v>-203232716901.24026</v>
      </c>
      <c r="L4688" s="455">
        <f t="shared" ca="1" si="192"/>
        <v>-48979084773198.906</v>
      </c>
      <c r="M4688" s="471">
        <f t="shared" si="194"/>
        <v>0.05</v>
      </c>
      <c r="N4688" s="475">
        <f t="shared" si="195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93"/>
        <v>-48979084773198.906</v>
      </c>
      <c r="J4689" s="455">
        <f t="array" ref="J4689">IFERROR(INDEX('Retirement Calculator'!J:J,MATCH('Isaac 401k'!N4689,'Retirement Calculator'!A:A,0),0),0)</f>
        <v>0</v>
      </c>
      <c r="K4689" s="455">
        <f t="shared" ca="1" si="191"/>
        <v>-204079519888.32877</v>
      </c>
      <c r="L4689" s="455">
        <f t="shared" ca="1" si="192"/>
        <v>-49183164293087.234</v>
      </c>
      <c r="M4689" s="471">
        <f t="shared" si="194"/>
        <v>0.05</v>
      </c>
      <c r="N4689" s="475">
        <f t="shared" si="195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93"/>
        <v>-49183164293087.234</v>
      </c>
      <c r="J4690" s="455">
        <f t="array" ref="J4690">IFERROR(INDEX('Retirement Calculator'!J:J,MATCH('Isaac 401k'!N4690,'Retirement Calculator'!A:A,0),0),0)</f>
        <v>0</v>
      </c>
      <c r="K4690" s="455">
        <f t="shared" ca="1" si="191"/>
        <v>-204929851221.19681</v>
      </c>
      <c r="L4690" s="455">
        <f t="shared" ca="1" si="192"/>
        <v>-49388094144308.43</v>
      </c>
      <c r="M4690" s="471">
        <f t="shared" si="194"/>
        <v>0.05</v>
      </c>
      <c r="N4690" s="475">
        <f t="shared" si="195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93"/>
        <v>-49388094144308.43</v>
      </c>
      <c r="J4691" s="455">
        <f t="array" ref="J4691">IFERROR(INDEX('Retirement Calculator'!J:J,MATCH('Isaac 401k'!N4691,'Retirement Calculator'!A:A,0),0),0)</f>
        <v>0</v>
      </c>
      <c r="K4691" s="455">
        <f t="shared" ca="1" si="191"/>
        <v>-205783725601.28513</v>
      </c>
      <c r="L4691" s="455">
        <f t="shared" ca="1" si="192"/>
        <v>-49593877869909.711</v>
      </c>
      <c r="M4691" s="471">
        <f t="shared" si="194"/>
        <v>0.05</v>
      </c>
      <c r="N4691" s="475">
        <f t="shared" si="195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93"/>
        <v>-49593877869909.711</v>
      </c>
      <c r="J4692" s="455">
        <f t="array" ref="J4692">IFERROR(INDEX('Retirement Calculator'!J:J,MATCH('Isaac 401k'!N4692,'Retirement Calculator'!A:A,0),0),0)</f>
        <v>0</v>
      </c>
      <c r="K4692" s="455">
        <f t="shared" ca="1" si="191"/>
        <v>-206641157791.29047</v>
      </c>
      <c r="L4692" s="455">
        <f t="shared" ca="1" si="192"/>
        <v>-49800519027701</v>
      </c>
      <c r="M4692" s="471">
        <f t="shared" si="194"/>
        <v>0.05</v>
      </c>
      <c r="N4692" s="475">
        <f t="shared" si="195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93"/>
        <v>-49800519027701</v>
      </c>
      <c r="J4693" s="455">
        <f t="array" ref="J4693">IFERROR(INDEX('Retirement Calculator'!J:J,MATCH('Isaac 401k'!N4693,'Retirement Calculator'!A:A,0),0),0)</f>
        <v>0</v>
      </c>
      <c r="K4693" s="455">
        <f t="shared" ca="1" si="191"/>
        <v>-207502162615.42084</v>
      </c>
      <c r="L4693" s="455">
        <f t="shared" ca="1" si="192"/>
        <v>-50008021190316.422</v>
      </c>
      <c r="M4693" s="471">
        <f t="shared" si="194"/>
        <v>0.05</v>
      </c>
      <c r="N4693" s="475">
        <f t="shared" si="195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93"/>
        <v>-50008021190316.422</v>
      </c>
      <c r="J4694" s="455">
        <f t="array" ref="J4694">IFERROR(INDEX('Retirement Calculator'!J:J,MATCH('Isaac 401k'!N4694,'Retirement Calculator'!A:A,0),0),0)</f>
        <v>0</v>
      </c>
      <c r="K4694" s="455">
        <f t="shared" ca="1" si="191"/>
        <v>-208366754959.65176</v>
      </c>
      <c r="L4694" s="455">
        <f t="shared" ca="1" si="192"/>
        <v>-50216387945276.07</v>
      </c>
      <c r="M4694" s="471">
        <f t="shared" si="194"/>
        <v>0.05</v>
      </c>
      <c r="N4694" s="475">
        <f t="shared" si="195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93"/>
        <v>-50216387945276.07</v>
      </c>
      <c r="J4695" s="455">
        <f t="array" ref="J4695">IFERROR(INDEX('Retirement Calculator'!J:J,MATCH('Isaac 401k'!N4695,'Retirement Calculator'!A:A,0),0),0)</f>
        <v>0</v>
      </c>
      <c r="K4695" s="455">
        <f t="shared" ca="1" si="191"/>
        <v>-209234949771.98361</v>
      </c>
      <c r="L4695" s="455">
        <f t="shared" ca="1" si="192"/>
        <v>-50425622895048.055</v>
      </c>
      <c r="M4695" s="471">
        <f t="shared" si="194"/>
        <v>0.05</v>
      </c>
      <c r="N4695" s="475">
        <f t="shared" si="195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93"/>
        <v>-50425622895048.055</v>
      </c>
      <c r="J4696" s="455">
        <f t="array" ref="J4696">IFERROR(INDEX('Retirement Calculator'!J:J,MATCH('Isaac 401k'!N4696,'Retirement Calculator'!A:A,0),0),0)</f>
        <v>0</v>
      </c>
      <c r="K4696" s="455">
        <f t="shared" ca="1" si="191"/>
        <v>-210106762062.70023</v>
      </c>
      <c r="L4696" s="455">
        <f t="shared" ca="1" si="192"/>
        <v>-50635729657110.758</v>
      </c>
      <c r="M4696" s="471">
        <f t="shared" si="194"/>
        <v>0.05</v>
      </c>
      <c r="N4696" s="475">
        <f t="shared" si="195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93"/>
        <v>-50635729657110.758</v>
      </c>
      <c r="J4697" s="455">
        <f t="array" ref="J4697">IFERROR(INDEX('Retirement Calculator'!J:J,MATCH('Isaac 401k'!N4697,'Retirement Calculator'!A:A,0),0),0)</f>
        <v>0</v>
      </c>
      <c r="K4697" s="455">
        <f t="shared" ca="1" si="191"/>
        <v>-210982206904.62814</v>
      </c>
      <c r="L4697" s="455">
        <f t="shared" ca="1" si="192"/>
        <v>-50846711864015.383</v>
      </c>
      <c r="M4697" s="471">
        <f t="shared" si="194"/>
        <v>0.05</v>
      </c>
      <c r="N4697" s="475">
        <f t="shared" si="195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93"/>
        <v>-50846711864015.383</v>
      </c>
      <c r="J4698" s="455">
        <f t="array" ref="J4698">IFERROR(INDEX('Retirement Calculator'!J:J,MATCH('Isaac 401k'!N4698,'Retirement Calculator'!A:A,0),0),0)</f>
        <v>0</v>
      </c>
      <c r="K4698" s="455">
        <f t="shared" ca="1" si="191"/>
        <v>-211861299433.39743</v>
      </c>
      <c r="L4698" s="455">
        <f t="shared" ca="1" si="192"/>
        <v>-51058573163448.781</v>
      </c>
      <c r="M4698" s="471">
        <f t="shared" si="194"/>
        <v>0.05</v>
      </c>
      <c r="N4698" s="475">
        <f t="shared" si="195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93"/>
        <v>-51058573163448.781</v>
      </c>
      <c r="J4699" s="455">
        <f t="array" ref="J4699">IFERROR(INDEX('Retirement Calculator'!J:J,MATCH('Isaac 401k'!N4699,'Retirement Calculator'!A:A,0),0),0)</f>
        <v>0</v>
      </c>
      <c r="K4699" s="455">
        <f t="shared" ca="1" si="191"/>
        <v>-212744054847.70325</v>
      </c>
      <c r="L4699" s="455">
        <f t="shared" ca="1" si="192"/>
        <v>-51271317218296.484</v>
      </c>
      <c r="M4699" s="471">
        <f t="shared" si="194"/>
        <v>0.05</v>
      </c>
      <c r="N4699" s="475">
        <f t="shared" si="195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93"/>
        <v>-51271317218296.484</v>
      </c>
      <c r="J4700" s="455">
        <f t="array" ref="J4700">IFERROR(INDEX('Retirement Calculator'!J:J,MATCH('Isaac 401k'!N4700,'Retirement Calculator'!A:A,0),0),0)</f>
        <v>0</v>
      </c>
      <c r="K4700" s="455">
        <f t="shared" ca="1" si="191"/>
        <v>-213630488409.5687</v>
      </c>
      <c r="L4700" s="455">
        <f t="shared" ca="1" si="192"/>
        <v>-51484947706706.055</v>
      </c>
      <c r="M4700" s="471">
        <f t="shared" si="194"/>
        <v>0.05</v>
      </c>
      <c r="N4700" s="475">
        <f t="shared" si="195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93"/>
        <v>-51484947706706.055</v>
      </c>
      <c r="J4701" s="455">
        <f t="array" ref="J4701">IFERROR(INDEX('Retirement Calculator'!J:J,MATCH('Isaac 401k'!N4701,'Retirement Calculator'!A:A,0),0),0)</f>
        <v>0</v>
      </c>
      <c r="K4701" s="455">
        <f t="shared" ca="1" si="191"/>
        <v>-214520615444.60855</v>
      </c>
      <c r="L4701" s="455">
        <f t="shared" ca="1" si="192"/>
        <v>-51699468322150.664</v>
      </c>
      <c r="M4701" s="471">
        <f t="shared" si="194"/>
        <v>0.05</v>
      </c>
      <c r="N4701" s="475">
        <f t="shared" si="195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93"/>
        <v>-51699468322150.664</v>
      </c>
      <c r="J4702" s="455">
        <f t="array" ref="J4702">IFERROR(INDEX('Retirement Calculator'!J:J,MATCH('Isaac 401k'!N4702,'Retirement Calculator'!A:A,0),0),0)</f>
        <v>0</v>
      </c>
      <c r="K4702" s="455">
        <f t="shared" ca="1" si="191"/>
        <v>-215414451342.29443</v>
      </c>
      <c r="L4702" s="455">
        <f t="shared" ca="1" si="192"/>
        <v>-51914882773492.961</v>
      </c>
      <c r="M4702" s="471">
        <f t="shared" si="194"/>
        <v>0.05</v>
      </c>
      <c r="N4702" s="475">
        <f t="shared" si="195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93"/>
        <v>-51914882773492.961</v>
      </c>
      <c r="J4703" s="455">
        <f t="array" ref="J4703">IFERROR(INDEX('Retirement Calculator'!J:J,MATCH('Isaac 401k'!N4703,'Retirement Calculator'!A:A,0),0),0)</f>
        <v>0</v>
      </c>
      <c r="K4703" s="455">
        <f t="shared" ca="1" si="191"/>
        <v>-216312011556.22067</v>
      </c>
      <c r="L4703" s="455">
        <f t="shared" ca="1" si="192"/>
        <v>-52131194785049.18</v>
      </c>
      <c r="M4703" s="471">
        <f t="shared" si="194"/>
        <v>0.05</v>
      </c>
      <c r="N4703" s="475">
        <f t="shared" si="195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93"/>
        <v>-52131194785049.18</v>
      </c>
      <c r="J4704" s="455">
        <f t="array" ref="J4704">IFERROR(INDEX('Retirement Calculator'!J:J,MATCH('Isaac 401k'!N4704,'Retirement Calculator'!A:A,0),0),0)</f>
        <v>0</v>
      </c>
      <c r="K4704" s="455">
        <f t="shared" ca="1" si="191"/>
        <v>-217213311604.37158</v>
      </c>
      <c r="L4704" s="455">
        <f t="shared" ca="1" si="192"/>
        <v>-52348408096653.555</v>
      </c>
      <c r="M4704" s="471">
        <f t="shared" si="194"/>
        <v>0.05</v>
      </c>
      <c r="N4704" s="475">
        <f t="shared" si="195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93"/>
        <v>-52348408096653.555</v>
      </c>
      <c r="J4705" s="455">
        <f t="array" ref="J4705">IFERROR(INDEX('Retirement Calculator'!J:J,MATCH('Isaac 401k'!N4705,'Retirement Calculator'!A:A,0),0),0)</f>
        <v>0</v>
      </c>
      <c r="K4705" s="455">
        <f t="shared" ca="1" si="191"/>
        <v>-218118367069.3898</v>
      </c>
      <c r="L4705" s="455">
        <f t="shared" ca="1" si="192"/>
        <v>-52566526463722.945</v>
      </c>
      <c r="M4705" s="471">
        <f t="shared" si="194"/>
        <v>0.05</v>
      </c>
      <c r="N4705" s="475">
        <f t="shared" si="195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93"/>
        <v>-52566526463722.945</v>
      </c>
      <c r="J4706" s="455">
        <f t="array" ref="J4706">IFERROR(INDEX('Retirement Calculator'!J:J,MATCH('Isaac 401k'!N4706,'Retirement Calculator'!A:A,0),0),0)</f>
        <v>0</v>
      </c>
      <c r="K4706" s="455">
        <f t="shared" ca="1" si="191"/>
        <v>-219027193598.84561</v>
      </c>
      <c r="L4706" s="455">
        <f t="shared" ca="1" si="192"/>
        <v>-52785553657321.789</v>
      </c>
      <c r="M4706" s="471">
        <f t="shared" si="194"/>
        <v>0.05</v>
      </c>
      <c r="N4706" s="475">
        <f t="shared" si="195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93"/>
        <v>-52785553657321.789</v>
      </c>
      <c r="J4707" s="455">
        <f t="array" ref="J4707">IFERROR(INDEX('Retirement Calculator'!J:J,MATCH('Isaac 401k'!N4707,'Retirement Calculator'!A:A,0),0),0)</f>
        <v>0</v>
      </c>
      <c r="K4707" s="455">
        <f t="shared" ca="1" si="191"/>
        <v>-219939806905.50745</v>
      </c>
      <c r="L4707" s="455">
        <f t="shared" ca="1" si="192"/>
        <v>-53005493464227.297</v>
      </c>
      <c r="M4707" s="471">
        <f t="shared" si="194"/>
        <v>0.05</v>
      </c>
      <c r="N4707" s="475">
        <f t="shared" si="195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93"/>
        <v>-53005493464227.297</v>
      </c>
      <c r="J4708" s="455">
        <f t="array" ref="J4708">IFERROR(INDEX('Retirement Calculator'!J:J,MATCH('Isaac 401k'!N4708,'Retirement Calculator'!A:A,0),0),0)</f>
        <v>0</v>
      </c>
      <c r="K4708" s="455">
        <f t="shared" ca="1" si="191"/>
        <v>-220856222767.61374</v>
      </c>
      <c r="L4708" s="455">
        <f t="shared" ca="1" si="192"/>
        <v>-53226349686994.914</v>
      </c>
      <c r="M4708" s="471">
        <f t="shared" si="194"/>
        <v>0.05</v>
      </c>
      <c r="N4708" s="475">
        <f t="shared" si="195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93"/>
        <v>-53226349686994.914</v>
      </c>
      <c r="J4709" s="455">
        <f t="array" ref="J4709">IFERROR(INDEX('Retirement Calculator'!J:J,MATCH('Isaac 401k'!N4709,'Retirement Calculator'!A:A,0),0),0)</f>
        <v>0</v>
      </c>
      <c r="K4709" s="455">
        <f t="shared" ca="1" si="191"/>
        <v>-221776457029.14548</v>
      </c>
      <c r="L4709" s="455">
        <f t="shared" ca="1" si="192"/>
        <v>-53448126144024.063</v>
      </c>
      <c r="M4709" s="471">
        <f t="shared" si="194"/>
        <v>0.05</v>
      </c>
      <c r="N4709" s="475">
        <f t="shared" si="195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93"/>
        <v>-53448126144024.063</v>
      </c>
      <c r="J4710" s="455">
        <f t="array" ref="J4710">IFERROR(INDEX('Retirement Calculator'!J:J,MATCH('Isaac 401k'!N4710,'Retirement Calculator'!A:A,0),0),0)</f>
        <v>0</v>
      </c>
      <c r="K4710" s="455">
        <f t="shared" ca="1" si="191"/>
        <v>-222700525600.10025</v>
      </c>
      <c r="L4710" s="455">
        <f t="shared" ca="1" si="192"/>
        <v>-53670826669624.164</v>
      </c>
      <c r="M4710" s="471">
        <f t="shared" si="194"/>
        <v>0.05</v>
      </c>
      <c r="N4710" s="475">
        <f t="shared" si="195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93"/>
        <v>-53670826669624.164</v>
      </c>
      <c r="J4711" s="455">
        <f t="array" ref="J4711">IFERROR(INDEX('Retirement Calculator'!J:J,MATCH('Isaac 401k'!N4711,'Retirement Calculator'!A:A,0),0),0)</f>
        <v>0</v>
      </c>
      <c r="K4711" s="455">
        <f t="shared" ca="1" si="191"/>
        <v>-223628444456.76733</v>
      </c>
      <c r="L4711" s="455">
        <f t="shared" ca="1" si="192"/>
        <v>-53894455114080.93</v>
      </c>
      <c r="M4711" s="471">
        <f t="shared" si="194"/>
        <v>0.05</v>
      </c>
      <c r="N4711" s="475">
        <f t="shared" si="195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93"/>
        <v>-53894455114080.93</v>
      </c>
      <c r="J4712" s="455">
        <f t="array" ref="J4712">IFERROR(INDEX('Retirement Calculator'!J:J,MATCH('Isaac 401k'!N4712,'Retirement Calculator'!A:A,0),0),0)</f>
        <v>0</v>
      </c>
      <c r="K4712" s="455">
        <f t="shared" ca="1" si="191"/>
        <v>-224560229642.00388</v>
      </c>
      <c r="L4712" s="455">
        <f t="shared" ca="1" si="192"/>
        <v>-54119015343722.93</v>
      </c>
      <c r="M4712" s="471">
        <f t="shared" si="194"/>
        <v>0.05</v>
      </c>
      <c r="N4712" s="475">
        <f t="shared" si="195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93"/>
        <v>-54119015343722.93</v>
      </c>
      <c r="J4713" s="455">
        <f t="array" ref="J4713">IFERROR(INDEX('Retirement Calculator'!J:J,MATCH('Isaac 401k'!N4713,'Retirement Calculator'!A:A,0),0),0)</f>
        <v>0</v>
      </c>
      <c r="K4713" s="455">
        <f t="shared" ca="1" si="191"/>
        <v>-225495897265.51221</v>
      </c>
      <c r="L4713" s="455">
        <f t="shared" ca="1" si="192"/>
        <v>-54344511240988.445</v>
      </c>
      <c r="M4713" s="471">
        <f t="shared" si="194"/>
        <v>0.05</v>
      </c>
      <c r="N4713" s="475">
        <f t="shared" si="195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93"/>
        <v>-54344511240988.445</v>
      </c>
      <c r="J4714" s="455">
        <f t="array" ref="J4714">IFERROR(INDEX('Retirement Calculator'!J:J,MATCH('Isaac 401k'!N4714,'Retirement Calculator'!A:A,0),0),0)</f>
        <v>0</v>
      </c>
      <c r="K4714" s="455">
        <f t="shared" ca="1" si="191"/>
        <v>-226435463504.11853</v>
      </c>
      <c r="L4714" s="455">
        <f t="shared" ca="1" si="192"/>
        <v>-54570946704492.563</v>
      </c>
      <c r="M4714" s="471">
        <f t="shared" si="194"/>
        <v>0.05</v>
      </c>
      <c r="N4714" s="475">
        <f t="shared" si="195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93"/>
        <v>-54570946704492.563</v>
      </c>
      <c r="J4715" s="455">
        <f t="array" ref="J4715">IFERROR(INDEX('Retirement Calculator'!J:J,MATCH('Isaac 401k'!N4715,'Retirement Calculator'!A:A,0),0),0)</f>
        <v>0</v>
      </c>
      <c r="K4715" s="455">
        <f t="shared" ca="1" si="191"/>
        <v>-227378944602.05234</v>
      </c>
      <c r="L4715" s="455">
        <f t="shared" ca="1" si="192"/>
        <v>-54798325649094.617</v>
      </c>
      <c r="M4715" s="471">
        <f t="shared" si="194"/>
        <v>0.05</v>
      </c>
      <c r="N4715" s="475">
        <f t="shared" si="195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93"/>
        <v>-54798325649094.617</v>
      </c>
      <c r="J4716" s="455">
        <f t="array" ref="J4716">IFERROR(INDEX('Retirement Calculator'!J:J,MATCH('Isaac 401k'!N4716,'Retirement Calculator'!A:A,0),0),0)</f>
        <v>0</v>
      </c>
      <c r="K4716" s="455">
        <f t="shared" ca="1" si="191"/>
        <v>-228326356871.22757</v>
      </c>
      <c r="L4716" s="455">
        <f t="shared" ca="1" si="192"/>
        <v>-55026652005965.844</v>
      </c>
      <c r="M4716" s="471">
        <f t="shared" si="194"/>
        <v>0.05</v>
      </c>
      <c r="N4716" s="475">
        <f t="shared" si="195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93"/>
        <v>-55026652005965.844</v>
      </c>
      <c r="J4717" s="455">
        <f t="array" ref="J4717">IFERROR(INDEX('Retirement Calculator'!J:J,MATCH('Isaac 401k'!N4717,'Retirement Calculator'!A:A,0),0),0)</f>
        <v>0</v>
      </c>
      <c r="K4717" s="455">
        <f t="shared" ca="1" si="191"/>
        <v>-229277716691.52438</v>
      </c>
      <c r="L4717" s="455">
        <f t="shared" ca="1" si="192"/>
        <v>-55255929722657.367</v>
      </c>
      <c r="M4717" s="471">
        <f t="shared" si="194"/>
        <v>0.05</v>
      </c>
      <c r="N4717" s="475">
        <f t="shared" si="195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93"/>
        <v>-55255929722657.367</v>
      </c>
      <c r="J4718" s="455">
        <f t="array" ref="J4718">IFERROR(INDEX('Retirement Calculator'!J:J,MATCH('Isaac 401k'!N4718,'Retirement Calculator'!A:A,0),0),0)</f>
        <v>0</v>
      </c>
      <c r="K4718" s="455">
        <f t="shared" ca="1" si="191"/>
        <v>-230233040511.07236</v>
      </c>
      <c r="L4718" s="455">
        <f t="shared" ca="1" si="192"/>
        <v>-55486162763168.438</v>
      </c>
      <c r="M4718" s="471">
        <f t="shared" si="194"/>
        <v>0.05</v>
      </c>
      <c r="N4718" s="475">
        <f t="shared" si="195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93"/>
        <v>-55486162763168.438</v>
      </c>
      <c r="J4719" s="455">
        <f t="array" ref="J4719">IFERROR(INDEX('Retirement Calculator'!J:J,MATCH('Isaac 401k'!N4719,'Retirement Calculator'!A:A,0),0),0)</f>
        <v>0</v>
      </c>
      <c r="K4719" s="455">
        <f t="shared" ca="1" si="191"/>
        <v>-231192344846.53513</v>
      </c>
      <c r="L4719" s="455">
        <f t="shared" ca="1" si="192"/>
        <v>-55717355108014.969</v>
      </c>
      <c r="M4719" s="471">
        <f t="shared" si="194"/>
        <v>0.05</v>
      </c>
      <c r="N4719" s="475">
        <f t="shared" si="195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93"/>
        <v>-55717355108014.969</v>
      </c>
      <c r="J4720" s="455">
        <f t="array" ref="J4720">IFERROR(INDEX('Retirement Calculator'!J:J,MATCH('Isaac 401k'!N4720,'Retirement Calculator'!A:A,0),0),0)</f>
        <v>0</v>
      </c>
      <c r="K4720" s="455">
        <f t="shared" ca="1" si="191"/>
        <v>-232155646283.39572</v>
      </c>
      <c r="L4720" s="455">
        <f t="shared" ca="1" si="192"/>
        <v>-55949510754298.367</v>
      </c>
      <c r="M4720" s="471">
        <f t="shared" si="194"/>
        <v>0.05</v>
      </c>
      <c r="N4720" s="475">
        <f t="shared" si="195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93"/>
        <v>-55949510754298.367</v>
      </c>
      <c r="J4721" s="455">
        <f t="array" ref="J4721">IFERROR(INDEX('Retirement Calculator'!J:J,MATCH('Isaac 401k'!N4721,'Retirement Calculator'!A:A,0),0),0)</f>
        <v>0</v>
      </c>
      <c r="K4721" s="455">
        <f t="shared" ca="1" si="191"/>
        <v>-233122961476.24323</v>
      </c>
      <c r="L4721" s="455">
        <f t="shared" ca="1" si="192"/>
        <v>-56182633715774.609</v>
      </c>
      <c r="M4721" s="471">
        <f t="shared" si="194"/>
        <v>0.05</v>
      </c>
      <c r="N4721" s="475">
        <f t="shared" si="195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93"/>
        <v>-56182633715774.609</v>
      </c>
      <c r="J4722" s="455">
        <f t="array" ref="J4722">IFERROR(INDEX('Retirement Calculator'!J:J,MATCH('Isaac 401k'!N4722,'Retirement Calculator'!A:A,0),0),0)</f>
        <v>0</v>
      </c>
      <c r="K4722" s="455">
        <f t="shared" ca="1" si="191"/>
        <v>-234094307149.06082</v>
      </c>
      <c r="L4722" s="455">
        <f t="shared" ca="1" si="192"/>
        <v>-56416728022923.672</v>
      </c>
      <c r="M4722" s="471">
        <f t="shared" si="194"/>
        <v>0.05</v>
      </c>
      <c r="N4722" s="475">
        <f t="shared" si="195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93"/>
        <v>-56416728022923.672</v>
      </c>
      <c r="J4723" s="455">
        <f t="array" ref="J4723">IFERROR(INDEX('Retirement Calculator'!J:J,MATCH('Isaac 401k'!N4723,'Retirement Calculator'!A:A,0),0),0)</f>
        <v>0</v>
      </c>
      <c r="K4723" s="455">
        <f t="shared" ca="1" si="191"/>
        <v>-235069700095.51529</v>
      </c>
      <c r="L4723" s="455">
        <f t="shared" ca="1" si="192"/>
        <v>-56651797723019.188</v>
      </c>
      <c r="M4723" s="471">
        <f t="shared" si="194"/>
        <v>0.05</v>
      </c>
      <c r="N4723" s="475">
        <f t="shared" si="195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93"/>
        <v>-56651797723019.188</v>
      </c>
      <c r="J4724" s="455">
        <f t="array" ref="J4724">IFERROR(INDEX('Retirement Calculator'!J:J,MATCH('Isaac 401k'!N4724,'Retirement Calculator'!A:A,0),0),0)</f>
        <v>0</v>
      </c>
      <c r="K4724" s="455">
        <f t="shared" ca="1" si="191"/>
        <v>-236049157179.24661</v>
      </c>
      <c r="L4724" s="455">
        <f t="shared" ca="1" si="192"/>
        <v>-56887846880198.438</v>
      </c>
      <c r="M4724" s="471">
        <f t="shared" si="194"/>
        <v>0.05</v>
      </c>
      <c r="N4724" s="475">
        <f t="shared" si="195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93"/>
        <v>-56887846880198.438</v>
      </c>
      <c r="J4725" s="455">
        <f t="array" ref="J4725">IFERROR(INDEX('Retirement Calculator'!J:J,MATCH('Isaac 401k'!N4725,'Retirement Calculator'!A:A,0),0),0)</f>
        <v>0</v>
      </c>
      <c r="K4725" s="455">
        <f t="shared" ca="1" si="191"/>
        <v>-237032695334.16019</v>
      </c>
      <c r="L4725" s="455">
        <f t="shared" ca="1" si="192"/>
        <v>-57124879575532.602</v>
      </c>
      <c r="M4725" s="471">
        <f t="shared" si="194"/>
        <v>0.05</v>
      </c>
      <c r="N4725" s="475">
        <f t="shared" si="195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93"/>
        <v>-57124879575532.602</v>
      </c>
      <c r="J4726" s="455">
        <f t="array" ref="J4726">IFERROR(INDEX('Retirement Calculator'!J:J,MATCH('Isaac 401k'!N4726,'Retirement Calculator'!A:A,0),0),0)</f>
        <v>0</v>
      </c>
      <c r="K4726" s="455">
        <f t="shared" ca="1" si="191"/>
        <v>-238020331564.71921</v>
      </c>
      <c r="L4726" s="455">
        <f t="shared" ca="1" si="192"/>
        <v>-57362899907097.32</v>
      </c>
      <c r="M4726" s="471">
        <f t="shared" si="194"/>
        <v>0.05</v>
      </c>
      <c r="N4726" s="475">
        <f t="shared" si="195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93"/>
        <v>-57362899907097.32</v>
      </c>
      <c r="J4727" s="455">
        <f t="array" ref="J4727">IFERROR(INDEX('Retirement Calculator'!J:J,MATCH('Isaac 401k'!N4727,'Retirement Calculator'!A:A,0),0),0)</f>
        <v>0</v>
      </c>
      <c r="K4727" s="455">
        <f t="shared" ca="1" si="191"/>
        <v>-239012082946.23883</v>
      </c>
      <c r="L4727" s="455">
        <f t="shared" ca="1" si="192"/>
        <v>-57601911990043.563</v>
      </c>
      <c r="M4727" s="471">
        <f t="shared" si="194"/>
        <v>0.05</v>
      </c>
      <c r="N4727" s="475">
        <f t="shared" si="195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93"/>
        <v>-57601911990043.563</v>
      </c>
      <c r="J4728" s="455">
        <f t="array" ref="J4728">IFERROR(INDEX('Retirement Calculator'!J:J,MATCH('Isaac 401k'!N4728,'Retirement Calculator'!A:A,0),0),0)</f>
        <v>0</v>
      </c>
      <c r="K4728" s="455">
        <f t="shared" ca="1" si="191"/>
        <v>-240007966625.18152</v>
      </c>
      <c r="L4728" s="455">
        <f t="shared" ca="1" si="192"/>
        <v>-57841919956668.742</v>
      </c>
      <c r="M4728" s="471">
        <f t="shared" si="194"/>
        <v>0.05</v>
      </c>
      <c r="N4728" s="475">
        <f t="shared" si="195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93"/>
        <v>-57841919956668.742</v>
      </c>
      <c r="J4729" s="455">
        <f t="array" ref="J4729">IFERROR(INDEX('Retirement Calculator'!J:J,MATCH('Isaac 401k'!N4729,'Retirement Calculator'!A:A,0),0),0)</f>
        <v>0</v>
      </c>
      <c r="K4729" s="455">
        <f t="shared" ca="1" si="191"/>
        <v>-241007999819.45309</v>
      </c>
      <c r="L4729" s="455">
        <f t="shared" ca="1" si="192"/>
        <v>-58082927956488.195</v>
      </c>
      <c r="M4729" s="471">
        <f t="shared" si="194"/>
        <v>0.05</v>
      </c>
      <c r="N4729" s="475">
        <f t="shared" si="195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93"/>
        <v>-58082927956488.195</v>
      </c>
      <c r="J4730" s="455">
        <f t="array" ref="J4730">IFERROR(INDEX('Retirement Calculator'!J:J,MATCH('Isaac 401k'!N4730,'Retirement Calculator'!A:A,0),0),0)</f>
        <v>0</v>
      </c>
      <c r="K4730" s="455">
        <f t="shared" ca="1" si="191"/>
        <v>-242012199818.70081</v>
      </c>
      <c r="L4730" s="455">
        <f t="shared" ca="1" si="192"/>
        <v>-58324940156306.898</v>
      </c>
      <c r="M4730" s="471">
        <f t="shared" si="194"/>
        <v>0.05</v>
      </c>
      <c r="N4730" s="475">
        <f t="shared" si="195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93"/>
        <v>-58324940156306.898</v>
      </c>
      <c r="J4731" s="455">
        <f t="array" ref="J4731">IFERROR(INDEX('Retirement Calculator'!J:J,MATCH('Isaac 401k'!N4731,'Retirement Calculator'!A:A,0),0),0)</f>
        <v>0</v>
      </c>
      <c r="K4731" s="455">
        <f t="shared" ca="1" si="191"/>
        <v>-243020583984.61206</v>
      </c>
      <c r="L4731" s="455">
        <f t="shared" ca="1" si="192"/>
        <v>-58567960740291.508</v>
      </c>
      <c r="M4731" s="471">
        <f t="shared" si="194"/>
        <v>0.05</v>
      </c>
      <c r="N4731" s="475">
        <f t="shared" si="195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93"/>
        <v>-58567960740291.508</v>
      </c>
      <c r="J4732" s="455">
        <f t="array" ref="J4732">IFERROR(INDEX('Retirement Calculator'!J:J,MATCH('Isaac 401k'!N4732,'Retirement Calculator'!A:A,0),0),0)</f>
        <v>0</v>
      </c>
      <c r="K4732" s="455">
        <f t="shared" ca="1" si="191"/>
        <v>-244033169751.21463</v>
      </c>
      <c r="L4732" s="455">
        <f t="shared" ca="1" si="192"/>
        <v>-58811993910042.719</v>
      </c>
      <c r="M4732" s="471">
        <f t="shared" si="194"/>
        <v>0.05</v>
      </c>
      <c r="N4732" s="475">
        <f t="shared" si="195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93"/>
        <v>-58811993910042.719</v>
      </c>
      <c r="J4733" s="455">
        <f t="array" ref="J4733">IFERROR(INDEX('Retirement Calculator'!J:J,MATCH('Isaac 401k'!N4733,'Retirement Calculator'!A:A,0),0),0)</f>
        <v>0</v>
      </c>
      <c r="K4733" s="455">
        <f t="shared" ca="1" si="191"/>
        <v>-245049974625.17798</v>
      </c>
      <c r="L4733" s="455">
        <f t="shared" ca="1" si="192"/>
        <v>-59057043884667.898</v>
      </c>
      <c r="M4733" s="471">
        <f t="shared" si="194"/>
        <v>0.05</v>
      </c>
      <c r="N4733" s="475">
        <f t="shared" si="195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93"/>
        <v>-59057043884667.898</v>
      </c>
      <c r="J4734" s="455">
        <f t="array" ref="J4734">IFERROR(INDEX('Retirement Calculator'!J:J,MATCH('Isaac 401k'!N4734,'Retirement Calculator'!A:A,0),0),0)</f>
        <v>0</v>
      </c>
      <c r="K4734" s="455">
        <f t="shared" ca="1" si="191"/>
        <v>-246071016186.11624</v>
      </c>
      <c r="L4734" s="455">
        <f t="shared" ca="1" si="192"/>
        <v>-59303114900854.016</v>
      </c>
      <c r="M4734" s="471">
        <f t="shared" si="194"/>
        <v>0.05</v>
      </c>
      <c r="N4734" s="475">
        <f t="shared" si="195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93"/>
        <v>-59303114900854.016</v>
      </c>
      <c r="J4735" s="455">
        <f t="array" ref="J4735">IFERROR(INDEX('Retirement Calculator'!J:J,MATCH('Isaac 401k'!N4735,'Retirement Calculator'!A:A,0),0),0)</f>
        <v>0</v>
      </c>
      <c r="K4735" s="455">
        <f t="shared" ca="1" si="191"/>
        <v>-247096312086.89169</v>
      </c>
      <c r="L4735" s="455">
        <f t="shared" ca="1" si="192"/>
        <v>-59550211212940.906</v>
      </c>
      <c r="M4735" s="471">
        <f t="shared" si="194"/>
        <v>0.05</v>
      </c>
      <c r="N4735" s="475">
        <f t="shared" si="195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93"/>
        <v>-59550211212940.906</v>
      </c>
      <c r="J4736" s="455">
        <f t="array" ref="J4736">IFERROR(INDEX('Retirement Calculator'!J:J,MATCH('Isaac 401k'!N4736,'Retirement Calculator'!A:A,0),0),0)</f>
        <v>0</v>
      </c>
      <c r="K4736" s="455">
        <f t="shared" ca="1" si="191"/>
        <v>-248125880053.92044</v>
      </c>
      <c r="L4736" s="455">
        <f t="shared" ca="1" si="192"/>
        <v>-59798337092994.828</v>
      </c>
      <c r="M4736" s="471">
        <f t="shared" si="194"/>
        <v>0.05</v>
      </c>
      <c r="N4736" s="475">
        <f t="shared" si="195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93"/>
        <v>-59798337092994.828</v>
      </c>
      <c r="J4737" s="455">
        <f t="array" ref="J4737">IFERROR(INDEX('Retirement Calculator'!J:J,MATCH('Isaac 401k'!N4737,'Retirement Calculator'!A:A,0),0),0)</f>
        <v>0</v>
      </c>
      <c r="K4737" s="455">
        <f t="shared" ca="1" si="191"/>
        <v>-249159737887.47845</v>
      </c>
      <c r="L4737" s="455">
        <f t="shared" ca="1" si="192"/>
        <v>-60047496830882.305</v>
      </c>
      <c r="M4737" s="471">
        <f t="shared" si="194"/>
        <v>0.05</v>
      </c>
      <c r="N4737" s="475">
        <f t="shared" si="195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93"/>
        <v>-60047496830882.305</v>
      </c>
      <c r="J4738" s="455">
        <f t="array" ref="J4738">IFERROR(INDEX('Retirement Calculator'!J:J,MATCH('Isaac 401k'!N4738,'Retirement Calculator'!A:A,0),0),0)</f>
        <v>0</v>
      </c>
      <c r="K4738" s="455">
        <f t="shared" ca="1" si="191"/>
        <v>-250197903462.00961</v>
      </c>
      <c r="L4738" s="455">
        <f t="shared" ca="1" si="192"/>
        <v>-60297694734344.313</v>
      </c>
      <c r="M4738" s="471">
        <f t="shared" si="194"/>
        <v>0.05</v>
      </c>
      <c r="N4738" s="475">
        <f t="shared" si="195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93"/>
        <v>-60297694734344.313</v>
      </c>
      <c r="J4739" s="455">
        <f t="array" ref="J4739">IFERROR(INDEX('Retirement Calculator'!J:J,MATCH('Isaac 401k'!N4739,'Retirement Calculator'!A:A,0),0),0)</f>
        <v>0</v>
      </c>
      <c r="K4739" s="455">
        <f t="shared" ca="1" si="191"/>
        <v>-251240394726.43463</v>
      </c>
      <c r="L4739" s="455">
        <f t="shared" ca="1" si="192"/>
        <v>-60548935129070.75</v>
      </c>
      <c r="M4739" s="471">
        <f t="shared" si="194"/>
        <v>0.05</v>
      </c>
      <c r="N4739" s="475">
        <f t="shared" si="195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93"/>
        <v>-60548935129070.75</v>
      </c>
      <c r="J4740" s="455">
        <f t="array" ref="J4740">IFERROR(INDEX('Retirement Calculator'!J:J,MATCH('Isaac 401k'!N4740,'Retirement Calculator'!A:A,0),0),0)</f>
        <v>0</v>
      </c>
      <c r="K4740" s="455">
        <f t="shared" ca="1" si="191"/>
        <v>-252287229704.46146</v>
      </c>
      <c r="L4740" s="455">
        <f t="shared" ca="1" si="192"/>
        <v>-60801222358775.211</v>
      </c>
      <c r="M4740" s="471">
        <f t="shared" si="194"/>
        <v>0.05</v>
      </c>
      <c r="N4740" s="475">
        <f t="shared" si="195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93"/>
        <v>-60801222358775.211</v>
      </c>
      <c r="J4741" s="455">
        <f t="array" ref="J4741">IFERROR(INDEX('Retirement Calculator'!J:J,MATCH('Isaac 401k'!N4741,'Retirement Calculator'!A:A,0),0),0)</f>
        <v>0</v>
      </c>
      <c r="K4741" s="455">
        <f t="shared" ca="1" si="191"/>
        <v>-253338426494.8967</v>
      </c>
      <c r="L4741" s="455">
        <f t="shared" ca="1" si="192"/>
        <v>-61054560785270.109</v>
      </c>
      <c r="M4741" s="471">
        <f t="shared" si="194"/>
        <v>0.05</v>
      </c>
      <c r="N4741" s="475">
        <f t="shared" si="195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93"/>
        <v>-61054560785270.109</v>
      </c>
      <c r="J4742" s="455">
        <f t="array" ref="J4742">IFERROR(INDEX('Retirement Calculator'!J:J,MATCH('Isaac 401k'!N4742,'Retirement Calculator'!A:A,0),0),0)</f>
        <v>0</v>
      </c>
      <c r="K4742" s="455">
        <f t="shared" ca="1" si="191"/>
        <v>-254394003271.95874</v>
      </c>
      <c r="L4742" s="455">
        <f t="shared" ca="1" si="192"/>
        <v>-61308954788542.07</v>
      </c>
      <c r="M4742" s="471">
        <f t="shared" si="194"/>
        <v>0.05</v>
      </c>
      <c r="N4742" s="475">
        <f t="shared" si="195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93"/>
        <v>-61308954788542.07</v>
      </c>
      <c r="J4743" s="455">
        <f t="array" ref="J4743">IFERROR(INDEX('Retirement Calculator'!J:J,MATCH('Isaac 401k'!N4743,'Retirement Calculator'!A:A,0),0),0)</f>
        <v>0</v>
      </c>
      <c r="K4743" s="455">
        <f t="shared" ca="1" si="191"/>
        <v>-255453978285.59195</v>
      </c>
      <c r="L4743" s="455">
        <f t="shared" ca="1" si="192"/>
        <v>-61564408766827.664</v>
      </c>
      <c r="M4743" s="471">
        <f t="shared" si="194"/>
        <v>0.05</v>
      </c>
      <c r="N4743" s="475">
        <f t="shared" si="195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93"/>
        <v>-61564408766827.664</v>
      </c>
      <c r="J4744" s="455">
        <f t="array" ref="J4744">IFERROR(INDEX('Retirement Calculator'!J:J,MATCH('Isaac 401k'!N4744,'Retirement Calculator'!A:A,0),0),0)</f>
        <v>0</v>
      </c>
      <c r="K4744" s="455">
        <f t="shared" ca="1" si="191"/>
        <v>-256518369861.78195</v>
      </c>
      <c r="L4744" s="455">
        <f t="shared" ca="1" si="192"/>
        <v>-61820927136689.445</v>
      </c>
      <c r="M4744" s="471">
        <f t="shared" si="194"/>
        <v>0.05</v>
      </c>
      <c r="N4744" s="475">
        <f t="shared" si="195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93"/>
        <v>-61820927136689.445</v>
      </c>
      <c r="J4745" s="455">
        <f t="array" ref="J4745">IFERROR(INDEX('Retirement Calculator'!J:J,MATCH('Isaac 401k'!N4745,'Retirement Calculator'!A:A,0),0),0)</f>
        <v>0</v>
      </c>
      <c r="K4745" s="455">
        <f t="shared" ca="1" si="191"/>
        <v>-257587196402.87268</v>
      </c>
      <c r="L4745" s="455">
        <f t="shared" ca="1" si="192"/>
        <v>-62078514333092.32</v>
      </c>
      <c r="M4745" s="471">
        <f t="shared" si="194"/>
        <v>0.05</v>
      </c>
      <c r="N4745" s="475">
        <f t="shared" si="195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93"/>
        <v>-62078514333092.32</v>
      </c>
      <c r="J4746" s="455">
        <f t="array" ref="J4746">IFERROR(INDEX('Retirement Calculator'!J:J,MATCH('Isaac 401k'!N4746,'Retirement Calculator'!A:A,0),0),0)</f>
        <v>0</v>
      </c>
      <c r="K4746" s="455">
        <f t="shared" ca="1" si="191"/>
        <v>-258660476387.8847</v>
      </c>
      <c r="L4746" s="455">
        <f t="shared" ca="1" si="192"/>
        <v>-62337174809480.203</v>
      </c>
      <c r="M4746" s="471">
        <f t="shared" si="194"/>
        <v>0.05</v>
      </c>
      <c r="N4746" s="475">
        <f t="shared" si="195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93"/>
        <v>-62337174809480.203</v>
      </c>
      <c r="J4747" s="455">
        <f t="array" ref="J4747">IFERROR(INDEX('Retirement Calculator'!J:J,MATCH('Isaac 401k'!N4747,'Retirement Calculator'!A:A,0),0),0)</f>
        <v>0</v>
      </c>
      <c r="K4747" s="455">
        <f t="shared" ca="1" si="191"/>
        <v>-259738228372.8342</v>
      </c>
      <c r="L4747" s="455">
        <f t="shared" ca="1" si="192"/>
        <v>-62596913037853.039</v>
      </c>
      <c r="M4747" s="471">
        <f t="shared" si="194"/>
        <v>0.05</v>
      </c>
      <c r="N4747" s="475">
        <f t="shared" si="195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93"/>
        <v>-62596913037853.039</v>
      </c>
      <c r="J4748" s="455">
        <f t="array" ref="J4748">IFERROR(INDEX('Retirement Calculator'!J:J,MATCH('Isaac 401k'!N4748,'Retirement Calculator'!A:A,0),0),0)</f>
        <v>0</v>
      </c>
      <c r="K4748" s="455">
        <f t="shared" ca="1" si="191"/>
        <v>-260820470991.05432</v>
      </c>
      <c r="L4748" s="455">
        <f t="shared" ca="1" si="192"/>
        <v>-62857733508844.094</v>
      </c>
      <c r="M4748" s="471">
        <f t="shared" si="194"/>
        <v>0.05</v>
      </c>
      <c r="N4748" s="475">
        <f t="shared" si="195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93"/>
        <v>-62857733508844.094</v>
      </c>
      <c r="J4749" s="455">
        <f t="array" ref="J4749">IFERROR(INDEX('Retirement Calculator'!J:J,MATCH('Isaac 401k'!N4749,'Retirement Calculator'!A:A,0),0),0)</f>
        <v>0</v>
      </c>
      <c r="K4749" s="455">
        <f t="shared" ca="1" si="191"/>
        <v>-261907222953.51706</v>
      </c>
      <c r="L4749" s="455">
        <f t="shared" ca="1" si="192"/>
        <v>-63119640731797.609</v>
      </c>
      <c r="M4749" s="471">
        <f t="shared" si="194"/>
        <v>0.05</v>
      </c>
      <c r="N4749" s="475">
        <f t="shared" si="195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93"/>
        <v>-63119640731797.609</v>
      </c>
      <c r="J4750" s="455">
        <f t="array" ref="J4750">IFERROR(INDEX('Retirement Calculator'!J:J,MATCH('Isaac 401k'!N4750,'Retirement Calculator'!A:A,0),0),0)</f>
        <v>0</v>
      </c>
      <c r="K4750" s="455">
        <f t="shared" ca="1" si="191"/>
        <v>-262998503049.15671</v>
      </c>
      <c r="L4750" s="455">
        <f t="shared" ca="1" si="192"/>
        <v>-63382639234846.766</v>
      </c>
      <c r="M4750" s="471">
        <f t="shared" si="194"/>
        <v>0.05</v>
      </c>
      <c r="N4750" s="475">
        <f t="shared" si="195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93"/>
        <v>-63382639234846.766</v>
      </c>
      <c r="J4751" s="455">
        <f t="array" ref="J4751">IFERROR(INDEX('Retirement Calculator'!J:J,MATCH('Isaac 401k'!N4751,'Retirement Calculator'!A:A,0),0),0)</f>
        <v>0</v>
      </c>
      <c r="K4751" s="455">
        <f t="shared" ca="1" si="191"/>
        <v>-264094330145.19489</v>
      </c>
      <c r="L4751" s="455">
        <f t="shared" ca="1" si="192"/>
        <v>-63646733564991.961</v>
      </c>
      <c r="M4751" s="471">
        <f t="shared" si="194"/>
        <v>0.05</v>
      </c>
      <c r="N4751" s="475">
        <f t="shared" si="195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93"/>
        <v>-63646733564991.961</v>
      </c>
      <c r="J4752" s="455">
        <f t="array" ref="J4752">IFERROR(INDEX('Retirement Calculator'!J:J,MATCH('Isaac 401k'!N4752,'Retirement Calculator'!A:A,0),0),0)</f>
        <v>0</v>
      </c>
      <c r="K4752" s="455">
        <f t="shared" ca="1" si="191"/>
        <v>-265194723187.46649</v>
      </c>
      <c r="L4752" s="455">
        <f t="shared" ca="1" si="192"/>
        <v>-63911928288179.43</v>
      </c>
      <c r="M4752" s="471">
        <f t="shared" si="194"/>
        <v>0.05</v>
      </c>
      <c r="N4752" s="475">
        <f t="shared" si="195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93"/>
        <v>-63911928288179.43</v>
      </c>
      <c r="J4753" s="455">
        <f t="array" ref="J4753">IFERROR(INDEX('Retirement Calculator'!J:J,MATCH('Isaac 401k'!N4753,'Retirement Calculator'!A:A,0),0),0)</f>
        <v>0</v>
      </c>
      <c r="K4753" s="455">
        <f t="shared" ca="1" si="191"/>
        <v>-266299701200.74762</v>
      </c>
      <c r="L4753" s="455">
        <f t="shared" ca="1" si="192"/>
        <v>-64178227989380.18</v>
      </c>
      <c r="M4753" s="471">
        <f t="shared" si="194"/>
        <v>0.05</v>
      </c>
      <c r="N4753" s="475">
        <f t="shared" si="195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93"/>
        <v>-64178227989380.18</v>
      </c>
      <c r="J4754" s="455">
        <f t="array" ref="J4754">IFERROR(INDEX('Retirement Calculator'!J:J,MATCH('Isaac 401k'!N4754,'Retirement Calculator'!A:A,0),0),0)</f>
        <v>0</v>
      </c>
      <c r="K4754" s="455">
        <f t="shared" ca="1" si="191"/>
        <v>-267409283289.08408</v>
      </c>
      <c r="L4754" s="455">
        <f t="shared" ca="1" si="192"/>
        <v>-64445637272669.266</v>
      </c>
      <c r="M4754" s="471">
        <f t="shared" si="194"/>
        <v>0.05</v>
      </c>
      <c r="N4754" s="475">
        <f t="shared" si="195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93"/>
        <v>-64445637272669.266</v>
      </c>
      <c r="J4755" s="455">
        <f t="array" ref="J4755">IFERROR(INDEX('Retirement Calculator'!J:J,MATCH('Isaac 401k'!N4755,'Retirement Calculator'!A:A,0),0),0)</f>
        <v>0</v>
      </c>
      <c r="K4755" s="455">
        <f t="shared" ca="1" si="191"/>
        <v>-268523488636.12195</v>
      </c>
      <c r="L4755" s="455">
        <f t="shared" ca="1" si="192"/>
        <v>-64714160761305.391</v>
      </c>
      <c r="M4755" s="471">
        <f t="shared" si="194"/>
        <v>0.05</v>
      </c>
      <c r="N4755" s="475">
        <f t="shared" si="195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93"/>
        <v>-64714160761305.391</v>
      </c>
      <c r="J4756" s="455">
        <f t="array" ref="J4756">IFERROR(INDEX('Retirement Calculator'!J:J,MATCH('Isaac 401k'!N4756,'Retirement Calculator'!A:A,0),0),0)</f>
        <v>0</v>
      </c>
      <c r="K4756" s="455">
        <f t="shared" ca="1" si="191"/>
        <v>-269642336505.43912</v>
      </c>
      <c r="L4756" s="455">
        <f t="shared" ca="1" si="192"/>
        <v>-64983803097810.828</v>
      </c>
      <c r="M4756" s="471">
        <f t="shared" si="194"/>
        <v>0.05</v>
      </c>
      <c r="N4756" s="475">
        <f t="shared" si="195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93"/>
        <v>-64983803097810.828</v>
      </c>
      <c r="J4757" s="455">
        <f t="array" ref="J4757">IFERROR(INDEX('Retirement Calculator'!J:J,MATCH('Isaac 401k'!N4757,'Retirement Calculator'!A:A,0),0),0)</f>
        <v>0</v>
      </c>
      <c r="K4757" s="455">
        <f t="shared" ca="1" si="191"/>
        <v>-270765846240.87842</v>
      </c>
      <c r="L4757" s="455">
        <f t="shared" ca="1" si="192"/>
        <v>-65254568944051.703</v>
      </c>
      <c r="M4757" s="471">
        <f t="shared" si="194"/>
        <v>0.05</v>
      </c>
      <c r="N4757" s="475">
        <f t="shared" si="195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93"/>
        <v>-65254568944051.703</v>
      </c>
      <c r="J4758" s="455">
        <f t="array" ref="J4758">IFERROR(INDEX('Retirement Calculator'!J:J,MATCH('Isaac 401k'!N4758,'Retirement Calculator'!A:A,0),0),0)</f>
        <v>0</v>
      </c>
      <c r="K4758" s="455">
        <f t="shared" ca="1" si="191"/>
        <v>-271894037266.88208</v>
      </c>
      <c r="L4758" s="455">
        <f t="shared" ca="1" si="192"/>
        <v>-65526462981318.586</v>
      </c>
      <c r="M4758" s="471">
        <f t="shared" si="194"/>
        <v>0.05</v>
      </c>
      <c r="N4758" s="475">
        <f t="shared" si="195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93"/>
        <v>-65526462981318.586</v>
      </c>
      <c r="J4759" s="455">
        <f t="array" ref="J4759">IFERROR(INDEX('Retirement Calculator'!J:J,MATCH('Isaac 401k'!N4759,'Retirement Calculator'!A:A,0),0),0)</f>
        <v>0</v>
      </c>
      <c r="K4759" s="455">
        <f t="shared" ca="1" si="191"/>
        <v>-273026929088.82748</v>
      </c>
      <c r="L4759" s="455">
        <f t="shared" ca="1" si="192"/>
        <v>-65799489910407.414</v>
      </c>
      <c r="M4759" s="471">
        <f t="shared" si="194"/>
        <v>0.05</v>
      </c>
      <c r="N4759" s="475">
        <f t="shared" si="195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93"/>
        <v>-65799489910407.414</v>
      </c>
      <c r="J4760" s="455">
        <f t="array" ref="J4760">IFERROR(INDEX('Retirement Calculator'!J:J,MATCH('Isaac 401k'!N4760,'Retirement Calculator'!A:A,0),0),0)</f>
        <v>0</v>
      </c>
      <c r="K4760" s="455">
        <f t="shared" ca="1" si="191"/>
        <v>-274164541293.36423</v>
      </c>
      <c r="L4760" s="455">
        <f t="shared" ca="1" si="192"/>
        <v>-66073654451700.781</v>
      </c>
      <c r="M4760" s="471">
        <f t="shared" si="194"/>
        <v>0.05</v>
      </c>
      <c r="N4760" s="475">
        <f t="shared" si="195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93"/>
        <v>-66073654451700.781</v>
      </c>
      <c r="J4761" s="455">
        <f t="array" ref="J4761">IFERROR(INDEX('Retirement Calculator'!J:J,MATCH('Isaac 401k'!N4761,'Retirement Calculator'!A:A,0),0),0)</f>
        <v>0</v>
      </c>
      <c r="K4761" s="455">
        <f t="shared" ca="1" si="191"/>
        <v>-275306893548.75323</v>
      </c>
      <c r="L4761" s="455">
        <f t="shared" ca="1" si="192"/>
        <v>-66348961345249.531</v>
      </c>
      <c r="M4761" s="471">
        <f t="shared" si="194"/>
        <v>0.05</v>
      </c>
      <c r="N4761" s="475">
        <f t="shared" si="195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93"/>
        <v>-66348961345249.531</v>
      </c>
      <c r="J4762" s="455">
        <f t="array" ref="J4762">IFERROR(INDEX('Retirement Calculator'!J:J,MATCH('Isaac 401k'!N4762,'Retirement Calculator'!A:A,0),0),0)</f>
        <v>0</v>
      </c>
      <c r="K4762" s="455">
        <f t="shared" ca="1" si="191"/>
        <v>-276454005605.20636</v>
      </c>
      <c r="L4762" s="455">
        <f t="shared" ca="1" si="192"/>
        <v>-66625415350854.734</v>
      </c>
      <c r="M4762" s="471">
        <f t="shared" si="194"/>
        <v>0.05</v>
      </c>
      <c r="N4762" s="475">
        <f t="shared" si="195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93"/>
        <v>-66625415350854.734</v>
      </c>
      <c r="J4763" s="455">
        <f t="array" ref="J4763">IFERROR(INDEX('Retirement Calculator'!J:J,MATCH('Isaac 401k'!N4763,'Retirement Calculator'!A:A,0),0),0)</f>
        <v>0</v>
      </c>
      <c r="K4763" s="455">
        <f t="shared" ca="1" si="191"/>
        <v>-277605897295.22803</v>
      </c>
      <c r="L4763" s="455">
        <f t="shared" ca="1" si="192"/>
        <v>-66903021248149.961</v>
      </c>
      <c r="M4763" s="471">
        <f t="shared" si="194"/>
        <v>0.05</v>
      </c>
      <c r="N4763" s="475">
        <f t="shared" si="195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93"/>
        <v>-66903021248149.961</v>
      </c>
      <c r="J4764" s="455">
        <f t="array" ref="J4764">IFERROR(INDEX('Retirement Calculator'!J:J,MATCH('Isaac 401k'!N4764,'Retirement Calculator'!A:A,0),0),0)</f>
        <v>0</v>
      </c>
      <c r="K4764" s="455">
        <f t="shared" ca="1" si="191"/>
        <v>-278762588533.95819</v>
      </c>
      <c r="L4764" s="455">
        <f t="shared" ca="1" si="192"/>
        <v>-67181783836683.922</v>
      </c>
      <c r="M4764" s="471">
        <f t="shared" si="194"/>
        <v>0.05</v>
      </c>
      <c r="N4764" s="475">
        <f t="shared" si="195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93"/>
        <v>-67181783836683.922</v>
      </c>
      <c r="J4765" s="455">
        <f t="array" ref="J4765">IFERROR(INDEX('Retirement Calculator'!J:J,MATCH('Isaac 401k'!N4765,'Retirement Calculator'!A:A,0),0),0)</f>
        <v>0</v>
      </c>
      <c r="K4765" s="455">
        <f t="shared" ca="1" si="191"/>
        <v>-279924099319.51636</v>
      </c>
      <c r="L4765" s="455">
        <f t="shared" ca="1" si="192"/>
        <v>-67461707936003.438</v>
      </c>
      <c r="M4765" s="471">
        <f t="shared" si="194"/>
        <v>0.05</v>
      </c>
      <c r="N4765" s="475">
        <f t="shared" si="195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93"/>
        <v>-67461707936003.438</v>
      </c>
      <c r="J4766" s="455">
        <f t="array" ref="J4766">IFERROR(INDEX('Retirement Calculator'!J:J,MATCH('Isaac 401k'!N4766,'Retirement Calculator'!A:A,0),0),0)</f>
        <v>0</v>
      </c>
      <c r="K4766" s="455">
        <f t="shared" ca="1" si="191"/>
        <v>-281090449733.34766</v>
      </c>
      <c r="L4766" s="455">
        <f t="shared" ca="1" si="192"/>
        <v>-67742798385736.781</v>
      </c>
      <c r="M4766" s="471">
        <f t="shared" si="194"/>
        <v>0.05</v>
      </c>
      <c r="N4766" s="475">
        <f t="shared" si="195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93"/>
        <v>-67742798385736.781</v>
      </c>
      <c r="J4767" s="455">
        <f t="array" ref="J4767">IFERROR(INDEX('Retirement Calculator'!J:J,MATCH('Isaac 401k'!N4767,'Retirement Calculator'!A:A,0),0),0)</f>
        <v>0</v>
      </c>
      <c r="K4767" s="455">
        <f t="shared" ca="1" si="191"/>
        <v>-282261659940.56989</v>
      </c>
      <c r="L4767" s="455">
        <f t="shared" ca="1" si="192"/>
        <v>-68025060045677.352</v>
      </c>
      <c r="M4767" s="471">
        <f t="shared" si="194"/>
        <v>0.05</v>
      </c>
      <c r="N4767" s="475">
        <f t="shared" si="195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93"/>
        <v>-68025060045677.352</v>
      </c>
      <c r="J4768" s="455">
        <f t="array" ref="J4768">IFERROR(INDEX('Retirement Calculator'!J:J,MATCH('Isaac 401k'!N4768,'Retirement Calculator'!A:A,0),0),0)</f>
        <v>0</v>
      </c>
      <c r="K4768" s="455">
        <f t="shared" ca="1" si="191"/>
        <v>-283437750190.32233</v>
      </c>
      <c r="L4768" s="455">
        <f t="shared" ca="1" si="192"/>
        <v>-68308497795867.672</v>
      </c>
      <c r="M4768" s="471">
        <f t="shared" si="194"/>
        <v>0.05</v>
      </c>
      <c r="N4768" s="475">
        <f t="shared" si="195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93"/>
        <v>-68308497795867.672</v>
      </c>
      <c r="J4769" s="455">
        <f t="array" ref="J4769">IFERROR(INDEX('Retirement Calculator'!J:J,MATCH('Isaac 401k'!N4769,'Retirement Calculator'!A:A,0),0),0)</f>
        <v>0</v>
      </c>
      <c r="K4769" s="455">
        <f t="shared" ca="1" si="191"/>
        <v>-284618740816.1153</v>
      </c>
      <c r="L4769" s="455">
        <f t="shared" ca="1" si="192"/>
        <v>-68593116536683.789</v>
      </c>
      <c r="M4769" s="471">
        <f t="shared" si="194"/>
        <v>0.05</v>
      </c>
      <c r="N4769" s="475">
        <f t="shared" si="195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93"/>
        <v>-68593116536683.789</v>
      </c>
      <c r="J4770" s="455">
        <f t="array" ref="J4770">IFERROR(INDEX('Retirement Calculator'!J:J,MATCH('Isaac 401k'!N4770,'Retirement Calculator'!A:A,0),0),0)</f>
        <v>0</v>
      </c>
      <c r="K4770" s="455">
        <f t="shared" ca="1" si="191"/>
        <v>-285804652236.1825</v>
      </c>
      <c r="L4770" s="455">
        <f t="shared" ca="1" si="192"/>
        <v>-68878921188919.969</v>
      </c>
      <c r="M4770" s="471">
        <f t="shared" si="194"/>
        <v>0.05</v>
      </c>
      <c r="N4770" s="475">
        <f t="shared" si="195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93"/>
        <v>-68878921188919.969</v>
      </c>
      <c r="J4771" s="455">
        <f t="array" ref="J4771">IFERROR(INDEX('Retirement Calculator'!J:J,MATCH('Isaac 401k'!N4771,'Retirement Calculator'!A:A,0),0),0)</f>
        <v>0</v>
      </c>
      <c r="K4771" s="455">
        <f t="shared" ca="1" si="191"/>
        <v>-286995504953.83319</v>
      </c>
      <c r="L4771" s="455">
        <f t="shared" ca="1" si="192"/>
        <v>-69165916693873.805</v>
      </c>
      <c r="M4771" s="471">
        <f t="shared" si="194"/>
        <v>0.05</v>
      </c>
      <c r="N4771" s="475">
        <f t="shared" si="195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93"/>
        <v>-69165916693873.805</v>
      </c>
      <c r="J4772" s="455">
        <f t="array" ref="J4772">IFERROR(INDEX('Retirement Calculator'!J:J,MATCH('Isaac 401k'!N4772,'Retirement Calculator'!A:A,0),0),0)</f>
        <v>0</v>
      </c>
      <c r="K4772" s="455">
        <f t="shared" ca="1" si="191"/>
        <v>-288191319557.8075</v>
      </c>
      <c r="L4772" s="455">
        <f t="shared" ca="1" si="192"/>
        <v>-69454108013431.609</v>
      </c>
      <c r="M4772" s="471">
        <f t="shared" si="194"/>
        <v>0.05</v>
      </c>
      <c r="N4772" s="475">
        <f t="shared" si="195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93"/>
        <v>-69454108013431.609</v>
      </c>
      <c r="J4773" s="455">
        <f t="array" ref="J4773">IFERROR(INDEX('Retirement Calculator'!J:J,MATCH('Isaac 401k'!N4773,'Retirement Calculator'!A:A,0),0),0)</f>
        <v>0</v>
      </c>
      <c r="K4773" s="455">
        <f t="shared" ca="1" si="191"/>
        <v>-289392116722.63165</v>
      </c>
      <c r="L4773" s="455">
        <f t="shared" ca="1" si="192"/>
        <v>-69743500130154.242</v>
      </c>
      <c r="M4773" s="471">
        <f t="shared" si="194"/>
        <v>0.05</v>
      </c>
      <c r="N4773" s="475">
        <f t="shared" si="195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93"/>
        <v>-69743500130154.242</v>
      </c>
      <c r="J4774" s="455">
        <f t="array" ref="J4774">IFERROR(INDEX('Retirement Calculator'!J:J,MATCH('Isaac 401k'!N4774,'Retirement Calculator'!A:A,0),0),0)</f>
        <v>0</v>
      </c>
      <c r="K4774" s="455">
        <f t="shared" ca="1" si="191"/>
        <v>-290597917208.97601</v>
      </c>
      <c r="L4774" s="455">
        <f t="shared" ca="1" si="192"/>
        <v>-70034098047363.219</v>
      </c>
      <c r="M4774" s="471">
        <f t="shared" si="194"/>
        <v>0.05</v>
      </c>
      <c r="N4774" s="475">
        <f t="shared" si="195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93"/>
        <v>-70034098047363.219</v>
      </c>
      <c r="J4775" s="455">
        <f t="array" ref="J4775">IFERROR(INDEX('Retirement Calculator'!J:J,MATCH('Isaac 401k'!N4775,'Retirement Calculator'!A:A,0),0),0)</f>
        <v>0</v>
      </c>
      <c r="K4775" s="455">
        <f t="shared" ca="1" si="191"/>
        <v>-291808741864.01337</v>
      </c>
      <c r="L4775" s="455">
        <f t="shared" ca="1" si="192"/>
        <v>-70325906789227.234</v>
      </c>
      <c r="M4775" s="471">
        <f t="shared" si="194"/>
        <v>0.05</v>
      </c>
      <c r="N4775" s="475">
        <f t="shared" si="195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93"/>
        <v>-70325906789227.234</v>
      </c>
      <c r="J4776" s="455">
        <f t="array" ref="J4776">IFERROR(INDEX('Retirement Calculator'!J:J,MATCH('Isaac 401k'!N4776,'Retirement Calculator'!A:A,0),0),0)</f>
        <v>0</v>
      </c>
      <c r="K4776" s="455">
        <f t="shared" ca="1" si="191"/>
        <v>-293024611621.78015</v>
      </c>
      <c r="L4776" s="455">
        <f t="shared" ca="1" si="192"/>
        <v>-70618931400849.016</v>
      </c>
      <c r="M4776" s="471">
        <f t="shared" si="194"/>
        <v>0.05</v>
      </c>
      <c r="N4776" s="475">
        <f t="shared" si="195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93"/>
        <v>-70618931400849.016</v>
      </c>
      <c r="J4777" s="455">
        <f t="array" ref="J4777">IFERROR(INDEX('Retirement Calculator'!J:J,MATCH('Isaac 401k'!N4777,'Retirement Calculator'!A:A,0),0),0)</f>
        <v>0</v>
      </c>
      <c r="K4777" s="455">
        <f t="shared" ca="1" si="191"/>
        <v>-294245547503.53754</v>
      </c>
      <c r="L4777" s="455">
        <f t="shared" ca="1" si="192"/>
        <v>-70913176948352.547</v>
      </c>
      <c r="M4777" s="471">
        <f t="shared" si="194"/>
        <v>0.05</v>
      </c>
      <c r="N4777" s="475">
        <f t="shared" si="195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93"/>
        <v>-70913176948352.547</v>
      </c>
      <c r="J4778" s="455">
        <f t="array" ref="J4778">IFERROR(INDEX('Retirement Calculator'!J:J,MATCH('Isaac 401k'!N4778,'Retirement Calculator'!A:A,0),0),0)</f>
        <v>0</v>
      </c>
      <c r="K4778" s="455">
        <f t="shared" ca="1" si="191"/>
        <v>-295471570618.13562</v>
      </c>
      <c r="L4778" s="455">
        <f t="shared" ca="1" si="192"/>
        <v>-71208648518970.688</v>
      </c>
      <c r="M4778" s="471">
        <f t="shared" si="194"/>
        <v>0.05</v>
      </c>
      <c r="N4778" s="475">
        <f t="shared" si="195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93"/>
        <v>-71208648518970.688</v>
      </c>
      <c r="J4779" s="455">
        <f t="array" ref="J4779">IFERROR(INDEX('Retirement Calculator'!J:J,MATCH('Isaac 401k'!N4779,'Retirement Calculator'!A:A,0),0),0)</f>
        <v>0</v>
      </c>
      <c r="K4779" s="455">
        <f t="shared" ca="1" si="191"/>
        <v>-296702702162.37787</v>
      </c>
      <c r="L4779" s="455">
        <f t="shared" ca="1" si="192"/>
        <v>-71505351221133.063</v>
      </c>
      <c r="M4779" s="471">
        <f t="shared" si="194"/>
        <v>0.05</v>
      </c>
      <c r="N4779" s="475">
        <f t="shared" si="195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93"/>
        <v>-71505351221133.063</v>
      </c>
      <c r="J4780" s="455">
        <f t="array" ref="J4780">IFERROR(INDEX('Retirement Calculator'!J:J,MATCH('Isaac 401k'!N4780,'Retirement Calculator'!A:A,0),0),0)</f>
        <v>0</v>
      </c>
      <c r="K4780" s="455">
        <f t="shared" ca="1" si="191"/>
        <v>-297938963421.38776</v>
      </c>
      <c r="L4780" s="455">
        <f t="shared" ca="1" si="192"/>
        <v>-71803290184554.453</v>
      </c>
      <c r="M4780" s="471">
        <f t="shared" si="194"/>
        <v>0.05</v>
      </c>
      <c r="N4780" s="475">
        <f t="shared" si="195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93"/>
        <v>-71803290184554.453</v>
      </c>
      <c r="J4781" s="455">
        <f t="array" ref="J4781">IFERROR(INDEX('Retirement Calculator'!J:J,MATCH('Isaac 401k'!N4781,'Retirement Calculator'!A:A,0),0),0)</f>
        <v>0</v>
      </c>
      <c r="K4781" s="455">
        <f t="shared" ca="1" si="191"/>
        <v>-299180375768.97687</v>
      </c>
      <c r="L4781" s="455">
        <f t="shared" ca="1" si="192"/>
        <v>-72102470560323.438</v>
      </c>
      <c r="M4781" s="471">
        <f t="shared" si="194"/>
        <v>0.05</v>
      </c>
      <c r="N4781" s="475">
        <f t="shared" si="195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93"/>
        <v>-72102470560323.438</v>
      </c>
      <c r="J4782" s="455">
        <f t="array" ref="J4782">IFERROR(INDEX('Retirement Calculator'!J:J,MATCH('Isaac 401k'!N4782,'Retirement Calculator'!A:A,0),0),0)</f>
        <v>0</v>
      </c>
      <c r="K4782" s="455">
        <f t="shared" ca="1" si="191"/>
        <v>-300426960668.01434</v>
      </c>
      <c r="L4782" s="455">
        <f t="shared" ca="1" si="192"/>
        <v>-72402897520991.453</v>
      </c>
      <c r="M4782" s="471">
        <f t="shared" si="194"/>
        <v>0.05</v>
      </c>
      <c r="N4782" s="475">
        <f t="shared" si="195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93"/>
        <v>-72402897520991.453</v>
      </c>
      <c r="J4783" s="455">
        <f t="array" ref="J4783">IFERROR(INDEX('Retirement Calculator'!J:J,MATCH('Isaac 401k'!N4783,'Retirement Calculator'!A:A,0),0),0)</f>
        <v>0</v>
      </c>
      <c r="K4783" s="455">
        <f t="shared" ca="1" si="191"/>
        <v>-301678739670.79773</v>
      </c>
      <c r="L4783" s="455">
        <f t="shared" ca="1" si="192"/>
        <v>-72704576260662.25</v>
      </c>
      <c r="M4783" s="471">
        <f t="shared" si="194"/>
        <v>0.05</v>
      </c>
      <c r="N4783" s="475">
        <f t="shared" si="195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93"/>
        <v>-72704576260662.25</v>
      </c>
      <c r="J4784" s="455">
        <f t="array" ref="J4784">IFERROR(INDEX('Retirement Calculator'!J:J,MATCH('Isaac 401k'!N4784,'Retirement Calculator'!A:A,0),0),0)</f>
        <v>0</v>
      </c>
      <c r="K4784" s="455">
        <f t="shared" ca="1" si="191"/>
        <v>-302935734419.42603</v>
      </c>
      <c r="L4784" s="455">
        <f t="shared" ca="1" si="192"/>
        <v>-73007511995081.672</v>
      </c>
      <c r="M4784" s="471">
        <f t="shared" si="194"/>
        <v>0.05</v>
      </c>
      <c r="N4784" s="475">
        <f t="shared" si="195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93"/>
        <v>-73007511995081.672</v>
      </c>
      <c r="J4785" s="455">
        <f t="array" ref="J4785">IFERROR(INDEX('Retirement Calculator'!J:J,MATCH('Isaac 401k'!N4785,'Retirement Calculator'!A:A,0),0),0)</f>
        <v>0</v>
      </c>
      <c r="K4785" s="455">
        <f t="shared" ca="1" si="191"/>
        <v>-304197966646.17365</v>
      </c>
      <c r="L4785" s="455">
        <f t="shared" ca="1" si="192"/>
        <v>-73311709961727.844</v>
      </c>
      <c r="M4785" s="471">
        <f t="shared" si="194"/>
        <v>0.05</v>
      </c>
      <c r="N4785" s="475">
        <f t="shared" si="195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93"/>
        <v>-73311709961727.844</v>
      </c>
      <c r="J4786" s="455">
        <f t="array" ref="J4786">IFERROR(INDEX('Retirement Calculator'!J:J,MATCH('Isaac 401k'!N4786,'Retirement Calculator'!A:A,0),0),0)</f>
        <v>0</v>
      </c>
      <c r="K4786" s="455">
        <f t="shared" ca="1" si="191"/>
        <v>-305465458173.86603</v>
      </c>
      <c r="L4786" s="455">
        <f t="shared" ca="1" si="192"/>
        <v>-73617175419901.703</v>
      </c>
      <c r="M4786" s="471">
        <f t="shared" si="194"/>
        <v>0.05</v>
      </c>
      <c r="N4786" s="475">
        <f t="shared" si="195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93"/>
        <v>-73617175419901.703</v>
      </c>
      <c r="J4787" s="455">
        <f t="array" ref="J4787">IFERROR(INDEX('Retirement Calculator'!J:J,MATCH('Isaac 401k'!N4787,'Retirement Calculator'!A:A,0),0),0)</f>
        <v>0</v>
      </c>
      <c r="K4787" s="455">
        <f t="shared" ca="1" si="191"/>
        <v>-306738230916.25708</v>
      </c>
      <c r="L4787" s="455">
        <f t="shared" ca="1" si="192"/>
        <v>-73923913650817.953</v>
      </c>
      <c r="M4787" s="471">
        <f t="shared" si="194"/>
        <v>0.05</v>
      </c>
      <c r="N4787" s="475">
        <f t="shared" si="195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93"/>
        <v>-73923913650817.953</v>
      </c>
      <c r="J4788" s="455">
        <f t="array" ref="J4788">IFERROR(INDEX('Retirement Calculator'!J:J,MATCH('Isaac 401k'!N4788,'Retirement Calculator'!A:A,0),0),0)</f>
        <v>0</v>
      </c>
      <c r="K4788" s="455">
        <f t="shared" ca="1" si="191"/>
        <v>-308016306878.40814</v>
      </c>
      <c r="L4788" s="455">
        <f t="shared" ca="1" si="192"/>
        <v>-74231929957696.359</v>
      </c>
      <c r="M4788" s="471">
        <f t="shared" si="194"/>
        <v>0.05</v>
      </c>
      <c r="N4788" s="475">
        <f t="shared" si="195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93"/>
        <v>-74231929957696.359</v>
      </c>
      <c r="J4789" s="455">
        <f t="array" ref="J4789">IFERROR(INDEX('Retirement Calculator'!J:J,MATCH('Isaac 401k'!N4789,'Retirement Calculator'!A:A,0),0),0)</f>
        <v>0</v>
      </c>
      <c r="K4789" s="455">
        <f t="shared" ca="1" si="191"/>
        <v>-309299708157.06818</v>
      </c>
      <c r="L4789" s="455">
        <f t="shared" ca="1" si="192"/>
        <v>-74541229665853.422</v>
      </c>
      <c r="M4789" s="471">
        <f t="shared" si="194"/>
        <v>0.05</v>
      </c>
      <c r="N4789" s="475">
        <f t="shared" si="195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93"/>
        <v>-74541229665853.422</v>
      </c>
      <c r="J4790" s="455">
        <f t="array" ref="J4790">IFERROR(INDEX('Retirement Calculator'!J:J,MATCH('Isaac 401k'!N4790,'Retirement Calculator'!A:A,0),0),0)</f>
        <v>0</v>
      </c>
      <c r="K4790" s="455">
        <f t="shared" ca="1" si="191"/>
        <v>-310588456941.05591</v>
      </c>
      <c r="L4790" s="455">
        <f t="shared" ca="1" si="192"/>
        <v>-74851818122794.484</v>
      </c>
      <c r="M4790" s="471">
        <f t="shared" si="194"/>
        <v>0.05</v>
      </c>
      <c r="N4790" s="475">
        <f t="shared" si="195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93"/>
        <v>-74851818122794.484</v>
      </c>
      <c r="J4791" s="455">
        <f t="array" ref="J4791">IFERROR(INDEX('Retirement Calculator'!J:J,MATCH('Isaac 401k'!N4791,'Retirement Calculator'!A:A,0),0),0)</f>
        <v>0</v>
      </c>
      <c r="K4791" s="455">
        <f t="shared" ca="1" si="191"/>
        <v>-311882575511.64368</v>
      </c>
      <c r="L4791" s="455">
        <f t="shared" ca="1" si="192"/>
        <v>-75163700698306.125</v>
      </c>
      <c r="M4791" s="471">
        <f t="shared" si="194"/>
        <v>0.05</v>
      </c>
      <c r="N4791" s="475">
        <f t="shared" si="195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93"/>
        <v>-75163700698306.125</v>
      </c>
      <c r="J4792" s="455">
        <f t="array" ref="J4792">IFERROR(INDEX('Retirement Calculator'!J:J,MATCH('Isaac 401k'!N4792,'Retirement Calculator'!A:A,0),0),0)</f>
        <v>0</v>
      </c>
      <c r="K4792" s="455">
        <f t="shared" ca="1" si="191"/>
        <v>-313182086242.9422</v>
      </c>
      <c r="L4792" s="455">
        <f t="shared" ca="1" si="192"/>
        <v>-75476882784549.063</v>
      </c>
      <c r="M4792" s="471">
        <f t="shared" si="194"/>
        <v>0.05</v>
      </c>
      <c r="N4792" s="475">
        <f t="shared" si="195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93"/>
        <v>-75476882784549.063</v>
      </c>
      <c r="J4793" s="455">
        <f t="array" ref="J4793">IFERROR(INDEX('Retirement Calculator'!J:J,MATCH('Isaac 401k'!N4793,'Retirement Calculator'!A:A,0),0),0)</f>
        <v>0</v>
      </c>
      <c r="K4793" s="455">
        <f t="shared" ca="1" si="191"/>
        <v>-314487011602.28778</v>
      </c>
      <c r="L4793" s="455">
        <f t="shared" ca="1" si="192"/>
        <v>-75791369796151.344</v>
      </c>
      <c r="M4793" s="471">
        <f t="shared" si="194"/>
        <v>0.05</v>
      </c>
      <c r="N4793" s="475">
        <f t="shared" si="195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93"/>
        <v>-75791369796151.344</v>
      </c>
      <c r="J4794" s="455">
        <f t="array" ref="J4794">IFERROR(INDEX('Retirement Calculator'!J:J,MATCH('Isaac 401k'!N4794,'Retirement Calculator'!A:A,0),0),0)</f>
        <v>0</v>
      </c>
      <c r="K4794" s="455">
        <f t="shared" ca="1" si="191"/>
        <v>-315797374150.63062</v>
      </c>
      <c r="L4794" s="455">
        <f t="shared" ca="1" si="192"/>
        <v>-76107167170301.969</v>
      </c>
      <c r="M4794" s="471">
        <f t="shared" si="194"/>
        <v>0.05</v>
      </c>
      <c r="N4794" s="475">
        <f t="shared" si="195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93"/>
        <v>-76107167170301.969</v>
      </c>
      <c r="J4795" s="455">
        <f t="array" ref="J4795">IFERROR(INDEX('Retirement Calculator'!J:J,MATCH('Isaac 401k'!N4795,'Retirement Calculator'!A:A,0),0),0)</f>
        <v>0</v>
      </c>
      <c r="K4795" s="455">
        <f t="shared" ca="1" si="191"/>
        <v>-317113196542.92487</v>
      </c>
      <c r="L4795" s="455">
        <f t="shared" ca="1" si="192"/>
        <v>-76424280366844.891</v>
      </c>
      <c r="M4795" s="471">
        <f t="shared" si="194"/>
        <v>0.05</v>
      </c>
      <c r="N4795" s="475">
        <f t="shared" si="195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93"/>
        <v>-76424280366844.891</v>
      </c>
      <c r="J4796" s="455">
        <f t="array" ref="J4796">IFERROR(INDEX('Retirement Calculator'!J:J,MATCH('Isaac 401k'!N4796,'Retirement Calculator'!A:A,0),0),0)</f>
        <v>0</v>
      </c>
      <c r="K4796" s="455">
        <f t="shared" ca="1" si="191"/>
        <v>-318434501528.52039</v>
      </c>
      <c r="L4796" s="455">
        <f t="shared" ca="1" si="192"/>
        <v>-76742714868373.406</v>
      </c>
      <c r="M4796" s="471">
        <f t="shared" si="194"/>
        <v>0.05</v>
      </c>
      <c r="N4796" s="475">
        <f t="shared" si="195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93"/>
        <v>-76742714868373.406</v>
      </c>
      <c r="J4797" s="455">
        <f t="array" ref="J4797">IFERROR(INDEX('Retirement Calculator'!J:J,MATCH('Isaac 401k'!N4797,'Retirement Calculator'!A:A,0),0),0)</f>
        <v>0</v>
      </c>
      <c r="K4797" s="455">
        <f t="shared" ca="1" si="191"/>
        <v>-319761311951.55585</v>
      </c>
      <c r="L4797" s="455">
        <f t="shared" ca="1" si="192"/>
        <v>-77062476180324.969</v>
      </c>
      <c r="M4797" s="471">
        <f t="shared" si="194"/>
        <v>0.05</v>
      </c>
      <c r="N4797" s="475">
        <f t="shared" si="195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93"/>
        <v>-77062476180324.969</v>
      </c>
      <c r="J4798" s="455">
        <f t="array" ref="J4798">IFERROR(INDEX('Retirement Calculator'!J:J,MATCH('Isaac 401k'!N4798,'Retirement Calculator'!A:A,0),0),0)</f>
        <v>0</v>
      </c>
      <c r="K4798" s="455">
        <f t="shared" ca="1" si="191"/>
        <v>-321093650751.354</v>
      </c>
      <c r="L4798" s="455">
        <f t="shared" ca="1" si="192"/>
        <v>-77383569831076.328</v>
      </c>
      <c r="M4798" s="471">
        <f t="shared" si="194"/>
        <v>0.05</v>
      </c>
      <c r="N4798" s="475">
        <f t="shared" si="195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93"/>
        <v>-77383569831076.328</v>
      </c>
      <c r="J4799" s="455">
        <f t="array" ref="J4799">IFERROR(INDEX('Retirement Calculator'!J:J,MATCH('Isaac 401k'!N4799,'Retirement Calculator'!A:A,0),0),0)</f>
        <v>0</v>
      </c>
      <c r="K4799" s="455">
        <f t="shared" ca="1" si="191"/>
        <v>-322431540962.81805</v>
      </c>
      <c r="L4799" s="455">
        <f t="shared" ca="1" si="192"/>
        <v>-77706001372039.141</v>
      </c>
      <c r="M4799" s="471">
        <f t="shared" si="194"/>
        <v>0.05</v>
      </c>
      <c r="N4799" s="475">
        <f t="shared" si="195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93"/>
        <v>-77706001372039.141</v>
      </c>
      <c r="J4800" s="455">
        <f t="array" ref="J4800">IFERROR(INDEX('Retirement Calculator'!J:J,MATCH('Isaac 401k'!N4800,'Retirement Calculator'!A:A,0),0),0)</f>
        <v>0</v>
      </c>
      <c r="K4800" s="455">
        <f t="shared" ca="1" si="191"/>
        <v>-323775005716.82977</v>
      </c>
      <c r="L4800" s="455">
        <f t="shared" ca="1" si="192"/>
        <v>-78029776377755.969</v>
      </c>
      <c r="M4800" s="471">
        <f t="shared" si="194"/>
        <v>0.05</v>
      </c>
      <c r="N4800" s="475">
        <f t="shared" si="195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93"/>
        <v>-78029776377755.969</v>
      </c>
      <c r="J4801" s="455">
        <f t="array" ref="J4801">IFERROR(INDEX('Retirement Calculator'!J:J,MATCH('Isaac 401k'!N4801,'Retirement Calculator'!A:A,0),0),0)</f>
        <v>0</v>
      </c>
      <c r="K4801" s="455">
        <f t="shared" ca="1" si="191"/>
        <v>-325124068240.64984</v>
      </c>
      <c r="L4801" s="455">
        <f t="shared" ca="1" si="192"/>
        <v>-78354900445996.625</v>
      </c>
      <c r="M4801" s="471">
        <f t="shared" si="194"/>
        <v>0.05</v>
      </c>
      <c r="N4801" s="475">
        <f t="shared" si="195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93"/>
        <v>-78354900445996.625</v>
      </c>
      <c r="J4802" s="455">
        <f t="array" ref="J4802">IFERROR(INDEX('Retirement Calculator'!J:J,MATCH('Isaac 401k'!N4802,'Retirement Calculator'!A:A,0),0),0)</f>
        <v>0</v>
      </c>
      <c r="K4802" s="455">
        <f t="shared" ca="1" si="191"/>
        <v>-326478751858.31927</v>
      </c>
      <c r="L4802" s="455">
        <f t="shared" ca="1" si="192"/>
        <v>-78681379197854.938</v>
      </c>
      <c r="M4802" s="471">
        <f t="shared" si="194"/>
        <v>0.05</v>
      </c>
      <c r="N4802" s="475">
        <f t="shared" si="195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93"/>
        <v>-78681379197854.938</v>
      </c>
      <c r="J4803" s="455">
        <f t="array" ref="J4803">IFERROR(INDEX('Retirement Calculator'!J:J,MATCH('Isaac 401k'!N4803,'Retirement Calculator'!A:A,0),0),0)</f>
        <v>0</v>
      </c>
      <c r="K4803" s="455">
        <f t="shared" ca="1" si="191"/>
        <v>-327839079991.06226</v>
      </c>
      <c r="L4803" s="455">
        <f t="shared" ca="1" si="192"/>
        <v>-79009218277846</v>
      </c>
      <c r="M4803" s="471">
        <f t="shared" si="194"/>
        <v>0.05</v>
      </c>
      <c r="N4803" s="475">
        <f t="shared" si="195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93"/>
        <v>-79009218277846</v>
      </c>
      <c r="J4804" s="455">
        <f t="array" ref="J4804">IFERROR(INDEX('Retirement Calculator'!J:J,MATCH('Isaac 401k'!N4804,'Retirement Calculator'!A:A,0),0),0)</f>
        <v>0</v>
      </c>
      <c r="K4804" s="455">
        <f t="shared" ca="1" si="191"/>
        <v>-329205076157.69165</v>
      </c>
      <c r="L4804" s="455">
        <f t="shared" ca="1" si="192"/>
        <v>-79338423354003.688</v>
      </c>
      <c r="M4804" s="471">
        <f t="shared" si="194"/>
        <v>0.05</v>
      </c>
      <c r="N4804" s="475">
        <f t="shared" si="195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93"/>
        <v>-79338423354003.688</v>
      </c>
      <c r="J4805" s="455">
        <f t="array" ref="J4805">IFERROR(INDEX('Retirement Calculator'!J:J,MATCH('Isaac 401k'!N4805,'Retirement Calculator'!A:A,0),0),0)</f>
        <v>0</v>
      </c>
      <c r="K4805" s="455">
        <f t="shared" ca="1" si="191"/>
        <v>-330576763975.01538</v>
      </c>
      <c r="L4805" s="455">
        <f t="shared" ca="1" si="192"/>
        <v>-79669000117978.703</v>
      </c>
      <c r="M4805" s="471">
        <f t="shared" si="194"/>
        <v>0.05</v>
      </c>
      <c r="N4805" s="475">
        <f t="shared" si="195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93"/>
        <v>-79669000117978.703</v>
      </c>
      <c r="J4806" s="455">
        <f t="array" ref="J4806">IFERROR(INDEX('Retirement Calculator'!J:J,MATCH('Isaac 401k'!N4806,'Retirement Calculator'!A:A,0),0),0)</f>
        <v>0</v>
      </c>
      <c r="K4806" s="455">
        <f t="shared" ca="1" si="191"/>
        <v>-331954167158.24457</v>
      </c>
      <c r="L4806" s="455">
        <f t="shared" ca="1" si="192"/>
        <v>-80000954285136.953</v>
      </c>
      <c r="M4806" s="471">
        <f t="shared" si="194"/>
        <v>0.05</v>
      </c>
      <c r="N4806" s="475">
        <f t="shared" si="195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93"/>
        <v>-80000954285136.953</v>
      </c>
      <c r="J4807" s="455">
        <f t="array" ref="J4807">IFERROR(INDEX('Retirement Calculator'!J:J,MATCH('Isaac 401k'!N4807,'Retirement Calculator'!A:A,0),0),0)</f>
        <v>0</v>
      </c>
      <c r="K4807" s="455">
        <f t="shared" ca="1" si="191"/>
        <v>-333337309521.40399</v>
      </c>
      <c r="L4807" s="455">
        <f t="shared" ca="1" si="192"/>
        <v>-80334291594658.359</v>
      </c>
      <c r="M4807" s="471">
        <f t="shared" si="194"/>
        <v>0.05</v>
      </c>
      <c r="N4807" s="475">
        <f t="shared" si="195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93"/>
        <v>-80334291594658.359</v>
      </c>
      <c r="J4808" s="455">
        <f t="array" ref="J4808">IFERROR(INDEX('Retirement Calculator'!J:J,MATCH('Isaac 401k'!N4808,'Retirement Calculator'!A:A,0),0),0)</f>
        <v>0</v>
      </c>
      <c r="K4808" s="455">
        <f t="shared" ca="1" si="191"/>
        <v>-334726214977.74316</v>
      </c>
      <c r="L4808" s="455">
        <f t="shared" ca="1" si="192"/>
        <v>-80669017809636.109</v>
      </c>
      <c r="M4808" s="471">
        <f t="shared" si="194"/>
        <v>0.05</v>
      </c>
      <c r="N4808" s="475">
        <f t="shared" si="195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93"/>
        <v>-80669017809636.109</v>
      </c>
      <c r="J4809" s="455">
        <f t="array" ref="J4809">IFERROR(INDEX('Retirement Calculator'!J:J,MATCH('Isaac 401k'!N4809,'Retirement Calculator'!A:A,0),0),0)</f>
        <v>0</v>
      </c>
      <c r="K4809" s="455">
        <f t="shared" ca="1" si="191"/>
        <v>-336120907540.15045</v>
      </c>
      <c r="L4809" s="455">
        <f t="shared" ca="1" si="192"/>
        <v>-81005138717176.266</v>
      </c>
      <c r="M4809" s="471">
        <f t="shared" si="194"/>
        <v>0.05</v>
      </c>
      <c r="N4809" s="475">
        <f t="shared" si="195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93"/>
        <v>-81005138717176.266</v>
      </c>
      <c r="J4810" s="455">
        <f t="array" ref="J4810">IFERROR(INDEX('Retirement Calculator'!J:J,MATCH('Isaac 401k'!N4810,'Retirement Calculator'!A:A,0),0),0)</f>
        <v>0</v>
      </c>
      <c r="K4810" s="455">
        <f t="shared" ca="1" si="191"/>
        <v>-337521411321.56775</v>
      </c>
      <c r="L4810" s="455">
        <f t="shared" ca="1" si="192"/>
        <v>-81342660128497.828</v>
      </c>
      <c r="M4810" s="471">
        <f t="shared" si="194"/>
        <v>0.05</v>
      </c>
      <c r="N4810" s="475">
        <f t="shared" si="195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93"/>
        <v>-81342660128497.828</v>
      </c>
      <c r="J4811" s="455">
        <f t="array" ref="J4811">IFERROR(INDEX('Retirement Calculator'!J:J,MATCH('Isaac 401k'!N4811,'Retirement Calculator'!A:A,0),0),0)</f>
        <v>0</v>
      </c>
      <c r="K4811" s="455">
        <f t="shared" ca="1" si="191"/>
        <v>-338927750535.40759</v>
      </c>
      <c r="L4811" s="455">
        <f t="shared" ca="1" si="192"/>
        <v>-81681587879033.234</v>
      </c>
      <c r="M4811" s="471">
        <f t="shared" si="194"/>
        <v>0.05</v>
      </c>
      <c r="N4811" s="475">
        <f t="shared" si="195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93"/>
        <v>-81681587879033.234</v>
      </c>
      <c r="J4812" s="455">
        <f t="array" ref="J4812">IFERROR(INDEX('Retirement Calculator'!J:J,MATCH('Isaac 401k'!N4812,'Retirement Calculator'!A:A,0),0),0)</f>
        <v>0</v>
      </c>
      <c r="K4812" s="455">
        <f t="shared" ca="1" si="191"/>
        <v>-340339949495.9718</v>
      </c>
      <c r="L4812" s="455">
        <f t="shared" ca="1" si="192"/>
        <v>-82021927828529.203</v>
      </c>
      <c r="M4812" s="471">
        <f t="shared" si="194"/>
        <v>0.05</v>
      </c>
      <c r="N4812" s="475">
        <f t="shared" si="195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93"/>
        <v>-82021927828529.203</v>
      </c>
      <c r="J4813" s="455">
        <f t="array" ref="J4813">IFERROR(INDEX('Retirement Calculator'!J:J,MATCH('Isaac 401k'!N4813,'Retirement Calculator'!A:A,0),0),0)</f>
        <v>0</v>
      </c>
      <c r="K4813" s="455">
        <f t="shared" ca="1" si="191"/>
        <v>-341758032618.8717</v>
      </c>
      <c r="L4813" s="455">
        <f t="shared" ca="1" si="192"/>
        <v>-82363685861148.078</v>
      </c>
      <c r="M4813" s="471">
        <f t="shared" si="194"/>
        <v>0.05</v>
      </c>
      <c r="N4813" s="475">
        <f t="shared" si="195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93"/>
        <v>-82363685861148.078</v>
      </c>
      <c r="J4814" s="455">
        <f t="array" ref="J4814">IFERROR(INDEX('Retirement Calculator'!J:J,MATCH('Isaac 401k'!N4814,'Retirement Calculator'!A:A,0),0),0)</f>
        <v>0</v>
      </c>
      <c r="K4814" s="455">
        <f t="shared" ca="1" si="191"/>
        <v>-343182024421.45032</v>
      </c>
      <c r="L4814" s="455">
        <f t="shared" ca="1" si="192"/>
        <v>-82706867885569.531</v>
      </c>
      <c r="M4814" s="471">
        <f t="shared" si="194"/>
        <v>0.05</v>
      </c>
      <c r="N4814" s="475">
        <f t="shared" si="195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93"/>
        <v>-82706867885569.531</v>
      </c>
      <c r="J4815" s="455">
        <f t="array" ref="J4815">IFERROR(INDEX('Retirement Calculator'!J:J,MATCH('Isaac 401k'!N4815,'Retirement Calculator'!A:A,0),0),0)</f>
        <v>0</v>
      </c>
      <c r="K4815" s="455">
        <f t="shared" ca="1" si="191"/>
        <v>-344611949523.20636</v>
      </c>
      <c r="L4815" s="455">
        <f t="shared" ca="1" si="192"/>
        <v>-83051479835092.734</v>
      </c>
      <c r="M4815" s="471">
        <f t="shared" si="194"/>
        <v>0.05</v>
      </c>
      <c r="N4815" s="475">
        <f t="shared" si="195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93"/>
        <v>-83051479835092.734</v>
      </c>
      <c r="J4816" s="455">
        <f t="array" ref="J4816">IFERROR(INDEX('Retirement Calculator'!J:J,MATCH('Isaac 401k'!N4816,'Retirement Calculator'!A:A,0),0),0)</f>
        <v>0</v>
      </c>
      <c r="K4816" s="455">
        <f t="shared" ca="1" si="191"/>
        <v>-346047832646.21973</v>
      </c>
      <c r="L4816" s="455">
        <f t="shared" ca="1" si="192"/>
        <v>-83397527667738.953</v>
      </c>
      <c r="M4816" s="471">
        <f t="shared" si="194"/>
        <v>0.05</v>
      </c>
      <c r="N4816" s="475">
        <f t="shared" si="195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93"/>
        <v>-83397527667738.953</v>
      </c>
      <c r="J4817" s="455">
        <f t="array" ref="J4817">IFERROR(INDEX('Retirement Calculator'!J:J,MATCH('Isaac 401k'!N4817,'Retirement Calculator'!A:A,0),0),0)</f>
        <v>0</v>
      </c>
      <c r="K4817" s="455">
        <f t="shared" ca="1" si="191"/>
        <v>-347489698615.57898</v>
      </c>
      <c r="L4817" s="455">
        <f t="shared" ca="1" si="192"/>
        <v>-83745017366354.531</v>
      </c>
      <c r="M4817" s="471">
        <f t="shared" si="194"/>
        <v>0.05</v>
      </c>
      <c r="N4817" s="475">
        <f t="shared" si="195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93"/>
        <v>-83745017366354.531</v>
      </c>
      <c r="J4818" s="455">
        <f t="array" ref="J4818">IFERROR(INDEX('Retirement Calculator'!J:J,MATCH('Isaac 401k'!N4818,'Retirement Calculator'!A:A,0),0),0)</f>
        <v>0</v>
      </c>
      <c r="K4818" s="455">
        <f t="shared" ca="1" si="191"/>
        <v>-348937572359.81055</v>
      </c>
      <c r="L4818" s="455">
        <f t="shared" ca="1" si="192"/>
        <v>-84093954938714.344</v>
      </c>
      <c r="M4818" s="471">
        <f t="shared" si="194"/>
        <v>0.05</v>
      </c>
      <c r="N4818" s="475">
        <f t="shared" si="195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93"/>
        <v>-84093954938714.344</v>
      </c>
      <c r="J4819" s="455">
        <f t="array" ref="J4819">IFERROR(INDEX('Retirement Calculator'!J:J,MATCH('Isaac 401k'!N4819,'Retirement Calculator'!A:A,0),0),0)</f>
        <v>0</v>
      </c>
      <c r="K4819" s="455">
        <f t="shared" ca="1" si="191"/>
        <v>-350391478911.30975</v>
      </c>
      <c r="L4819" s="455">
        <f t="shared" ca="1" si="192"/>
        <v>-84444346417625.656</v>
      </c>
      <c r="M4819" s="471">
        <f t="shared" si="194"/>
        <v>0.05</v>
      </c>
      <c r="N4819" s="475">
        <f t="shared" si="195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93"/>
        <v>-84444346417625.656</v>
      </c>
      <c r="J4820" s="455">
        <f t="array" ref="J4820">IFERROR(INDEX('Retirement Calculator'!J:J,MATCH('Isaac 401k'!N4820,'Retirement Calculator'!A:A,0),0),0)</f>
        <v>0</v>
      </c>
      <c r="K4820" s="455">
        <f t="shared" ca="1" si="191"/>
        <v>-351851443406.77356</v>
      </c>
      <c r="L4820" s="455">
        <f t="shared" ca="1" si="192"/>
        <v>-84796197861032.438</v>
      </c>
      <c r="M4820" s="471">
        <f t="shared" si="194"/>
        <v>0.05</v>
      </c>
      <c r="N4820" s="475">
        <f t="shared" si="195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93"/>
        <v>-84796197861032.438</v>
      </c>
      <c r="J4821" s="455">
        <f t="array" ref="J4821">IFERROR(INDEX('Retirement Calculator'!J:J,MATCH('Isaac 401k'!N4821,'Retirement Calculator'!A:A,0),0),0)</f>
        <v>0</v>
      </c>
      <c r="K4821" s="455">
        <f t="shared" ca="1" si="191"/>
        <v>-353317491087.63513</v>
      </c>
      <c r="L4821" s="455">
        <f t="shared" ca="1" si="192"/>
        <v>-85149515352120.078</v>
      </c>
      <c r="M4821" s="471">
        <f t="shared" si="194"/>
        <v>0.05</v>
      </c>
      <c r="N4821" s="475">
        <f t="shared" si="195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93"/>
        <v>-85149515352120.078</v>
      </c>
      <c r="J4822" s="455">
        <f t="array" ref="J4822">IFERROR(INDEX('Retirement Calculator'!J:J,MATCH('Isaac 401k'!N4822,'Retirement Calculator'!A:A,0),0),0)</f>
        <v>0</v>
      </c>
      <c r="K4822" s="455">
        <f t="shared" ca="1" si="191"/>
        <v>-354789647300.50031</v>
      </c>
      <c r="L4822" s="455">
        <f t="shared" ca="1" si="192"/>
        <v>-85504304999420.578</v>
      </c>
      <c r="M4822" s="471">
        <f t="shared" si="194"/>
        <v>0.05</v>
      </c>
      <c r="N4822" s="475">
        <f t="shared" si="195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93"/>
        <v>-85504304999420.578</v>
      </c>
      <c r="J4823" s="455">
        <f t="array" ref="J4823">IFERROR(INDEX('Retirement Calculator'!J:J,MATCH('Isaac 401k'!N4823,'Retirement Calculator'!A:A,0),0),0)</f>
        <v>0</v>
      </c>
      <c r="K4823" s="455">
        <f t="shared" ca="1" si="191"/>
        <v>-356267937497.58575</v>
      </c>
      <c r="L4823" s="455">
        <f t="shared" ca="1" si="192"/>
        <v>-85860572936918.156</v>
      </c>
      <c r="M4823" s="471">
        <f t="shared" si="194"/>
        <v>0.05</v>
      </c>
      <c r="N4823" s="475">
        <f t="shared" si="195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93"/>
        <v>-85860572936918.156</v>
      </c>
      <c r="J4824" s="455">
        <f t="array" ref="J4824">IFERROR(INDEX('Retirement Calculator'!J:J,MATCH('Isaac 401k'!N4824,'Retirement Calculator'!A:A,0),0),0)</f>
        <v>0</v>
      </c>
      <c r="K4824" s="455">
        <f t="shared" ca="1" si="191"/>
        <v>-357752387237.159</v>
      </c>
      <c r="L4824" s="455">
        <f t="shared" ca="1" si="192"/>
        <v>-86218325324155.313</v>
      </c>
      <c r="M4824" s="471">
        <f t="shared" si="194"/>
        <v>0.05</v>
      </c>
      <c r="N4824" s="475">
        <f t="shared" si="195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93"/>
        <v>-86218325324155.313</v>
      </c>
      <c r="J4825" s="455">
        <f t="array" ref="J4825">IFERROR(INDEX('Retirement Calculator'!J:J,MATCH('Isaac 401k'!N4825,'Retirement Calculator'!A:A,0),0),0)</f>
        <v>0</v>
      </c>
      <c r="K4825" s="455">
        <f t="shared" ca="1" si="191"/>
        <v>-359243022183.98047</v>
      </c>
      <c r="L4825" s="455">
        <f t="shared" ca="1" si="192"/>
        <v>-86577568346339.297</v>
      </c>
      <c r="M4825" s="471">
        <f t="shared" si="194"/>
        <v>0.05</v>
      </c>
      <c r="N4825" s="475">
        <f t="shared" si="195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93"/>
        <v>-86577568346339.297</v>
      </c>
      <c r="J4826" s="455">
        <f t="array" ref="J4826">IFERROR(INDEX('Retirement Calculator'!J:J,MATCH('Isaac 401k'!N4826,'Retirement Calculator'!A:A,0),0),0)</f>
        <v>0</v>
      </c>
      <c r="K4826" s="455">
        <f t="shared" ca="1" si="191"/>
        <v>-360739868109.74707</v>
      </c>
      <c r="L4826" s="455">
        <f t="shared" ca="1" si="192"/>
        <v>-86938308214449.047</v>
      </c>
      <c r="M4826" s="471">
        <f t="shared" si="194"/>
        <v>0.05</v>
      </c>
      <c r="N4826" s="475">
        <f t="shared" si="195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93"/>
        <v>-86938308214449.047</v>
      </c>
      <c r="J4827" s="455">
        <f t="array" ref="J4827">IFERROR(INDEX('Retirement Calculator'!J:J,MATCH('Isaac 401k'!N4827,'Retirement Calculator'!A:A,0),0),0)</f>
        <v>0</v>
      </c>
      <c r="K4827" s="455">
        <f t="shared" ca="1" si="191"/>
        <v>-362242950893.53772</v>
      </c>
      <c r="L4827" s="455">
        <f t="shared" ca="1" si="192"/>
        <v>-87300551165342.578</v>
      </c>
      <c r="M4827" s="471">
        <f t="shared" si="194"/>
        <v>0.05</v>
      </c>
      <c r="N4827" s="475">
        <f t="shared" si="195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93"/>
        <v>-87300551165342.578</v>
      </c>
      <c r="J4828" s="455">
        <f t="array" ref="J4828">IFERROR(INDEX('Retirement Calculator'!J:J,MATCH('Isaac 401k'!N4828,'Retirement Calculator'!A:A,0),0),0)</f>
        <v>0</v>
      </c>
      <c r="K4828" s="455">
        <f t="shared" ca="1" si="191"/>
        <v>-363752296522.26074</v>
      </c>
      <c r="L4828" s="455">
        <f t="shared" ca="1" si="192"/>
        <v>-87664303461864.844</v>
      </c>
      <c r="M4828" s="471">
        <f t="shared" si="194"/>
        <v>0.05</v>
      </c>
      <c r="N4828" s="475">
        <f t="shared" si="195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93"/>
        <v>-87664303461864.844</v>
      </c>
      <c r="J4829" s="455">
        <f t="array" ref="J4829">IFERROR(INDEX('Retirement Calculator'!J:J,MATCH('Isaac 401k'!N4829,'Retirement Calculator'!A:A,0),0),0)</f>
        <v>0</v>
      </c>
      <c r="K4829" s="455">
        <f t="shared" ca="1" si="191"/>
        <v>-365267931091.10352</v>
      </c>
      <c r="L4829" s="455">
        <f t="shared" ca="1" si="192"/>
        <v>-88029571392955.953</v>
      </c>
      <c r="M4829" s="471">
        <f t="shared" si="194"/>
        <v>0.05</v>
      </c>
      <c r="N4829" s="475">
        <f t="shared" si="195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93"/>
        <v>-88029571392955.953</v>
      </c>
      <c r="J4830" s="455">
        <f t="array" ref="J4830">IFERROR(INDEX('Retirement Calculator'!J:J,MATCH('Isaac 401k'!N4830,'Retirement Calculator'!A:A,0),0),0)</f>
        <v>0</v>
      </c>
      <c r="K4830" s="455">
        <f t="shared" ca="1" si="191"/>
        <v>-366789880803.98315</v>
      </c>
      <c r="L4830" s="455">
        <f t="shared" ca="1" si="192"/>
        <v>-88396361273759.938</v>
      </c>
      <c r="M4830" s="471">
        <f t="shared" si="194"/>
        <v>0.05</v>
      </c>
      <c r="N4830" s="475">
        <f t="shared" si="195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93"/>
        <v>-88396361273759.938</v>
      </c>
      <c r="J4831" s="455">
        <f t="array" ref="J4831">IFERROR(INDEX('Retirement Calculator'!J:J,MATCH('Isaac 401k'!N4831,'Retirement Calculator'!A:A,0),0),0)</f>
        <v>0</v>
      </c>
      <c r="K4831" s="455">
        <f t="shared" ca="1" si="191"/>
        <v>-368318171973.99976</v>
      </c>
      <c r="L4831" s="455">
        <f t="shared" ca="1" si="192"/>
        <v>-88764679445733.938</v>
      </c>
      <c r="M4831" s="471">
        <f t="shared" si="194"/>
        <v>0.05</v>
      </c>
      <c r="N4831" s="475">
        <f t="shared" si="195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93"/>
        <v>-88764679445733.938</v>
      </c>
      <c r="J4832" s="455">
        <f t="array" ref="J4832">IFERROR(INDEX('Retirement Calculator'!J:J,MATCH('Isaac 401k'!N4832,'Retirement Calculator'!A:A,0),0),0)</f>
        <v>0</v>
      </c>
      <c r="K4832" s="455">
        <f t="shared" ca="1" si="191"/>
        <v>-369852831023.89142</v>
      </c>
      <c r="L4832" s="455">
        <f t="shared" ca="1" si="192"/>
        <v>-89134532276757.828</v>
      </c>
      <c r="M4832" s="471">
        <f t="shared" si="194"/>
        <v>0.05</v>
      </c>
      <c r="N4832" s="475">
        <f t="shared" si="195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93"/>
        <v>-89134532276757.828</v>
      </c>
      <c r="J4833" s="455">
        <f t="array" ref="J4833">IFERROR(INDEX('Retirement Calculator'!J:J,MATCH('Isaac 401k'!N4833,'Retirement Calculator'!A:A,0),0),0)</f>
        <v>0</v>
      </c>
      <c r="K4833" s="455">
        <f t="shared" ca="1" si="191"/>
        <v>-371393884486.49097</v>
      </c>
      <c r="L4833" s="455">
        <f t="shared" ca="1" si="192"/>
        <v>-89505926161244.313</v>
      </c>
      <c r="M4833" s="471">
        <f t="shared" si="194"/>
        <v>0.05</v>
      </c>
      <c r="N4833" s="475">
        <f t="shared" si="195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93"/>
        <v>-89505926161244.313</v>
      </c>
      <c r="J4834" s="455">
        <f t="array" ref="J4834">IFERROR(INDEX('Retirement Calculator'!J:J,MATCH('Isaac 401k'!N4834,'Retirement Calculator'!A:A,0),0),0)</f>
        <v>0</v>
      </c>
      <c r="K4834" s="455">
        <f t="shared" ca="1" si="191"/>
        <v>-372941359005.18463</v>
      </c>
      <c r="L4834" s="455">
        <f t="shared" ca="1" si="192"/>
        <v>-89878867520249.5</v>
      </c>
      <c r="M4834" s="471">
        <f t="shared" si="194"/>
        <v>0.05</v>
      </c>
      <c r="N4834" s="475">
        <f t="shared" si="195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93"/>
        <v>-89878867520249.5</v>
      </c>
      <c r="J4835" s="455">
        <f t="array" ref="J4835">IFERROR(INDEX('Retirement Calculator'!J:J,MATCH('Isaac 401k'!N4835,'Retirement Calculator'!A:A,0),0),0)</f>
        <v>0</v>
      </c>
      <c r="K4835" s="455">
        <f t="shared" ca="1" si="191"/>
        <v>-374495281334.37292</v>
      </c>
      <c r="L4835" s="455">
        <f t="shared" ca="1" si="192"/>
        <v>-90253362801583.875</v>
      </c>
      <c r="M4835" s="471">
        <f t="shared" si="194"/>
        <v>0.05</v>
      </c>
      <c r="N4835" s="475">
        <f t="shared" si="195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93"/>
        <v>-90253362801583.875</v>
      </c>
      <c r="J4836" s="455">
        <f t="array" ref="J4836">IFERROR(INDEX('Retirement Calculator'!J:J,MATCH('Isaac 401k'!N4836,'Retirement Calculator'!A:A,0),0),0)</f>
        <v>0</v>
      </c>
      <c r="K4836" s="455">
        <f t="shared" ca="1" si="191"/>
        <v>-376055678339.9328</v>
      </c>
      <c r="L4836" s="455">
        <f t="shared" ca="1" si="192"/>
        <v>-90629418479923.813</v>
      </c>
      <c r="M4836" s="471">
        <f t="shared" si="194"/>
        <v>0.05</v>
      </c>
      <c r="N4836" s="475">
        <f t="shared" si="195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93"/>
        <v>-90629418479923.813</v>
      </c>
      <c r="J4837" s="455">
        <f t="array" ref="J4837">IFERROR(INDEX('Retirement Calculator'!J:J,MATCH('Isaac 401k'!N4837,'Retirement Calculator'!A:A,0),0),0)</f>
        <v>0</v>
      </c>
      <c r="K4837" s="455">
        <f t="shared" ca="1" si="191"/>
        <v>-377622576999.68256</v>
      </c>
      <c r="L4837" s="455">
        <f t="shared" ca="1" si="192"/>
        <v>-91007041056923.5</v>
      </c>
      <c r="M4837" s="471">
        <f t="shared" si="194"/>
        <v>0.05</v>
      </c>
      <c r="N4837" s="475">
        <f t="shared" si="195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93"/>
        <v>-91007041056923.5</v>
      </c>
      <c r="J4838" s="455">
        <f t="array" ref="J4838">IFERROR(INDEX('Retirement Calculator'!J:J,MATCH('Isaac 401k'!N4838,'Retirement Calculator'!A:A,0),0),0)</f>
        <v>0</v>
      </c>
      <c r="K4838" s="455">
        <f t="shared" ca="1" si="191"/>
        <v>-379196004403.8479</v>
      </c>
      <c r="L4838" s="455">
        <f t="shared" ca="1" si="192"/>
        <v>-91386237061327.344</v>
      </c>
      <c r="M4838" s="471">
        <f t="shared" si="194"/>
        <v>0.05</v>
      </c>
      <c r="N4838" s="475">
        <f t="shared" si="195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93"/>
        <v>-91386237061327.344</v>
      </c>
      <c r="J4839" s="455">
        <f t="array" ref="J4839">IFERROR(INDEX('Retirement Calculator'!J:J,MATCH('Isaac 401k'!N4839,'Retirement Calculator'!A:A,0),0),0)</f>
        <v>0</v>
      </c>
      <c r="K4839" s="455">
        <f t="shared" ca="1" si="191"/>
        <v>-380775987755.53058</v>
      </c>
      <c r="L4839" s="455">
        <f t="shared" ca="1" si="192"/>
        <v>-91767013049082.875</v>
      </c>
      <c r="M4839" s="471">
        <f t="shared" si="194"/>
        <v>0.05</v>
      </c>
      <c r="N4839" s="475">
        <f t="shared" si="195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93"/>
        <v>-91767013049082.875</v>
      </c>
      <c r="J4840" s="455">
        <f t="array" ref="J4840">IFERROR(INDEX('Retirement Calculator'!J:J,MATCH('Isaac 401k'!N4840,'Retirement Calculator'!A:A,0),0),0)</f>
        <v>0</v>
      </c>
      <c r="K4840" s="455">
        <f t="shared" ca="1" si="191"/>
        <v>-382362554371.17865</v>
      </c>
      <c r="L4840" s="455">
        <f t="shared" ca="1" si="192"/>
        <v>-92149375603454.047</v>
      </c>
      <c r="M4840" s="471">
        <f t="shared" si="194"/>
        <v>0.05</v>
      </c>
      <c r="N4840" s="475">
        <f t="shared" si="195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93"/>
        <v>-92149375603454.047</v>
      </c>
      <c r="J4841" s="455">
        <f t="array" ref="J4841">IFERROR(INDEX('Retirement Calculator'!J:J,MATCH('Isaac 401k'!N4841,'Retirement Calculator'!A:A,0),0),0)</f>
        <v>0</v>
      </c>
      <c r="K4841" s="455">
        <f t="shared" ca="1" si="191"/>
        <v>-383955731681.05853</v>
      </c>
      <c r="L4841" s="455">
        <f t="shared" ca="1" si="192"/>
        <v>-92533331335135.109</v>
      </c>
      <c r="M4841" s="471">
        <f t="shared" si="194"/>
        <v>0.05</v>
      </c>
      <c r="N4841" s="475">
        <f t="shared" si="195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93"/>
        <v>-92533331335135.109</v>
      </c>
      <c r="J4842" s="455">
        <f t="array" ref="J4842">IFERROR(INDEX('Retirement Calculator'!J:J,MATCH('Isaac 401k'!N4842,'Retirement Calculator'!A:A,0),0),0)</f>
        <v>0</v>
      </c>
      <c r="K4842" s="455">
        <f t="shared" ca="1" si="191"/>
        <v>-385555547229.72961</v>
      </c>
      <c r="L4842" s="455">
        <f t="shared" ca="1" si="192"/>
        <v>-92918886882364.844</v>
      </c>
      <c r="M4842" s="471">
        <f t="shared" si="194"/>
        <v>0.05</v>
      </c>
      <c r="N4842" s="475">
        <f t="shared" si="195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93"/>
        <v>-92918886882364.844</v>
      </c>
      <c r="J4843" s="455">
        <f t="array" ref="J4843">IFERROR(INDEX('Retirement Calculator'!J:J,MATCH('Isaac 401k'!N4843,'Retirement Calculator'!A:A,0),0),0)</f>
        <v>0</v>
      </c>
      <c r="K4843" s="455">
        <f t="shared" ca="1" si="191"/>
        <v>-387162028676.5202</v>
      </c>
      <c r="L4843" s="455">
        <f t="shared" ca="1" si="192"/>
        <v>-93306048911041.359</v>
      </c>
      <c r="M4843" s="471">
        <f t="shared" si="194"/>
        <v>0.05</v>
      </c>
      <c r="N4843" s="475">
        <f t="shared" si="195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93"/>
        <v>-93306048911041.359</v>
      </c>
      <c r="J4844" s="455">
        <f t="array" ref="J4844">IFERROR(INDEX('Retirement Calculator'!J:J,MATCH('Isaac 401k'!N4844,'Retirement Calculator'!A:A,0),0),0)</f>
        <v>0</v>
      </c>
      <c r="K4844" s="455">
        <f t="shared" ca="1" si="191"/>
        <v>-388775203796.00568</v>
      </c>
      <c r="L4844" s="455">
        <f t="shared" ca="1" si="192"/>
        <v>-93694824114837.359</v>
      </c>
      <c r="M4844" s="471">
        <f t="shared" si="194"/>
        <v>0.05</v>
      </c>
      <c r="N4844" s="475">
        <f t="shared" si="195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93"/>
        <v>-93694824114837.359</v>
      </c>
      <c r="J4845" s="455">
        <f t="array" ref="J4845">IFERROR(INDEX('Retirement Calculator'!J:J,MATCH('Isaac 401k'!N4845,'Retirement Calculator'!A:A,0),0),0)</f>
        <v>0</v>
      </c>
      <c r="K4845" s="455">
        <f t="shared" ca="1" si="191"/>
        <v>-390395100478.48901</v>
      </c>
      <c r="L4845" s="455">
        <f t="shared" ca="1" si="192"/>
        <v>-94085219215315.844</v>
      </c>
      <c r="M4845" s="471">
        <f t="shared" si="194"/>
        <v>0.05</v>
      </c>
      <c r="N4845" s="475">
        <f t="shared" si="195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93"/>
        <v>-94085219215315.844</v>
      </c>
      <c r="J4846" s="455">
        <f t="array" ref="J4846">IFERROR(INDEX('Retirement Calculator'!J:J,MATCH('Isaac 401k'!N4846,'Retirement Calculator'!A:A,0),0),0)</f>
        <v>0</v>
      </c>
      <c r="K4846" s="455">
        <f t="shared" ca="1" si="191"/>
        <v>-392021746730.48267</v>
      </c>
      <c r="L4846" s="455">
        <f t="shared" ca="1" si="192"/>
        <v>-94477240962046.328</v>
      </c>
      <c r="M4846" s="471">
        <f t="shared" si="194"/>
        <v>0.05</v>
      </c>
      <c r="N4846" s="475">
        <f t="shared" si="195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93"/>
        <v>-94477240962046.328</v>
      </c>
      <c r="J4847" s="455">
        <f t="array" ref="J4847">IFERROR(INDEX('Retirement Calculator'!J:J,MATCH('Isaac 401k'!N4847,'Retirement Calculator'!A:A,0),0),0)</f>
        <v>0</v>
      </c>
      <c r="K4847" s="455">
        <f t="shared" ca="1" si="191"/>
        <v>-393655170675.19305</v>
      </c>
      <c r="L4847" s="455">
        <f t="shared" ca="1" si="192"/>
        <v>-94870896132721.516</v>
      </c>
      <c r="M4847" s="471">
        <f t="shared" si="194"/>
        <v>0.05</v>
      </c>
      <c r="N4847" s="475">
        <f t="shared" si="195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93"/>
        <v>-94870896132721.516</v>
      </c>
      <c r="J4848" s="455">
        <f t="array" ref="J4848">IFERROR(INDEX('Retirement Calculator'!J:J,MATCH('Isaac 401k'!N4848,'Retirement Calculator'!A:A,0),0),0)</f>
        <v>0</v>
      </c>
      <c r="K4848" s="455">
        <f t="shared" ca="1" si="191"/>
        <v>-395295400553.00629</v>
      </c>
      <c r="L4848" s="455">
        <f t="shared" ca="1" si="192"/>
        <v>-95266191533274.516</v>
      </c>
      <c r="M4848" s="471">
        <f t="shared" si="194"/>
        <v>0.05</v>
      </c>
      <c r="N4848" s="475">
        <f t="shared" si="195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93"/>
        <v>-95266191533274.516</v>
      </c>
      <c r="J4849" s="455">
        <f t="array" ref="J4849">IFERROR(INDEX('Retirement Calculator'!J:J,MATCH('Isaac 401k'!N4849,'Retirement Calculator'!A:A,0),0),0)</f>
        <v>0</v>
      </c>
      <c r="K4849" s="455">
        <f t="shared" ca="1" si="191"/>
        <v>-396942464721.97717</v>
      </c>
      <c r="L4849" s="455">
        <f t="shared" ca="1" si="192"/>
        <v>-95663133997996.5</v>
      </c>
      <c r="M4849" s="471">
        <f t="shared" si="194"/>
        <v>0.05</v>
      </c>
      <c r="N4849" s="475">
        <f t="shared" si="195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93"/>
        <v>-95663133997996.5</v>
      </c>
      <c r="J4850" s="455">
        <f t="array" ref="J4850">IFERROR(INDEX('Retirement Calculator'!J:J,MATCH('Isaac 401k'!N4850,'Retirement Calculator'!A:A,0),0),0)</f>
        <v>0</v>
      </c>
      <c r="K4850" s="455">
        <f t="shared" ca="1" si="191"/>
        <v>-398596391658.31873</v>
      </c>
      <c r="L4850" s="455">
        <f t="shared" ca="1" si="192"/>
        <v>-96061730389654.813</v>
      </c>
      <c r="M4850" s="471">
        <f t="shared" si="194"/>
        <v>0.05</v>
      </c>
      <c r="N4850" s="475">
        <f t="shared" si="195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93"/>
        <v>-96061730389654.813</v>
      </c>
      <c r="J4851" s="455">
        <f t="array" ref="J4851">IFERROR(INDEX('Retirement Calculator'!J:J,MATCH('Isaac 401k'!N4851,'Retirement Calculator'!A:A,0),0),0)</f>
        <v>0</v>
      </c>
      <c r="K4851" s="455">
        <f t="shared" ca="1" si="191"/>
        <v>-400257209956.89502</v>
      </c>
      <c r="L4851" s="455">
        <f t="shared" ca="1" si="192"/>
        <v>-96461987599611.703</v>
      </c>
      <c r="M4851" s="471">
        <f t="shared" si="194"/>
        <v>0.05</v>
      </c>
      <c r="N4851" s="475">
        <f t="shared" si="195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93"/>
        <v>-96461987599611.703</v>
      </c>
      <c r="J4852" s="455">
        <f t="array" ref="J4852">IFERROR(INDEX('Retirement Calculator'!J:J,MATCH('Isaac 401k'!N4852,'Retirement Calculator'!A:A,0),0),0)</f>
        <v>0</v>
      </c>
      <c r="K4852" s="455">
        <f t="shared" ca="1" si="191"/>
        <v>-401924948331.71545</v>
      </c>
      <c r="L4852" s="455">
        <f t="shared" ca="1" si="192"/>
        <v>-96863912547943.422</v>
      </c>
      <c r="M4852" s="471">
        <f t="shared" si="194"/>
        <v>0.05</v>
      </c>
      <c r="N4852" s="475">
        <f t="shared" si="195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93"/>
        <v>-96863912547943.422</v>
      </c>
      <c r="J4853" s="455">
        <f t="array" ref="J4853">IFERROR(INDEX('Retirement Calculator'!J:J,MATCH('Isaac 401k'!N4853,'Retirement Calculator'!A:A,0),0),0)</f>
        <v>0</v>
      </c>
      <c r="K4853" s="455">
        <f t="shared" ref="K4853:K5107" ca="1" si="196">IPMT(M4853/12,1,12,-I4853+J4853,,0)</f>
        <v>-403599635616.43091</v>
      </c>
      <c r="L4853" s="455">
        <f t="shared" ref="L4853:L5107" ca="1" si="197">I4853-J4853+K4853</f>
        <v>-97267512183559.859</v>
      </c>
      <c r="M4853" s="471">
        <f t="shared" si="194"/>
        <v>0.05</v>
      </c>
      <c r="N4853" s="475">
        <f t="shared" si="195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98">L4853</f>
        <v>-97267512183559.859</v>
      </c>
      <c r="J4854" s="455">
        <f t="array" ref="J4854">IFERROR(INDEX('Retirement Calculator'!J:J,MATCH('Isaac 401k'!N4854,'Retirement Calculator'!A:A,0),0),0)</f>
        <v>0</v>
      </c>
      <c r="K4854" s="455">
        <f t="shared" ca="1" si="196"/>
        <v>-405281300764.83276</v>
      </c>
      <c r="L4854" s="455">
        <f t="shared" ca="1" si="197"/>
        <v>-97672793484324.688</v>
      </c>
      <c r="M4854" s="471">
        <f t="shared" ref="M4854:M5108" si="199">M4853</f>
        <v>0.05</v>
      </c>
      <c r="N4854" s="475">
        <f t="shared" ref="N4854:N5108" si="200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98"/>
        <v>-97672793484324.688</v>
      </c>
      <c r="J4855" s="455">
        <f t="array" ref="J4855">IFERROR(INDEX('Retirement Calculator'!J:J,MATCH('Isaac 401k'!N4855,'Retirement Calculator'!A:A,0),0),0)</f>
        <v>0</v>
      </c>
      <c r="K4855" s="455">
        <f t="shared" ca="1" si="196"/>
        <v>-406969972851.35284</v>
      </c>
      <c r="L4855" s="455">
        <f t="shared" ca="1" si="197"/>
        <v>-98079763457176.047</v>
      </c>
      <c r="M4855" s="471">
        <f t="shared" si="199"/>
        <v>0.05</v>
      </c>
      <c r="N4855" s="475">
        <f t="shared" si="200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98"/>
        <v>-98079763457176.047</v>
      </c>
      <c r="J4856" s="455">
        <f t="array" ref="J4856">IFERROR(INDEX('Retirement Calculator'!J:J,MATCH('Isaac 401k'!N4856,'Retirement Calculator'!A:A,0),0),0)</f>
        <v>0</v>
      </c>
      <c r="K4856" s="455">
        <f t="shared" ca="1" si="196"/>
        <v>-408665681071.56683</v>
      </c>
      <c r="L4856" s="455">
        <f t="shared" ca="1" si="197"/>
        <v>-98488429138247.609</v>
      </c>
      <c r="M4856" s="471">
        <f t="shared" si="199"/>
        <v>0.05</v>
      </c>
      <c r="N4856" s="475">
        <f t="shared" si="200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98"/>
        <v>-98488429138247.609</v>
      </c>
      <c r="J4857" s="455">
        <f t="array" ref="J4857">IFERROR(INDEX('Retirement Calculator'!J:J,MATCH('Isaac 401k'!N4857,'Retirement Calculator'!A:A,0),0),0)</f>
        <v>0</v>
      </c>
      <c r="K4857" s="455">
        <f t="shared" ca="1" si="196"/>
        <v>-410368454742.69836</v>
      </c>
      <c r="L4857" s="455">
        <f t="shared" ca="1" si="197"/>
        <v>-98898797592990.313</v>
      </c>
      <c r="M4857" s="471">
        <f t="shared" si="199"/>
        <v>0.05</v>
      </c>
      <c r="N4857" s="475">
        <f t="shared" si="200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98"/>
        <v>-98898797592990.313</v>
      </c>
      <c r="J4858" s="455">
        <f t="array" ref="J4858">IFERROR(INDEX('Retirement Calculator'!J:J,MATCH('Isaac 401k'!N4858,'Retirement Calculator'!A:A,0),0),0)</f>
        <v>0</v>
      </c>
      <c r="K4858" s="455">
        <f t="shared" ca="1" si="196"/>
        <v>-412078323304.12628</v>
      </c>
      <c r="L4858" s="455">
        <f t="shared" ca="1" si="197"/>
        <v>-99310875916294.438</v>
      </c>
      <c r="M4858" s="471">
        <f t="shared" si="199"/>
        <v>0.05</v>
      </c>
      <c r="N4858" s="475">
        <f t="shared" si="200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98"/>
        <v>-99310875916294.438</v>
      </c>
      <c r="J4859" s="455">
        <f t="array" ref="J4859">IFERROR(INDEX('Retirement Calculator'!J:J,MATCH('Isaac 401k'!N4859,'Retirement Calculator'!A:A,0),0),0)</f>
        <v>0</v>
      </c>
      <c r="K4859" s="455">
        <f t="shared" ca="1" si="196"/>
        <v>-413795316317.89349</v>
      </c>
      <c r="L4859" s="455">
        <f t="shared" ca="1" si="197"/>
        <v>-99724671232612.328</v>
      </c>
      <c r="M4859" s="471">
        <f t="shared" si="199"/>
        <v>0.05</v>
      </c>
      <c r="N4859" s="475">
        <f t="shared" si="200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98"/>
        <v>-99724671232612.328</v>
      </c>
      <c r="J4860" s="455">
        <f t="array" ref="J4860">IFERROR(INDEX('Retirement Calculator'!J:J,MATCH('Isaac 401k'!N4860,'Retirement Calculator'!A:A,0),0),0)</f>
        <v>0</v>
      </c>
      <c r="K4860" s="455">
        <f t="shared" ca="1" si="196"/>
        <v>-415519463469.21802</v>
      </c>
      <c r="L4860" s="455">
        <f t="shared" ca="1" si="197"/>
        <v>-100140190696081.55</v>
      </c>
      <c r="M4860" s="471">
        <f t="shared" si="199"/>
        <v>0.05</v>
      </c>
      <c r="N4860" s="475">
        <f t="shared" si="200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98"/>
        <v>-100140190696081.55</v>
      </c>
      <c r="J4861" s="455">
        <f t="array" ref="J4861">IFERROR(INDEX('Retirement Calculator'!J:J,MATCH('Isaac 401k'!N4861,'Retirement Calculator'!A:A,0),0),0)</f>
        <v>0</v>
      </c>
      <c r="K4861" s="455">
        <f t="shared" ca="1" si="196"/>
        <v>-417250794567.00647</v>
      </c>
      <c r="L4861" s="455">
        <f t="shared" ca="1" si="197"/>
        <v>-100557441490648.55</v>
      </c>
      <c r="M4861" s="471">
        <f t="shared" si="199"/>
        <v>0.05</v>
      </c>
      <c r="N4861" s="475">
        <f t="shared" si="200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98"/>
        <v>-100557441490648.55</v>
      </c>
      <c r="J4862" s="455">
        <f t="array" ref="J4862">IFERROR(INDEX('Retirement Calculator'!J:J,MATCH('Isaac 401k'!N4862,'Retirement Calculator'!A:A,0),0),0)</f>
        <v>0</v>
      </c>
      <c r="K4862" s="455">
        <f t="shared" ca="1" si="196"/>
        <v>-418989339544.36896</v>
      </c>
      <c r="L4862" s="455">
        <f t="shared" ca="1" si="197"/>
        <v>-100976430830192.92</v>
      </c>
      <c r="M4862" s="471">
        <f t="shared" si="199"/>
        <v>0.05</v>
      </c>
      <c r="N4862" s="475">
        <f t="shared" si="200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98"/>
        <v>-100976430830192.92</v>
      </c>
      <c r="J4863" s="455">
        <f t="array" ref="J4863">IFERROR(INDEX('Retirement Calculator'!J:J,MATCH('Isaac 401k'!N4863,'Retirement Calculator'!A:A,0),0),0)</f>
        <v>0</v>
      </c>
      <c r="K4863" s="455">
        <f t="shared" ca="1" si="196"/>
        <v>-420735128459.13715</v>
      </c>
      <c r="L4863" s="455">
        <f t="shared" ca="1" si="197"/>
        <v>-101397165958652.06</v>
      </c>
      <c r="M4863" s="471">
        <f t="shared" si="199"/>
        <v>0.05</v>
      </c>
      <c r="N4863" s="475">
        <f t="shared" si="200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98"/>
        <v>-101397165958652.06</v>
      </c>
      <c r="J4864" s="455">
        <f t="array" ref="J4864">IFERROR(INDEX('Retirement Calculator'!J:J,MATCH('Isaac 401k'!N4864,'Retirement Calculator'!A:A,0),0),0)</f>
        <v>0</v>
      </c>
      <c r="K4864" s="455">
        <f t="shared" ca="1" si="196"/>
        <v>-422488191494.38361</v>
      </c>
      <c r="L4864" s="455">
        <f t="shared" ca="1" si="197"/>
        <v>-101819654150146.45</v>
      </c>
      <c r="M4864" s="471">
        <f t="shared" si="199"/>
        <v>0.05</v>
      </c>
      <c r="N4864" s="475">
        <f t="shared" si="200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98"/>
        <v>-101819654150146.45</v>
      </c>
      <c r="J4865" s="455">
        <f t="array" ref="J4865">IFERROR(INDEX('Retirement Calculator'!J:J,MATCH('Isaac 401k'!N4865,'Retirement Calculator'!A:A,0),0),0)</f>
        <v>0</v>
      </c>
      <c r="K4865" s="455">
        <f t="shared" ca="1" si="196"/>
        <v>-424248558958.94354</v>
      </c>
      <c r="L4865" s="455">
        <f t="shared" ca="1" si="197"/>
        <v>-102243902709105.39</v>
      </c>
      <c r="M4865" s="471">
        <f t="shared" si="199"/>
        <v>0.05</v>
      </c>
      <c r="N4865" s="475">
        <f t="shared" si="200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98"/>
        <v>-102243902709105.39</v>
      </c>
      <c r="J4866" s="455">
        <f t="array" ref="J4866">IFERROR(INDEX('Retirement Calculator'!J:J,MATCH('Isaac 401k'!N4866,'Retirement Calculator'!A:A,0),0),0)</f>
        <v>0</v>
      </c>
      <c r="K4866" s="455">
        <f t="shared" ca="1" si="196"/>
        <v>-426016261287.93915</v>
      </c>
      <c r="L4866" s="455">
        <f t="shared" ca="1" si="197"/>
        <v>-102669918970393.33</v>
      </c>
      <c r="M4866" s="471">
        <f t="shared" si="199"/>
        <v>0.05</v>
      </c>
      <c r="N4866" s="475">
        <f t="shared" si="200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98"/>
        <v>-102669918970393.33</v>
      </c>
      <c r="J4867" s="455">
        <f t="array" ref="J4867">IFERROR(INDEX('Retirement Calculator'!J:J,MATCH('Isaac 401k'!N4867,'Retirement Calculator'!A:A,0),0),0)</f>
        <v>0</v>
      </c>
      <c r="K4867" s="455">
        <f t="shared" ca="1" si="196"/>
        <v>-427791329043.30554</v>
      </c>
      <c r="L4867" s="455">
        <f t="shared" ca="1" si="197"/>
        <v>-103097710299436.64</v>
      </c>
      <c r="M4867" s="471">
        <f t="shared" si="199"/>
        <v>0.05</v>
      </c>
      <c r="N4867" s="475">
        <f t="shared" si="200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98"/>
        <v>-103097710299436.64</v>
      </c>
      <c r="J4868" s="455">
        <f t="array" ref="J4868">IFERROR(INDEX('Retirement Calculator'!J:J,MATCH('Isaac 401k'!N4868,'Retirement Calculator'!A:A,0),0),0)</f>
        <v>0</v>
      </c>
      <c r="K4868" s="455">
        <f t="shared" ca="1" si="196"/>
        <v>-429573792914.31934</v>
      </c>
      <c r="L4868" s="455">
        <f t="shared" ca="1" si="197"/>
        <v>-103527284092350.95</v>
      </c>
      <c r="M4868" s="471">
        <f t="shared" si="199"/>
        <v>0.05</v>
      </c>
      <c r="N4868" s="475">
        <f t="shared" si="200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98"/>
        <v>-103527284092350.95</v>
      </c>
      <c r="J4869" s="455">
        <f t="array" ref="J4869">IFERROR(INDEX('Retirement Calculator'!J:J,MATCH('Isaac 401k'!N4869,'Retirement Calculator'!A:A,0),0),0)</f>
        <v>0</v>
      </c>
      <c r="K4869" s="455">
        <f t="shared" ca="1" si="196"/>
        <v>-431363683718.12897</v>
      </c>
      <c r="L4869" s="455">
        <f t="shared" ca="1" si="197"/>
        <v>-103958647776069.08</v>
      </c>
      <c r="M4869" s="471">
        <f t="shared" si="199"/>
        <v>0.05</v>
      </c>
      <c r="N4869" s="475">
        <f t="shared" si="200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98"/>
        <v>-103958647776069.08</v>
      </c>
      <c r="J4870" s="455">
        <f t="array" ref="J4870">IFERROR(INDEX('Retirement Calculator'!J:J,MATCH('Isaac 401k'!N4870,'Retirement Calculator'!A:A,0),0),0)</f>
        <v>0</v>
      </c>
      <c r="K4870" s="455">
        <f t="shared" ca="1" si="196"/>
        <v>-433161032400.28784</v>
      </c>
      <c r="L4870" s="455">
        <f t="shared" ca="1" si="197"/>
        <v>-104391808808469.36</v>
      </c>
      <c r="M4870" s="471">
        <f t="shared" si="199"/>
        <v>0.05</v>
      </c>
      <c r="N4870" s="475">
        <f t="shared" si="200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98"/>
        <v>-104391808808469.36</v>
      </c>
      <c r="J4871" s="455">
        <f t="array" ref="J4871">IFERROR(INDEX('Retirement Calculator'!J:J,MATCH('Isaac 401k'!N4871,'Retirement Calculator'!A:A,0),0),0)</f>
        <v>0</v>
      </c>
      <c r="K4871" s="455">
        <f t="shared" ca="1" si="196"/>
        <v>-434965870035.289</v>
      </c>
      <c r="L4871" s="455">
        <f t="shared" ca="1" si="197"/>
        <v>-104826774678504.64</v>
      </c>
      <c r="M4871" s="471">
        <f t="shared" si="199"/>
        <v>0.05</v>
      </c>
      <c r="N4871" s="475">
        <f t="shared" si="200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98"/>
        <v>-104826774678504.64</v>
      </c>
      <c r="J4872" s="455">
        <f t="array" ref="J4872">IFERROR(INDEX('Retirement Calculator'!J:J,MATCH('Isaac 401k'!N4872,'Retirement Calculator'!A:A,0),0),0)</f>
        <v>0</v>
      </c>
      <c r="K4872" s="455">
        <f t="shared" ca="1" si="196"/>
        <v>-436778227827.10266</v>
      </c>
      <c r="L4872" s="455">
        <f t="shared" ca="1" si="197"/>
        <v>-105263552906331.75</v>
      </c>
      <c r="M4872" s="471">
        <f t="shared" si="199"/>
        <v>0.05</v>
      </c>
      <c r="N4872" s="475">
        <f t="shared" si="200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98"/>
        <v>-105263552906331.75</v>
      </c>
      <c r="J4873" s="455">
        <f t="array" ref="J4873">IFERROR(INDEX('Retirement Calculator'!J:J,MATCH('Isaac 401k'!N4873,'Retirement Calculator'!A:A,0),0),0)</f>
        <v>0</v>
      </c>
      <c r="K4873" s="455">
        <f t="shared" ca="1" si="196"/>
        <v>-438598137109.71564</v>
      </c>
      <c r="L4873" s="455">
        <f t="shared" ca="1" si="197"/>
        <v>-105702151043441.47</v>
      </c>
      <c r="M4873" s="471">
        <f t="shared" si="199"/>
        <v>0.05</v>
      </c>
      <c r="N4873" s="475">
        <f t="shared" si="200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98"/>
        <v>-105702151043441.47</v>
      </c>
      <c r="J4874" s="455">
        <f t="array" ref="J4874">IFERROR(INDEX('Retirement Calculator'!J:J,MATCH('Isaac 401k'!N4874,'Retirement Calculator'!A:A,0),0),0)</f>
        <v>0</v>
      </c>
      <c r="K4874" s="455">
        <f t="shared" ca="1" si="196"/>
        <v>-440425629347.67279</v>
      </c>
      <c r="L4874" s="455">
        <f t="shared" ca="1" si="197"/>
        <v>-106142576672789.14</v>
      </c>
      <c r="M4874" s="471">
        <f t="shared" si="199"/>
        <v>0.05</v>
      </c>
      <c r="N4874" s="475">
        <f t="shared" si="200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98"/>
        <v>-106142576672789.14</v>
      </c>
      <c r="J4875" s="455">
        <f t="array" ref="J4875">IFERROR(INDEX('Retirement Calculator'!J:J,MATCH('Isaac 401k'!N4875,'Retirement Calculator'!A:A,0),0),0)</f>
        <v>0</v>
      </c>
      <c r="K4875" s="455">
        <f t="shared" ca="1" si="196"/>
        <v>-442260736136.6214</v>
      </c>
      <c r="L4875" s="455">
        <f t="shared" ca="1" si="197"/>
        <v>-106584837408925.77</v>
      </c>
      <c r="M4875" s="471">
        <f t="shared" si="199"/>
        <v>0.05</v>
      </c>
      <c r="N4875" s="475">
        <f t="shared" si="200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98"/>
        <v>-106584837408925.77</v>
      </c>
      <c r="J4876" s="455">
        <f t="array" ref="J4876">IFERROR(INDEX('Retirement Calculator'!J:J,MATCH('Isaac 401k'!N4876,'Retirement Calculator'!A:A,0),0),0)</f>
        <v>0</v>
      </c>
      <c r="K4876" s="455">
        <f t="shared" ca="1" si="196"/>
        <v>-444103489203.85736</v>
      </c>
      <c r="L4876" s="455">
        <f t="shared" ca="1" si="197"/>
        <v>-107028940898129.63</v>
      </c>
      <c r="M4876" s="471">
        <f t="shared" si="199"/>
        <v>0.05</v>
      </c>
      <c r="N4876" s="475">
        <f t="shared" si="200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98"/>
        <v>-107028940898129.63</v>
      </c>
      <c r="J4877" s="455">
        <f t="array" ref="J4877">IFERROR(INDEX('Retirement Calculator'!J:J,MATCH('Isaac 401k'!N4877,'Retirement Calculator'!A:A,0),0),0)</f>
        <v>0</v>
      </c>
      <c r="K4877" s="455">
        <f t="shared" ca="1" si="196"/>
        <v>-445953920408.87341</v>
      </c>
      <c r="L4877" s="455">
        <f t="shared" ca="1" si="197"/>
        <v>-107474894818538.5</v>
      </c>
      <c r="M4877" s="471">
        <f t="shared" si="199"/>
        <v>0.05</v>
      </c>
      <c r="N4877" s="475">
        <f t="shared" si="200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98"/>
        <v>-107474894818538.5</v>
      </c>
      <c r="J4878" s="455">
        <f t="array" ref="J4878">IFERROR(INDEX('Retirement Calculator'!J:J,MATCH('Isaac 401k'!N4878,'Retirement Calculator'!A:A,0),0),0)</f>
        <v>0</v>
      </c>
      <c r="K4878" s="455">
        <f t="shared" ca="1" si="196"/>
        <v>-447812061743.9104</v>
      </c>
      <c r="L4878" s="455">
        <f t="shared" ca="1" si="197"/>
        <v>-107922706880282.41</v>
      </c>
      <c r="M4878" s="471">
        <f t="shared" si="199"/>
        <v>0.05</v>
      </c>
      <c r="N4878" s="475">
        <f t="shared" si="200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98"/>
        <v>-107922706880282.41</v>
      </c>
      <c r="J4879" s="455">
        <f t="array" ref="J4879">IFERROR(INDEX('Retirement Calculator'!J:J,MATCH('Isaac 401k'!N4879,'Retirement Calculator'!A:A,0),0),0)</f>
        <v>0</v>
      </c>
      <c r="K4879" s="455">
        <f t="shared" ca="1" si="196"/>
        <v>-449677945334.51001</v>
      </c>
      <c r="L4879" s="455">
        <f t="shared" ca="1" si="197"/>
        <v>-108372384825616.92</v>
      </c>
      <c r="M4879" s="471">
        <f t="shared" si="199"/>
        <v>0.05</v>
      </c>
      <c r="N4879" s="475">
        <f t="shared" si="200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98"/>
        <v>-108372384825616.92</v>
      </c>
      <c r="J4880" s="455">
        <f t="array" ref="J4880">IFERROR(INDEX('Retirement Calculator'!J:J,MATCH('Isaac 401k'!N4880,'Retirement Calculator'!A:A,0),0),0)</f>
        <v>0</v>
      </c>
      <c r="K4880" s="455">
        <f t="shared" ca="1" si="196"/>
        <v>-451551603440.0705</v>
      </c>
      <c r="L4880" s="455">
        <f t="shared" ca="1" si="197"/>
        <v>-108823936429057</v>
      </c>
      <c r="M4880" s="471">
        <f t="shared" si="199"/>
        <v>0.05</v>
      </c>
      <c r="N4880" s="475">
        <f t="shared" si="200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98"/>
        <v>-108823936429057</v>
      </c>
      <c r="J4881" s="455">
        <f t="array" ref="J4881">IFERROR(INDEX('Retirement Calculator'!J:J,MATCH('Isaac 401k'!N4881,'Retirement Calculator'!A:A,0),0),0)</f>
        <v>0</v>
      </c>
      <c r="K4881" s="455">
        <f t="shared" ca="1" si="196"/>
        <v>-453433068454.40417</v>
      </c>
      <c r="L4881" s="455">
        <f t="shared" ca="1" si="197"/>
        <v>-109277369497511.41</v>
      </c>
      <c r="M4881" s="471">
        <f t="shared" si="199"/>
        <v>0.05</v>
      </c>
      <c r="N4881" s="475">
        <f t="shared" si="200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98"/>
        <v>-109277369497511.41</v>
      </c>
      <c r="J4882" s="455">
        <f t="array" ref="J4882">IFERROR(INDEX('Retirement Calculator'!J:J,MATCH('Isaac 401k'!N4882,'Retirement Calculator'!A:A,0),0),0)</f>
        <v>0</v>
      </c>
      <c r="K4882" s="455">
        <f t="shared" ca="1" si="196"/>
        <v>-455322372906.29755</v>
      </c>
      <c r="L4882" s="455">
        <f t="shared" ca="1" si="197"/>
        <v>-109732691870417.7</v>
      </c>
      <c r="M4882" s="471">
        <f t="shared" si="199"/>
        <v>0.05</v>
      </c>
      <c r="N4882" s="475">
        <f t="shared" si="200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98"/>
        <v>-109732691870417.7</v>
      </c>
      <c r="J4883" s="455">
        <f t="array" ref="J4883">IFERROR(INDEX('Retirement Calculator'!J:J,MATCH('Isaac 401k'!N4883,'Retirement Calculator'!A:A,0),0),0)</f>
        <v>0</v>
      </c>
      <c r="K4883" s="455">
        <f t="shared" ca="1" si="196"/>
        <v>-457219549460.07373</v>
      </c>
      <c r="L4883" s="455">
        <f t="shared" ca="1" si="197"/>
        <v>-110189911419877.78</v>
      </c>
      <c r="M4883" s="471">
        <f t="shared" si="199"/>
        <v>0.05</v>
      </c>
      <c r="N4883" s="475">
        <f t="shared" si="200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98"/>
        <v>-110189911419877.78</v>
      </c>
      <c r="J4884" s="455">
        <f t="array" ref="J4884">IFERROR(INDEX('Retirement Calculator'!J:J,MATCH('Isaac 401k'!N4884,'Retirement Calculator'!A:A,0),0),0)</f>
        <v>0</v>
      </c>
      <c r="K4884" s="455">
        <f t="shared" ca="1" si="196"/>
        <v>-459124630916.15741</v>
      </c>
      <c r="L4884" s="455">
        <f t="shared" ca="1" si="197"/>
        <v>-110649036050793.94</v>
      </c>
      <c r="M4884" s="471">
        <f t="shared" si="199"/>
        <v>0.05</v>
      </c>
      <c r="N4884" s="475">
        <f t="shared" si="200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98"/>
        <v>-110649036050793.94</v>
      </c>
      <c r="J4885" s="455">
        <f t="array" ref="J4885">IFERROR(INDEX('Retirement Calculator'!J:J,MATCH('Isaac 401k'!N4885,'Retirement Calculator'!A:A,0),0),0)</f>
        <v>0</v>
      </c>
      <c r="K4885" s="455">
        <f t="shared" ca="1" si="196"/>
        <v>-461037650211.64142</v>
      </c>
      <c r="L4885" s="455">
        <f t="shared" ca="1" si="197"/>
        <v>-111110073701005.58</v>
      </c>
      <c r="M4885" s="471">
        <f t="shared" si="199"/>
        <v>0.05</v>
      </c>
      <c r="N4885" s="475">
        <f t="shared" si="200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98"/>
        <v>-111110073701005.58</v>
      </c>
      <c r="J4886" s="455">
        <f t="array" ref="J4886">IFERROR(INDEX('Retirement Calculator'!J:J,MATCH('Isaac 401k'!N4886,'Retirement Calculator'!A:A,0),0),0)</f>
        <v>0</v>
      </c>
      <c r="K4886" s="455">
        <f t="shared" ca="1" si="196"/>
        <v>-462958640420.85657</v>
      </c>
      <c r="L4886" s="455">
        <f t="shared" ca="1" si="197"/>
        <v>-111573032341426.44</v>
      </c>
      <c r="M4886" s="471">
        <f t="shared" si="199"/>
        <v>0.05</v>
      </c>
      <c r="N4886" s="475">
        <f t="shared" si="200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98"/>
        <v>-111573032341426.44</v>
      </c>
      <c r="J4887" s="455">
        <f t="array" ref="J4887">IFERROR(INDEX('Retirement Calculator'!J:J,MATCH('Isaac 401k'!N4887,'Retirement Calculator'!A:A,0),0),0)</f>
        <v>0</v>
      </c>
      <c r="K4887" s="455">
        <f t="shared" ca="1" si="196"/>
        <v>-464887634755.94354</v>
      </c>
      <c r="L4887" s="455">
        <f t="shared" ca="1" si="197"/>
        <v>-112037919976182.38</v>
      </c>
      <c r="M4887" s="471">
        <f t="shared" si="199"/>
        <v>0.05</v>
      </c>
      <c r="N4887" s="475">
        <f t="shared" si="200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98"/>
        <v>-112037919976182.38</v>
      </c>
      <c r="J4888" s="455">
        <f t="array" ref="J4888">IFERROR(INDEX('Retirement Calculator'!J:J,MATCH('Isaac 401k'!N4888,'Retirement Calculator'!A:A,0),0),0)</f>
        <v>0</v>
      </c>
      <c r="K4888" s="455">
        <f t="shared" ca="1" si="196"/>
        <v>-466824666567.42657</v>
      </c>
      <c r="L4888" s="455">
        <f t="shared" ca="1" si="197"/>
        <v>-112504744642749.8</v>
      </c>
      <c r="M4888" s="471">
        <f t="shared" si="199"/>
        <v>0.05</v>
      </c>
      <c r="N4888" s="475">
        <f t="shared" si="200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98"/>
        <v>-112504744642749.8</v>
      </c>
      <c r="J4889" s="455">
        <f t="array" ref="J4889">IFERROR(INDEX('Retirement Calculator'!J:J,MATCH('Isaac 401k'!N4889,'Retirement Calculator'!A:A,0),0),0)</f>
        <v>0</v>
      </c>
      <c r="K4889" s="455">
        <f t="shared" ca="1" si="196"/>
        <v>-468769769344.79083</v>
      </c>
      <c r="L4889" s="455">
        <f t="shared" ca="1" si="197"/>
        <v>-112973514412094.59</v>
      </c>
      <c r="M4889" s="471">
        <f t="shared" si="199"/>
        <v>0.05</v>
      </c>
      <c r="N4889" s="475">
        <f t="shared" si="200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98"/>
        <v>-112973514412094.59</v>
      </c>
      <c r="J4890" s="455">
        <f t="array" ref="J4890">IFERROR(INDEX('Retirement Calculator'!J:J,MATCH('Isaac 401k'!N4890,'Retirement Calculator'!A:A,0),0),0)</f>
        <v>0</v>
      </c>
      <c r="K4890" s="455">
        <f t="shared" ca="1" si="196"/>
        <v>-470722976717.06079</v>
      </c>
      <c r="L4890" s="455">
        <f t="shared" ca="1" si="197"/>
        <v>-113444237388811.66</v>
      </c>
      <c r="M4890" s="471">
        <f t="shared" si="199"/>
        <v>0.05</v>
      </c>
      <c r="N4890" s="475">
        <f t="shared" si="200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98"/>
        <v>-113444237388811.66</v>
      </c>
      <c r="J4891" s="455">
        <f t="array" ref="J4891">IFERROR(INDEX('Retirement Calculator'!J:J,MATCH('Isaac 401k'!N4891,'Retirement Calculator'!A:A,0),0),0)</f>
        <v>0</v>
      </c>
      <c r="K4891" s="455">
        <f t="shared" ca="1" si="196"/>
        <v>-472684322453.3819</v>
      </c>
      <c r="L4891" s="455">
        <f t="shared" ca="1" si="197"/>
        <v>-113916921711265.03</v>
      </c>
      <c r="M4891" s="471">
        <f t="shared" si="199"/>
        <v>0.05</v>
      </c>
      <c r="N4891" s="475">
        <f t="shared" si="200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98"/>
        <v>-113916921711265.03</v>
      </c>
      <c r="J4892" s="455">
        <f t="array" ref="J4892">IFERROR(INDEX('Retirement Calculator'!J:J,MATCH('Isaac 401k'!N4892,'Retirement Calculator'!A:A,0),0),0)</f>
        <v>0</v>
      </c>
      <c r="K4892" s="455">
        <f t="shared" ca="1" si="196"/>
        <v>-474653840463.60431</v>
      </c>
      <c r="L4892" s="455">
        <f t="shared" ca="1" si="197"/>
        <v>-114391575551728.64</v>
      </c>
      <c r="M4892" s="471">
        <f t="shared" si="199"/>
        <v>0.05</v>
      </c>
      <c r="N4892" s="475">
        <f t="shared" si="200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98"/>
        <v>-114391575551728.64</v>
      </c>
      <c r="J4893" s="455">
        <f t="array" ref="J4893">IFERROR(INDEX('Retirement Calculator'!J:J,MATCH('Isaac 401k'!N4893,'Retirement Calculator'!A:A,0),0),0)</f>
        <v>0</v>
      </c>
      <c r="K4893" s="455">
        <f t="shared" ca="1" si="196"/>
        <v>-476631564798.86932</v>
      </c>
      <c r="L4893" s="455">
        <f t="shared" ca="1" si="197"/>
        <v>-114868207116527.52</v>
      </c>
      <c r="M4893" s="471">
        <f t="shared" si="199"/>
        <v>0.05</v>
      </c>
      <c r="N4893" s="475">
        <f t="shared" si="200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98"/>
        <v>-114868207116527.52</v>
      </c>
      <c r="J4894" s="455">
        <f t="array" ref="J4894">IFERROR(INDEX('Retirement Calculator'!J:J,MATCH('Isaac 401k'!N4894,'Retirement Calculator'!A:A,0),0),0)</f>
        <v>0</v>
      </c>
      <c r="K4894" s="455">
        <f t="shared" ca="1" si="196"/>
        <v>-478617529652.198</v>
      </c>
      <c r="L4894" s="455">
        <f t="shared" ca="1" si="197"/>
        <v>-115346824646179.72</v>
      </c>
      <c r="M4894" s="471">
        <f t="shared" si="199"/>
        <v>0.05</v>
      </c>
      <c r="N4894" s="475">
        <f t="shared" si="200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98"/>
        <v>-115346824646179.72</v>
      </c>
      <c r="J4895" s="455">
        <f t="array" ref="J4895">IFERROR(INDEX('Retirement Calculator'!J:J,MATCH('Isaac 401k'!N4895,'Retirement Calculator'!A:A,0),0),0)</f>
        <v>0</v>
      </c>
      <c r="K4895" s="455">
        <f t="shared" ca="1" si="196"/>
        <v>-480611769359.08215</v>
      </c>
      <c r="L4895" s="455">
        <f t="shared" ca="1" si="197"/>
        <v>-115827436415538.8</v>
      </c>
      <c r="M4895" s="471">
        <f t="shared" si="199"/>
        <v>0.05</v>
      </c>
      <c r="N4895" s="475">
        <f t="shared" si="200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98"/>
        <v>-115827436415538.8</v>
      </c>
      <c r="J4896" s="455">
        <f t="array" ref="J4896">IFERROR(INDEX('Retirement Calculator'!J:J,MATCH('Isaac 401k'!N4896,'Retirement Calculator'!A:A,0),0),0)</f>
        <v>0</v>
      </c>
      <c r="K4896" s="455">
        <f t="shared" ca="1" si="196"/>
        <v>-482614318398.07837</v>
      </c>
      <c r="L4896" s="455">
        <f t="shared" ca="1" si="197"/>
        <v>-116310050733936.88</v>
      </c>
      <c r="M4896" s="471">
        <f t="shared" si="199"/>
        <v>0.05</v>
      </c>
      <c r="N4896" s="475">
        <f t="shared" si="200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98"/>
        <v>-116310050733936.88</v>
      </c>
      <c r="J4897" s="455">
        <f t="array" ref="J4897">IFERROR(INDEX('Retirement Calculator'!J:J,MATCH('Isaac 401k'!N4897,'Retirement Calculator'!A:A,0),0),0)</f>
        <v>0</v>
      </c>
      <c r="K4897" s="455">
        <f t="shared" ca="1" si="196"/>
        <v>-484625211391.40369</v>
      </c>
      <c r="L4897" s="455">
        <f t="shared" ca="1" si="197"/>
        <v>-116794675945328.28</v>
      </c>
      <c r="M4897" s="471">
        <f t="shared" si="199"/>
        <v>0.05</v>
      </c>
      <c r="N4897" s="475">
        <f t="shared" si="200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98"/>
        <v>-116794675945328.28</v>
      </c>
      <c r="J4898" s="455">
        <f t="array" ref="J4898">IFERROR(INDEX('Retirement Calculator'!J:J,MATCH('Isaac 401k'!N4898,'Retirement Calculator'!A:A,0),0),0)</f>
        <v>0</v>
      </c>
      <c r="K4898" s="455">
        <f t="shared" ca="1" si="196"/>
        <v>-486644483105.53448</v>
      </c>
      <c r="L4898" s="455">
        <f t="shared" ca="1" si="197"/>
        <v>-117281320428433.81</v>
      </c>
      <c r="M4898" s="471">
        <f t="shared" si="199"/>
        <v>0.05</v>
      </c>
      <c r="N4898" s="475">
        <f t="shared" si="200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98"/>
        <v>-117281320428433.81</v>
      </c>
      <c r="J4899" s="455">
        <f t="array" ref="J4899">IFERROR(INDEX('Retirement Calculator'!J:J,MATCH('Isaac 401k'!N4899,'Retirement Calculator'!A:A,0),0),0)</f>
        <v>0</v>
      </c>
      <c r="K4899" s="455">
        <f t="shared" ca="1" si="196"/>
        <v>-488672168451.80756</v>
      </c>
      <c r="L4899" s="455">
        <f t="shared" ca="1" si="197"/>
        <v>-117769992596885.63</v>
      </c>
      <c r="M4899" s="471">
        <f t="shared" si="199"/>
        <v>0.05</v>
      </c>
      <c r="N4899" s="475">
        <f t="shared" si="200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98"/>
        <v>-117769992596885.63</v>
      </c>
      <c r="J4900" s="455">
        <f t="array" ref="J4900">IFERROR(INDEX('Retirement Calculator'!J:J,MATCH('Isaac 401k'!N4900,'Retirement Calculator'!A:A,0),0),0)</f>
        <v>0</v>
      </c>
      <c r="K4900" s="455">
        <f t="shared" ca="1" si="196"/>
        <v>-490708302487.0235</v>
      </c>
      <c r="L4900" s="455">
        <f t="shared" ca="1" si="197"/>
        <v>-118260700899372.66</v>
      </c>
      <c r="M4900" s="471">
        <f t="shared" si="199"/>
        <v>0.05</v>
      </c>
      <c r="N4900" s="475">
        <f t="shared" si="200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98"/>
        <v>-118260700899372.66</v>
      </c>
      <c r="J4901" s="455">
        <f t="array" ref="J4901">IFERROR(INDEX('Retirement Calculator'!J:J,MATCH('Isaac 401k'!N4901,'Retirement Calculator'!A:A,0),0),0)</f>
        <v>0</v>
      </c>
      <c r="K4901" s="455">
        <f t="shared" ca="1" si="196"/>
        <v>-492752920414.05267</v>
      </c>
      <c r="L4901" s="455">
        <f t="shared" ca="1" si="197"/>
        <v>-118753453819786.7</v>
      </c>
      <c r="M4901" s="471">
        <f t="shared" si="199"/>
        <v>0.05</v>
      </c>
      <c r="N4901" s="475">
        <f t="shared" si="200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98"/>
        <v>-118753453819786.7</v>
      </c>
      <c r="J4902" s="455">
        <f t="array" ref="J4902">IFERROR(INDEX('Retirement Calculator'!J:J,MATCH('Isaac 401k'!N4902,'Retirement Calculator'!A:A,0),0),0)</f>
        <v>0</v>
      </c>
      <c r="K4902" s="455">
        <f t="shared" ca="1" si="196"/>
        <v>-494806057582.44458</v>
      </c>
      <c r="L4902" s="455">
        <f t="shared" ca="1" si="197"/>
        <v>-119248259877369.14</v>
      </c>
      <c r="M4902" s="471">
        <f t="shared" si="199"/>
        <v>0.05</v>
      </c>
      <c r="N4902" s="475">
        <f t="shared" si="200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98"/>
        <v>-119248259877369.14</v>
      </c>
      <c r="J4903" s="455">
        <f t="array" ref="J4903">IFERROR(INDEX('Retirement Calculator'!J:J,MATCH('Isaac 401k'!N4903,'Retirement Calculator'!A:A,0),0),0)</f>
        <v>0</v>
      </c>
      <c r="K4903" s="455">
        <f t="shared" ca="1" si="196"/>
        <v>-496867749489.03815</v>
      </c>
      <c r="L4903" s="455">
        <f t="shared" ca="1" si="197"/>
        <v>-119745127626858.17</v>
      </c>
      <c r="M4903" s="471">
        <f t="shared" si="199"/>
        <v>0.05</v>
      </c>
      <c r="N4903" s="475">
        <f t="shared" si="200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98"/>
        <v>-119745127626858.17</v>
      </c>
      <c r="J4904" s="455">
        <f t="array" ref="J4904">IFERROR(INDEX('Retirement Calculator'!J:J,MATCH('Isaac 401k'!N4904,'Retirement Calculator'!A:A,0),0),0)</f>
        <v>0</v>
      </c>
      <c r="K4904" s="455">
        <f t="shared" ca="1" si="196"/>
        <v>-498938031778.57568</v>
      </c>
      <c r="L4904" s="455">
        <f t="shared" ca="1" si="197"/>
        <v>-120244065658636.75</v>
      </c>
      <c r="M4904" s="471">
        <f t="shared" si="199"/>
        <v>0.05</v>
      </c>
      <c r="N4904" s="475">
        <f t="shared" si="200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98"/>
        <v>-120244065658636.75</v>
      </c>
      <c r="J4905" s="455">
        <f t="array" ref="J4905">IFERROR(INDEX('Retirement Calculator'!J:J,MATCH('Isaac 401k'!N4905,'Retirement Calculator'!A:A,0),0),0)</f>
        <v>0</v>
      </c>
      <c r="K4905" s="455">
        <f t="shared" ca="1" si="196"/>
        <v>-501016940244.31976</v>
      </c>
      <c r="L4905" s="455">
        <f t="shared" ca="1" si="197"/>
        <v>-120745082598881.06</v>
      </c>
      <c r="M4905" s="471">
        <f t="shared" si="199"/>
        <v>0.05</v>
      </c>
      <c r="N4905" s="475">
        <f t="shared" si="200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98"/>
        <v>-120745082598881.06</v>
      </c>
      <c r="J4906" s="455">
        <f t="array" ref="J4906">IFERROR(INDEX('Retirement Calculator'!J:J,MATCH('Isaac 401k'!N4906,'Retirement Calculator'!A:A,0),0),0)</f>
        <v>0</v>
      </c>
      <c r="K4906" s="455">
        <f t="shared" ca="1" si="196"/>
        <v>-503104510828.67114</v>
      </c>
      <c r="L4906" s="455">
        <f t="shared" ca="1" si="197"/>
        <v>-121248187109709.73</v>
      </c>
      <c r="M4906" s="471">
        <f t="shared" si="199"/>
        <v>0.05</v>
      </c>
      <c r="N4906" s="475">
        <f t="shared" si="200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98"/>
        <v>-121248187109709.73</v>
      </c>
      <c r="J4907" s="455">
        <f t="array" ref="J4907">IFERROR(INDEX('Retirement Calculator'!J:J,MATCH('Isaac 401k'!N4907,'Retirement Calculator'!A:A,0),0),0)</f>
        <v>0</v>
      </c>
      <c r="K4907" s="455">
        <f t="shared" ca="1" si="196"/>
        <v>-505200779623.79053</v>
      </c>
      <c r="L4907" s="455">
        <f t="shared" ca="1" si="197"/>
        <v>-121753387889333.53</v>
      </c>
      <c r="M4907" s="471">
        <f t="shared" si="199"/>
        <v>0.05</v>
      </c>
      <c r="N4907" s="475">
        <f t="shared" si="200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98"/>
        <v>-121753387889333.53</v>
      </c>
      <c r="J4908" s="455">
        <f t="array" ref="J4908">IFERROR(INDEX('Retirement Calculator'!J:J,MATCH('Isaac 401k'!N4908,'Retirement Calculator'!A:A,0),0),0)</f>
        <v>0</v>
      </c>
      <c r="K4908" s="455">
        <f t="shared" ca="1" si="196"/>
        <v>-507305782872.22296</v>
      </c>
      <c r="L4908" s="455">
        <f t="shared" ca="1" si="197"/>
        <v>-122260693672205.75</v>
      </c>
      <c r="M4908" s="471">
        <f t="shared" si="199"/>
        <v>0.05</v>
      </c>
      <c r="N4908" s="475">
        <f t="shared" si="200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98"/>
        <v>-122260693672205.75</v>
      </c>
      <c r="J4909" s="455">
        <f t="array" ref="J4909">IFERROR(INDEX('Retirement Calculator'!J:J,MATCH('Isaac 401k'!N4909,'Retirement Calculator'!A:A,0),0),0)</f>
        <v>0</v>
      </c>
      <c r="K4909" s="455">
        <f t="shared" ca="1" si="196"/>
        <v>-509419556967.52393</v>
      </c>
      <c r="L4909" s="455">
        <f t="shared" ca="1" si="197"/>
        <v>-122770113229173.28</v>
      </c>
      <c r="M4909" s="471">
        <f t="shared" si="199"/>
        <v>0.05</v>
      </c>
      <c r="N4909" s="475">
        <f t="shared" si="200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98"/>
        <v>-122770113229173.28</v>
      </c>
      <c r="J4910" s="455">
        <f t="array" ref="J4910">IFERROR(INDEX('Retirement Calculator'!J:J,MATCH('Isaac 401k'!N4910,'Retirement Calculator'!A:A,0),0),0)</f>
        <v>0</v>
      </c>
      <c r="K4910" s="455">
        <f t="shared" ca="1" si="196"/>
        <v>-511542138454.88873</v>
      </c>
      <c r="L4910" s="455">
        <f t="shared" ca="1" si="197"/>
        <v>-123281655367628.17</v>
      </c>
      <c r="M4910" s="471">
        <f t="shared" si="199"/>
        <v>0.05</v>
      </c>
      <c r="N4910" s="475">
        <f t="shared" si="200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98"/>
        <v>-123281655367628.17</v>
      </c>
      <c r="J4911" s="455">
        <f t="array" ref="J4911">IFERROR(INDEX('Retirement Calculator'!J:J,MATCH('Isaac 401k'!N4911,'Retirement Calculator'!A:A,0),0),0)</f>
        <v>0</v>
      </c>
      <c r="K4911" s="455">
        <f t="shared" ca="1" si="196"/>
        <v>-513673564031.78412</v>
      </c>
      <c r="L4911" s="455">
        <f t="shared" ca="1" si="197"/>
        <v>-123795328931659.95</v>
      </c>
      <c r="M4911" s="471">
        <f t="shared" si="199"/>
        <v>0.05</v>
      </c>
      <c r="N4911" s="475">
        <f t="shared" si="200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98"/>
        <v>-123795328931659.95</v>
      </c>
      <c r="J4912" s="455">
        <f t="array" ref="J4912">IFERROR(INDEX('Retirement Calculator'!J:J,MATCH('Isaac 401k'!N4912,'Retirement Calculator'!A:A,0),0),0)</f>
        <v>0</v>
      </c>
      <c r="K4912" s="455">
        <f t="shared" ca="1" si="196"/>
        <v>-515813870548.58313</v>
      </c>
      <c r="L4912" s="455">
        <f t="shared" ca="1" si="197"/>
        <v>-124311142802208.53</v>
      </c>
      <c r="M4912" s="471">
        <f t="shared" si="199"/>
        <v>0.05</v>
      </c>
      <c r="N4912" s="475">
        <f t="shared" si="200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98"/>
        <v>-124311142802208.53</v>
      </c>
      <c r="J4913" s="455">
        <f t="array" ref="J4913">IFERROR(INDEX('Retirement Calculator'!J:J,MATCH('Isaac 401k'!N4913,'Retirement Calculator'!A:A,0),0),0)</f>
        <v>0</v>
      </c>
      <c r="K4913" s="455">
        <f t="shared" ca="1" si="196"/>
        <v>-517963095009.20221</v>
      </c>
      <c r="L4913" s="455">
        <f t="shared" ca="1" si="197"/>
        <v>-124829105897217.73</v>
      </c>
      <c r="M4913" s="471">
        <f t="shared" si="199"/>
        <v>0.05</v>
      </c>
      <c r="N4913" s="475">
        <f t="shared" si="200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98"/>
        <v>-124829105897217.73</v>
      </c>
      <c r="J4914" s="455">
        <f t="array" ref="J4914">IFERROR(INDEX('Retirement Calculator'!J:J,MATCH('Isaac 401k'!N4914,'Retirement Calculator'!A:A,0),0),0)</f>
        <v>0</v>
      </c>
      <c r="K4914" s="455">
        <f t="shared" ca="1" si="196"/>
        <v>-520121274571.74054</v>
      </c>
      <c r="L4914" s="455">
        <f t="shared" ca="1" si="197"/>
        <v>-125349227171789.47</v>
      </c>
      <c r="M4914" s="471">
        <f t="shared" si="199"/>
        <v>0.05</v>
      </c>
      <c r="N4914" s="475">
        <f t="shared" si="200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98"/>
        <v>-125349227171789.47</v>
      </c>
      <c r="J4915" s="455">
        <f t="array" ref="J4915">IFERROR(INDEX('Retirement Calculator'!J:J,MATCH('Isaac 401k'!N4915,'Retirement Calculator'!A:A,0),0),0)</f>
        <v>0</v>
      </c>
      <c r="K4915" s="455">
        <f t="shared" ca="1" si="196"/>
        <v>-522288446549.1228</v>
      </c>
      <c r="L4915" s="455">
        <f t="shared" ca="1" si="197"/>
        <v>-125871515618338.59</v>
      </c>
      <c r="M4915" s="471">
        <f t="shared" si="199"/>
        <v>0.05</v>
      </c>
      <c r="N4915" s="475">
        <f t="shared" si="200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98"/>
        <v>-125871515618338.59</v>
      </c>
      <c r="J4916" s="455">
        <f t="array" ref="J4916">IFERROR(INDEX('Retirement Calculator'!J:J,MATCH('Isaac 401k'!N4916,'Retirement Calculator'!A:A,0),0),0)</f>
        <v>0</v>
      </c>
      <c r="K4916" s="455">
        <f t="shared" ca="1" si="196"/>
        <v>-524464648409.74414</v>
      </c>
      <c r="L4916" s="455">
        <f t="shared" ca="1" si="197"/>
        <v>-126395980266748.34</v>
      </c>
      <c r="M4916" s="471">
        <f t="shared" si="199"/>
        <v>0.05</v>
      </c>
      <c r="N4916" s="475">
        <f t="shared" si="200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98"/>
        <v>-126395980266748.34</v>
      </c>
      <c r="J4917" s="455">
        <f t="array" ref="J4917">IFERROR(INDEX('Retirement Calculator'!J:J,MATCH('Isaac 401k'!N4917,'Retirement Calculator'!A:A,0),0),0)</f>
        <v>0</v>
      </c>
      <c r="K4917" s="455">
        <f t="shared" ca="1" si="196"/>
        <v>-526649917778.11816</v>
      </c>
      <c r="L4917" s="455">
        <f t="shared" ca="1" si="197"/>
        <v>-126922630184526.47</v>
      </c>
      <c r="M4917" s="471">
        <f t="shared" si="199"/>
        <v>0.05</v>
      </c>
      <c r="N4917" s="475">
        <f t="shared" si="200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98"/>
        <v>-126922630184526.47</v>
      </c>
      <c r="J4918" s="455">
        <f t="array" ref="J4918">IFERROR(INDEX('Retirement Calculator'!J:J,MATCH('Isaac 401k'!N4918,'Retirement Calculator'!A:A,0),0),0)</f>
        <v>0</v>
      </c>
      <c r="K4918" s="455">
        <f t="shared" ca="1" si="196"/>
        <v>-528844292435.52692</v>
      </c>
      <c r="L4918" s="455">
        <f t="shared" ca="1" si="197"/>
        <v>-127451474476962</v>
      </c>
      <c r="M4918" s="471">
        <f t="shared" si="199"/>
        <v>0.05</v>
      </c>
      <c r="N4918" s="475">
        <f t="shared" si="200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98"/>
        <v>-127451474476962</v>
      </c>
      <c r="J4919" s="455">
        <f t="array" ref="J4919">IFERROR(INDEX('Retirement Calculator'!J:J,MATCH('Isaac 401k'!N4919,'Retirement Calculator'!A:A,0),0),0)</f>
        <v>0</v>
      </c>
      <c r="K4919" s="455">
        <f t="shared" ca="1" si="196"/>
        <v>-531047810320.67505</v>
      </c>
      <c r="L4919" s="455">
        <f t="shared" ca="1" si="197"/>
        <v>-127982522287282.67</v>
      </c>
      <c r="M4919" s="471">
        <f t="shared" si="199"/>
        <v>0.05</v>
      </c>
      <c r="N4919" s="475">
        <f t="shared" si="200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98"/>
        <v>-127982522287282.67</v>
      </c>
      <c r="J4920" s="455">
        <f t="array" ref="J4920">IFERROR(INDEX('Retirement Calculator'!J:J,MATCH('Isaac 401k'!N4920,'Retirement Calculator'!A:A,0),0),0)</f>
        <v>0</v>
      </c>
      <c r="K4920" s="455">
        <f t="shared" ca="1" si="196"/>
        <v>-533260509530.34448</v>
      </c>
      <c r="L4920" s="455">
        <f t="shared" ca="1" si="197"/>
        <v>-128515782796813.02</v>
      </c>
      <c r="M4920" s="471">
        <f t="shared" si="199"/>
        <v>0.05</v>
      </c>
      <c r="N4920" s="475">
        <f t="shared" si="200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98"/>
        <v>-128515782796813.02</v>
      </c>
      <c r="J4921" s="455">
        <f t="array" ref="J4921">IFERROR(INDEX('Retirement Calculator'!J:J,MATCH('Isaac 401k'!N4921,'Retirement Calculator'!A:A,0),0),0)</f>
        <v>0</v>
      </c>
      <c r="K4921" s="455">
        <f t="shared" ca="1" si="196"/>
        <v>-535482428320.05414</v>
      </c>
      <c r="L4921" s="455">
        <f t="shared" ca="1" si="197"/>
        <v>-129051265225133.06</v>
      </c>
      <c r="M4921" s="471">
        <f t="shared" si="199"/>
        <v>0.05</v>
      </c>
      <c r="N4921" s="475">
        <f t="shared" si="200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98"/>
        <v>-129051265225133.06</v>
      </c>
      <c r="J4922" s="455">
        <f t="array" ref="J4922">IFERROR(INDEX('Retirement Calculator'!J:J,MATCH('Isaac 401k'!N4922,'Retirement Calculator'!A:A,0),0),0)</f>
        <v>0</v>
      </c>
      <c r="K4922" s="455">
        <f t="shared" ca="1" si="196"/>
        <v>-537713605104.72113</v>
      </c>
      <c r="L4922" s="455">
        <f t="shared" ca="1" si="197"/>
        <v>-129588978830237.78</v>
      </c>
      <c r="M4922" s="471">
        <f t="shared" si="199"/>
        <v>0.05</v>
      </c>
      <c r="N4922" s="475">
        <f t="shared" si="200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98"/>
        <v>-129588978830237.78</v>
      </c>
      <c r="J4923" s="455">
        <f t="array" ref="J4923">IFERROR(INDEX('Retirement Calculator'!J:J,MATCH('Isaac 401k'!N4923,'Retirement Calculator'!A:A,0),0),0)</f>
        <v>0</v>
      </c>
      <c r="K4923" s="455">
        <f t="shared" ca="1" si="196"/>
        <v>-539954078459.3241</v>
      </c>
      <c r="L4923" s="455">
        <f t="shared" ca="1" si="197"/>
        <v>-130128932908697.11</v>
      </c>
      <c r="M4923" s="471">
        <f t="shared" si="199"/>
        <v>0.05</v>
      </c>
      <c r="N4923" s="475">
        <f t="shared" si="200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98"/>
        <v>-130128932908697.11</v>
      </c>
      <c r="J4924" s="455">
        <f t="array" ref="J4924">IFERROR(INDEX('Retirement Calculator'!J:J,MATCH('Isaac 401k'!N4924,'Retirement Calculator'!A:A,0),0),0)</f>
        <v>0</v>
      </c>
      <c r="K4924" s="455">
        <f t="shared" ca="1" si="196"/>
        <v>-542203887119.57123</v>
      </c>
      <c r="L4924" s="455">
        <f t="shared" ca="1" si="197"/>
        <v>-130671136795816.69</v>
      </c>
      <c r="M4924" s="471">
        <f t="shared" si="199"/>
        <v>0.05</v>
      </c>
      <c r="N4924" s="475">
        <f t="shared" si="200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98"/>
        <v>-130671136795816.69</v>
      </c>
      <c r="J4925" s="455">
        <f t="array" ref="J4925">IFERROR(INDEX('Retirement Calculator'!J:J,MATCH('Isaac 401k'!N4925,'Retirement Calculator'!A:A,0),0),0)</f>
        <v>0</v>
      </c>
      <c r="K4925" s="455">
        <f t="shared" ca="1" si="196"/>
        <v>-544463069982.56958</v>
      </c>
      <c r="L4925" s="455">
        <f t="shared" ca="1" si="197"/>
        <v>-131215599865799.25</v>
      </c>
      <c r="M4925" s="471">
        <f t="shared" si="199"/>
        <v>0.05</v>
      </c>
      <c r="N4925" s="475">
        <f t="shared" si="200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98"/>
        <v>-131215599865799.25</v>
      </c>
      <c r="J4926" s="455">
        <f t="array" ref="J4926">IFERROR(INDEX('Retirement Calculator'!J:J,MATCH('Isaac 401k'!N4926,'Retirement Calculator'!A:A,0),0),0)</f>
        <v>0</v>
      </c>
      <c r="K4926" s="455">
        <f t="shared" ca="1" si="196"/>
        <v>-546731666107.49695</v>
      </c>
      <c r="L4926" s="455">
        <f t="shared" ca="1" si="197"/>
        <v>-131762331531906.75</v>
      </c>
      <c r="M4926" s="471">
        <f t="shared" si="199"/>
        <v>0.05</v>
      </c>
      <c r="N4926" s="475">
        <f t="shared" si="200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98"/>
        <v>-131762331531906.75</v>
      </c>
      <c r="J4927" s="455">
        <f t="array" ref="J4927">IFERROR(INDEX('Retirement Calculator'!J:J,MATCH('Isaac 401k'!N4927,'Retirement Calculator'!A:A,0),0),0)</f>
        <v>0</v>
      </c>
      <c r="K4927" s="455">
        <f t="shared" ca="1" si="196"/>
        <v>-549009714716.27814</v>
      </c>
      <c r="L4927" s="455">
        <f t="shared" ca="1" si="197"/>
        <v>-132311341246623.03</v>
      </c>
      <c r="M4927" s="471">
        <f t="shared" si="199"/>
        <v>0.05</v>
      </c>
      <c r="N4927" s="475">
        <f t="shared" si="200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98"/>
        <v>-132311341246623.03</v>
      </c>
      <c r="J4928" s="455">
        <f t="array" ref="J4928">IFERROR(INDEX('Retirement Calculator'!J:J,MATCH('Isaac 401k'!N4928,'Retirement Calculator'!A:A,0),0),0)</f>
        <v>0</v>
      </c>
      <c r="K4928" s="455">
        <f t="shared" ca="1" si="196"/>
        <v>-551297255194.2627</v>
      </c>
      <c r="L4928" s="455">
        <f t="shared" ca="1" si="197"/>
        <v>-132862638501817.3</v>
      </c>
      <c r="M4928" s="471">
        <f t="shared" si="199"/>
        <v>0.05</v>
      </c>
      <c r="N4928" s="475">
        <f t="shared" si="200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98"/>
        <v>-132862638501817.3</v>
      </c>
      <c r="J4929" s="455">
        <f t="array" ref="J4929">IFERROR(INDEX('Retirement Calculator'!J:J,MATCH('Isaac 401k'!N4929,'Retirement Calculator'!A:A,0),0),0)</f>
        <v>0</v>
      </c>
      <c r="K4929" s="455">
        <f t="shared" ca="1" si="196"/>
        <v>-553594327090.90552</v>
      </c>
      <c r="L4929" s="455">
        <f t="shared" ca="1" si="197"/>
        <v>-133416232828908.2</v>
      </c>
      <c r="M4929" s="471">
        <f t="shared" si="199"/>
        <v>0.05</v>
      </c>
      <c r="N4929" s="475">
        <f t="shared" si="200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98"/>
        <v>-133416232828908.2</v>
      </c>
      <c r="J4930" s="455">
        <f t="array" ref="J4930">IFERROR(INDEX('Retirement Calculator'!J:J,MATCH('Isaac 401k'!N4930,'Retirement Calculator'!A:A,0),0),0)</f>
        <v>0</v>
      </c>
      <c r="K4930" s="455">
        <f t="shared" ca="1" si="196"/>
        <v>-555900970120.45081</v>
      </c>
      <c r="L4930" s="455">
        <f t="shared" ca="1" si="197"/>
        <v>-133972133799028.66</v>
      </c>
      <c r="M4930" s="471">
        <f t="shared" si="199"/>
        <v>0.05</v>
      </c>
      <c r="N4930" s="475">
        <f t="shared" si="200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98"/>
        <v>-133972133799028.66</v>
      </c>
      <c r="J4931" s="455">
        <f t="array" ref="J4931">IFERROR(INDEX('Retirement Calculator'!J:J,MATCH('Isaac 401k'!N4931,'Retirement Calculator'!A:A,0),0),0)</f>
        <v>0</v>
      </c>
      <c r="K4931" s="455">
        <f t="shared" ca="1" si="196"/>
        <v>-558217224162.61938</v>
      </c>
      <c r="L4931" s="455">
        <f t="shared" ca="1" si="197"/>
        <v>-134530351023191.28</v>
      </c>
      <c r="M4931" s="471">
        <f t="shared" si="199"/>
        <v>0.05</v>
      </c>
      <c r="N4931" s="475">
        <f t="shared" si="200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98"/>
        <v>-134530351023191.28</v>
      </c>
      <c r="J4932" s="455">
        <f t="array" ref="J4932">IFERROR(INDEX('Retirement Calculator'!J:J,MATCH('Isaac 401k'!N4932,'Retirement Calculator'!A:A,0),0),0)</f>
        <v>0</v>
      </c>
      <c r="K4932" s="455">
        <f t="shared" ca="1" si="196"/>
        <v>-560543129263.297</v>
      </c>
      <c r="L4932" s="455">
        <f t="shared" ca="1" si="197"/>
        <v>-135090894152454.58</v>
      </c>
      <c r="M4932" s="471">
        <f t="shared" si="199"/>
        <v>0.05</v>
      </c>
      <c r="N4932" s="475">
        <f t="shared" si="200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98"/>
        <v>-135090894152454.58</v>
      </c>
      <c r="J4933" s="455">
        <f t="array" ref="J4933">IFERROR(INDEX('Retirement Calculator'!J:J,MATCH('Isaac 401k'!N4933,'Retirement Calculator'!A:A,0),0),0)</f>
        <v>0</v>
      </c>
      <c r="K4933" s="455">
        <f t="shared" ca="1" si="196"/>
        <v>-562878725635.22742</v>
      </c>
      <c r="L4933" s="455">
        <f t="shared" ca="1" si="197"/>
        <v>-135653772878089.81</v>
      </c>
      <c r="M4933" s="471">
        <f t="shared" si="199"/>
        <v>0.05</v>
      </c>
      <c r="N4933" s="475">
        <f t="shared" si="200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98"/>
        <v>-135653772878089.81</v>
      </c>
      <c r="J4934" s="455">
        <f t="array" ref="J4934">IFERROR(INDEX('Retirement Calculator'!J:J,MATCH('Isaac 401k'!N4934,'Retirement Calculator'!A:A,0),0),0)</f>
        <v>0</v>
      </c>
      <c r="K4934" s="455">
        <f t="shared" ca="1" si="196"/>
        <v>-565224053658.70752</v>
      </c>
      <c r="L4934" s="455">
        <f t="shared" ca="1" si="197"/>
        <v>-136218996931748.52</v>
      </c>
      <c r="M4934" s="471">
        <f t="shared" si="199"/>
        <v>0.05</v>
      </c>
      <c r="N4934" s="475">
        <f t="shared" si="200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98"/>
        <v>-136218996931748.52</v>
      </c>
      <c r="J4935" s="455">
        <f t="array" ref="J4935">IFERROR(INDEX('Retirement Calculator'!J:J,MATCH('Isaac 401k'!N4935,'Retirement Calculator'!A:A,0),0),0)</f>
        <v>0</v>
      </c>
      <c r="K4935" s="455">
        <f t="shared" ca="1" si="196"/>
        <v>-567579153882.28552</v>
      </c>
      <c r="L4935" s="455">
        <f t="shared" ca="1" si="197"/>
        <v>-136786576085630.8</v>
      </c>
      <c r="M4935" s="471">
        <f t="shared" si="199"/>
        <v>0.05</v>
      </c>
      <c r="N4935" s="475">
        <f t="shared" si="200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98"/>
        <v>-136786576085630.8</v>
      </c>
      <c r="J4936" s="455">
        <f t="array" ref="J4936">IFERROR(INDEX('Retirement Calculator'!J:J,MATCH('Isaac 401k'!N4936,'Retirement Calculator'!A:A,0),0),0)</f>
        <v>0</v>
      </c>
      <c r="K4936" s="455">
        <f t="shared" ca="1" si="196"/>
        <v>-569944067023.46167</v>
      </c>
      <c r="L4936" s="455">
        <f t="shared" ca="1" si="197"/>
        <v>-137356520152654.27</v>
      </c>
      <c r="M4936" s="471">
        <f t="shared" si="199"/>
        <v>0.05</v>
      </c>
      <c r="N4936" s="475">
        <f t="shared" si="200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98"/>
        <v>-137356520152654.27</v>
      </c>
      <c r="J4937" s="455">
        <f t="array" ref="J4937">IFERROR(INDEX('Retirement Calculator'!J:J,MATCH('Isaac 401k'!N4937,'Retirement Calculator'!A:A,0),0),0)</f>
        <v>0</v>
      </c>
      <c r="K4937" s="455">
        <f t="shared" ca="1" si="196"/>
        <v>-572318833969.39282</v>
      </c>
      <c r="L4937" s="455">
        <f t="shared" ca="1" si="197"/>
        <v>-137928838986623.66</v>
      </c>
      <c r="M4937" s="471">
        <f t="shared" si="199"/>
        <v>0.05</v>
      </c>
      <c r="N4937" s="475">
        <f t="shared" si="200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98"/>
        <v>-137928838986623.66</v>
      </c>
      <c r="J4938" s="455">
        <f t="array" ref="J4938">IFERROR(INDEX('Retirement Calculator'!J:J,MATCH('Isaac 401k'!N4938,'Retirement Calculator'!A:A,0),0),0)</f>
        <v>0</v>
      </c>
      <c r="K4938" s="455">
        <f t="shared" ca="1" si="196"/>
        <v>-574703495777.59851</v>
      </c>
      <c r="L4938" s="455">
        <f t="shared" ca="1" si="197"/>
        <v>-138503542482401.25</v>
      </c>
      <c r="M4938" s="471">
        <f t="shared" si="199"/>
        <v>0.05</v>
      </c>
      <c r="N4938" s="475">
        <f t="shared" si="200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98"/>
        <v>-138503542482401.25</v>
      </c>
      <c r="J4939" s="455">
        <f t="array" ref="J4939">IFERROR(INDEX('Retirement Calculator'!J:J,MATCH('Isaac 401k'!N4939,'Retirement Calculator'!A:A,0),0),0)</f>
        <v>0</v>
      </c>
      <c r="K4939" s="455">
        <f t="shared" ca="1" si="196"/>
        <v>-577098093676.67188</v>
      </c>
      <c r="L4939" s="455">
        <f t="shared" ca="1" si="197"/>
        <v>-139080640576077.92</v>
      </c>
      <c r="M4939" s="471">
        <f t="shared" si="199"/>
        <v>0.05</v>
      </c>
      <c r="N4939" s="475">
        <f t="shared" si="200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98"/>
        <v>-139080640576077.92</v>
      </c>
      <c r="J4940" s="455">
        <f t="array" ref="J4940">IFERROR(INDEX('Retirement Calculator'!J:J,MATCH('Isaac 401k'!N4940,'Retirement Calculator'!A:A,0),0),0)</f>
        <v>0</v>
      </c>
      <c r="K4940" s="455">
        <f t="shared" ca="1" si="196"/>
        <v>-579502669066.99133</v>
      </c>
      <c r="L4940" s="455">
        <f t="shared" ca="1" si="197"/>
        <v>-139660143245144.91</v>
      </c>
      <c r="M4940" s="471">
        <f t="shared" si="199"/>
        <v>0.05</v>
      </c>
      <c r="N4940" s="475">
        <f t="shared" si="200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98"/>
        <v>-139660143245144.91</v>
      </c>
      <c r="J4941" s="455">
        <f t="array" ref="J4941">IFERROR(INDEX('Retirement Calculator'!J:J,MATCH('Isaac 401k'!N4941,'Retirement Calculator'!A:A,0),0),0)</f>
        <v>0</v>
      </c>
      <c r="K4941" s="455">
        <f t="shared" ca="1" si="196"/>
        <v>-581917263521.43713</v>
      </c>
      <c r="L4941" s="455">
        <f t="shared" ca="1" si="197"/>
        <v>-140242060508666.34</v>
      </c>
      <c r="M4941" s="471">
        <f t="shared" si="199"/>
        <v>0.05</v>
      </c>
      <c r="N4941" s="475">
        <f t="shared" si="200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98"/>
        <v>-140242060508666.34</v>
      </c>
      <c r="J4942" s="455">
        <f t="array" ref="J4942">IFERROR(INDEX('Retirement Calculator'!J:J,MATCH('Isaac 401k'!N4942,'Retirement Calculator'!A:A,0),0),0)</f>
        <v>0</v>
      </c>
      <c r="K4942" s="455">
        <f t="shared" ca="1" si="196"/>
        <v>-584341918786.10974</v>
      </c>
      <c r="L4942" s="455">
        <f t="shared" ca="1" si="197"/>
        <v>-140826402427452.47</v>
      </c>
      <c r="M4942" s="471">
        <f t="shared" si="199"/>
        <v>0.05</v>
      </c>
      <c r="N4942" s="475">
        <f t="shared" si="200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98"/>
        <v>-140826402427452.47</v>
      </c>
      <c r="J4943" s="455">
        <f t="array" ref="J4943">IFERROR(INDEX('Retirement Calculator'!J:J,MATCH('Isaac 401k'!N4943,'Retirement Calculator'!A:A,0),0),0)</f>
        <v>0</v>
      </c>
      <c r="K4943" s="455">
        <f t="shared" ca="1" si="196"/>
        <v>-586776676781.052</v>
      </c>
      <c r="L4943" s="455">
        <f t="shared" ca="1" si="197"/>
        <v>-141413179104233.53</v>
      </c>
      <c r="M4943" s="471">
        <f t="shared" si="199"/>
        <v>0.05</v>
      </c>
      <c r="N4943" s="475">
        <f t="shared" si="200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98"/>
        <v>-141413179104233.53</v>
      </c>
      <c r="J4944" s="455">
        <f t="array" ref="J4944">IFERROR(INDEX('Retirement Calculator'!J:J,MATCH('Isaac 401k'!N4944,'Retirement Calculator'!A:A,0),0),0)</f>
        <v>0</v>
      </c>
      <c r="K4944" s="455">
        <f t="shared" ca="1" si="196"/>
        <v>-589221579600.97302</v>
      </c>
      <c r="L4944" s="455">
        <f t="shared" ca="1" si="197"/>
        <v>-142002400683834.5</v>
      </c>
      <c r="M4944" s="471">
        <f t="shared" si="199"/>
        <v>0.05</v>
      </c>
      <c r="N4944" s="475">
        <f t="shared" si="200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98"/>
        <v>-142002400683834.5</v>
      </c>
      <c r="J4945" s="455">
        <f t="array" ref="J4945">IFERROR(INDEX('Retirement Calculator'!J:J,MATCH('Isaac 401k'!N4945,'Retirement Calculator'!A:A,0),0),0)</f>
        <v>0</v>
      </c>
      <c r="K4945" s="455">
        <f t="shared" ca="1" si="196"/>
        <v>-591676669515.97705</v>
      </c>
      <c r="L4945" s="455">
        <f t="shared" ca="1" si="197"/>
        <v>-142594077353350.47</v>
      </c>
      <c r="M4945" s="471">
        <f t="shared" si="199"/>
        <v>0.05</v>
      </c>
      <c r="N4945" s="475">
        <f t="shared" si="200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98"/>
        <v>-142594077353350.47</v>
      </c>
      <c r="J4946" s="455">
        <f t="array" ref="J4946">IFERROR(INDEX('Retirement Calculator'!J:J,MATCH('Isaac 401k'!N4946,'Retirement Calculator'!A:A,0),0),0)</f>
        <v>0</v>
      </c>
      <c r="K4946" s="455">
        <f t="shared" ca="1" si="196"/>
        <v>-594141988972.29358</v>
      </c>
      <c r="L4946" s="455">
        <f t="shared" ca="1" si="197"/>
        <v>-143188219342322.75</v>
      </c>
      <c r="M4946" s="471">
        <f t="shared" si="199"/>
        <v>0.05</v>
      </c>
      <c r="N4946" s="475">
        <f t="shared" si="200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98"/>
        <v>-143188219342322.75</v>
      </c>
      <c r="J4947" s="455">
        <f t="array" ref="J4947">IFERROR(INDEX('Retirement Calculator'!J:J,MATCH('Isaac 401k'!N4947,'Retirement Calculator'!A:A,0),0),0)</f>
        <v>0</v>
      </c>
      <c r="K4947" s="455">
        <f t="shared" ca="1" si="196"/>
        <v>-596617580593.01147</v>
      </c>
      <c r="L4947" s="455">
        <f t="shared" ca="1" si="197"/>
        <v>-143784836922915.75</v>
      </c>
      <c r="M4947" s="471">
        <f t="shared" si="199"/>
        <v>0.05</v>
      </c>
      <c r="N4947" s="475">
        <f t="shared" si="200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98"/>
        <v>-143784836922915.75</v>
      </c>
      <c r="J4948" s="455">
        <f t="array" ref="J4948">IFERROR(INDEX('Retirement Calculator'!J:J,MATCH('Isaac 401k'!N4948,'Retirement Calculator'!A:A,0),0),0)</f>
        <v>0</v>
      </c>
      <c r="K4948" s="455">
        <f t="shared" ca="1" si="196"/>
        <v>-599103487178.81567</v>
      </c>
      <c r="L4948" s="455">
        <f t="shared" ca="1" si="197"/>
        <v>-144383940410094.56</v>
      </c>
      <c r="M4948" s="471">
        <f t="shared" si="199"/>
        <v>0.05</v>
      </c>
      <c r="N4948" s="475">
        <f t="shared" si="200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98"/>
        <v>-144383940410094.56</v>
      </c>
      <c r="J4949" s="455">
        <f t="array" ref="J4949">IFERROR(INDEX('Retirement Calculator'!J:J,MATCH('Isaac 401k'!N4949,'Retirement Calculator'!A:A,0),0),0)</f>
        <v>0</v>
      </c>
      <c r="K4949" s="455">
        <f t="shared" ca="1" si="196"/>
        <v>-601599751708.72729</v>
      </c>
      <c r="L4949" s="455">
        <f t="shared" ca="1" si="197"/>
        <v>-144985540161803.28</v>
      </c>
      <c r="M4949" s="471">
        <f t="shared" si="199"/>
        <v>0.05</v>
      </c>
      <c r="N4949" s="475">
        <f t="shared" si="200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98"/>
        <v>-144985540161803.28</v>
      </c>
      <c r="J4950" s="455">
        <f t="array" ref="J4950">IFERROR(INDEX('Retirement Calculator'!J:J,MATCH('Isaac 401k'!N4950,'Retirement Calculator'!A:A,0),0),0)</f>
        <v>0</v>
      </c>
      <c r="K4950" s="455">
        <f t="shared" ca="1" si="196"/>
        <v>-604106417340.84705</v>
      </c>
      <c r="L4950" s="455">
        <f t="shared" ca="1" si="197"/>
        <v>-145589646579144.13</v>
      </c>
      <c r="M4950" s="471">
        <f t="shared" si="199"/>
        <v>0.05</v>
      </c>
      <c r="N4950" s="475">
        <f t="shared" si="200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98"/>
        <v>-145589646579144.13</v>
      </c>
      <c r="J4951" s="455">
        <f t="array" ref="J4951">IFERROR(INDEX('Retirement Calculator'!J:J,MATCH('Isaac 401k'!N4951,'Retirement Calculator'!A:A,0),0),0)</f>
        <v>0</v>
      </c>
      <c r="K4951" s="455">
        <f t="shared" ca="1" si="196"/>
        <v>-606623527413.10046</v>
      </c>
      <c r="L4951" s="455">
        <f t="shared" ca="1" si="197"/>
        <v>-146196270106557.22</v>
      </c>
      <c r="M4951" s="471">
        <f t="shared" si="199"/>
        <v>0.05</v>
      </c>
      <c r="N4951" s="475">
        <f t="shared" si="200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98"/>
        <v>-146196270106557.22</v>
      </c>
      <c r="J4952" s="455">
        <f t="array" ref="J4952">IFERROR(INDEX('Retirement Calculator'!J:J,MATCH('Isaac 401k'!N4952,'Retirement Calculator'!A:A,0),0),0)</f>
        <v>0</v>
      </c>
      <c r="K4952" s="455">
        <f t="shared" ca="1" si="196"/>
        <v>-609151125443.9884</v>
      </c>
      <c r="L4952" s="455">
        <f t="shared" ca="1" si="197"/>
        <v>-146805421232001.22</v>
      </c>
      <c r="M4952" s="471">
        <f t="shared" si="199"/>
        <v>0.05</v>
      </c>
      <c r="N4952" s="475">
        <f t="shared" si="200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98"/>
        <v>-146805421232001.22</v>
      </c>
      <c r="J4953" s="455">
        <f t="array" ref="J4953">IFERROR(INDEX('Retirement Calculator'!J:J,MATCH('Isaac 401k'!N4953,'Retirement Calculator'!A:A,0),0),0)</f>
        <v>0</v>
      </c>
      <c r="K4953" s="455">
        <f t="shared" ca="1" si="196"/>
        <v>-611689255133.33838</v>
      </c>
      <c r="L4953" s="455">
        <f t="shared" ca="1" si="197"/>
        <v>-147417110487134.56</v>
      </c>
      <c r="M4953" s="471">
        <f t="shared" si="199"/>
        <v>0.05</v>
      </c>
      <c r="N4953" s="475">
        <f t="shared" si="200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98"/>
        <v>-147417110487134.56</v>
      </c>
      <c r="J4954" s="455">
        <f t="array" ref="J4954">IFERROR(INDEX('Retirement Calculator'!J:J,MATCH('Isaac 401k'!N4954,'Retirement Calculator'!A:A,0),0),0)</f>
        <v>0</v>
      </c>
      <c r="K4954" s="455">
        <f t="shared" ca="1" si="196"/>
        <v>-614237960363.06067</v>
      </c>
      <c r="L4954" s="455">
        <f t="shared" ca="1" si="197"/>
        <v>-148031348447497.63</v>
      </c>
      <c r="M4954" s="471">
        <f t="shared" si="199"/>
        <v>0.05</v>
      </c>
      <c r="N4954" s="475">
        <f t="shared" si="200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98"/>
        <v>-148031348447497.63</v>
      </c>
      <c r="J4955" s="455">
        <f t="array" ref="J4955">IFERROR(INDEX('Retirement Calculator'!J:J,MATCH('Isaac 401k'!N4955,'Retirement Calculator'!A:A,0),0),0)</f>
        <v>0</v>
      </c>
      <c r="K4955" s="455">
        <f t="shared" ca="1" si="196"/>
        <v>-616797285197.90674</v>
      </c>
      <c r="L4955" s="455">
        <f t="shared" ca="1" si="197"/>
        <v>-148648145732695.53</v>
      </c>
      <c r="M4955" s="471">
        <f t="shared" si="199"/>
        <v>0.05</v>
      </c>
      <c r="N4955" s="475">
        <f t="shared" si="200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98"/>
        <v>-148648145732695.53</v>
      </c>
      <c r="J4956" s="455">
        <f t="array" ref="J4956">IFERROR(INDEX('Retirement Calculator'!J:J,MATCH('Isaac 401k'!N4956,'Retirement Calculator'!A:A,0),0),0)</f>
        <v>0</v>
      </c>
      <c r="K4956" s="455">
        <f t="shared" ca="1" si="196"/>
        <v>-619367273886.23132</v>
      </c>
      <c r="L4956" s="455">
        <f t="shared" ca="1" si="197"/>
        <v>-149267513006581.75</v>
      </c>
      <c r="M4956" s="471">
        <f t="shared" si="199"/>
        <v>0.05</v>
      </c>
      <c r="N4956" s="475">
        <f t="shared" si="200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98"/>
        <v>-149267513006581.75</v>
      </c>
      <c r="J4957" s="455">
        <f t="array" ref="J4957">IFERROR(INDEX('Retirement Calculator'!J:J,MATCH('Isaac 401k'!N4957,'Retirement Calculator'!A:A,0),0),0)</f>
        <v>0</v>
      </c>
      <c r="K4957" s="455">
        <f t="shared" ca="1" si="196"/>
        <v>-621947970860.75732</v>
      </c>
      <c r="L4957" s="455">
        <f t="shared" ca="1" si="197"/>
        <v>-149889460977442.5</v>
      </c>
      <c r="M4957" s="471">
        <f t="shared" si="199"/>
        <v>0.05</v>
      </c>
      <c r="N4957" s="475">
        <f t="shared" si="200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98"/>
        <v>-149889460977442.5</v>
      </c>
      <c r="J4958" s="455">
        <f t="array" ref="J4958">IFERROR(INDEX('Retirement Calculator'!J:J,MATCH('Isaac 401k'!N4958,'Retirement Calculator'!A:A,0),0),0)</f>
        <v>0</v>
      </c>
      <c r="K4958" s="455">
        <f t="shared" ca="1" si="196"/>
        <v>-624539420739.34375</v>
      </c>
      <c r="L4958" s="455">
        <f t="shared" ca="1" si="197"/>
        <v>-150514000398181.84</v>
      </c>
      <c r="M4958" s="471">
        <f t="shared" si="199"/>
        <v>0.05</v>
      </c>
      <c r="N4958" s="475">
        <f t="shared" si="200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98"/>
        <v>-150514000398181.84</v>
      </c>
      <c r="J4959" s="455">
        <f t="array" ref="J4959">IFERROR(INDEX('Retirement Calculator'!J:J,MATCH('Isaac 401k'!N4959,'Retirement Calculator'!A:A,0),0),0)</f>
        <v>0</v>
      </c>
      <c r="K4959" s="455">
        <f t="shared" ca="1" si="196"/>
        <v>-627141668325.75769</v>
      </c>
      <c r="L4959" s="455">
        <f t="shared" ca="1" si="197"/>
        <v>-151141142066507.59</v>
      </c>
      <c r="M4959" s="471">
        <f t="shared" si="199"/>
        <v>0.05</v>
      </c>
      <c r="N4959" s="475">
        <f t="shared" si="200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98"/>
        <v>-151141142066507.59</v>
      </c>
      <c r="J4960" s="455">
        <f t="array" ref="J4960">IFERROR(INDEX('Retirement Calculator'!J:J,MATCH('Isaac 401k'!N4960,'Retirement Calculator'!A:A,0),0),0)</f>
        <v>0</v>
      </c>
      <c r="K4960" s="455">
        <f t="shared" ca="1" si="196"/>
        <v>-629754758610.44824</v>
      </c>
      <c r="L4960" s="455">
        <f t="shared" ca="1" si="197"/>
        <v>-151770896825118.03</v>
      </c>
      <c r="M4960" s="471">
        <f t="shared" si="199"/>
        <v>0.05</v>
      </c>
      <c r="N4960" s="475">
        <f t="shared" si="200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98"/>
        <v>-151770896825118.03</v>
      </c>
      <c r="J4961" s="455">
        <f t="array" ref="J4961">IFERROR(INDEX('Retirement Calculator'!J:J,MATCH('Isaac 401k'!N4961,'Retirement Calculator'!A:A,0),0),0)</f>
        <v>0</v>
      </c>
      <c r="K4961" s="455">
        <f t="shared" ca="1" si="196"/>
        <v>-632378736771.32507</v>
      </c>
      <c r="L4961" s="455">
        <f t="shared" ca="1" si="197"/>
        <v>-152403275561889.34</v>
      </c>
      <c r="M4961" s="471">
        <f t="shared" si="199"/>
        <v>0.05</v>
      </c>
      <c r="N4961" s="475">
        <f t="shared" si="200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98"/>
        <v>-152403275561889.34</v>
      </c>
      <c r="J4962" s="455">
        <f t="array" ref="J4962">IFERROR(INDEX('Retirement Calculator'!J:J,MATCH('Isaac 401k'!N4962,'Retirement Calculator'!A:A,0),0),0)</f>
        <v>0</v>
      </c>
      <c r="K4962" s="455">
        <f t="shared" ca="1" si="196"/>
        <v>-635013648174.53894</v>
      </c>
      <c r="L4962" s="455">
        <f t="shared" ca="1" si="197"/>
        <v>-153038289210063.88</v>
      </c>
      <c r="M4962" s="471">
        <f t="shared" si="199"/>
        <v>0.05</v>
      </c>
      <c r="N4962" s="475">
        <f t="shared" si="200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98"/>
        <v>-153038289210063.88</v>
      </c>
      <c r="J4963" s="455">
        <f t="array" ref="J4963">IFERROR(INDEX('Retirement Calculator'!J:J,MATCH('Isaac 401k'!N4963,'Retirement Calculator'!A:A,0),0),0)</f>
        <v>0</v>
      </c>
      <c r="K4963" s="455">
        <f t="shared" ca="1" si="196"/>
        <v>-637659538375.26611</v>
      </c>
      <c r="L4963" s="455">
        <f t="shared" ca="1" si="197"/>
        <v>-153675948748439.16</v>
      </c>
      <c r="M4963" s="471">
        <f t="shared" si="199"/>
        <v>0.05</v>
      </c>
      <c r="N4963" s="475">
        <f t="shared" si="200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98"/>
        <v>-153675948748439.16</v>
      </c>
      <c r="J4964" s="455">
        <f t="array" ref="J4964">IFERROR(INDEX('Retirement Calculator'!J:J,MATCH('Isaac 401k'!N4964,'Retirement Calculator'!A:A,0),0),0)</f>
        <v>0</v>
      </c>
      <c r="K4964" s="455">
        <f t="shared" ca="1" si="196"/>
        <v>-640316453118.49646</v>
      </c>
      <c r="L4964" s="455">
        <f t="shared" ca="1" si="197"/>
        <v>-154316265201557.66</v>
      </c>
      <c r="M4964" s="471">
        <f t="shared" si="199"/>
        <v>0.05</v>
      </c>
      <c r="N4964" s="475">
        <f t="shared" si="200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98"/>
        <v>-154316265201557.66</v>
      </c>
      <c r="J4965" s="455">
        <f t="array" ref="J4965">IFERROR(INDEX('Retirement Calculator'!J:J,MATCH('Isaac 401k'!N4965,'Retirement Calculator'!A:A,0),0),0)</f>
        <v>0</v>
      </c>
      <c r="K4965" s="455">
        <f t="shared" ca="1" si="196"/>
        <v>-642984438339.82361</v>
      </c>
      <c r="L4965" s="455">
        <f t="shared" ca="1" si="197"/>
        <v>-154959249639897.47</v>
      </c>
      <c r="M4965" s="471">
        <f t="shared" si="199"/>
        <v>0.05</v>
      </c>
      <c r="N4965" s="475">
        <f t="shared" si="200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98"/>
        <v>-154959249639897.47</v>
      </c>
      <c r="J4966" s="455">
        <f t="array" ref="J4966">IFERROR(INDEX('Retirement Calculator'!J:J,MATCH('Isaac 401k'!N4966,'Retirement Calculator'!A:A,0),0),0)</f>
        <v>0</v>
      </c>
      <c r="K4966" s="455">
        <f t="shared" ca="1" si="196"/>
        <v>-645663540166.2395</v>
      </c>
      <c r="L4966" s="455">
        <f t="shared" ca="1" si="197"/>
        <v>-155604913180063.72</v>
      </c>
      <c r="M4966" s="471">
        <f t="shared" si="199"/>
        <v>0.05</v>
      </c>
      <c r="N4966" s="475">
        <f t="shared" si="200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98"/>
        <v>-155604913180063.72</v>
      </c>
      <c r="J4967" s="455">
        <f t="array" ref="J4967">IFERROR(INDEX('Retirement Calculator'!J:J,MATCH('Isaac 401k'!N4967,'Retirement Calculator'!A:A,0),0),0)</f>
        <v>0</v>
      </c>
      <c r="K4967" s="455">
        <f t="shared" ca="1" si="196"/>
        <v>-648353804916.93213</v>
      </c>
      <c r="L4967" s="455">
        <f t="shared" ca="1" si="197"/>
        <v>-156253266984980.66</v>
      </c>
      <c r="M4967" s="471">
        <f t="shared" si="199"/>
        <v>0.05</v>
      </c>
      <c r="N4967" s="475">
        <f t="shared" si="200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98"/>
        <v>-156253266984980.66</v>
      </c>
      <c r="J4968" s="455">
        <f t="array" ref="J4968">IFERROR(INDEX('Retirement Calculator'!J:J,MATCH('Isaac 401k'!N4968,'Retirement Calculator'!A:A,0),0),0)</f>
        <v>0</v>
      </c>
      <c r="K4968" s="455">
        <f t="shared" ca="1" si="196"/>
        <v>-651055279104.08606</v>
      </c>
      <c r="L4968" s="455">
        <f t="shared" ca="1" si="197"/>
        <v>-156904322264084.75</v>
      </c>
      <c r="M4968" s="471">
        <f t="shared" si="199"/>
        <v>0.05</v>
      </c>
      <c r="N4968" s="475">
        <f t="shared" si="200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98"/>
        <v>-156904322264084.75</v>
      </c>
      <c r="J4969" s="455">
        <f t="array" ref="J4969">IFERROR(INDEX('Retirement Calculator'!J:J,MATCH('Isaac 401k'!N4969,'Retirement Calculator'!A:A,0),0),0)</f>
        <v>0</v>
      </c>
      <c r="K4969" s="455">
        <f t="shared" ca="1" si="196"/>
        <v>-653768009433.6864</v>
      </c>
      <c r="L4969" s="455">
        <f t="shared" ca="1" si="197"/>
        <v>-157558090273518.44</v>
      </c>
      <c r="M4969" s="471">
        <f t="shared" si="199"/>
        <v>0.05</v>
      </c>
      <c r="N4969" s="475">
        <f t="shared" si="200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98"/>
        <v>-157558090273518.44</v>
      </c>
      <c r="J4970" s="455">
        <f t="array" ref="J4970">IFERROR(INDEX('Retirement Calculator'!J:J,MATCH('Isaac 401k'!N4970,'Retirement Calculator'!A:A,0),0),0)</f>
        <v>0</v>
      </c>
      <c r="K4970" s="455">
        <f t="shared" ca="1" si="196"/>
        <v>-656492042806.32678</v>
      </c>
      <c r="L4970" s="455">
        <f t="shared" ca="1" si="197"/>
        <v>-158214582316324.75</v>
      </c>
      <c r="M4970" s="471">
        <f t="shared" si="199"/>
        <v>0.05</v>
      </c>
      <c r="N4970" s="475">
        <f t="shared" si="200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98"/>
        <v>-158214582316324.75</v>
      </c>
      <c r="J4971" s="455">
        <f t="array" ref="J4971">IFERROR(INDEX('Retirement Calculator'!J:J,MATCH('Isaac 401k'!N4971,'Retirement Calculator'!A:A,0),0),0)</f>
        <v>0</v>
      </c>
      <c r="K4971" s="455">
        <f t="shared" ca="1" si="196"/>
        <v>-659227426318.01978</v>
      </c>
      <c r="L4971" s="455">
        <f t="shared" ca="1" si="197"/>
        <v>-158873809742642.78</v>
      </c>
      <c r="M4971" s="471">
        <f t="shared" si="199"/>
        <v>0.05</v>
      </c>
      <c r="N4971" s="475">
        <f t="shared" si="200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98"/>
        <v>-158873809742642.78</v>
      </c>
      <c r="J4972" s="455">
        <f t="array" ref="J4972">IFERROR(INDEX('Retirement Calculator'!J:J,MATCH('Isaac 401k'!N4972,'Retirement Calculator'!A:A,0),0),0)</f>
        <v>0</v>
      </c>
      <c r="K4972" s="455">
        <f t="shared" ca="1" si="196"/>
        <v>-661974207261.0116</v>
      </c>
      <c r="L4972" s="455">
        <f t="shared" ca="1" si="197"/>
        <v>-159535783949903.78</v>
      </c>
      <c r="M4972" s="471">
        <f t="shared" si="199"/>
        <v>0.05</v>
      </c>
      <c r="N4972" s="475">
        <f t="shared" si="200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98"/>
        <v>-159535783949903.78</v>
      </c>
      <c r="J4973" s="455">
        <f t="array" ref="J4973">IFERROR(INDEX('Retirement Calculator'!J:J,MATCH('Isaac 401k'!N4973,'Retirement Calculator'!A:A,0),0),0)</f>
        <v>0</v>
      </c>
      <c r="K4973" s="455">
        <f t="shared" ca="1" si="196"/>
        <v>-664732433124.59912</v>
      </c>
      <c r="L4973" s="455">
        <f t="shared" ca="1" si="197"/>
        <v>-160200516383028.38</v>
      </c>
      <c r="M4973" s="471">
        <f t="shared" si="199"/>
        <v>0.05</v>
      </c>
      <c r="N4973" s="475">
        <f t="shared" si="200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98"/>
        <v>-160200516383028.38</v>
      </c>
      <c r="J4974" s="455">
        <f t="array" ref="J4974">IFERROR(INDEX('Retirement Calculator'!J:J,MATCH('Isaac 401k'!N4974,'Retirement Calculator'!A:A,0),0),0)</f>
        <v>0</v>
      </c>
      <c r="K4974" s="455">
        <f t="shared" ca="1" si="196"/>
        <v>-667502151595.95154</v>
      </c>
      <c r="L4974" s="455">
        <f t="shared" ca="1" si="197"/>
        <v>-160868018534624.31</v>
      </c>
      <c r="M4974" s="471">
        <f t="shared" si="199"/>
        <v>0.05</v>
      </c>
      <c r="N4974" s="475">
        <f t="shared" si="200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98"/>
        <v>-160868018534624.31</v>
      </c>
      <c r="J4975" s="455">
        <f t="array" ref="J4975">IFERROR(INDEX('Retirement Calculator'!J:J,MATCH('Isaac 401k'!N4975,'Retirement Calculator'!A:A,0),0),0)</f>
        <v>0</v>
      </c>
      <c r="K4975" s="455">
        <f t="shared" ca="1" si="196"/>
        <v>-670283410560.93457</v>
      </c>
      <c r="L4975" s="455">
        <f t="shared" ca="1" si="197"/>
        <v>-161538301945185.25</v>
      </c>
      <c r="M4975" s="471">
        <f t="shared" si="199"/>
        <v>0.05</v>
      </c>
      <c r="N4975" s="475">
        <f t="shared" si="200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98"/>
        <v>-161538301945185.25</v>
      </c>
      <c r="J4976" s="455">
        <f t="array" ref="J4976">IFERROR(INDEX('Retirement Calculator'!J:J,MATCH('Isaac 401k'!N4976,'Retirement Calculator'!A:A,0),0),0)</f>
        <v>0</v>
      </c>
      <c r="K4976" s="455">
        <f t="shared" ca="1" si="196"/>
        <v>-673076258104.93848</v>
      </c>
      <c r="L4976" s="455">
        <f t="shared" ca="1" si="197"/>
        <v>-162211378203290.19</v>
      </c>
      <c r="M4976" s="471">
        <f t="shared" si="199"/>
        <v>0.05</v>
      </c>
      <c r="N4976" s="475">
        <f t="shared" si="200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98"/>
        <v>-162211378203290.19</v>
      </c>
      <c r="J4977" s="455">
        <f t="array" ref="J4977">IFERROR(INDEX('Retirement Calculator'!J:J,MATCH('Isaac 401k'!N4977,'Retirement Calculator'!A:A,0),0),0)</f>
        <v>0</v>
      </c>
      <c r="K4977" s="455">
        <f t="shared" ca="1" si="196"/>
        <v>-675880742513.70911</v>
      </c>
      <c r="L4977" s="455">
        <f t="shared" ca="1" si="197"/>
        <v>-162887258945803.91</v>
      </c>
      <c r="M4977" s="471">
        <f t="shared" si="199"/>
        <v>0.05</v>
      </c>
      <c r="N4977" s="475">
        <f t="shared" si="200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98"/>
        <v>-162887258945803.91</v>
      </c>
      <c r="J4978" s="455">
        <f t="array" ref="J4978">IFERROR(INDEX('Retirement Calculator'!J:J,MATCH('Isaac 401k'!N4978,'Retirement Calculator'!A:A,0),0),0)</f>
        <v>0</v>
      </c>
      <c r="K4978" s="455">
        <f t="shared" ca="1" si="196"/>
        <v>-678696912274.18298</v>
      </c>
      <c r="L4978" s="455">
        <f t="shared" ca="1" si="197"/>
        <v>-163565955858078.09</v>
      </c>
      <c r="M4978" s="471">
        <f t="shared" si="199"/>
        <v>0.05</v>
      </c>
      <c r="N4978" s="475">
        <f t="shared" si="200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98"/>
        <v>-163565955858078.09</v>
      </c>
      <c r="J4979" s="455">
        <f t="array" ref="J4979">IFERROR(INDEX('Retirement Calculator'!J:J,MATCH('Isaac 401k'!N4979,'Retirement Calculator'!A:A,0),0),0)</f>
        <v>0</v>
      </c>
      <c r="K4979" s="455">
        <f t="shared" ca="1" si="196"/>
        <v>-681524816075.32544</v>
      </c>
      <c r="L4979" s="455">
        <f t="shared" ca="1" si="197"/>
        <v>-164247480674153.41</v>
      </c>
      <c r="M4979" s="471">
        <f t="shared" si="199"/>
        <v>0.05</v>
      </c>
      <c r="N4979" s="475">
        <f t="shared" si="200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98"/>
        <v>-164247480674153.41</v>
      </c>
      <c r="J4980" s="455">
        <f t="array" ref="J4980">IFERROR(INDEX('Retirement Calculator'!J:J,MATCH('Isaac 401k'!N4980,'Retirement Calculator'!A:A,0),0),0)</f>
        <v>0</v>
      </c>
      <c r="K4980" s="455">
        <f t="shared" ca="1" si="196"/>
        <v>-684364502808.97253</v>
      </c>
      <c r="L4980" s="455">
        <f t="shared" ca="1" si="197"/>
        <v>-164931845176962.38</v>
      </c>
      <c r="M4980" s="471">
        <f t="shared" si="199"/>
        <v>0.05</v>
      </c>
      <c r="N4980" s="475">
        <f t="shared" si="200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98"/>
        <v>-164931845176962.38</v>
      </c>
      <c r="J4981" s="455">
        <f t="array" ref="J4981">IFERROR(INDEX('Retirement Calculator'!J:J,MATCH('Isaac 401k'!N4981,'Retirement Calculator'!A:A,0),0),0)</f>
        <v>0</v>
      </c>
      <c r="K4981" s="455">
        <f t="shared" ca="1" si="196"/>
        <v>-687216021570.67651</v>
      </c>
      <c r="L4981" s="455">
        <f t="shared" ca="1" si="197"/>
        <v>-165619061198533.06</v>
      </c>
      <c r="M4981" s="471">
        <f t="shared" si="199"/>
        <v>0.05</v>
      </c>
      <c r="N4981" s="475">
        <f t="shared" si="200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98"/>
        <v>-165619061198533.06</v>
      </c>
      <c r="J4982" s="455">
        <f t="array" ref="J4982">IFERROR(INDEX('Retirement Calculator'!J:J,MATCH('Isaac 401k'!N4982,'Retirement Calculator'!A:A,0),0),0)</f>
        <v>0</v>
      </c>
      <c r="K4982" s="455">
        <f t="shared" ca="1" si="196"/>
        <v>-690079421660.55444</v>
      </c>
      <c r="L4982" s="455">
        <f t="shared" ca="1" si="197"/>
        <v>-166309140620193.63</v>
      </c>
      <c r="M4982" s="471">
        <f t="shared" si="199"/>
        <v>0.05</v>
      </c>
      <c r="N4982" s="475">
        <f t="shared" si="200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98"/>
        <v>-166309140620193.63</v>
      </c>
      <c r="J4983" s="455">
        <f t="array" ref="J4983">IFERROR(INDEX('Retirement Calculator'!J:J,MATCH('Isaac 401k'!N4983,'Retirement Calculator'!A:A,0),0),0)</f>
        <v>0</v>
      </c>
      <c r="K4983" s="455">
        <f t="shared" ca="1" si="196"/>
        <v>-692954752584.14014</v>
      </c>
      <c r="L4983" s="455">
        <f t="shared" ca="1" si="197"/>
        <v>-167002095372777.75</v>
      </c>
      <c r="M4983" s="471">
        <f t="shared" si="199"/>
        <v>0.05</v>
      </c>
      <c r="N4983" s="475">
        <f t="shared" si="200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98"/>
        <v>-167002095372777.75</v>
      </c>
      <c r="J4984" s="455">
        <f t="array" ref="J4984">IFERROR(INDEX('Retirement Calculator'!J:J,MATCH('Isaac 401k'!N4984,'Retirement Calculator'!A:A,0),0),0)</f>
        <v>0</v>
      </c>
      <c r="K4984" s="455">
        <f t="shared" ca="1" si="196"/>
        <v>-695842064053.2406</v>
      </c>
      <c r="L4984" s="455">
        <f t="shared" ca="1" si="197"/>
        <v>-167697937436831</v>
      </c>
      <c r="M4984" s="471">
        <f t="shared" si="199"/>
        <v>0.05</v>
      </c>
      <c r="N4984" s="475">
        <f t="shared" si="200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98"/>
        <v>-167697937436831</v>
      </c>
      <c r="J4985" s="455">
        <f t="array" ref="J4985">IFERROR(INDEX('Retirement Calculator'!J:J,MATCH('Isaac 401k'!N4985,'Retirement Calculator'!A:A,0),0),0)</f>
        <v>0</v>
      </c>
      <c r="K4985" s="455">
        <f t="shared" ca="1" si="196"/>
        <v>-698741405986.79578</v>
      </c>
      <c r="L4985" s="455">
        <f t="shared" ca="1" si="197"/>
        <v>-168396678842817.78</v>
      </c>
      <c r="M4985" s="471">
        <f t="shared" si="199"/>
        <v>0.05</v>
      </c>
      <c r="N4985" s="475">
        <f t="shared" si="200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98"/>
        <v>-168396678842817.78</v>
      </c>
      <c r="J4986" s="455">
        <f t="array" ref="J4986">IFERROR(INDEX('Retirement Calculator'!J:J,MATCH('Isaac 401k'!N4986,'Retirement Calculator'!A:A,0),0),0)</f>
        <v>0</v>
      </c>
      <c r="K4986" s="455">
        <f t="shared" ca="1" si="196"/>
        <v>-701652828511.74072</v>
      </c>
      <c r="L4986" s="455">
        <f t="shared" ca="1" si="197"/>
        <v>-169098331671329.53</v>
      </c>
      <c r="M4986" s="471">
        <f t="shared" si="199"/>
        <v>0.05</v>
      </c>
      <c r="N4986" s="475">
        <f t="shared" si="200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98"/>
        <v>-169098331671329.53</v>
      </c>
      <c r="J4987" s="455">
        <f t="array" ref="J4987">IFERROR(INDEX('Retirement Calculator'!J:J,MATCH('Isaac 401k'!N4987,'Retirement Calculator'!A:A,0),0),0)</f>
        <v>0</v>
      </c>
      <c r="K4987" s="455">
        <f t="shared" ca="1" si="196"/>
        <v>-704576381963.87305</v>
      </c>
      <c r="L4987" s="455">
        <f t="shared" ca="1" si="197"/>
        <v>-169802908053293.41</v>
      </c>
      <c r="M4987" s="471">
        <f t="shared" si="199"/>
        <v>0.05</v>
      </c>
      <c r="N4987" s="475">
        <f t="shared" si="200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98"/>
        <v>-169802908053293.41</v>
      </c>
      <c r="J4988" s="455">
        <f t="array" ref="J4988">IFERROR(INDEX('Retirement Calculator'!J:J,MATCH('Isaac 401k'!N4988,'Retirement Calculator'!A:A,0),0),0)</f>
        <v>0</v>
      </c>
      <c r="K4988" s="455">
        <f t="shared" ca="1" si="196"/>
        <v>-707512116888.72253</v>
      </c>
      <c r="L4988" s="455">
        <f t="shared" ca="1" si="197"/>
        <v>-170510420170182.13</v>
      </c>
      <c r="M4988" s="471">
        <f t="shared" si="199"/>
        <v>0.05</v>
      </c>
      <c r="N4988" s="475">
        <f t="shared" si="200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98"/>
        <v>-170510420170182.13</v>
      </c>
      <c r="J4989" s="455">
        <f t="array" ref="J4989">IFERROR(INDEX('Retirement Calculator'!J:J,MATCH('Isaac 401k'!N4989,'Retirement Calculator'!A:A,0),0),0)</f>
        <v>0</v>
      </c>
      <c r="K4989" s="455">
        <f t="shared" ca="1" si="196"/>
        <v>-710460084042.42554</v>
      </c>
      <c r="L4989" s="455">
        <f t="shared" ca="1" si="197"/>
        <v>-171220880254224.56</v>
      </c>
      <c r="M4989" s="471">
        <f t="shared" si="199"/>
        <v>0.05</v>
      </c>
      <c r="N4989" s="475">
        <f t="shared" si="200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98"/>
        <v>-171220880254224.56</v>
      </c>
      <c r="J4990" s="455">
        <f t="array" ref="J4990">IFERROR(INDEX('Retirement Calculator'!J:J,MATCH('Isaac 401k'!N4990,'Retirement Calculator'!A:A,0),0),0)</f>
        <v>0</v>
      </c>
      <c r="K4990" s="455">
        <f t="shared" ca="1" si="196"/>
        <v>-713420334392.60229</v>
      </c>
      <c r="L4990" s="455">
        <f t="shared" ca="1" si="197"/>
        <v>-171934300588617.16</v>
      </c>
      <c r="M4990" s="471">
        <f t="shared" si="199"/>
        <v>0.05</v>
      </c>
      <c r="N4990" s="475">
        <f t="shared" si="200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98"/>
        <v>-171934300588617.16</v>
      </c>
      <c r="J4991" s="455">
        <f t="array" ref="J4991">IFERROR(INDEX('Retirement Calculator'!J:J,MATCH('Isaac 401k'!N4991,'Retirement Calculator'!A:A,0),0),0)</f>
        <v>0</v>
      </c>
      <c r="K4991" s="455">
        <f t="shared" ca="1" si="196"/>
        <v>-716392919119.23816</v>
      </c>
      <c r="L4991" s="455">
        <f t="shared" ca="1" si="197"/>
        <v>-172650693507736.41</v>
      </c>
      <c r="M4991" s="471">
        <f t="shared" si="199"/>
        <v>0.05</v>
      </c>
      <c r="N4991" s="475">
        <f t="shared" si="200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98"/>
        <v>-172650693507736.41</v>
      </c>
      <c r="J4992" s="455">
        <f t="array" ref="J4992">IFERROR(INDEX('Retirement Calculator'!J:J,MATCH('Isaac 401k'!N4992,'Retirement Calculator'!A:A,0),0),0)</f>
        <v>0</v>
      </c>
      <c r="K4992" s="455">
        <f t="shared" ca="1" si="196"/>
        <v>-719377889615.56836</v>
      </c>
      <c r="L4992" s="455">
        <f t="shared" ca="1" si="197"/>
        <v>-173370071397351.97</v>
      </c>
      <c r="M4992" s="471">
        <f t="shared" si="199"/>
        <v>0.05</v>
      </c>
      <c r="N4992" s="475">
        <f t="shared" si="200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98"/>
        <v>-173370071397351.97</v>
      </c>
      <c r="J4993" s="455">
        <f t="array" ref="J4993">IFERROR(INDEX('Retirement Calculator'!J:J,MATCH('Isaac 401k'!N4993,'Retirement Calculator'!A:A,0),0),0)</f>
        <v>0</v>
      </c>
      <c r="K4993" s="455">
        <f t="shared" ca="1" si="196"/>
        <v>-722375297488.96655</v>
      </c>
      <c r="L4993" s="455">
        <f t="shared" ca="1" si="197"/>
        <v>-174092446694840.94</v>
      </c>
      <c r="M4993" s="471">
        <f t="shared" si="199"/>
        <v>0.05</v>
      </c>
      <c r="N4993" s="475">
        <f t="shared" si="200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98"/>
        <v>-174092446694840.94</v>
      </c>
      <c r="J4994" s="455">
        <f t="array" ref="J4994">IFERROR(INDEX('Retirement Calculator'!J:J,MATCH('Isaac 401k'!N4994,'Retirement Calculator'!A:A,0),0),0)</f>
        <v>0</v>
      </c>
      <c r="K4994" s="455">
        <f t="shared" ca="1" si="196"/>
        <v>-725385194561.83728</v>
      </c>
      <c r="L4994" s="455">
        <f t="shared" ca="1" si="197"/>
        <v>-174817831889402.78</v>
      </c>
      <c r="M4994" s="471">
        <f t="shared" si="199"/>
        <v>0.05</v>
      </c>
      <c r="N4994" s="475">
        <f t="shared" si="200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98"/>
        <v>-174817831889402.78</v>
      </c>
      <c r="J4995" s="455">
        <f t="array" ref="J4995">IFERROR(INDEX('Retirement Calculator'!J:J,MATCH('Isaac 401k'!N4995,'Retirement Calculator'!A:A,0),0),0)</f>
        <v>0</v>
      </c>
      <c r="K4995" s="455">
        <f t="shared" ca="1" si="196"/>
        <v>-728407632872.5116</v>
      </c>
      <c r="L4995" s="455">
        <f t="shared" ca="1" si="197"/>
        <v>-175546239522275.28</v>
      </c>
      <c r="M4995" s="471">
        <f t="shared" si="199"/>
        <v>0.05</v>
      </c>
      <c r="N4995" s="475">
        <f t="shared" si="200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98"/>
        <v>-175546239522275.28</v>
      </c>
      <c r="J4996" s="455">
        <f t="array" ref="J4996">IFERROR(INDEX('Retirement Calculator'!J:J,MATCH('Isaac 401k'!N4996,'Retirement Calculator'!A:A,0),0),0)</f>
        <v>0</v>
      </c>
      <c r="K4996" s="455">
        <f t="shared" ca="1" si="196"/>
        <v>-731442664676.14697</v>
      </c>
      <c r="L4996" s="455">
        <f t="shared" ca="1" si="197"/>
        <v>-176277682186951.44</v>
      </c>
      <c r="M4996" s="471">
        <f t="shared" si="199"/>
        <v>0.05</v>
      </c>
      <c r="N4996" s="475">
        <f t="shared" si="200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98"/>
        <v>-176277682186951.44</v>
      </c>
      <c r="J4997" s="455">
        <f t="array" ref="J4997">IFERROR(INDEX('Retirement Calculator'!J:J,MATCH('Isaac 401k'!N4997,'Retirement Calculator'!A:A,0),0),0)</f>
        <v>0</v>
      </c>
      <c r="K4997" s="455">
        <f t="shared" ca="1" si="196"/>
        <v>-734490342445.63098</v>
      </c>
      <c r="L4997" s="455">
        <f t="shared" ca="1" si="197"/>
        <v>-177012172529397.06</v>
      </c>
      <c r="M4997" s="471">
        <f t="shared" si="199"/>
        <v>0.05</v>
      </c>
      <c r="N4997" s="475">
        <f t="shared" si="200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98"/>
        <v>-177012172529397.06</v>
      </c>
      <c r="J4998" s="455">
        <f t="array" ref="J4998">IFERROR(INDEX('Retirement Calculator'!J:J,MATCH('Isaac 401k'!N4998,'Retirement Calculator'!A:A,0),0),0)</f>
        <v>0</v>
      </c>
      <c r="K4998" s="455">
        <f t="shared" ca="1" si="196"/>
        <v>-737550718872.48779</v>
      </c>
      <c r="L4998" s="455">
        <f t="shared" ca="1" si="197"/>
        <v>-177749723248269.56</v>
      </c>
      <c r="M4998" s="471">
        <f t="shared" si="199"/>
        <v>0.05</v>
      </c>
      <c r="N4998" s="475">
        <f t="shared" si="200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98"/>
        <v>-177749723248269.56</v>
      </c>
      <c r="J4999" s="455">
        <f t="array" ref="J4999">IFERROR(INDEX('Retirement Calculator'!J:J,MATCH('Isaac 401k'!N4999,'Retirement Calculator'!A:A,0),0),0)</f>
        <v>0</v>
      </c>
      <c r="K4999" s="455">
        <f t="shared" ca="1" si="196"/>
        <v>-740623846867.78979</v>
      </c>
      <c r="L4999" s="455">
        <f t="shared" ca="1" si="197"/>
        <v>-178490347095137.34</v>
      </c>
      <c r="M4999" s="471">
        <f t="shared" si="199"/>
        <v>0.05</v>
      </c>
      <c r="N4999" s="475">
        <f t="shared" si="200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98"/>
        <v>-178490347095137.34</v>
      </c>
      <c r="J5000" s="455">
        <f t="array" ref="J5000">IFERROR(INDEX('Retirement Calculator'!J:J,MATCH('Isaac 401k'!N5000,'Retirement Calculator'!A:A,0),0),0)</f>
        <v>0</v>
      </c>
      <c r="K5000" s="455">
        <f t="shared" ca="1" si="196"/>
        <v>-743709779563.07227</v>
      </c>
      <c r="L5000" s="455">
        <f t="shared" ca="1" si="197"/>
        <v>-179234056874700.41</v>
      </c>
      <c r="M5000" s="471">
        <f t="shared" si="199"/>
        <v>0.05</v>
      </c>
      <c r="N5000" s="475">
        <f t="shared" si="200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98"/>
        <v>-179234056874700.41</v>
      </c>
      <c r="J5001" s="455">
        <f t="array" ref="J5001">IFERROR(INDEX('Retirement Calculator'!J:J,MATCH('Isaac 401k'!N5001,'Retirement Calculator'!A:A,0),0),0)</f>
        <v>0</v>
      </c>
      <c r="K5001" s="455">
        <f t="shared" ca="1" si="196"/>
        <v>-746808570311.25171</v>
      </c>
      <c r="L5001" s="455">
        <f t="shared" ca="1" si="197"/>
        <v>-179980865445011.66</v>
      </c>
      <c r="M5001" s="471">
        <f t="shared" si="199"/>
        <v>0.05</v>
      </c>
      <c r="N5001" s="475">
        <f t="shared" si="200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98"/>
        <v>-179980865445011.66</v>
      </c>
      <c r="J5002" s="455">
        <f t="array" ref="J5002">IFERROR(INDEX('Retirement Calculator'!J:J,MATCH('Isaac 401k'!N5002,'Retirement Calculator'!A:A,0),0),0)</f>
        <v>0</v>
      </c>
      <c r="K5002" s="455">
        <f t="shared" ca="1" si="196"/>
        <v>-749920272687.54858</v>
      </c>
      <c r="L5002" s="455">
        <f t="shared" ca="1" si="197"/>
        <v>-180730785717699.22</v>
      </c>
      <c r="M5002" s="471">
        <f t="shared" si="199"/>
        <v>0.05</v>
      </c>
      <c r="N5002" s="475">
        <f t="shared" si="200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98"/>
        <v>-180730785717699.22</v>
      </c>
      <c r="J5003" s="455">
        <f t="array" ref="J5003">IFERROR(INDEX('Retirement Calculator'!J:J,MATCH('Isaac 401k'!N5003,'Retirement Calculator'!A:A,0),0),0)</f>
        <v>0</v>
      </c>
      <c r="K5003" s="455">
        <f t="shared" ca="1" si="196"/>
        <v>-753044940490.41345</v>
      </c>
      <c r="L5003" s="455">
        <f t="shared" ca="1" si="197"/>
        <v>-181483830658189.63</v>
      </c>
      <c r="M5003" s="471">
        <f t="shared" si="199"/>
        <v>0.05</v>
      </c>
      <c r="N5003" s="475">
        <f t="shared" si="200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98"/>
        <v>-181483830658189.63</v>
      </c>
      <c r="J5004" s="455">
        <f t="array" ref="J5004">IFERROR(INDEX('Retirement Calculator'!J:J,MATCH('Isaac 401k'!N5004,'Retirement Calculator'!A:A,0),0),0)</f>
        <v>0</v>
      </c>
      <c r="K5004" s="455">
        <f t="shared" ca="1" si="196"/>
        <v>-756182627742.45679</v>
      </c>
      <c r="L5004" s="455">
        <f t="shared" ca="1" si="197"/>
        <v>-182240013285932.09</v>
      </c>
      <c r="M5004" s="471">
        <f t="shared" si="199"/>
        <v>0.05</v>
      </c>
      <c r="N5004" s="475">
        <f t="shared" si="200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98"/>
        <v>-182240013285932.09</v>
      </c>
      <c r="J5005" s="455">
        <f t="array" ref="J5005">IFERROR(INDEX('Retirement Calculator'!J:J,MATCH('Isaac 401k'!N5005,'Retirement Calculator'!A:A,0),0),0)</f>
        <v>0</v>
      </c>
      <c r="K5005" s="455">
        <f t="shared" ca="1" si="196"/>
        <v>-759333388691.38367</v>
      </c>
      <c r="L5005" s="455">
        <f t="shared" ca="1" si="197"/>
        <v>-182999346674623.47</v>
      </c>
      <c r="M5005" s="471">
        <f t="shared" si="199"/>
        <v>0.05</v>
      </c>
      <c r="N5005" s="475">
        <f t="shared" si="200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98"/>
        <v>-182999346674623.47</v>
      </c>
      <c r="J5006" s="455">
        <f t="array" ref="J5006">IFERROR(INDEX('Retirement Calculator'!J:J,MATCH('Isaac 401k'!N5006,'Retirement Calculator'!A:A,0),0),0)</f>
        <v>0</v>
      </c>
      <c r="K5006" s="455">
        <f t="shared" ca="1" si="196"/>
        <v>-762497277810.93115</v>
      </c>
      <c r="L5006" s="455">
        <f t="shared" ca="1" si="197"/>
        <v>-183761843952434.41</v>
      </c>
      <c r="M5006" s="471">
        <f t="shared" si="199"/>
        <v>0.05</v>
      </c>
      <c r="N5006" s="475">
        <f t="shared" si="200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98"/>
        <v>-183761843952434.41</v>
      </c>
      <c r="J5007" s="455">
        <f t="array" ref="J5007">IFERROR(INDEX('Retirement Calculator'!J:J,MATCH('Isaac 401k'!N5007,'Retirement Calculator'!A:A,0),0),0)</f>
        <v>0</v>
      </c>
      <c r="K5007" s="455">
        <f t="shared" ca="1" si="196"/>
        <v>-765674349801.81006</v>
      </c>
      <c r="L5007" s="455">
        <f t="shared" ca="1" si="197"/>
        <v>-184527518302236.22</v>
      </c>
      <c r="M5007" s="471">
        <f t="shared" si="199"/>
        <v>0.05</v>
      </c>
      <c r="N5007" s="475">
        <f t="shared" si="200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98"/>
        <v>-184527518302236.22</v>
      </c>
      <c r="J5008" s="455">
        <f t="array" ref="J5008">IFERROR(INDEX('Retirement Calculator'!J:J,MATCH('Isaac 401k'!N5008,'Retirement Calculator'!A:A,0),0),0)</f>
        <v>0</v>
      </c>
      <c r="K5008" s="455">
        <f t="shared" ca="1" si="196"/>
        <v>-768864659592.65088</v>
      </c>
      <c r="L5008" s="455">
        <f t="shared" ca="1" si="197"/>
        <v>-185296382961828.88</v>
      </c>
      <c r="M5008" s="471">
        <f t="shared" si="199"/>
        <v>0.05</v>
      </c>
      <c r="N5008" s="475">
        <f t="shared" si="200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98"/>
        <v>-185296382961828.88</v>
      </c>
      <c r="J5009" s="455">
        <f t="array" ref="J5009">IFERROR(INDEX('Retirement Calculator'!J:J,MATCH('Isaac 401k'!N5009,'Retirement Calculator'!A:A,0),0),0)</f>
        <v>0</v>
      </c>
      <c r="K5009" s="455">
        <f t="shared" ca="1" si="196"/>
        <v>-772068262340.95361</v>
      </c>
      <c r="L5009" s="455">
        <f t="shared" ca="1" si="197"/>
        <v>-186068451224169.84</v>
      </c>
      <c r="M5009" s="471">
        <f t="shared" si="199"/>
        <v>0.05</v>
      </c>
      <c r="N5009" s="475">
        <f t="shared" si="200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98"/>
        <v>-186068451224169.84</v>
      </c>
      <c r="J5010" s="455">
        <f t="array" ref="J5010">IFERROR(INDEX('Retirement Calculator'!J:J,MATCH('Isaac 401k'!N5010,'Retirement Calculator'!A:A,0),0),0)</f>
        <v>0</v>
      </c>
      <c r="K5010" s="455">
        <f t="shared" ca="1" si="196"/>
        <v>-775285213434.04102</v>
      </c>
      <c r="L5010" s="455">
        <f t="shared" ca="1" si="197"/>
        <v>-186843736437603.88</v>
      </c>
      <c r="M5010" s="471">
        <f t="shared" si="199"/>
        <v>0.05</v>
      </c>
      <c r="N5010" s="475">
        <f t="shared" si="200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98"/>
        <v>-186843736437603.88</v>
      </c>
      <c r="J5011" s="455">
        <f t="array" ref="J5011">IFERROR(INDEX('Retirement Calculator'!J:J,MATCH('Isaac 401k'!N5011,'Retirement Calculator'!A:A,0),0),0)</f>
        <v>0</v>
      </c>
      <c r="K5011" s="455">
        <f t="shared" ca="1" si="196"/>
        <v>-778515568490.01611</v>
      </c>
      <c r="L5011" s="455">
        <f t="shared" ca="1" si="197"/>
        <v>-187622252006093.91</v>
      </c>
      <c r="M5011" s="471">
        <f t="shared" si="199"/>
        <v>0.05</v>
      </c>
      <c r="N5011" s="475">
        <f t="shared" si="200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98"/>
        <v>-187622252006093.91</v>
      </c>
      <c r="J5012" s="455">
        <f t="array" ref="J5012">IFERROR(INDEX('Retirement Calculator'!J:J,MATCH('Isaac 401k'!N5012,'Retirement Calculator'!A:A,0),0),0)</f>
        <v>0</v>
      </c>
      <c r="K5012" s="455">
        <f t="shared" ca="1" si="196"/>
        <v>-781759383358.72461</v>
      </c>
      <c r="L5012" s="455">
        <f t="shared" ca="1" si="197"/>
        <v>-188404011389452.63</v>
      </c>
      <c r="M5012" s="471">
        <f t="shared" si="199"/>
        <v>0.05</v>
      </c>
      <c r="N5012" s="475">
        <f t="shared" si="200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98"/>
        <v>-188404011389452.63</v>
      </c>
      <c r="J5013" s="455">
        <f t="array" ref="J5013">IFERROR(INDEX('Retirement Calculator'!J:J,MATCH('Isaac 401k'!N5013,'Retirement Calculator'!A:A,0),0),0)</f>
        <v>0</v>
      </c>
      <c r="K5013" s="455">
        <f t="shared" ca="1" si="196"/>
        <v>-785016714122.71924</v>
      </c>
      <c r="L5013" s="455">
        <f t="shared" ca="1" si="197"/>
        <v>-189189028103575.34</v>
      </c>
      <c r="M5013" s="471">
        <f t="shared" si="199"/>
        <v>0.05</v>
      </c>
      <c r="N5013" s="475">
        <f t="shared" si="200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98"/>
        <v>-189189028103575.34</v>
      </c>
      <c r="J5014" s="455">
        <f t="array" ref="J5014">IFERROR(INDEX('Retirement Calculator'!J:J,MATCH('Isaac 401k'!N5014,'Retirement Calculator'!A:A,0),0),0)</f>
        <v>0</v>
      </c>
      <c r="K5014" s="455">
        <f t="shared" ca="1" si="196"/>
        <v>-788287617098.23059</v>
      </c>
      <c r="L5014" s="455">
        <f t="shared" ca="1" si="197"/>
        <v>-189977315720673.56</v>
      </c>
      <c r="M5014" s="471">
        <f t="shared" si="199"/>
        <v>0.05</v>
      </c>
      <c r="N5014" s="475">
        <f t="shared" si="200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98"/>
        <v>-189977315720673.56</v>
      </c>
      <c r="J5015" s="455">
        <f t="array" ref="J5015">IFERROR(INDEX('Retirement Calculator'!J:J,MATCH('Isaac 401k'!N5015,'Retirement Calculator'!A:A,0),0),0)</f>
        <v>0</v>
      </c>
      <c r="K5015" s="455">
        <f t="shared" ca="1" si="196"/>
        <v>-791572148836.13989</v>
      </c>
      <c r="L5015" s="455">
        <f t="shared" ca="1" si="197"/>
        <v>-190768887869509.69</v>
      </c>
      <c r="M5015" s="471">
        <f t="shared" si="199"/>
        <v>0.05</v>
      </c>
      <c r="N5015" s="475">
        <f t="shared" si="200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98"/>
        <v>-190768887869509.69</v>
      </c>
      <c r="J5016" s="455">
        <f t="array" ref="J5016">IFERROR(INDEX('Retirement Calculator'!J:J,MATCH('Isaac 401k'!N5016,'Retirement Calculator'!A:A,0),0),0)</f>
        <v>0</v>
      </c>
      <c r="K5016" s="455">
        <f t="shared" ca="1" si="196"/>
        <v>-794870366122.95703</v>
      </c>
      <c r="L5016" s="455">
        <f t="shared" ca="1" si="197"/>
        <v>-191563758235632.66</v>
      </c>
      <c r="M5016" s="471">
        <f t="shared" si="199"/>
        <v>0.05</v>
      </c>
      <c r="N5016" s="475">
        <f t="shared" si="200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98"/>
        <v>-191563758235632.66</v>
      </c>
      <c r="J5017" s="455">
        <f t="array" ref="J5017">IFERROR(INDEX('Retirement Calculator'!J:J,MATCH('Isaac 401k'!N5017,'Retirement Calculator'!A:A,0),0),0)</f>
        <v>0</v>
      </c>
      <c r="K5017" s="455">
        <f t="shared" ca="1" si="196"/>
        <v>-798182325981.80273</v>
      </c>
      <c r="L5017" s="455">
        <f t="shared" ca="1" si="197"/>
        <v>-192361940561614.47</v>
      </c>
      <c r="M5017" s="471">
        <f t="shared" si="199"/>
        <v>0.05</v>
      </c>
      <c r="N5017" s="475">
        <f t="shared" si="200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98"/>
        <v>-192361940561614.47</v>
      </c>
      <c r="J5018" s="455">
        <f t="array" ref="J5018">IFERROR(INDEX('Retirement Calculator'!J:J,MATCH('Isaac 401k'!N5018,'Retirement Calculator'!A:A,0),0),0)</f>
        <v>0</v>
      </c>
      <c r="K5018" s="455">
        <f t="shared" ca="1" si="196"/>
        <v>-801508085673.39355</v>
      </c>
      <c r="L5018" s="455">
        <f t="shared" ca="1" si="197"/>
        <v>-193163448647287.88</v>
      </c>
      <c r="M5018" s="471">
        <f t="shared" si="199"/>
        <v>0.05</v>
      </c>
      <c r="N5018" s="475">
        <f t="shared" si="200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98"/>
        <v>-193163448647287.88</v>
      </c>
      <c r="J5019" s="455">
        <f t="array" ref="J5019">IFERROR(INDEX('Retirement Calculator'!J:J,MATCH('Isaac 401k'!N5019,'Retirement Calculator'!A:A,0),0),0)</f>
        <v>0</v>
      </c>
      <c r="K5019" s="455">
        <f t="shared" ca="1" si="196"/>
        <v>-804847702697.03284</v>
      </c>
      <c r="L5019" s="455">
        <f t="shared" ca="1" si="197"/>
        <v>-193968296349984.91</v>
      </c>
      <c r="M5019" s="471">
        <f t="shared" si="199"/>
        <v>0.05</v>
      </c>
      <c r="N5019" s="475">
        <f t="shared" si="200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98"/>
        <v>-193968296349984.91</v>
      </c>
      <c r="J5020" s="455">
        <f t="array" ref="J5020">IFERROR(INDEX('Retirement Calculator'!J:J,MATCH('Isaac 401k'!N5020,'Retirement Calculator'!A:A,0),0),0)</f>
        <v>0</v>
      </c>
      <c r="K5020" s="455">
        <f t="shared" ca="1" si="196"/>
        <v>-808201234791.60376</v>
      </c>
      <c r="L5020" s="455">
        <f t="shared" ca="1" si="197"/>
        <v>-194776497584776.5</v>
      </c>
      <c r="M5020" s="471">
        <f t="shared" si="199"/>
        <v>0.05</v>
      </c>
      <c r="N5020" s="475">
        <f t="shared" si="200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98"/>
        <v>-194776497584776.5</v>
      </c>
      <c r="J5021" s="455">
        <f t="array" ref="J5021">IFERROR(INDEX('Retirement Calculator'!J:J,MATCH('Isaac 401k'!N5021,'Retirement Calculator'!A:A,0),0),0)</f>
        <v>0</v>
      </c>
      <c r="K5021" s="455">
        <f t="shared" ca="1" si="196"/>
        <v>-811568739936.56873</v>
      </c>
      <c r="L5021" s="455">
        <f t="shared" ca="1" si="197"/>
        <v>-195588066324713.06</v>
      </c>
      <c r="M5021" s="471">
        <f t="shared" si="199"/>
        <v>0.05</v>
      </c>
      <c r="N5021" s="475">
        <f t="shared" si="200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98"/>
        <v>-195588066324713.06</v>
      </c>
      <c r="J5022" s="455">
        <f t="array" ref="J5022">IFERROR(INDEX('Retirement Calculator'!J:J,MATCH('Isaac 401k'!N5022,'Retirement Calculator'!A:A,0),0),0)</f>
        <v>0</v>
      </c>
      <c r="K5022" s="455">
        <f t="shared" ca="1" si="196"/>
        <v>-814950276352.97107</v>
      </c>
      <c r="L5022" s="455">
        <f t="shared" ca="1" si="197"/>
        <v>-196403016601066.03</v>
      </c>
      <c r="M5022" s="471">
        <f t="shared" si="199"/>
        <v>0.05</v>
      </c>
      <c r="N5022" s="475">
        <f t="shared" si="200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98"/>
        <v>-196403016601066.03</v>
      </c>
      <c r="J5023" s="455">
        <f t="array" ref="J5023">IFERROR(INDEX('Retirement Calculator'!J:J,MATCH('Isaac 401k'!N5023,'Retirement Calculator'!A:A,0),0),0)</f>
        <v>0</v>
      </c>
      <c r="K5023" s="455">
        <f t="shared" ca="1" si="196"/>
        <v>-818345902504.44177</v>
      </c>
      <c r="L5023" s="455">
        <f t="shared" ca="1" si="197"/>
        <v>-197221362503570.47</v>
      </c>
      <c r="M5023" s="471">
        <f t="shared" si="199"/>
        <v>0.05</v>
      </c>
      <c r="N5023" s="475">
        <f t="shared" si="200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98"/>
        <v>-197221362503570.47</v>
      </c>
      <c r="J5024" s="455">
        <f t="array" ref="J5024">IFERROR(INDEX('Retirement Calculator'!J:J,MATCH('Isaac 401k'!N5024,'Retirement Calculator'!A:A,0),0),0)</f>
        <v>0</v>
      </c>
      <c r="K5024" s="455">
        <f t="shared" ca="1" si="196"/>
        <v>-821755677098.21033</v>
      </c>
      <c r="L5024" s="455">
        <f t="shared" ca="1" si="197"/>
        <v>-198043118180668.69</v>
      </c>
      <c r="M5024" s="471">
        <f t="shared" si="199"/>
        <v>0.05</v>
      </c>
      <c r="N5024" s="475">
        <f t="shared" si="200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98"/>
        <v>-198043118180668.69</v>
      </c>
      <c r="J5025" s="455">
        <f t="array" ref="J5025">IFERROR(INDEX('Retirement Calculator'!J:J,MATCH('Isaac 401k'!N5025,'Retirement Calculator'!A:A,0),0),0)</f>
        <v>0</v>
      </c>
      <c r="K5025" s="455">
        <f t="shared" ca="1" si="196"/>
        <v>-825179659086.11951</v>
      </c>
      <c r="L5025" s="455">
        <f t="shared" ca="1" si="197"/>
        <v>-198868297839754.81</v>
      </c>
      <c r="M5025" s="471">
        <f t="shared" si="199"/>
        <v>0.05</v>
      </c>
      <c r="N5025" s="475">
        <f t="shared" si="200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98"/>
        <v>-198868297839754.81</v>
      </c>
      <c r="J5026" s="455">
        <f t="array" ref="J5026">IFERROR(INDEX('Retirement Calculator'!J:J,MATCH('Isaac 401k'!N5026,'Retirement Calculator'!A:A,0),0),0)</f>
        <v>0</v>
      </c>
      <c r="K5026" s="455">
        <f t="shared" ca="1" si="196"/>
        <v>-828617907665.64502</v>
      </c>
      <c r="L5026" s="455">
        <f t="shared" ca="1" si="197"/>
        <v>-199696915747420.47</v>
      </c>
      <c r="M5026" s="471">
        <f t="shared" si="199"/>
        <v>0.05</v>
      </c>
      <c r="N5026" s="475">
        <f t="shared" si="200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98"/>
        <v>-199696915747420.47</v>
      </c>
      <c r="J5027" s="455">
        <f t="array" ref="J5027">IFERROR(INDEX('Retirement Calculator'!J:J,MATCH('Isaac 401k'!N5027,'Retirement Calculator'!A:A,0),0),0)</f>
        <v>0</v>
      </c>
      <c r="K5027" s="455">
        <f t="shared" ca="1" si="196"/>
        <v>-832070482280.91858</v>
      </c>
      <c r="L5027" s="455">
        <f t="shared" ca="1" si="197"/>
        <v>-200528986229701.38</v>
      </c>
      <c r="M5027" s="471">
        <f t="shared" si="199"/>
        <v>0.05</v>
      </c>
      <c r="N5027" s="475">
        <f t="shared" si="200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98"/>
        <v>-200528986229701.38</v>
      </c>
      <c r="J5028" s="455">
        <f t="array" ref="J5028">IFERROR(INDEX('Retirement Calculator'!J:J,MATCH('Isaac 401k'!N5028,'Retirement Calculator'!A:A,0),0),0)</f>
        <v>0</v>
      </c>
      <c r="K5028" s="455">
        <f t="shared" ca="1" si="196"/>
        <v>-835537442623.75574</v>
      </c>
      <c r="L5028" s="455">
        <f t="shared" ca="1" si="197"/>
        <v>-201364523672325.13</v>
      </c>
      <c r="M5028" s="471">
        <f t="shared" si="199"/>
        <v>0.05</v>
      </c>
      <c r="N5028" s="475">
        <f t="shared" si="200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98"/>
        <v>-201364523672325.13</v>
      </c>
      <c r="J5029" s="455">
        <f t="array" ref="J5029">IFERROR(INDEX('Retirement Calculator'!J:J,MATCH('Isaac 401k'!N5029,'Retirement Calculator'!A:A,0),0),0)</f>
        <v>0</v>
      </c>
      <c r="K5029" s="455">
        <f t="shared" ca="1" si="196"/>
        <v>-839018848634.68799</v>
      </c>
      <c r="L5029" s="455">
        <f t="shared" ca="1" si="197"/>
        <v>-202203542520959.81</v>
      </c>
      <c r="M5029" s="471">
        <f t="shared" si="199"/>
        <v>0.05</v>
      </c>
      <c r="N5029" s="475">
        <f t="shared" si="200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98"/>
        <v>-202203542520959.81</v>
      </c>
      <c r="J5030" s="455">
        <f t="array" ref="J5030">IFERROR(INDEX('Retirement Calculator'!J:J,MATCH('Isaac 401k'!N5030,'Retirement Calculator'!A:A,0),0),0)</f>
        <v>0</v>
      </c>
      <c r="K5030" s="455">
        <f t="shared" ca="1" si="196"/>
        <v>-842514760503.99927</v>
      </c>
      <c r="L5030" s="455">
        <f t="shared" ca="1" si="197"/>
        <v>-203046057281463.81</v>
      </c>
      <c r="M5030" s="471">
        <f t="shared" si="199"/>
        <v>0.05</v>
      </c>
      <c r="N5030" s="475">
        <f t="shared" si="200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98"/>
        <v>-203046057281463.81</v>
      </c>
      <c r="J5031" s="455">
        <f t="array" ref="J5031">IFERROR(INDEX('Retirement Calculator'!J:J,MATCH('Isaac 401k'!N5031,'Retirement Calculator'!A:A,0),0),0)</f>
        <v>0</v>
      </c>
      <c r="K5031" s="455">
        <f t="shared" ca="1" si="196"/>
        <v>-846025238672.76587</v>
      </c>
      <c r="L5031" s="455">
        <f t="shared" ca="1" si="197"/>
        <v>-203892082520136.59</v>
      </c>
      <c r="M5031" s="471">
        <f t="shared" si="199"/>
        <v>0.05</v>
      </c>
      <c r="N5031" s="475">
        <f t="shared" si="200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98"/>
        <v>-203892082520136.59</v>
      </c>
      <c r="J5032" s="455">
        <f t="array" ref="J5032">IFERROR(INDEX('Retirement Calculator'!J:J,MATCH('Isaac 401k'!N5032,'Retirement Calculator'!A:A,0),0),0)</f>
        <v>0</v>
      </c>
      <c r="K5032" s="455">
        <f t="shared" ca="1" si="196"/>
        <v>-849550343833.90247</v>
      </c>
      <c r="L5032" s="455">
        <f t="shared" ca="1" si="197"/>
        <v>-204741632863970.5</v>
      </c>
      <c r="M5032" s="471">
        <f t="shared" si="199"/>
        <v>0.05</v>
      </c>
      <c r="N5032" s="475">
        <f t="shared" si="200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98"/>
        <v>-204741632863970.5</v>
      </c>
      <c r="J5033" s="455">
        <f t="array" ref="J5033">IFERROR(INDEX('Retirement Calculator'!J:J,MATCH('Isaac 401k'!N5033,'Retirement Calculator'!A:A,0),0),0)</f>
        <v>0</v>
      </c>
      <c r="K5033" s="455">
        <f t="shared" ca="1" si="196"/>
        <v>-853090136933.21045</v>
      </c>
      <c r="L5033" s="455">
        <f t="shared" ca="1" si="197"/>
        <v>-205594723000903.72</v>
      </c>
      <c r="M5033" s="471">
        <f t="shared" si="199"/>
        <v>0.05</v>
      </c>
      <c r="N5033" s="475">
        <f t="shared" si="200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98"/>
        <v>-205594723000903.72</v>
      </c>
      <c r="J5034" s="455">
        <f t="array" ref="J5034">IFERROR(INDEX('Retirement Calculator'!J:J,MATCH('Isaac 401k'!N5034,'Retirement Calculator'!A:A,0),0),0)</f>
        <v>0</v>
      </c>
      <c r="K5034" s="455">
        <f t="shared" ca="1" si="196"/>
        <v>-856644679170.43213</v>
      </c>
      <c r="L5034" s="455">
        <f t="shared" ca="1" si="197"/>
        <v>-206451367680074.16</v>
      </c>
      <c r="M5034" s="471">
        <f t="shared" si="199"/>
        <v>0.05</v>
      </c>
      <c r="N5034" s="475">
        <f t="shared" si="200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98"/>
        <v>-206451367680074.16</v>
      </c>
      <c r="J5035" s="455">
        <f t="array" ref="J5035">IFERROR(INDEX('Retirement Calculator'!J:J,MATCH('Isaac 401k'!N5035,'Retirement Calculator'!A:A,0),0),0)</f>
        <v>0</v>
      </c>
      <c r="K5035" s="455">
        <f t="shared" ca="1" si="196"/>
        <v>-860214032000.30896</v>
      </c>
      <c r="L5035" s="455">
        <f t="shared" ca="1" si="197"/>
        <v>-207311581712074.47</v>
      </c>
      <c r="M5035" s="471">
        <f t="shared" si="199"/>
        <v>0.05</v>
      </c>
      <c r="N5035" s="475">
        <f t="shared" si="200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98"/>
        <v>-207311581712074.47</v>
      </c>
      <c r="J5036" s="455">
        <f t="array" ref="J5036">IFERROR(INDEX('Retirement Calculator'!J:J,MATCH('Isaac 401k'!N5036,'Retirement Calculator'!A:A,0),0),0)</f>
        <v>0</v>
      </c>
      <c r="K5036" s="455">
        <f t="shared" ca="1" si="196"/>
        <v>-863798257133.64355</v>
      </c>
      <c r="L5036" s="455">
        <f t="shared" ca="1" si="197"/>
        <v>-208175379969208.13</v>
      </c>
      <c r="M5036" s="471">
        <f t="shared" si="199"/>
        <v>0.05</v>
      </c>
      <c r="N5036" s="475">
        <f t="shared" si="200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98"/>
        <v>-208175379969208.13</v>
      </c>
      <c r="J5037" s="455">
        <f t="array" ref="J5037">IFERROR(INDEX('Retirement Calculator'!J:J,MATCH('Isaac 401k'!N5037,'Retirement Calculator'!A:A,0),0),0)</f>
        <v>0</v>
      </c>
      <c r="K5037" s="455">
        <f t="shared" ca="1" si="196"/>
        <v>-867397416538.36719</v>
      </c>
      <c r="L5037" s="455">
        <f t="shared" ca="1" si="197"/>
        <v>-209042777385746.5</v>
      </c>
      <c r="M5037" s="471">
        <f t="shared" si="199"/>
        <v>0.05</v>
      </c>
      <c r="N5037" s="475">
        <f t="shared" si="200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98"/>
        <v>-209042777385746.5</v>
      </c>
      <c r="J5038" s="455">
        <f t="array" ref="J5038">IFERROR(INDEX('Retirement Calculator'!J:J,MATCH('Isaac 401k'!N5038,'Retirement Calculator'!A:A,0),0),0)</f>
        <v>0</v>
      </c>
      <c r="K5038" s="455">
        <f t="shared" ca="1" si="196"/>
        <v>-871011572440.61035</v>
      </c>
      <c r="L5038" s="455">
        <f t="shared" ca="1" si="197"/>
        <v>-209913788958187.13</v>
      </c>
      <c r="M5038" s="471">
        <f t="shared" si="199"/>
        <v>0.05</v>
      </c>
      <c r="N5038" s="475">
        <f t="shared" si="200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98"/>
        <v>-209913788958187.13</v>
      </c>
      <c r="J5039" s="455">
        <f t="array" ref="J5039">IFERROR(INDEX('Retirement Calculator'!J:J,MATCH('Isaac 401k'!N5039,'Retirement Calculator'!A:A,0),0),0)</f>
        <v>0</v>
      </c>
      <c r="K5039" s="455">
        <f t="shared" ca="1" si="196"/>
        <v>-874640787325.77966</v>
      </c>
      <c r="L5039" s="455">
        <f t="shared" ca="1" si="197"/>
        <v>-210788429745512.91</v>
      </c>
      <c r="M5039" s="471">
        <f t="shared" si="199"/>
        <v>0.05</v>
      </c>
      <c r="N5039" s="475">
        <f t="shared" si="200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98"/>
        <v>-210788429745512.91</v>
      </c>
      <c r="J5040" s="455">
        <f t="array" ref="J5040">IFERROR(INDEX('Retirement Calculator'!J:J,MATCH('Isaac 401k'!N5040,'Retirement Calculator'!A:A,0),0),0)</f>
        <v>0</v>
      </c>
      <c r="K5040" s="455">
        <f t="shared" ca="1" si="196"/>
        <v>-878285123939.63708</v>
      </c>
      <c r="L5040" s="455">
        <f t="shared" ca="1" si="197"/>
        <v>-211666714869452.53</v>
      </c>
      <c r="M5040" s="471">
        <f t="shared" si="199"/>
        <v>0.05</v>
      </c>
      <c r="N5040" s="475">
        <f t="shared" si="200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98"/>
        <v>-211666714869452.53</v>
      </c>
      <c r="J5041" s="455">
        <f t="array" ref="J5041">IFERROR(INDEX('Retirement Calculator'!J:J,MATCH('Isaac 401k'!N5041,'Retirement Calculator'!A:A,0),0),0)</f>
        <v>0</v>
      </c>
      <c r="K5041" s="455">
        <f t="shared" ca="1" si="196"/>
        <v>-881944645289.3855</v>
      </c>
      <c r="L5041" s="455">
        <f t="shared" ca="1" si="197"/>
        <v>-212548659514741.91</v>
      </c>
      <c r="M5041" s="471">
        <f t="shared" si="199"/>
        <v>0.05</v>
      </c>
      <c r="N5041" s="475">
        <f t="shared" si="200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98"/>
        <v>-212548659514741.91</v>
      </c>
      <c r="J5042" s="455">
        <f t="array" ref="J5042">IFERROR(INDEX('Retirement Calculator'!J:J,MATCH('Isaac 401k'!N5042,'Retirement Calculator'!A:A,0),0),0)</f>
        <v>0</v>
      </c>
      <c r="K5042" s="455">
        <f t="shared" ca="1" si="196"/>
        <v>-885619414644.75793</v>
      </c>
      <c r="L5042" s="455">
        <f t="shared" ca="1" si="197"/>
        <v>-213434278929386.66</v>
      </c>
      <c r="M5042" s="471">
        <f t="shared" si="199"/>
        <v>0.05</v>
      </c>
      <c r="N5042" s="475">
        <f t="shared" si="200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98"/>
        <v>-213434278929386.66</v>
      </c>
      <c r="J5043" s="455">
        <f t="array" ref="J5043">IFERROR(INDEX('Retirement Calculator'!J:J,MATCH('Isaac 401k'!N5043,'Retirement Calculator'!A:A,0),0),0)</f>
        <v>0</v>
      </c>
      <c r="K5043" s="455">
        <f t="shared" ca="1" si="196"/>
        <v>-889309495539.11108</v>
      </c>
      <c r="L5043" s="455">
        <f t="shared" ca="1" si="197"/>
        <v>-214323588424925.78</v>
      </c>
      <c r="M5043" s="471">
        <f t="shared" si="199"/>
        <v>0.05</v>
      </c>
      <c r="N5043" s="475">
        <f t="shared" si="200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98"/>
        <v>-214323588424925.78</v>
      </c>
      <c r="J5044" s="455">
        <f t="array" ref="J5044">IFERROR(INDEX('Retirement Calculator'!J:J,MATCH('Isaac 401k'!N5044,'Retirement Calculator'!A:A,0),0),0)</f>
        <v>0</v>
      </c>
      <c r="K5044" s="455">
        <f t="shared" ca="1" si="196"/>
        <v>-893014951770.52405</v>
      </c>
      <c r="L5044" s="455">
        <f t="shared" ca="1" si="197"/>
        <v>-215216603376696.31</v>
      </c>
      <c r="M5044" s="471">
        <f t="shared" si="199"/>
        <v>0.05</v>
      </c>
      <c r="N5044" s="475">
        <f t="shared" si="200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98"/>
        <v>-215216603376696.31</v>
      </c>
      <c r="J5045" s="455">
        <f t="array" ref="J5045">IFERROR(INDEX('Retirement Calculator'!J:J,MATCH('Isaac 401k'!N5045,'Retirement Calculator'!A:A,0),0),0)</f>
        <v>0</v>
      </c>
      <c r="K5045" s="455">
        <f t="shared" ca="1" si="196"/>
        <v>-896735847402.90125</v>
      </c>
      <c r="L5045" s="455">
        <f t="shared" ca="1" si="197"/>
        <v>-216113339224099.22</v>
      </c>
      <c r="M5045" s="471">
        <f t="shared" si="199"/>
        <v>0.05</v>
      </c>
      <c r="N5045" s="475">
        <f t="shared" si="200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98"/>
        <v>-216113339224099.22</v>
      </c>
      <c r="J5046" s="455">
        <f t="array" ref="J5046">IFERROR(INDEX('Retirement Calculator'!J:J,MATCH('Isaac 401k'!N5046,'Retirement Calculator'!A:A,0),0),0)</f>
        <v>0</v>
      </c>
      <c r="K5046" s="455">
        <f t="shared" ca="1" si="196"/>
        <v>-900472246767.08008</v>
      </c>
      <c r="L5046" s="455">
        <f t="shared" ca="1" si="197"/>
        <v>-217013811470866.31</v>
      </c>
      <c r="M5046" s="471">
        <f t="shared" si="199"/>
        <v>0.05</v>
      </c>
      <c r="N5046" s="475">
        <f t="shared" si="200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98"/>
        <v>-217013811470866.31</v>
      </c>
      <c r="J5047" s="455">
        <f t="array" ref="J5047">IFERROR(INDEX('Retirement Calculator'!J:J,MATCH('Isaac 401k'!N5047,'Retirement Calculator'!A:A,0),0),0)</f>
        <v>0</v>
      </c>
      <c r="K5047" s="455">
        <f t="shared" ca="1" si="196"/>
        <v>-904224214461.94299</v>
      </c>
      <c r="L5047" s="455">
        <f t="shared" ca="1" si="197"/>
        <v>-217918035685328.25</v>
      </c>
      <c r="M5047" s="471">
        <f t="shared" si="199"/>
        <v>0.05</v>
      </c>
      <c r="N5047" s="475">
        <f t="shared" si="200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98"/>
        <v>-217918035685328.25</v>
      </c>
      <c r="J5048" s="455">
        <f t="array" ref="J5048">IFERROR(INDEX('Retirement Calculator'!J:J,MATCH('Isaac 401k'!N5048,'Retirement Calculator'!A:A,0),0),0)</f>
        <v>0</v>
      </c>
      <c r="K5048" s="455">
        <f t="shared" ca="1" si="196"/>
        <v>-907991815355.5343</v>
      </c>
      <c r="L5048" s="455">
        <f t="shared" ca="1" si="197"/>
        <v>-218826027500683.78</v>
      </c>
      <c r="M5048" s="471">
        <f t="shared" si="199"/>
        <v>0.05</v>
      </c>
      <c r="N5048" s="475">
        <f t="shared" si="200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98"/>
        <v>-218826027500683.78</v>
      </c>
      <c r="J5049" s="455">
        <f t="array" ref="J5049">IFERROR(INDEX('Retirement Calculator'!J:J,MATCH('Isaac 401k'!N5049,'Retirement Calculator'!A:A,0),0),0)</f>
        <v>0</v>
      </c>
      <c r="K5049" s="455">
        <f t="shared" ca="1" si="196"/>
        <v>-911775114586.18237</v>
      </c>
      <c r="L5049" s="455">
        <f t="shared" ca="1" si="197"/>
        <v>-219737802615269.97</v>
      </c>
      <c r="M5049" s="471">
        <f t="shared" si="199"/>
        <v>0.05</v>
      </c>
      <c r="N5049" s="475">
        <f t="shared" si="200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98"/>
        <v>-219737802615269.97</v>
      </c>
      <c r="J5050" s="455">
        <f t="array" ref="J5050">IFERROR(INDEX('Retirement Calculator'!J:J,MATCH('Isaac 401k'!N5050,'Retirement Calculator'!A:A,0),0),0)</f>
        <v>0</v>
      </c>
      <c r="K5050" s="455">
        <f t="shared" ca="1" si="196"/>
        <v>-915574177563.62488</v>
      </c>
      <c r="L5050" s="455">
        <f t="shared" ca="1" si="197"/>
        <v>-220653376792833.59</v>
      </c>
      <c r="M5050" s="471">
        <f t="shared" si="199"/>
        <v>0.05</v>
      </c>
      <c r="N5050" s="475">
        <f t="shared" si="200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98"/>
        <v>-220653376792833.59</v>
      </c>
      <c r="J5051" s="455">
        <f t="array" ref="J5051">IFERROR(INDEX('Retirement Calculator'!J:J,MATCH('Isaac 401k'!N5051,'Retirement Calculator'!A:A,0),0),0)</f>
        <v>0</v>
      </c>
      <c r="K5051" s="455">
        <f t="shared" ca="1" si="196"/>
        <v>-919389069970.14014</v>
      </c>
      <c r="L5051" s="455">
        <f t="shared" ca="1" si="197"/>
        <v>-221572765862803.72</v>
      </c>
      <c r="M5051" s="471">
        <f t="shared" si="199"/>
        <v>0.05</v>
      </c>
      <c r="N5051" s="475">
        <f t="shared" si="200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98"/>
        <v>-221572765862803.72</v>
      </c>
      <c r="J5052" s="455">
        <f t="array" ref="J5052">IFERROR(INDEX('Retirement Calculator'!J:J,MATCH('Isaac 401k'!N5052,'Retirement Calculator'!A:A,0),0),0)</f>
        <v>0</v>
      </c>
      <c r="K5052" s="455">
        <f t="shared" ca="1" si="196"/>
        <v>-923219857761.68225</v>
      </c>
      <c r="L5052" s="455">
        <f t="shared" ca="1" si="197"/>
        <v>-222495985720565.41</v>
      </c>
      <c r="M5052" s="471">
        <f t="shared" si="199"/>
        <v>0.05</v>
      </c>
      <c r="N5052" s="475">
        <f t="shared" si="200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98"/>
        <v>-222495985720565.41</v>
      </c>
      <c r="J5053" s="455">
        <f t="array" ref="J5053">IFERROR(INDEX('Retirement Calculator'!J:J,MATCH('Isaac 401k'!N5053,'Retirement Calculator'!A:A,0),0),0)</f>
        <v>0</v>
      </c>
      <c r="K5053" s="455">
        <f t="shared" ca="1" si="196"/>
        <v>-927066607169.02246</v>
      </c>
      <c r="L5053" s="455">
        <f t="shared" ca="1" si="197"/>
        <v>-223423052327734.44</v>
      </c>
      <c r="M5053" s="471">
        <f t="shared" si="199"/>
        <v>0.05</v>
      </c>
      <c r="N5053" s="475">
        <f t="shared" si="200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98"/>
        <v>-223423052327734.44</v>
      </c>
      <c r="J5054" s="455">
        <f t="array" ref="J5054">IFERROR(INDEX('Retirement Calculator'!J:J,MATCH('Isaac 401k'!N5054,'Retirement Calculator'!A:A,0),0),0)</f>
        <v>0</v>
      </c>
      <c r="K5054" s="455">
        <f t="shared" ca="1" si="196"/>
        <v>-930929384698.89331</v>
      </c>
      <c r="L5054" s="455">
        <f t="shared" ca="1" si="197"/>
        <v>-224353981712433.34</v>
      </c>
      <c r="M5054" s="471">
        <f t="shared" si="199"/>
        <v>0.05</v>
      </c>
      <c r="N5054" s="475">
        <f t="shared" si="200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98"/>
        <v>-224353981712433.34</v>
      </c>
      <c r="J5055" s="455">
        <f t="array" ref="J5055">IFERROR(INDEX('Retirement Calculator'!J:J,MATCH('Isaac 401k'!N5055,'Retirement Calculator'!A:A,0),0),0)</f>
        <v>0</v>
      </c>
      <c r="K5055" s="455">
        <f t="shared" ca="1" si="196"/>
        <v>-934808257135.13892</v>
      </c>
      <c r="L5055" s="455">
        <f t="shared" ca="1" si="197"/>
        <v>-225288789969568.47</v>
      </c>
      <c r="M5055" s="471">
        <f t="shared" si="199"/>
        <v>0.05</v>
      </c>
      <c r="N5055" s="475">
        <f t="shared" si="200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98"/>
        <v>-225288789969568.47</v>
      </c>
      <c r="J5056" s="455">
        <f t="array" ref="J5056">IFERROR(INDEX('Retirement Calculator'!J:J,MATCH('Isaac 401k'!N5056,'Retirement Calculator'!A:A,0),0),0)</f>
        <v>0</v>
      </c>
      <c r="K5056" s="455">
        <f t="shared" ca="1" si="196"/>
        <v>-938703291539.86865</v>
      </c>
      <c r="L5056" s="455">
        <f t="shared" ca="1" si="197"/>
        <v>-226227493261108.34</v>
      </c>
      <c r="M5056" s="471">
        <f t="shared" si="199"/>
        <v>0.05</v>
      </c>
      <c r="N5056" s="475">
        <f t="shared" si="200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98"/>
        <v>-226227493261108.34</v>
      </c>
      <c r="J5057" s="455">
        <f t="array" ref="J5057">IFERROR(INDEX('Retirement Calculator'!J:J,MATCH('Isaac 401k'!N5057,'Retirement Calculator'!A:A,0),0),0)</f>
        <v>0</v>
      </c>
      <c r="K5057" s="455">
        <f t="shared" ca="1" si="196"/>
        <v>-942614555254.61816</v>
      </c>
      <c r="L5057" s="455">
        <f t="shared" ca="1" si="197"/>
        <v>-227170107816362.97</v>
      </c>
      <c r="M5057" s="471">
        <f t="shared" si="199"/>
        <v>0.05</v>
      </c>
      <c r="N5057" s="475">
        <f t="shared" si="200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98"/>
        <v>-227170107816362.97</v>
      </c>
      <c r="J5058" s="455">
        <f t="array" ref="J5058">IFERROR(INDEX('Retirement Calculator'!J:J,MATCH('Isaac 401k'!N5058,'Retirement Calculator'!A:A,0),0),0)</f>
        <v>0</v>
      </c>
      <c r="K5058" s="455">
        <f t="shared" ca="1" si="196"/>
        <v>-946542115901.51233</v>
      </c>
      <c r="L5058" s="455">
        <f t="shared" ca="1" si="197"/>
        <v>-228116649932264.47</v>
      </c>
      <c r="M5058" s="471">
        <f t="shared" si="199"/>
        <v>0.05</v>
      </c>
      <c r="N5058" s="475">
        <f t="shared" si="200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98"/>
        <v>-228116649932264.47</v>
      </c>
      <c r="J5059" s="455">
        <f t="array" ref="J5059">IFERROR(INDEX('Retirement Calculator'!J:J,MATCH('Isaac 401k'!N5059,'Retirement Calculator'!A:A,0),0),0)</f>
        <v>0</v>
      </c>
      <c r="K5059" s="455">
        <f t="shared" ca="1" si="196"/>
        <v>-950486041384.4353</v>
      </c>
      <c r="L5059" s="455">
        <f t="shared" ca="1" si="197"/>
        <v>-229067135973648.91</v>
      </c>
      <c r="M5059" s="471">
        <f t="shared" si="199"/>
        <v>0.05</v>
      </c>
      <c r="N5059" s="475">
        <f t="shared" si="200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98"/>
        <v>-229067135973648.91</v>
      </c>
      <c r="J5060" s="455">
        <f t="array" ref="J5060">IFERROR(INDEX('Retirement Calculator'!J:J,MATCH('Isaac 401k'!N5060,'Retirement Calculator'!A:A,0),0),0)</f>
        <v>0</v>
      </c>
      <c r="K5060" s="455">
        <f t="shared" ca="1" si="196"/>
        <v>-954446399890.20361</v>
      </c>
      <c r="L5060" s="455">
        <f t="shared" ca="1" si="197"/>
        <v>-230021582373539.13</v>
      </c>
      <c r="M5060" s="471">
        <f t="shared" si="199"/>
        <v>0.05</v>
      </c>
      <c r="N5060" s="475">
        <f t="shared" si="200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98"/>
        <v>-230021582373539.13</v>
      </c>
      <c r="J5061" s="455">
        <f t="array" ref="J5061">IFERROR(INDEX('Retirement Calculator'!J:J,MATCH('Isaac 401k'!N5061,'Retirement Calculator'!A:A,0),0),0)</f>
        <v>0</v>
      </c>
      <c r="K5061" s="455">
        <f t="shared" ca="1" si="196"/>
        <v>-958423259889.74634</v>
      </c>
      <c r="L5061" s="455">
        <f t="shared" ca="1" si="197"/>
        <v>-230980005633428.88</v>
      </c>
      <c r="M5061" s="471">
        <f t="shared" si="199"/>
        <v>0.05</v>
      </c>
      <c r="N5061" s="475">
        <f t="shared" si="200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98"/>
        <v>-230980005633428.88</v>
      </c>
      <c r="J5062" s="455">
        <f t="array" ref="J5062">IFERROR(INDEX('Retirement Calculator'!J:J,MATCH('Isaac 401k'!N5062,'Retirement Calculator'!A:A,0),0),0)</f>
        <v>0</v>
      </c>
      <c r="K5062" s="455">
        <f t="shared" ca="1" si="196"/>
        <v>-962416690139.28687</v>
      </c>
      <c r="L5062" s="455">
        <f t="shared" ca="1" si="197"/>
        <v>-231942422323568.16</v>
      </c>
      <c r="M5062" s="471">
        <f t="shared" si="199"/>
        <v>0.05</v>
      </c>
      <c r="N5062" s="475">
        <f t="shared" si="200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98"/>
        <v>-231942422323568.16</v>
      </c>
      <c r="J5063" s="455">
        <f t="array" ref="J5063">IFERROR(INDEX('Retirement Calculator'!J:J,MATCH('Isaac 401k'!N5063,'Retirement Calculator'!A:A,0),0),0)</f>
        <v>0</v>
      </c>
      <c r="K5063" s="455">
        <f t="shared" ca="1" si="196"/>
        <v>-966426759681.53394</v>
      </c>
      <c r="L5063" s="455">
        <f t="shared" ca="1" si="197"/>
        <v>-232908849083249.69</v>
      </c>
      <c r="M5063" s="471">
        <f t="shared" si="199"/>
        <v>0.05</v>
      </c>
      <c r="N5063" s="475">
        <f t="shared" si="200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98"/>
        <v>-232908849083249.69</v>
      </c>
      <c r="J5064" s="455">
        <f t="array" ref="J5064">IFERROR(INDEX('Retirement Calculator'!J:J,MATCH('Isaac 401k'!N5064,'Retirement Calculator'!A:A,0),0),0)</f>
        <v>0</v>
      </c>
      <c r="K5064" s="455">
        <f t="shared" ca="1" si="196"/>
        <v>-970453537846.87366</v>
      </c>
      <c r="L5064" s="455">
        <f t="shared" ca="1" si="197"/>
        <v>-233879302621096.56</v>
      </c>
      <c r="M5064" s="471">
        <f t="shared" si="199"/>
        <v>0.05</v>
      </c>
      <c r="N5064" s="475">
        <f t="shared" si="200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98"/>
        <v>-233879302621096.56</v>
      </c>
      <c r="J5065" s="455">
        <f t="array" ref="J5065">IFERROR(INDEX('Retirement Calculator'!J:J,MATCH('Isaac 401k'!N5065,'Retirement Calculator'!A:A,0),0),0)</f>
        <v>0</v>
      </c>
      <c r="K5065" s="455">
        <f t="shared" ca="1" si="196"/>
        <v>-974497094254.56897</v>
      </c>
      <c r="L5065" s="455">
        <f t="shared" ca="1" si="197"/>
        <v>-234853799715351.13</v>
      </c>
      <c r="M5065" s="471">
        <f t="shared" si="199"/>
        <v>0.05</v>
      </c>
      <c r="N5065" s="475">
        <f t="shared" si="200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98"/>
        <v>-234853799715351.13</v>
      </c>
      <c r="J5066" s="455">
        <f t="array" ref="J5066">IFERROR(INDEX('Retirement Calculator'!J:J,MATCH('Isaac 401k'!N5066,'Retirement Calculator'!A:A,0),0),0)</f>
        <v>0</v>
      </c>
      <c r="K5066" s="455">
        <f t="shared" ca="1" si="196"/>
        <v>-978557498813.96301</v>
      </c>
      <c r="L5066" s="455">
        <f t="shared" ca="1" si="197"/>
        <v>-235832357214165.09</v>
      </c>
      <c r="M5066" s="471">
        <f t="shared" si="199"/>
        <v>0.05</v>
      </c>
      <c r="N5066" s="475">
        <f t="shared" si="200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98"/>
        <v>-235832357214165.09</v>
      </c>
      <c r="J5067" s="455">
        <f t="array" ref="J5067">IFERROR(INDEX('Retirement Calculator'!J:J,MATCH('Isaac 401k'!N5067,'Retirement Calculator'!A:A,0),0),0)</f>
        <v>0</v>
      </c>
      <c r="K5067" s="455">
        <f t="shared" ca="1" si="196"/>
        <v>-982634821725.68787</v>
      </c>
      <c r="L5067" s="455">
        <f t="shared" ca="1" si="197"/>
        <v>-236814992035890.78</v>
      </c>
      <c r="M5067" s="471">
        <f t="shared" si="199"/>
        <v>0.05</v>
      </c>
      <c r="N5067" s="475">
        <f t="shared" si="200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98"/>
        <v>-236814992035890.78</v>
      </c>
      <c r="J5068" s="455">
        <f t="array" ref="J5068">IFERROR(INDEX('Retirement Calculator'!J:J,MATCH('Isaac 401k'!N5068,'Retirement Calculator'!A:A,0),0),0)</f>
        <v>0</v>
      </c>
      <c r="K5068" s="455">
        <f t="shared" ca="1" si="196"/>
        <v>-986729133482.8783</v>
      </c>
      <c r="L5068" s="455">
        <f t="shared" ca="1" si="197"/>
        <v>-237801721169373.66</v>
      </c>
      <c r="M5068" s="471">
        <f t="shared" si="199"/>
        <v>0.05</v>
      </c>
      <c r="N5068" s="475">
        <f t="shared" si="200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98"/>
        <v>-237801721169373.66</v>
      </c>
      <c r="J5069" s="455">
        <f t="array" ref="J5069">IFERROR(INDEX('Retirement Calculator'!J:J,MATCH('Isaac 401k'!N5069,'Retirement Calculator'!A:A,0),0),0)</f>
        <v>0</v>
      </c>
      <c r="K5069" s="455">
        <f t="shared" ca="1" si="196"/>
        <v>-990840504872.39014</v>
      </c>
      <c r="L5069" s="455">
        <f t="shared" ca="1" si="197"/>
        <v>-238792561674246.03</v>
      </c>
      <c r="M5069" s="471">
        <f t="shared" si="199"/>
        <v>0.05</v>
      </c>
      <c r="N5069" s="475">
        <f t="shared" si="200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98"/>
        <v>-238792561674246.03</v>
      </c>
      <c r="J5070" s="455">
        <f t="array" ref="J5070">IFERROR(INDEX('Retirement Calculator'!J:J,MATCH('Isaac 401k'!N5070,'Retirement Calculator'!A:A,0),0),0)</f>
        <v>0</v>
      </c>
      <c r="K5070" s="455">
        <f t="shared" ca="1" si="196"/>
        <v>-994969006976.02502</v>
      </c>
      <c r="L5070" s="455">
        <f t="shared" ca="1" si="197"/>
        <v>-239787530681222.06</v>
      </c>
      <c r="M5070" s="471">
        <f t="shared" si="199"/>
        <v>0.05</v>
      </c>
      <c r="N5070" s="475">
        <f t="shared" si="200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98"/>
        <v>-239787530681222.06</v>
      </c>
      <c r="J5071" s="455">
        <f t="array" ref="J5071">IFERROR(INDEX('Retirement Calculator'!J:J,MATCH('Isaac 401k'!N5071,'Retirement Calculator'!A:A,0),0),0)</f>
        <v>0</v>
      </c>
      <c r="K5071" s="455">
        <f t="shared" ca="1" si="196"/>
        <v>-999114711171.75854</v>
      </c>
      <c r="L5071" s="455">
        <f t="shared" ca="1" si="197"/>
        <v>-240786645392393.81</v>
      </c>
      <c r="M5071" s="471">
        <f t="shared" si="199"/>
        <v>0.05</v>
      </c>
      <c r="N5071" s="475">
        <f t="shared" si="200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98"/>
        <v>-240786645392393.81</v>
      </c>
      <c r="J5072" s="455">
        <f t="array" ref="J5072">IFERROR(INDEX('Retirement Calculator'!J:J,MATCH('Isaac 401k'!N5072,'Retirement Calculator'!A:A,0),0),0)</f>
        <v>0</v>
      </c>
      <c r="K5072" s="455">
        <f t="shared" ca="1" si="196"/>
        <v>-1003277689134.9742</v>
      </c>
      <c r="L5072" s="455">
        <f t="shared" ca="1" si="197"/>
        <v>-241789923081528.78</v>
      </c>
      <c r="M5072" s="471">
        <f t="shared" si="199"/>
        <v>0.05</v>
      </c>
      <c r="N5072" s="475">
        <f t="shared" si="200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98"/>
        <v>-241789923081528.78</v>
      </c>
      <c r="J5073" s="455">
        <f t="array" ref="J5073">IFERROR(INDEX('Retirement Calculator'!J:J,MATCH('Isaac 401k'!N5073,'Retirement Calculator'!A:A,0),0),0)</f>
        <v>0</v>
      </c>
      <c r="K5073" s="455">
        <f t="shared" ca="1" si="196"/>
        <v>-1007458012839.7031</v>
      </c>
      <c r="L5073" s="455">
        <f t="shared" ca="1" si="197"/>
        <v>-242797381094368.5</v>
      </c>
      <c r="M5073" s="471">
        <f t="shared" si="199"/>
        <v>0.05</v>
      </c>
      <c r="N5073" s="475">
        <f t="shared" si="200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98"/>
        <v>-242797381094368.5</v>
      </c>
      <c r="J5074" s="455">
        <f t="array" ref="J5074">IFERROR(INDEX('Retirement Calculator'!J:J,MATCH('Isaac 401k'!N5074,'Retirement Calculator'!A:A,0),0),0)</f>
        <v>0</v>
      </c>
      <c r="K5074" s="455">
        <f t="shared" ca="1" si="196"/>
        <v>-1011655754559.8689</v>
      </c>
      <c r="L5074" s="455">
        <f t="shared" ca="1" si="197"/>
        <v>-243809036848928.38</v>
      </c>
      <c r="M5074" s="471">
        <f t="shared" si="199"/>
        <v>0.05</v>
      </c>
      <c r="N5074" s="475">
        <f t="shared" si="200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98"/>
        <v>-243809036848928.38</v>
      </c>
      <c r="J5075" s="455">
        <f t="array" ref="J5075">IFERROR(INDEX('Retirement Calculator'!J:J,MATCH('Isaac 401k'!N5075,'Retirement Calculator'!A:A,0),0),0)</f>
        <v>0</v>
      </c>
      <c r="K5075" s="455">
        <f t="shared" ca="1" si="196"/>
        <v>-1015870986870.5349</v>
      </c>
      <c r="L5075" s="455">
        <f t="shared" ca="1" si="197"/>
        <v>-244824907835798.91</v>
      </c>
      <c r="M5075" s="471">
        <f t="shared" si="199"/>
        <v>0.05</v>
      </c>
      <c r="N5075" s="475">
        <f t="shared" si="200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98"/>
        <v>-244824907835798.91</v>
      </c>
      <c r="J5076" s="455">
        <f t="array" ref="J5076">IFERROR(INDEX('Retirement Calculator'!J:J,MATCH('Isaac 401k'!N5076,'Retirement Calculator'!A:A,0),0),0)</f>
        <v>0</v>
      </c>
      <c r="K5076" s="455">
        <f t="shared" ca="1" si="196"/>
        <v>-1020103782649.1622</v>
      </c>
      <c r="L5076" s="455">
        <f t="shared" ca="1" si="197"/>
        <v>-245845011618448.06</v>
      </c>
      <c r="M5076" s="471">
        <f t="shared" si="199"/>
        <v>0.05</v>
      </c>
      <c r="N5076" s="475">
        <f t="shared" si="200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98"/>
        <v>-245845011618448.06</v>
      </c>
      <c r="J5077" s="455">
        <f t="array" ref="J5077">IFERROR(INDEX('Retirement Calculator'!J:J,MATCH('Isaac 401k'!N5077,'Retirement Calculator'!A:A,0),0),0)</f>
        <v>0</v>
      </c>
      <c r="K5077" s="455">
        <f t="shared" ca="1" si="196"/>
        <v>-1024354215076.8669</v>
      </c>
      <c r="L5077" s="455">
        <f t="shared" ca="1" si="197"/>
        <v>-246869365833524.94</v>
      </c>
      <c r="M5077" s="471">
        <f t="shared" si="199"/>
        <v>0.05</v>
      </c>
      <c r="N5077" s="475">
        <f t="shared" si="200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98"/>
        <v>-246869365833524.94</v>
      </c>
      <c r="J5078" s="455">
        <f t="array" ref="J5078">IFERROR(INDEX('Retirement Calculator'!J:J,MATCH('Isaac 401k'!N5078,'Retirement Calculator'!A:A,0),0),0)</f>
        <v>0</v>
      </c>
      <c r="K5078" s="455">
        <f t="shared" ca="1" si="196"/>
        <v>-1028622357639.6873</v>
      </c>
      <c r="L5078" s="455">
        <f t="shared" ca="1" si="197"/>
        <v>-247897988191164.63</v>
      </c>
      <c r="M5078" s="471">
        <f t="shared" si="199"/>
        <v>0.05</v>
      </c>
      <c r="N5078" s="475">
        <f t="shared" si="200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98"/>
        <v>-247897988191164.63</v>
      </c>
      <c r="J5079" s="455">
        <f t="array" ref="J5079">IFERROR(INDEX('Retirement Calculator'!J:J,MATCH('Isaac 401k'!N5079,'Retirement Calculator'!A:A,0),0),0)</f>
        <v>0</v>
      </c>
      <c r="K5079" s="455">
        <f t="shared" ca="1" si="196"/>
        <v>-1032908284129.8527</v>
      </c>
      <c r="L5079" s="455">
        <f t="shared" ca="1" si="197"/>
        <v>-248930896475294.47</v>
      </c>
      <c r="M5079" s="471">
        <f t="shared" si="199"/>
        <v>0.05</v>
      </c>
      <c r="N5079" s="475">
        <f t="shared" si="200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98"/>
        <v>-248930896475294.47</v>
      </c>
      <c r="J5080" s="455">
        <f t="array" ref="J5080">IFERROR(INDEX('Retirement Calculator'!J:J,MATCH('Isaac 401k'!N5080,'Retirement Calculator'!A:A,0),0),0)</f>
        <v>0</v>
      </c>
      <c r="K5080" s="455">
        <f t="shared" ca="1" si="196"/>
        <v>-1037212068647.0603</v>
      </c>
      <c r="L5080" s="455">
        <f t="shared" ca="1" si="197"/>
        <v>-249968108543941.53</v>
      </c>
      <c r="M5080" s="471">
        <f t="shared" si="199"/>
        <v>0.05</v>
      </c>
      <c r="N5080" s="475">
        <f t="shared" si="200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98"/>
        <v>-249968108543941.53</v>
      </c>
      <c r="J5081" s="455">
        <f t="array" ref="J5081">IFERROR(INDEX('Retirement Calculator'!J:J,MATCH('Isaac 401k'!N5081,'Retirement Calculator'!A:A,0),0),0)</f>
        <v>0</v>
      </c>
      <c r="K5081" s="455">
        <f t="shared" ca="1" si="196"/>
        <v>-1041533785599.7563</v>
      </c>
      <c r="L5081" s="455">
        <f t="shared" ca="1" si="197"/>
        <v>-251009642329541.28</v>
      </c>
      <c r="M5081" s="471">
        <f t="shared" si="199"/>
        <v>0.05</v>
      </c>
      <c r="N5081" s="475">
        <f t="shared" si="200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98"/>
        <v>-251009642329541.28</v>
      </c>
      <c r="J5082" s="455">
        <f t="array" ref="J5082">IFERROR(INDEX('Retirement Calculator'!J:J,MATCH('Isaac 401k'!N5082,'Retirement Calculator'!A:A,0),0),0)</f>
        <v>0</v>
      </c>
      <c r="K5082" s="455">
        <f t="shared" ca="1" si="196"/>
        <v>-1045873509706.422</v>
      </c>
      <c r="L5082" s="455">
        <f t="shared" ca="1" si="197"/>
        <v>-252055515839247.72</v>
      </c>
      <c r="M5082" s="471">
        <f t="shared" si="199"/>
        <v>0.05</v>
      </c>
      <c r="N5082" s="475">
        <f t="shared" si="200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98"/>
        <v>-252055515839247.72</v>
      </c>
      <c r="J5083" s="455">
        <f t="array" ref="J5083">IFERROR(INDEX('Retirement Calculator'!J:J,MATCH('Isaac 401k'!N5083,'Retirement Calculator'!A:A,0),0),0)</f>
        <v>0</v>
      </c>
      <c r="K5083" s="455">
        <f t="shared" ca="1" si="196"/>
        <v>-1050231315996.8655</v>
      </c>
      <c r="L5083" s="455">
        <f t="shared" ca="1" si="197"/>
        <v>-253105747155244.59</v>
      </c>
      <c r="M5083" s="471">
        <f t="shared" si="199"/>
        <v>0.05</v>
      </c>
      <c r="N5083" s="475">
        <f t="shared" si="200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98"/>
        <v>-253105747155244.59</v>
      </c>
      <c r="J5084" s="455">
        <f t="array" ref="J5084">IFERROR(INDEX('Retirement Calculator'!J:J,MATCH('Isaac 401k'!N5084,'Retirement Calculator'!A:A,0),0),0)</f>
        <v>0</v>
      </c>
      <c r="K5084" s="455">
        <f t="shared" ca="1" si="196"/>
        <v>-1054607279813.5192</v>
      </c>
      <c r="L5084" s="455">
        <f t="shared" ca="1" si="197"/>
        <v>-254160354435058.13</v>
      </c>
      <c r="M5084" s="471">
        <f t="shared" si="199"/>
        <v>0.05</v>
      </c>
      <c r="N5084" s="475">
        <f t="shared" si="200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98"/>
        <v>-254160354435058.13</v>
      </c>
      <c r="J5085" s="455">
        <f t="array" ref="J5085">IFERROR(INDEX('Retirement Calculator'!J:J,MATCH('Isaac 401k'!N5085,'Retirement Calculator'!A:A,0),0),0)</f>
        <v>0</v>
      </c>
      <c r="K5085" s="455">
        <f t="shared" ca="1" si="196"/>
        <v>-1059001476812.7421</v>
      </c>
      <c r="L5085" s="455">
        <f t="shared" ca="1" si="197"/>
        <v>-255219355911870.88</v>
      </c>
      <c r="M5085" s="471">
        <f t="shared" si="199"/>
        <v>0.05</v>
      </c>
      <c r="N5085" s="475">
        <f t="shared" si="200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98"/>
        <v>-255219355911870.88</v>
      </c>
      <c r="J5086" s="455">
        <f t="array" ref="J5086">IFERROR(INDEX('Retirement Calculator'!J:J,MATCH('Isaac 401k'!N5086,'Retirement Calculator'!A:A,0),0),0)</f>
        <v>0</v>
      </c>
      <c r="K5086" s="455">
        <f t="shared" ca="1" si="196"/>
        <v>-1063413982966.1287</v>
      </c>
      <c r="L5086" s="455">
        <f t="shared" ca="1" si="197"/>
        <v>-256282769894837</v>
      </c>
      <c r="M5086" s="471">
        <f t="shared" si="199"/>
        <v>0.05</v>
      </c>
      <c r="N5086" s="475">
        <f t="shared" si="200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98"/>
        <v>-256282769894837</v>
      </c>
      <c r="J5087" s="455">
        <f t="array" ref="J5087">IFERROR(INDEX('Retirement Calculator'!J:J,MATCH('Isaac 401k'!N5087,'Retirement Calculator'!A:A,0),0),0)</f>
        <v>0</v>
      </c>
      <c r="K5087" s="455">
        <f t="shared" ca="1" si="196"/>
        <v>-1067844874561.8208</v>
      </c>
      <c r="L5087" s="455">
        <f t="shared" ca="1" si="197"/>
        <v>-257350614769398.81</v>
      </c>
      <c r="M5087" s="471">
        <f t="shared" si="199"/>
        <v>0.05</v>
      </c>
      <c r="N5087" s="475">
        <f t="shared" si="200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98"/>
        <v>-257350614769398.81</v>
      </c>
      <c r="J5088" s="455">
        <f t="array" ref="J5088">IFERROR(INDEX('Retirement Calculator'!J:J,MATCH('Isaac 401k'!N5088,'Retirement Calculator'!A:A,0),0),0)</f>
        <v>0</v>
      </c>
      <c r="K5088" s="455">
        <f t="shared" ca="1" si="196"/>
        <v>-1072294228205.8284</v>
      </c>
      <c r="L5088" s="455">
        <f t="shared" ca="1" si="197"/>
        <v>-258422908997604.66</v>
      </c>
      <c r="M5088" s="471">
        <f t="shared" si="199"/>
        <v>0.05</v>
      </c>
      <c r="N5088" s="475">
        <f t="shared" si="200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98"/>
        <v>-258422908997604.66</v>
      </c>
      <c r="J5089" s="455">
        <f t="array" ref="J5089">IFERROR(INDEX('Retirement Calculator'!J:J,MATCH('Isaac 401k'!N5089,'Retirement Calculator'!A:A,0),0),0)</f>
        <v>0</v>
      </c>
      <c r="K5089" s="455">
        <f t="shared" ca="1" si="196"/>
        <v>-1076762120823.3525</v>
      </c>
      <c r="L5089" s="455">
        <f t="shared" ca="1" si="197"/>
        <v>-259499671118428</v>
      </c>
      <c r="M5089" s="471">
        <f t="shared" si="199"/>
        <v>0.05</v>
      </c>
      <c r="N5089" s="475">
        <f t="shared" si="200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98"/>
        <v>-259499671118428</v>
      </c>
      <c r="J5090" s="455">
        <f t="array" ref="J5090">IFERROR(INDEX('Retirement Calculator'!J:J,MATCH('Isaac 401k'!N5090,'Retirement Calculator'!A:A,0),0),0)</f>
        <v>0</v>
      </c>
      <c r="K5090" s="455">
        <f t="shared" ca="1" si="196"/>
        <v>-1081248629660.1167</v>
      </c>
      <c r="L5090" s="455">
        <f t="shared" ca="1" si="197"/>
        <v>-260580919748088.13</v>
      </c>
      <c r="M5090" s="471">
        <f t="shared" si="199"/>
        <v>0.05</v>
      </c>
      <c r="N5090" s="475">
        <f t="shared" si="200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98"/>
        <v>-260580919748088.13</v>
      </c>
      <c r="J5091" s="455">
        <f t="array" ref="J5091">IFERROR(INDEX('Retirement Calculator'!J:J,MATCH('Isaac 401k'!N5091,'Retirement Calculator'!A:A,0),0),0)</f>
        <v>0</v>
      </c>
      <c r="K5091" s="455">
        <f t="shared" ca="1" si="196"/>
        <v>-1085753832283.7003</v>
      </c>
      <c r="L5091" s="455">
        <f t="shared" ca="1" si="197"/>
        <v>-261666673580371.81</v>
      </c>
      <c r="M5091" s="471">
        <f t="shared" si="199"/>
        <v>0.05</v>
      </c>
      <c r="N5091" s="475">
        <f t="shared" si="200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98"/>
        <v>-261666673580371.81</v>
      </c>
      <c r="J5092" s="455">
        <f t="array" ref="J5092">IFERROR(INDEX('Retirement Calculator'!J:J,MATCH('Isaac 401k'!N5092,'Retirement Calculator'!A:A,0),0),0)</f>
        <v>0</v>
      </c>
      <c r="K5092" s="455">
        <f t="shared" ca="1" si="196"/>
        <v>-1090277806584.8826</v>
      </c>
      <c r="L5092" s="455">
        <f t="shared" ca="1" si="197"/>
        <v>-262756951386956.69</v>
      </c>
      <c r="M5092" s="471">
        <f t="shared" si="199"/>
        <v>0.05</v>
      </c>
      <c r="N5092" s="475">
        <f t="shared" si="200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98"/>
        <v>-262756951386956.69</v>
      </c>
      <c r="J5093" s="455">
        <f t="array" ref="J5093">IFERROR(INDEX('Retirement Calculator'!J:J,MATCH('Isaac 401k'!N5093,'Retirement Calculator'!A:A,0),0),0)</f>
        <v>0</v>
      </c>
      <c r="K5093" s="455">
        <f t="shared" ca="1" si="196"/>
        <v>-1094820630778.9862</v>
      </c>
      <c r="L5093" s="455">
        <f t="shared" ca="1" si="197"/>
        <v>-263851772017735.69</v>
      </c>
      <c r="M5093" s="471">
        <f t="shared" si="199"/>
        <v>0.05</v>
      </c>
      <c r="N5093" s="475">
        <f t="shared" si="200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98"/>
        <v>-263851772017735.69</v>
      </c>
      <c r="J5094" s="455">
        <f t="array" ref="J5094">IFERROR(INDEX('Retirement Calculator'!J:J,MATCH('Isaac 401k'!N5094,'Retirement Calculator'!A:A,0),0),0)</f>
        <v>0</v>
      </c>
      <c r="K5094" s="455">
        <f t="shared" ca="1" si="196"/>
        <v>-1099382383407.2321</v>
      </c>
      <c r="L5094" s="455">
        <f t="shared" ca="1" si="197"/>
        <v>-264951154401142.91</v>
      </c>
      <c r="M5094" s="471">
        <f t="shared" si="199"/>
        <v>0.05</v>
      </c>
      <c r="N5094" s="475">
        <f t="shared" si="200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98"/>
        <v>-264951154401142.91</v>
      </c>
      <c r="J5095" s="455">
        <f t="array" ref="J5095">IFERROR(INDEX('Retirement Calculator'!J:J,MATCH('Isaac 401k'!N5095,'Retirement Calculator'!A:A,0),0),0)</f>
        <v>0</v>
      </c>
      <c r="K5095" s="455">
        <f t="shared" ca="1" si="196"/>
        <v>-1103963143338.0955</v>
      </c>
      <c r="L5095" s="455">
        <f t="shared" ca="1" si="197"/>
        <v>-266055117544481</v>
      </c>
      <c r="M5095" s="471">
        <f t="shared" si="199"/>
        <v>0.05</v>
      </c>
      <c r="N5095" s="475">
        <f t="shared" si="200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98"/>
        <v>-266055117544481</v>
      </c>
      <c r="J5096" s="455">
        <f t="array" ref="J5096">IFERROR(INDEX('Retirement Calculator'!J:J,MATCH('Isaac 401k'!N5096,'Retirement Calculator'!A:A,0),0),0)</f>
        <v>0</v>
      </c>
      <c r="K5096" s="455">
        <f t="shared" ca="1" si="196"/>
        <v>-1108562989768.6709</v>
      </c>
      <c r="L5096" s="455">
        <f t="shared" ca="1" si="197"/>
        <v>-267163680534249.66</v>
      </c>
      <c r="M5096" s="471">
        <f t="shared" si="199"/>
        <v>0.05</v>
      </c>
      <c r="N5096" s="475">
        <f t="shared" si="200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98"/>
        <v>-267163680534249.66</v>
      </c>
      <c r="J5097" s="455">
        <f t="array" ref="J5097">IFERROR(INDEX('Retirement Calculator'!J:J,MATCH('Isaac 401k'!N5097,'Retirement Calculator'!A:A,0),0),0)</f>
        <v>0</v>
      </c>
      <c r="K5097" s="455">
        <f t="shared" ca="1" si="196"/>
        <v>-1113182002226.0403</v>
      </c>
      <c r="L5097" s="455">
        <f t="shared" ca="1" si="197"/>
        <v>-268276862536475.69</v>
      </c>
      <c r="M5097" s="471">
        <f t="shared" si="199"/>
        <v>0.05</v>
      </c>
      <c r="N5097" s="475">
        <f t="shared" si="200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98"/>
        <v>-268276862536475.69</v>
      </c>
      <c r="J5098" s="455">
        <f t="array" ref="J5098">IFERROR(INDEX('Retirement Calculator'!J:J,MATCH('Isaac 401k'!N5098,'Retirement Calculator'!A:A,0),0),0)</f>
        <v>0</v>
      </c>
      <c r="K5098" s="455">
        <f t="shared" ca="1" si="196"/>
        <v>-1117820260568.6487</v>
      </c>
      <c r="L5098" s="455">
        <f t="shared" ca="1" si="197"/>
        <v>-269394682797044.34</v>
      </c>
      <c r="M5098" s="471">
        <f t="shared" si="199"/>
        <v>0.05</v>
      </c>
      <c r="N5098" s="475">
        <f t="shared" si="200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98"/>
        <v>-269394682797044.34</v>
      </c>
      <c r="J5099" s="455">
        <f t="array" ref="J5099">IFERROR(INDEX('Retirement Calculator'!J:J,MATCH('Isaac 401k'!N5099,'Retirement Calculator'!A:A,0),0),0)</f>
        <v>0</v>
      </c>
      <c r="K5099" s="455">
        <f t="shared" ca="1" si="196"/>
        <v>-1122477844987.6848</v>
      </c>
      <c r="L5099" s="455">
        <f t="shared" ca="1" si="197"/>
        <v>-270517160642032.03</v>
      </c>
      <c r="M5099" s="471">
        <f t="shared" si="199"/>
        <v>0.05</v>
      </c>
      <c r="N5099" s="475">
        <f t="shared" si="200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98"/>
        <v>-270517160642032.03</v>
      </c>
      <c r="J5100" s="455">
        <f t="array" ref="J5100">IFERROR(INDEX('Retirement Calculator'!J:J,MATCH('Isaac 401k'!N5100,'Retirement Calculator'!A:A,0),0),0)</f>
        <v>0</v>
      </c>
      <c r="K5100" s="455">
        <f t="shared" ca="1" si="196"/>
        <v>-1127154836008.4668</v>
      </c>
      <c r="L5100" s="455">
        <f t="shared" ca="1" si="197"/>
        <v>-271644315478040.5</v>
      </c>
      <c r="M5100" s="471">
        <f t="shared" si="199"/>
        <v>0.05</v>
      </c>
      <c r="N5100" s="475">
        <f t="shared" si="200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98"/>
        <v>-271644315478040.5</v>
      </c>
      <c r="J5101" s="455">
        <f t="array" ref="J5101">IFERROR(INDEX('Retirement Calculator'!J:J,MATCH('Isaac 401k'!N5101,'Retirement Calculator'!A:A,0),0),0)</f>
        <v>0</v>
      </c>
      <c r="K5101" s="455">
        <f t="shared" ca="1" si="196"/>
        <v>-1131851314491.8354</v>
      </c>
      <c r="L5101" s="455">
        <f t="shared" ca="1" si="197"/>
        <v>-272776166792532.34</v>
      </c>
      <c r="M5101" s="471">
        <f t="shared" si="199"/>
        <v>0.05</v>
      </c>
      <c r="N5101" s="475">
        <f t="shared" si="200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98"/>
        <v>-272776166792532.34</v>
      </c>
      <c r="J5102" s="455">
        <f t="array" ref="J5102">IFERROR(INDEX('Retirement Calculator'!J:J,MATCH('Isaac 401k'!N5102,'Retirement Calculator'!A:A,0),0),0)</f>
        <v>0</v>
      </c>
      <c r="K5102" s="455">
        <f t="shared" ca="1" si="196"/>
        <v>-1136567361635.5513</v>
      </c>
      <c r="L5102" s="455">
        <f t="shared" ca="1" si="197"/>
        <v>-273912734154167.91</v>
      </c>
      <c r="M5102" s="471">
        <f t="shared" si="199"/>
        <v>0.05</v>
      </c>
      <c r="N5102" s="475">
        <f t="shared" si="200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98"/>
        <v>-273912734154167.91</v>
      </c>
      <c r="J5103" s="455">
        <f t="array" ref="J5103">IFERROR(INDEX('Retirement Calculator'!J:J,MATCH('Isaac 401k'!N5103,'Retirement Calculator'!A:A,0),0),0)</f>
        <v>0</v>
      </c>
      <c r="K5103" s="455">
        <f t="shared" ca="1" si="196"/>
        <v>-1141303058975.6997</v>
      </c>
      <c r="L5103" s="455">
        <f t="shared" ca="1" si="197"/>
        <v>-275054037213143.59</v>
      </c>
      <c r="M5103" s="471">
        <f t="shared" si="199"/>
        <v>0.05</v>
      </c>
      <c r="N5103" s="475">
        <f t="shared" si="200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98"/>
        <v>-275054037213143.59</v>
      </c>
      <c r="J5104" s="455">
        <f t="array" ref="J5104">IFERROR(INDEX('Retirement Calculator'!J:J,MATCH('Isaac 401k'!N5104,'Retirement Calculator'!A:A,0),0),0)</f>
        <v>0</v>
      </c>
      <c r="K5104" s="455">
        <f t="shared" ca="1" si="196"/>
        <v>-1146058488388.0984</v>
      </c>
      <c r="L5104" s="455">
        <f t="shared" ca="1" si="197"/>
        <v>-276200095701531.69</v>
      </c>
      <c r="M5104" s="471">
        <f t="shared" si="199"/>
        <v>0.05</v>
      </c>
      <c r="N5104" s="475">
        <f t="shared" si="200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98"/>
        <v>-276200095701531.69</v>
      </c>
      <c r="J5105" s="455">
        <f t="array" ref="J5105">IFERROR(INDEX('Retirement Calculator'!J:J,MATCH('Isaac 401k'!N5105,'Retirement Calculator'!A:A,0),0),0)</f>
        <v>0</v>
      </c>
      <c r="K5105" s="455">
        <f t="shared" ca="1" si="196"/>
        <v>-1150833732089.7156</v>
      </c>
      <c r="L5105" s="455">
        <f t="shared" ca="1" si="197"/>
        <v>-277350929433621.41</v>
      </c>
      <c r="M5105" s="471">
        <f t="shared" si="199"/>
        <v>0.05</v>
      </c>
      <c r="N5105" s="475">
        <f t="shared" si="200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98"/>
        <v>-277350929433621.41</v>
      </c>
      <c r="J5106" s="455">
        <f t="array" ref="J5106">IFERROR(INDEX('Retirement Calculator'!J:J,MATCH('Isaac 401k'!N5106,'Retirement Calculator'!A:A,0),0),0)</f>
        <v>0</v>
      </c>
      <c r="K5106" s="455">
        <f t="shared" ca="1" si="196"/>
        <v>-1155628872640.0891</v>
      </c>
      <c r="L5106" s="455">
        <f t="shared" ca="1" si="197"/>
        <v>-278506558306261.5</v>
      </c>
      <c r="M5106" s="471">
        <f t="shared" si="199"/>
        <v>0.05</v>
      </c>
      <c r="N5106" s="475">
        <f t="shared" si="200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98"/>
        <v>-278506558306261.5</v>
      </c>
      <c r="J5107" s="455">
        <f t="array" ref="J5107">IFERROR(INDEX('Retirement Calculator'!J:J,MATCH('Isaac 401k'!N5107,'Retirement Calculator'!A:A,0),0),0)</f>
        <v>0</v>
      </c>
      <c r="K5107" s="455">
        <f t="shared" ca="1" si="196"/>
        <v>-1160443992942.7563</v>
      </c>
      <c r="L5107" s="455">
        <f t="shared" ca="1" si="197"/>
        <v>-279667002299204.25</v>
      </c>
      <c r="M5107" s="471">
        <f t="shared" si="199"/>
        <v>0.05</v>
      </c>
      <c r="N5107" s="475">
        <f t="shared" si="200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98"/>
        <v>-279667002299204.25</v>
      </c>
      <c r="J5108" s="455">
        <f t="array" ref="J5108">IFERROR(INDEX('Retirement Calculator'!J:J,MATCH('Isaac 401k'!N5108,'Retirement Calculator'!A:A,0),0),0)</f>
        <v>0</v>
      </c>
      <c r="K5108" s="455">
        <f t="shared" ref="K5108:K5362" ca="1" si="201">IPMT(M5108/12,1,12,-I5108+J5108,,0)</f>
        <v>-1165279176246.6843</v>
      </c>
      <c r="L5108" s="455">
        <f t="shared" ref="L5108:L5362" ca="1" si="202">I5108-J5108+K5108</f>
        <v>-280832281475450.94</v>
      </c>
      <c r="M5108" s="471">
        <f t="shared" si="199"/>
        <v>0.05</v>
      </c>
      <c r="N5108" s="475">
        <f t="shared" si="200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203">L5108</f>
        <v>-280832281475450.94</v>
      </c>
      <c r="J5109" s="455">
        <f t="array" ref="J5109">IFERROR(INDEX('Retirement Calculator'!J:J,MATCH('Isaac 401k'!N5109,'Retirement Calculator'!A:A,0),0),0)</f>
        <v>0</v>
      </c>
      <c r="K5109" s="455">
        <f t="shared" ca="1" si="201"/>
        <v>-1170134506147.7122</v>
      </c>
      <c r="L5109" s="455">
        <f t="shared" ca="1" si="202"/>
        <v>-282002415981598.63</v>
      </c>
      <c r="M5109" s="471">
        <f t="shared" ref="M5109:M5363" si="204">M5108</f>
        <v>0.05</v>
      </c>
      <c r="N5109" s="475">
        <f t="shared" ref="N5109:N5363" si="205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203"/>
        <v>-282002415981598.63</v>
      </c>
      <c r="J5110" s="455">
        <f t="array" ref="J5110">IFERROR(INDEX('Retirement Calculator'!J:J,MATCH('Isaac 401k'!N5110,'Retirement Calculator'!A:A,0),0),0)</f>
        <v>0</v>
      </c>
      <c r="K5110" s="455">
        <f t="shared" ca="1" si="201"/>
        <v>-1175010066589.9941</v>
      </c>
      <c r="L5110" s="455">
        <f t="shared" ca="1" si="202"/>
        <v>-283177426048188.63</v>
      </c>
      <c r="M5110" s="471">
        <f t="shared" si="204"/>
        <v>0.05</v>
      </c>
      <c r="N5110" s="475">
        <f t="shared" si="205"/>
        <v>206577</v>
      </c>
    </row>
    <row r="5111" spans="7:14" ht="11.25" customHeight="1" x14ac:dyDescent="0.3">
      <c r="G5111" s="470"/>
      <c r="H5111" s="470">
        <v>5104</v>
      </c>
      <c r="I5111" s="455">
        <f t="shared" ca="1" si="203"/>
        <v>-283177426048188.63</v>
      </c>
      <c r="J5111" s="455">
        <f t="array" ref="J5111">IFERROR(INDEX('Retirement Calculator'!J:J,MATCH('Isaac 401k'!N5111,'Retirement Calculator'!A:A,0),0),0)</f>
        <v>0</v>
      </c>
      <c r="K5111" s="455">
        <f t="shared" ca="1" si="201"/>
        <v>-1179905941867.4526</v>
      </c>
      <c r="L5111" s="455">
        <f t="shared" ca="1" si="202"/>
        <v>-284357331990056.06</v>
      </c>
      <c r="M5111" s="471">
        <f t="shared" si="204"/>
        <v>0.05</v>
      </c>
      <c r="N5111" s="475">
        <f t="shared" si="205"/>
        <v>206608</v>
      </c>
    </row>
    <row r="5112" spans="7:14" ht="11.25" customHeight="1" x14ac:dyDescent="0.3">
      <c r="G5112" s="470"/>
      <c r="H5112" s="470">
        <v>5105</v>
      </c>
      <c r="I5112" s="455">
        <f t="shared" ca="1" si="203"/>
        <v>-284357331990056.06</v>
      </c>
      <c r="J5112" s="455">
        <f t="array" ref="J5112">IFERROR(INDEX('Retirement Calculator'!J:J,MATCH('Isaac 401k'!N5112,'Retirement Calculator'!A:A,0),0),0)</f>
        <v>0</v>
      </c>
      <c r="K5112" s="455">
        <f t="shared" ca="1" si="201"/>
        <v>-1184822216625.2336</v>
      </c>
      <c r="L5112" s="455">
        <f t="shared" ca="1" si="202"/>
        <v>-285542154206681.31</v>
      </c>
      <c r="M5112" s="471">
        <f t="shared" si="204"/>
        <v>0.05</v>
      </c>
      <c r="N5112" s="475">
        <f t="shared" si="205"/>
        <v>206638</v>
      </c>
    </row>
    <row r="5113" spans="7:14" ht="11.25" customHeight="1" x14ac:dyDescent="0.3">
      <c r="G5113" s="470"/>
      <c r="H5113" s="470">
        <v>5106</v>
      </c>
      <c r="I5113" s="455">
        <f t="shared" ca="1" si="203"/>
        <v>-285542154206681.31</v>
      </c>
      <c r="J5113" s="455">
        <f t="array" ref="J5113">IFERROR(INDEX('Retirement Calculator'!J:J,MATCH('Isaac 401k'!N5113,'Retirement Calculator'!A:A,0),0),0)</f>
        <v>0</v>
      </c>
      <c r="K5113" s="455">
        <f t="shared" ca="1" si="201"/>
        <v>-1189758975861.1721</v>
      </c>
      <c r="L5113" s="455">
        <f t="shared" ca="1" si="202"/>
        <v>-286731913182542.5</v>
      </c>
      <c r="M5113" s="471">
        <f t="shared" si="204"/>
        <v>0.05</v>
      </c>
      <c r="N5113" s="475">
        <f t="shared" si="205"/>
        <v>206669</v>
      </c>
    </row>
    <row r="5114" spans="7:14" ht="11.25" customHeight="1" x14ac:dyDescent="0.3">
      <c r="G5114" s="470"/>
      <c r="H5114" s="470">
        <v>5107</v>
      </c>
      <c r="I5114" s="455">
        <f t="shared" ca="1" si="203"/>
        <v>-286731913182542.5</v>
      </c>
      <c r="J5114" s="455">
        <f t="array" ref="J5114">IFERROR(INDEX('Retirement Calculator'!J:J,MATCH('Isaac 401k'!N5114,'Retirement Calculator'!A:A,0),0),0)</f>
        <v>0</v>
      </c>
      <c r="K5114" s="455">
        <f t="shared" ca="1" si="201"/>
        <v>-1194716304927.2605</v>
      </c>
      <c r="L5114" s="455">
        <f t="shared" ca="1" si="202"/>
        <v>-287926629487469.75</v>
      </c>
      <c r="M5114" s="471">
        <f t="shared" si="204"/>
        <v>0.05</v>
      </c>
      <c r="N5114" s="475">
        <f t="shared" si="205"/>
        <v>206699</v>
      </c>
    </row>
    <row r="5115" spans="7:14" ht="11.25" customHeight="1" x14ac:dyDescent="0.3">
      <c r="G5115" s="470"/>
      <c r="H5115" s="470">
        <v>5108</v>
      </c>
      <c r="I5115" s="455">
        <f t="shared" ca="1" si="203"/>
        <v>-287926629487469.75</v>
      </c>
      <c r="J5115" s="455">
        <f t="array" ref="J5115">IFERROR(INDEX('Retirement Calculator'!J:J,MATCH('Isaac 401k'!N5115,'Retirement Calculator'!A:A,0),0),0)</f>
        <v>0</v>
      </c>
      <c r="K5115" s="455">
        <f t="shared" ca="1" si="201"/>
        <v>-1199694289531.124</v>
      </c>
      <c r="L5115" s="455">
        <f t="shared" ca="1" si="202"/>
        <v>-289126323777000.88</v>
      </c>
      <c r="M5115" s="471">
        <f t="shared" si="204"/>
        <v>0.05</v>
      </c>
      <c r="N5115" s="475">
        <f t="shared" si="205"/>
        <v>206730</v>
      </c>
    </row>
    <row r="5116" spans="7:14" ht="11.25" customHeight="1" x14ac:dyDescent="0.3">
      <c r="G5116" s="470"/>
      <c r="H5116" s="470">
        <v>5109</v>
      </c>
      <c r="I5116" s="455">
        <f t="shared" ca="1" si="203"/>
        <v>-289126323777000.88</v>
      </c>
      <c r="J5116" s="455">
        <f t="array" ref="J5116">IFERROR(INDEX('Retirement Calculator'!J:J,MATCH('Isaac 401k'!N5116,'Retirement Calculator'!A:A,0),0),0)</f>
        <v>0</v>
      </c>
      <c r="K5116" s="455">
        <f t="shared" ca="1" si="201"/>
        <v>-1204693015737.5037</v>
      </c>
      <c r="L5116" s="455">
        <f t="shared" ca="1" si="202"/>
        <v>-290331016792738.38</v>
      </c>
      <c r="M5116" s="471">
        <f t="shared" si="204"/>
        <v>0.05</v>
      </c>
      <c r="N5116" s="475">
        <f t="shared" si="205"/>
        <v>206761</v>
      </c>
    </row>
    <row r="5117" spans="7:14" ht="11.25" customHeight="1" x14ac:dyDescent="0.3">
      <c r="G5117" s="470"/>
      <c r="H5117" s="470">
        <v>5110</v>
      </c>
      <c r="I5117" s="455">
        <f t="shared" ca="1" si="203"/>
        <v>-290331016792738.38</v>
      </c>
      <c r="J5117" s="455">
        <f t="array" ref="J5117">IFERROR(INDEX('Retirement Calculator'!J:J,MATCH('Isaac 401k'!N5117,'Retirement Calculator'!A:A,0),0),0)</f>
        <v>0</v>
      </c>
      <c r="K5117" s="455">
        <f t="shared" ca="1" si="201"/>
        <v>-1209712569969.7432</v>
      </c>
      <c r="L5117" s="455">
        <f t="shared" ca="1" si="202"/>
        <v>-291540729362708.13</v>
      </c>
      <c r="M5117" s="471">
        <f t="shared" si="204"/>
        <v>0.05</v>
      </c>
      <c r="N5117" s="475">
        <f t="shared" si="205"/>
        <v>206789</v>
      </c>
    </row>
    <row r="5118" spans="7:14" ht="11.25" customHeight="1" x14ac:dyDescent="0.3">
      <c r="G5118" s="470"/>
      <c r="H5118" s="470">
        <v>5111</v>
      </c>
      <c r="I5118" s="455">
        <f t="shared" ca="1" si="203"/>
        <v>-291540729362708.13</v>
      </c>
      <c r="J5118" s="455">
        <f t="array" ref="J5118">IFERROR(INDEX('Retirement Calculator'!J:J,MATCH('Isaac 401k'!N5118,'Retirement Calculator'!A:A,0),0),0)</f>
        <v>0</v>
      </c>
      <c r="K5118" s="455">
        <f t="shared" ca="1" si="201"/>
        <v>-1214753039011.2839</v>
      </c>
      <c r="L5118" s="455">
        <f t="shared" ca="1" si="202"/>
        <v>-292755482401719.44</v>
      </c>
      <c r="M5118" s="471">
        <f t="shared" si="204"/>
        <v>0.05</v>
      </c>
      <c r="N5118" s="475">
        <f t="shared" si="205"/>
        <v>206820</v>
      </c>
    </row>
    <row r="5119" spans="7:14" ht="11.25" customHeight="1" x14ac:dyDescent="0.3">
      <c r="G5119" s="470"/>
      <c r="H5119" s="470">
        <v>5112</v>
      </c>
      <c r="I5119" s="455">
        <f t="shared" ca="1" si="203"/>
        <v>-292755482401719.44</v>
      </c>
      <c r="J5119" s="455">
        <f t="array" ref="J5119">IFERROR(INDEX('Retirement Calculator'!J:J,MATCH('Isaac 401k'!N5119,'Retirement Calculator'!A:A,0),0),0)</f>
        <v>0</v>
      </c>
      <c r="K5119" s="455">
        <f t="shared" ca="1" si="201"/>
        <v>-1219814510007.1643</v>
      </c>
      <c r="L5119" s="455">
        <f t="shared" ca="1" si="202"/>
        <v>-293975296911726.63</v>
      </c>
      <c r="M5119" s="471">
        <f t="shared" si="204"/>
        <v>0.05</v>
      </c>
      <c r="N5119" s="475">
        <f t="shared" si="205"/>
        <v>206850</v>
      </c>
    </row>
    <row r="5120" spans="7:14" ht="11.25" customHeight="1" x14ac:dyDescent="0.3">
      <c r="G5120" s="470"/>
      <c r="H5120" s="470">
        <v>5113</v>
      </c>
      <c r="I5120" s="455">
        <f t="shared" ca="1" si="203"/>
        <v>-293975296911726.63</v>
      </c>
      <c r="J5120" s="455">
        <f t="array" ref="J5120">IFERROR(INDEX('Retirement Calculator'!J:J,MATCH('Isaac 401k'!N5120,'Retirement Calculator'!A:A,0),0),0)</f>
        <v>0</v>
      </c>
      <c r="K5120" s="455">
        <f t="shared" ca="1" si="201"/>
        <v>-1224897070465.5276</v>
      </c>
      <c r="L5120" s="455">
        <f t="shared" ca="1" si="202"/>
        <v>-295200193982192.13</v>
      </c>
      <c r="M5120" s="471">
        <f t="shared" si="204"/>
        <v>0.05</v>
      </c>
      <c r="N5120" s="475">
        <f t="shared" si="205"/>
        <v>206881</v>
      </c>
    </row>
    <row r="5121" spans="7:14" ht="11.25" customHeight="1" x14ac:dyDescent="0.3">
      <c r="G5121" s="470"/>
      <c r="H5121" s="470">
        <v>5114</v>
      </c>
      <c r="I5121" s="455">
        <f t="shared" ca="1" si="203"/>
        <v>-295200193982192.13</v>
      </c>
      <c r="J5121" s="455">
        <f t="array" ref="J5121">IFERROR(INDEX('Retirement Calculator'!J:J,MATCH('Isaac 401k'!N5121,'Retirement Calculator'!A:A,0),0),0)</f>
        <v>0</v>
      </c>
      <c r="K5121" s="455">
        <f t="shared" ca="1" si="201"/>
        <v>-1230000808259.1338</v>
      </c>
      <c r="L5121" s="455">
        <f t="shared" ca="1" si="202"/>
        <v>-296430194790451.25</v>
      </c>
      <c r="M5121" s="471">
        <f t="shared" si="204"/>
        <v>0.05</v>
      </c>
      <c r="N5121" s="475">
        <f t="shared" si="205"/>
        <v>206911</v>
      </c>
    </row>
    <row r="5122" spans="7:14" ht="11.25" customHeight="1" x14ac:dyDescent="0.3">
      <c r="G5122" s="470"/>
      <c r="H5122" s="470">
        <v>5115</v>
      </c>
      <c r="I5122" s="455">
        <f t="shared" ca="1" si="203"/>
        <v>-296430194790451.25</v>
      </c>
      <c r="J5122" s="455">
        <f t="array" ref="J5122">IFERROR(INDEX('Retirement Calculator'!J:J,MATCH('Isaac 401k'!N5122,'Retirement Calculator'!A:A,0),0),0)</f>
        <v>0</v>
      </c>
      <c r="K5122" s="455">
        <f t="shared" ca="1" si="201"/>
        <v>-1235125811626.8801</v>
      </c>
      <c r="L5122" s="455">
        <f t="shared" ca="1" si="202"/>
        <v>-297665320602078.13</v>
      </c>
      <c r="M5122" s="471">
        <f t="shared" si="204"/>
        <v>0.05</v>
      </c>
      <c r="N5122" s="475">
        <f t="shared" si="205"/>
        <v>206942</v>
      </c>
    </row>
    <row r="5123" spans="7:14" ht="11.25" customHeight="1" x14ac:dyDescent="0.3">
      <c r="G5123" s="470"/>
      <c r="H5123" s="470">
        <v>5116</v>
      </c>
      <c r="I5123" s="455">
        <f t="shared" ca="1" si="203"/>
        <v>-297665320602078.13</v>
      </c>
      <c r="J5123" s="455">
        <f t="array" ref="J5123">IFERROR(INDEX('Retirement Calculator'!J:J,MATCH('Isaac 401k'!N5123,'Retirement Calculator'!A:A,0),0),0)</f>
        <v>0</v>
      </c>
      <c r="K5123" s="455">
        <f t="shared" ca="1" si="201"/>
        <v>-1240272169175.3254</v>
      </c>
      <c r="L5123" s="455">
        <f t="shared" ca="1" si="202"/>
        <v>-298905592771253.44</v>
      </c>
      <c r="M5123" s="471">
        <f t="shared" si="204"/>
        <v>0.05</v>
      </c>
      <c r="N5123" s="475">
        <f t="shared" si="205"/>
        <v>206973</v>
      </c>
    </row>
    <row r="5124" spans="7:14" ht="11.25" customHeight="1" x14ac:dyDescent="0.3">
      <c r="G5124" s="470"/>
      <c r="H5124" s="470">
        <v>5117</v>
      </c>
      <c r="I5124" s="455">
        <f t="shared" ca="1" si="203"/>
        <v>-298905592771253.44</v>
      </c>
      <c r="J5124" s="455">
        <f t="array" ref="J5124">IFERROR(INDEX('Retirement Calculator'!J:J,MATCH('Isaac 401k'!N5124,'Retirement Calculator'!A:A,0),0),0)</f>
        <v>0</v>
      </c>
      <c r="K5124" s="455">
        <f t="shared" ca="1" si="201"/>
        <v>-1245439969880.2227</v>
      </c>
      <c r="L5124" s="455">
        <f t="shared" ca="1" si="202"/>
        <v>-300151032741133.69</v>
      </c>
      <c r="M5124" s="471">
        <f t="shared" si="204"/>
        <v>0.05</v>
      </c>
      <c r="N5124" s="475">
        <f t="shared" si="205"/>
        <v>207003</v>
      </c>
    </row>
    <row r="5125" spans="7:14" ht="11.25" customHeight="1" x14ac:dyDescent="0.3">
      <c r="G5125" s="470"/>
      <c r="H5125" s="470">
        <v>5118</v>
      </c>
      <c r="I5125" s="455">
        <f t="shared" ca="1" si="203"/>
        <v>-300151032741133.69</v>
      </c>
      <c r="J5125" s="455">
        <f t="array" ref="J5125">IFERROR(INDEX('Retirement Calculator'!J:J,MATCH('Isaac 401k'!N5125,'Retirement Calculator'!A:A,0),0),0)</f>
        <v>0</v>
      </c>
      <c r="K5125" s="455">
        <f t="shared" ca="1" si="201"/>
        <v>-1250629303088.0571</v>
      </c>
      <c r="L5125" s="455">
        <f t="shared" ca="1" si="202"/>
        <v>-301401662044221.75</v>
      </c>
      <c r="M5125" s="471">
        <f t="shared" si="204"/>
        <v>0.05</v>
      </c>
      <c r="N5125" s="475">
        <f t="shared" si="205"/>
        <v>207034</v>
      </c>
    </row>
    <row r="5126" spans="7:14" ht="11.25" customHeight="1" x14ac:dyDescent="0.3">
      <c r="G5126" s="470"/>
      <c r="H5126" s="470">
        <v>5119</v>
      </c>
      <c r="I5126" s="455">
        <f t="shared" ca="1" si="203"/>
        <v>-301401662044221.75</v>
      </c>
      <c r="J5126" s="455">
        <f t="array" ref="J5126">IFERROR(INDEX('Retirement Calculator'!J:J,MATCH('Isaac 401k'!N5126,'Retirement Calculator'!A:A,0),0),0)</f>
        <v>0</v>
      </c>
      <c r="K5126" s="455">
        <f t="shared" ca="1" si="201"/>
        <v>-1255840258517.5906</v>
      </c>
      <c r="L5126" s="455">
        <f t="shared" ca="1" si="202"/>
        <v>-302657502302739.31</v>
      </c>
      <c r="M5126" s="471">
        <f t="shared" si="204"/>
        <v>0.05</v>
      </c>
      <c r="N5126" s="475">
        <f t="shared" si="205"/>
        <v>207064</v>
      </c>
    </row>
    <row r="5127" spans="7:14" ht="11.25" customHeight="1" x14ac:dyDescent="0.3">
      <c r="G5127" s="470"/>
      <c r="H5127" s="470">
        <v>5120</v>
      </c>
      <c r="I5127" s="455">
        <f t="shared" ca="1" si="203"/>
        <v>-302657502302739.31</v>
      </c>
      <c r="J5127" s="455">
        <f t="array" ref="J5127">IFERROR(INDEX('Retirement Calculator'!J:J,MATCH('Isaac 401k'!N5127,'Retirement Calculator'!A:A,0),0),0)</f>
        <v>0</v>
      </c>
      <c r="K5127" s="455">
        <f t="shared" ca="1" si="201"/>
        <v>-1261072926261.4138</v>
      </c>
      <c r="L5127" s="455">
        <f t="shared" ca="1" si="202"/>
        <v>-303918575229000.75</v>
      </c>
      <c r="M5127" s="471">
        <f t="shared" si="204"/>
        <v>0.05</v>
      </c>
      <c r="N5127" s="475">
        <f t="shared" si="205"/>
        <v>207095</v>
      </c>
    </row>
    <row r="5128" spans="7:14" ht="11.25" customHeight="1" x14ac:dyDescent="0.3">
      <c r="G5128" s="470"/>
      <c r="H5128" s="470">
        <v>5121</v>
      </c>
      <c r="I5128" s="455">
        <f t="shared" ca="1" si="203"/>
        <v>-303918575229000.75</v>
      </c>
      <c r="J5128" s="455">
        <f t="array" ref="J5128">IFERROR(INDEX('Retirement Calculator'!J:J,MATCH('Isaac 401k'!N5128,'Retirement Calculator'!A:A,0),0),0)</f>
        <v>0</v>
      </c>
      <c r="K5128" s="455">
        <f t="shared" ca="1" si="201"/>
        <v>-1266327396787.5032</v>
      </c>
      <c r="L5128" s="455">
        <f t="shared" ca="1" si="202"/>
        <v>-305184902625788.25</v>
      </c>
      <c r="M5128" s="471">
        <f t="shared" si="204"/>
        <v>0.05</v>
      </c>
      <c r="N5128" s="475">
        <f t="shared" si="205"/>
        <v>207126</v>
      </c>
    </row>
    <row r="5129" spans="7:14" ht="11.25" customHeight="1" x14ac:dyDescent="0.3">
      <c r="G5129" s="470"/>
      <c r="H5129" s="470">
        <v>5122</v>
      </c>
      <c r="I5129" s="455">
        <f t="shared" ca="1" si="203"/>
        <v>-305184902625788.25</v>
      </c>
      <c r="J5129" s="455">
        <f t="array" ref="J5129">IFERROR(INDEX('Retirement Calculator'!J:J,MATCH('Isaac 401k'!N5129,'Retirement Calculator'!A:A,0),0),0)</f>
        <v>0</v>
      </c>
      <c r="K5129" s="455">
        <f t="shared" ca="1" si="201"/>
        <v>-1271603760940.7844</v>
      </c>
      <c r="L5129" s="455">
        <f t="shared" ca="1" si="202"/>
        <v>-306456506386729.06</v>
      </c>
      <c r="M5129" s="471">
        <f t="shared" si="204"/>
        <v>0.05</v>
      </c>
      <c r="N5129" s="475">
        <f t="shared" si="205"/>
        <v>207154</v>
      </c>
    </row>
    <row r="5130" spans="7:14" ht="11.25" customHeight="1" x14ac:dyDescent="0.3">
      <c r="G5130" s="470"/>
      <c r="H5130" s="470">
        <v>5123</v>
      </c>
      <c r="I5130" s="455">
        <f t="shared" ca="1" si="203"/>
        <v>-306456506386729.06</v>
      </c>
      <c r="J5130" s="455">
        <f t="array" ref="J5130">IFERROR(INDEX('Retirement Calculator'!J:J,MATCH('Isaac 401k'!N5130,'Retirement Calculator'!A:A,0),0),0)</f>
        <v>0</v>
      </c>
      <c r="K5130" s="455">
        <f t="shared" ca="1" si="201"/>
        <v>-1276902109944.7043</v>
      </c>
      <c r="L5130" s="455">
        <f t="shared" ca="1" si="202"/>
        <v>-307733408496673.75</v>
      </c>
      <c r="M5130" s="471">
        <f t="shared" si="204"/>
        <v>0.05</v>
      </c>
      <c r="N5130" s="475">
        <f t="shared" si="205"/>
        <v>207185</v>
      </c>
    </row>
    <row r="5131" spans="7:14" ht="11.25" customHeight="1" x14ac:dyDescent="0.3">
      <c r="G5131" s="470"/>
      <c r="H5131" s="470">
        <v>5124</v>
      </c>
      <c r="I5131" s="455">
        <f t="shared" ca="1" si="203"/>
        <v>-307733408496673.75</v>
      </c>
      <c r="J5131" s="455">
        <f t="array" ref="J5131">IFERROR(INDEX('Retirement Calculator'!J:J,MATCH('Isaac 401k'!N5131,'Retirement Calculator'!A:A,0),0),0)</f>
        <v>0</v>
      </c>
      <c r="K5131" s="455">
        <f t="shared" ca="1" si="201"/>
        <v>-1282222535402.8074</v>
      </c>
      <c r="L5131" s="455">
        <f t="shared" ca="1" si="202"/>
        <v>-309015631032076.56</v>
      </c>
      <c r="M5131" s="471">
        <f t="shared" si="204"/>
        <v>0.05</v>
      </c>
      <c r="N5131" s="475">
        <f t="shared" si="205"/>
        <v>207215</v>
      </c>
    </row>
    <row r="5132" spans="7:14" ht="11.25" customHeight="1" x14ac:dyDescent="0.3">
      <c r="G5132" s="470"/>
      <c r="H5132" s="470">
        <v>5125</v>
      </c>
      <c r="I5132" s="455">
        <f t="shared" ca="1" si="203"/>
        <v>-309015631032076.56</v>
      </c>
      <c r="J5132" s="455">
        <f t="array" ref="J5132">IFERROR(INDEX('Retirement Calculator'!J:J,MATCH('Isaac 401k'!N5132,'Retirement Calculator'!A:A,0),0),0)</f>
        <v>0</v>
      </c>
      <c r="K5132" s="455">
        <f t="shared" ca="1" si="201"/>
        <v>-1287565129300.3191</v>
      </c>
      <c r="L5132" s="455">
        <f t="shared" ca="1" si="202"/>
        <v>-310303196161376.88</v>
      </c>
      <c r="M5132" s="471">
        <f t="shared" si="204"/>
        <v>0.05</v>
      </c>
      <c r="N5132" s="475">
        <f t="shared" si="205"/>
        <v>207246</v>
      </c>
    </row>
    <row r="5133" spans="7:14" ht="11.25" customHeight="1" x14ac:dyDescent="0.3">
      <c r="G5133" s="470"/>
      <c r="H5133" s="470">
        <v>5126</v>
      </c>
      <c r="I5133" s="455">
        <f t="shared" ca="1" si="203"/>
        <v>-310303196161376.88</v>
      </c>
      <c r="J5133" s="455">
        <f t="array" ref="J5133">IFERROR(INDEX('Retirement Calculator'!J:J,MATCH('Isaac 401k'!N5133,'Retirement Calculator'!A:A,0),0),0)</f>
        <v>0</v>
      </c>
      <c r="K5133" s="455">
        <f t="shared" ca="1" si="201"/>
        <v>-1292929984005.7371</v>
      </c>
      <c r="L5133" s="455">
        <f t="shared" ca="1" si="202"/>
        <v>-311596126145382.63</v>
      </c>
      <c r="M5133" s="471">
        <f t="shared" si="204"/>
        <v>0.05</v>
      </c>
      <c r="N5133" s="475">
        <f t="shared" si="205"/>
        <v>207276</v>
      </c>
    </row>
    <row r="5134" spans="7:14" ht="11.25" customHeight="1" x14ac:dyDescent="0.3">
      <c r="G5134" s="470"/>
      <c r="H5134" s="470">
        <v>5127</v>
      </c>
      <c r="I5134" s="455">
        <f t="shared" ca="1" si="203"/>
        <v>-311596126145382.63</v>
      </c>
      <c r="J5134" s="455">
        <f t="array" ref="J5134">IFERROR(INDEX('Retirement Calculator'!J:J,MATCH('Isaac 401k'!N5134,'Retirement Calculator'!A:A,0),0),0)</f>
        <v>0</v>
      </c>
      <c r="K5134" s="455">
        <f t="shared" ca="1" si="201"/>
        <v>-1298317192272.4275</v>
      </c>
      <c r="L5134" s="455">
        <f t="shared" ca="1" si="202"/>
        <v>-312894443337655.06</v>
      </c>
      <c r="M5134" s="471">
        <f t="shared" si="204"/>
        <v>0.05</v>
      </c>
      <c r="N5134" s="475">
        <f t="shared" si="205"/>
        <v>207307</v>
      </c>
    </row>
    <row r="5135" spans="7:14" ht="11.25" customHeight="1" x14ac:dyDescent="0.3">
      <c r="G5135" s="470"/>
      <c r="H5135" s="470">
        <v>5128</v>
      </c>
      <c r="I5135" s="455">
        <f t="shared" ca="1" si="203"/>
        <v>-312894443337655.06</v>
      </c>
      <c r="J5135" s="455">
        <f t="array" ref="J5135">IFERROR(INDEX('Retirement Calculator'!J:J,MATCH('Isaac 401k'!N5135,'Retirement Calculator'!A:A,0),0),0)</f>
        <v>0</v>
      </c>
      <c r="K5135" s="455">
        <f t="shared" ca="1" si="201"/>
        <v>-1303726847240.2295</v>
      </c>
      <c r="L5135" s="455">
        <f t="shared" ca="1" si="202"/>
        <v>-314198170184895.31</v>
      </c>
      <c r="M5135" s="471">
        <f t="shared" si="204"/>
        <v>0.05</v>
      </c>
      <c r="N5135" s="475">
        <f t="shared" si="205"/>
        <v>207338</v>
      </c>
    </row>
    <row r="5136" spans="7:14" ht="11.25" customHeight="1" x14ac:dyDescent="0.3">
      <c r="G5136" s="470"/>
      <c r="H5136" s="470">
        <v>5129</v>
      </c>
      <c r="I5136" s="455">
        <f t="shared" ca="1" si="203"/>
        <v>-314198170184895.31</v>
      </c>
      <c r="J5136" s="455">
        <f t="array" ref="J5136">IFERROR(INDEX('Retirement Calculator'!J:J,MATCH('Isaac 401k'!N5136,'Retirement Calculator'!A:A,0),0),0)</f>
        <v>0</v>
      </c>
      <c r="K5136" s="455">
        <f t="shared" ca="1" si="201"/>
        <v>-1309159042437.0637</v>
      </c>
      <c r="L5136" s="455">
        <f t="shared" ca="1" si="202"/>
        <v>-315507329227332.38</v>
      </c>
      <c r="M5136" s="471">
        <f t="shared" si="204"/>
        <v>0.05</v>
      </c>
      <c r="N5136" s="475">
        <f t="shared" si="205"/>
        <v>207368</v>
      </c>
    </row>
    <row r="5137" spans="7:14" ht="11.25" customHeight="1" x14ac:dyDescent="0.3">
      <c r="G5137" s="470"/>
      <c r="H5137" s="470">
        <v>5130</v>
      </c>
      <c r="I5137" s="455">
        <f t="shared" ca="1" si="203"/>
        <v>-315507329227332.38</v>
      </c>
      <c r="J5137" s="455">
        <f t="array" ref="J5137">IFERROR(INDEX('Retirement Calculator'!J:J,MATCH('Isaac 401k'!N5137,'Retirement Calculator'!A:A,0),0),0)</f>
        <v>0</v>
      </c>
      <c r="K5137" s="455">
        <f t="shared" ca="1" si="201"/>
        <v>-1314613871780.5515</v>
      </c>
      <c r="L5137" s="455">
        <f t="shared" ca="1" si="202"/>
        <v>-316821943099112.94</v>
      </c>
      <c r="M5137" s="471">
        <f t="shared" si="204"/>
        <v>0.05</v>
      </c>
      <c r="N5137" s="475">
        <f t="shared" si="205"/>
        <v>207399</v>
      </c>
    </row>
    <row r="5138" spans="7:14" ht="11.25" customHeight="1" x14ac:dyDescent="0.3">
      <c r="G5138" s="470"/>
      <c r="H5138" s="470">
        <v>5131</v>
      </c>
      <c r="I5138" s="455">
        <f t="shared" ca="1" si="203"/>
        <v>-316821943099112.94</v>
      </c>
      <c r="J5138" s="455">
        <f t="array" ref="J5138">IFERROR(INDEX('Retirement Calculator'!J:J,MATCH('Isaac 401k'!N5138,'Retirement Calculator'!A:A,0),0),0)</f>
        <v>0</v>
      </c>
      <c r="K5138" s="455">
        <f t="shared" ca="1" si="201"/>
        <v>-1320091429579.6372</v>
      </c>
      <c r="L5138" s="455">
        <f t="shared" ca="1" si="202"/>
        <v>-318142034528692.56</v>
      </c>
      <c r="M5138" s="471">
        <f t="shared" si="204"/>
        <v>0.05</v>
      </c>
      <c r="N5138" s="475">
        <f t="shared" si="205"/>
        <v>207429</v>
      </c>
    </row>
    <row r="5139" spans="7:14" ht="11.25" customHeight="1" x14ac:dyDescent="0.3">
      <c r="G5139" s="470"/>
      <c r="H5139" s="470">
        <v>5132</v>
      </c>
      <c r="I5139" s="455">
        <f t="shared" ca="1" si="203"/>
        <v>-318142034528692.56</v>
      </c>
      <c r="J5139" s="455">
        <f t="array" ref="J5139">IFERROR(INDEX('Retirement Calculator'!J:J,MATCH('Isaac 401k'!N5139,'Retirement Calculator'!A:A,0),0),0)</f>
        <v>0</v>
      </c>
      <c r="K5139" s="455">
        <f t="shared" ca="1" si="201"/>
        <v>-1325591810536.219</v>
      </c>
      <c r="L5139" s="455">
        <f t="shared" ca="1" si="202"/>
        <v>-319467626339228.81</v>
      </c>
      <c r="M5139" s="471">
        <f t="shared" si="204"/>
        <v>0.05</v>
      </c>
      <c r="N5139" s="475">
        <f t="shared" si="205"/>
        <v>207460</v>
      </c>
    </row>
    <row r="5140" spans="7:14" ht="11.25" customHeight="1" x14ac:dyDescent="0.3">
      <c r="G5140" s="470"/>
      <c r="H5140" s="470">
        <v>5133</v>
      </c>
      <c r="I5140" s="455">
        <f t="shared" ca="1" si="203"/>
        <v>-319467626339228.81</v>
      </c>
      <c r="J5140" s="455">
        <f t="array" ref="J5140">IFERROR(INDEX('Retirement Calculator'!J:J,MATCH('Isaac 401k'!N5140,'Retirement Calculator'!A:A,0),0),0)</f>
        <v>0</v>
      </c>
      <c r="K5140" s="455">
        <f t="shared" ca="1" si="201"/>
        <v>-1331115109746.7866</v>
      </c>
      <c r="L5140" s="455">
        <f t="shared" ca="1" si="202"/>
        <v>-320798741448975.63</v>
      </c>
      <c r="M5140" s="471">
        <f t="shared" si="204"/>
        <v>0.05</v>
      </c>
      <c r="N5140" s="475">
        <f t="shared" si="205"/>
        <v>207491</v>
      </c>
    </row>
    <row r="5141" spans="7:14" ht="11.25" customHeight="1" x14ac:dyDescent="0.3">
      <c r="G5141" s="470"/>
      <c r="H5141" s="470">
        <v>5134</v>
      </c>
      <c r="I5141" s="455">
        <f t="shared" ca="1" si="203"/>
        <v>-320798741448975.63</v>
      </c>
      <c r="J5141" s="455">
        <f t="array" ref="J5141">IFERROR(INDEX('Retirement Calculator'!J:J,MATCH('Isaac 401k'!N5141,'Retirement Calculator'!A:A,0),0),0)</f>
        <v>0</v>
      </c>
      <c r="K5141" s="455">
        <f t="shared" ca="1" si="201"/>
        <v>-1336661422704.0652</v>
      </c>
      <c r="L5141" s="455">
        <f t="shared" ca="1" si="202"/>
        <v>-322135402871679.69</v>
      </c>
      <c r="M5141" s="471">
        <f t="shared" si="204"/>
        <v>0.05</v>
      </c>
      <c r="N5141" s="475">
        <f t="shared" si="205"/>
        <v>207520</v>
      </c>
    </row>
    <row r="5142" spans="7:14" ht="11.25" customHeight="1" x14ac:dyDescent="0.3">
      <c r="G5142" s="470"/>
      <c r="H5142" s="470">
        <v>5135</v>
      </c>
      <c r="I5142" s="455">
        <f t="shared" ca="1" si="203"/>
        <v>-322135402871679.69</v>
      </c>
      <c r="J5142" s="455">
        <f t="array" ref="J5142">IFERROR(INDEX('Retirement Calculator'!J:J,MATCH('Isaac 401k'!N5142,'Retirement Calculator'!A:A,0),0),0)</f>
        <v>0</v>
      </c>
      <c r="K5142" s="455">
        <f t="shared" ca="1" si="201"/>
        <v>-1342230845298.6653</v>
      </c>
      <c r="L5142" s="455">
        <f t="shared" ca="1" si="202"/>
        <v>-323477633716978.38</v>
      </c>
      <c r="M5142" s="471">
        <f t="shared" si="204"/>
        <v>0.05</v>
      </c>
      <c r="N5142" s="475">
        <f t="shared" si="205"/>
        <v>207551</v>
      </c>
    </row>
    <row r="5143" spans="7:14" ht="11.25" customHeight="1" x14ac:dyDescent="0.3">
      <c r="G5143" s="470"/>
      <c r="H5143" s="470">
        <v>5136</v>
      </c>
      <c r="I5143" s="455">
        <f t="shared" ca="1" si="203"/>
        <v>-323477633716978.38</v>
      </c>
      <c r="J5143" s="455">
        <f t="array" ref="J5143">IFERROR(INDEX('Retirement Calculator'!J:J,MATCH('Isaac 401k'!N5143,'Retirement Calculator'!A:A,0),0),0)</f>
        <v>0</v>
      </c>
      <c r="K5143" s="455">
        <f t="shared" ca="1" si="201"/>
        <v>-1347823473820.7432</v>
      </c>
      <c r="L5143" s="455">
        <f t="shared" ca="1" si="202"/>
        <v>-324825457190799.13</v>
      </c>
      <c r="M5143" s="471">
        <f t="shared" si="204"/>
        <v>0.05</v>
      </c>
      <c r="N5143" s="475">
        <f t="shared" si="205"/>
        <v>207581</v>
      </c>
    </row>
    <row r="5144" spans="7:14" ht="11.25" customHeight="1" x14ac:dyDescent="0.3">
      <c r="G5144" s="470"/>
      <c r="H5144" s="470">
        <v>5137</v>
      </c>
      <c r="I5144" s="455">
        <f t="shared" ca="1" si="203"/>
        <v>-324825457190799.13</v>
      </c>
      <c r="J5144" s="455">
        <f t="array" ref="J5144">IFERROR(INDEX('Retirement Calculator'!J:J,MATCH('Isaac 401k'!N5144,'Retirement Calculator'!A:A,0),0),0)</f>
        <v>0</v>
      </c>
      <c r="K5144" s="455">
        <f t="shared" ca="1" si="201"/>
        <v>-1353439404961.6631</v>
      </c>
      <c r="L5144" s="455">
        <f t="shared" ca="1" si="202"/>
        <v>-326178896595760.81</v>
      </c>
      <c r="M5144" s="471">
        <f t="shared" si="204"/>
        <v>0.05</v>
      </c>
      <c r="N5144" s="475">
        <f t="shared" si="205"/>
        <v>207612</v>
      </c>
    </row>
    <row r="5145" spans="7:14" ht="11.25" customHeight="1" x14ac:dyDescent="0.3">
      <c r="G5145" s="470"/>
      <c r="H5145" s="470">
        <v>5138</v>
      </c>
      <c r="I5145" s="455">
        <f t="shared" ca="1" si="203"/>
        <v>-326178896595760.81</v>
      </c>
      <c r="J5145" s="455">
        <f t="array" ref="J5145">IFERROR(INDEX('Retirement Calculator'!J:J,MATCH('Isaac 401k'!N5145,'Retirement Calculator'!A:A,0),0),0)</f>
        <v>0</v>
      </c>
      <c r="K5145" s="455">
        <f t="shared" ca="1" si="201"/>
        <v>-1359078735815.6699</v>
      </c>
      <c r="L5145" s="455">
        <f t="shared" ca="1" si="202"/>
        <v>-327537975331576.5</v>
      </c>
      <c r="M5145" s="471">
        <f t="shared" si="204"/>
        <v>0.05</v>
      </c>
      <c r="N5145" s="475">
        <f t="shared" si="205"/>
        <v>207642</v>
      </c>
    </row>
    <row r="5146" spans="7:14" ht="11.25" customHeight="1" x14ac:dyDescent="0.3">
      <c r="G5146" s="470"/>
      <c r="H5146" s="470">
        <v>5139</v>
      </c>
      <c r="I5146" s="455">
        <f t="shared" ca="1" si="203"/>
        <v>-327537975331576.5</v>
      </c>
      <c r="J5146" s="455">
        <f t="array" ref="J5146">IFERROR(INDEX('Retirement Calculator'!J:J,MATCH('Isaac 401k'!N5146,'Retirement Calculator'!A:A,0),0),0)</f>
        <v>0</v>
      </c>
      <c r="K5146" s="455">
        <f t="shared" ca="1" si="201"/>
        <v>-1364741563881.5688</v>
      </c>
      <c r="L5146" s="455">
        <f t="shared" ca="1" si="202"/>
        <v>-328902716895458.06</v>
      </c>
      <c r="M5146" s="471">
        <f t="shared" si="204"/>
        <v>0.05</v>
      </c>
      <c r="N5146" s="475">
        <f t="shared" si="205"/>
        <v>207673</v>
      </c>
    </row>
    <row r="5147" spans="7:14" ht="11.25" customHeight="1" x14ac:dyDescent="0.3">
      <c r="G5147" s="470"/>
      <c r="H5147" s="470">
        <v>5140</v>
      </c>
      <c r="I5147" s="455">
        <f t="shared" ca="1" si="203"/>
        <v>-328902716895458.06</v>
      </c>
      <c r="J5147" s="455">
        <f t="array" ref="J5147">IFERROR(INDEX('Retirement Calculator'!J:J,MATCH('Isaac 401k'!N5147,'Retirement Calculator'!A:A,0),0),0)</f>
        <v>0</v>
      </c>
      <c r="K5147" s="455">
        <f t="shared" ca="1" si="201"/>
        <v>-1370427987064.4087</v>
      </c>
      <c r="L5147" s="455">
        <f t="shared" ca="1" si="202"/>
        <v>-330273144882522.5</v>
      </c>
      <c r="M5147" s="471">
        <f t="shared" si="204"/>
        <v>0.05</v>
      </c>
      <c r="N5147" s="475">
        <f t="shared" si="205"/>
        <v>207704</v>
      </c>
    </row>
    <row r="5148" spans="7:14" ht="11.25" customHeight="1" x14ac:dyDescent="0.3">
      <c r="G5148" s="470"/>
      <c r="H5148" s="470">
        <v>5141</v>
      </c>
      <c r="I5148" s="455">
        <f t="shared" ca="1" si="203"/>
        <v>-330273144882522.5</v>
      </c>
      <c r="J5148" s="455">
        <f t="array" ref="J5148">IFERROR(INDEX('Retirement Calculator'!J:J,MATCH('Isaac 401k'!N5148,'Retirement Calculator'!A:A,0),0),0)</f>
        <v>0</v>
      </c>
      <c r="K5148" s="455">
        <f t="shared" ca="1" si="201"/>
        <v>-1376138103677.177</v>
      </c>
      <c r="L5148" s="455">
        <f t="shared" ca="1" si="202"/>
        <v>-331649282986199.69</v>
      </c>
      <c r="M5148" s="471">
        <f t="shared" si="204"/>
        <v>0.05</v>
      </c>
      <c r="N5148" s="475">
        <f t="shared" si="205"/>
        <v>207734</v>
      </c>
    </row>
    <row r="5149" spans="7:14" ht="11.25" customHeight="1" x14ac:dyDescent="0.3">
      <c r="G5149" s="470"/>
      <c r="H5149" s="470">
        <v>5142</v>
      </c>
      <c r="I5149" s="455">
        <f t="shared" ca="1" si="203"/>
        <v>-331649282986199.69</v>
      </c>
      <c r="J5149" s="455">
        <f t="array" ref="J5149">IFERROR(INDEX('Retirement Calculator'!J:J,MATCH('Isaac 401k'!N5149,'Retirement Calculator'!A:A,0),0),0)</f>
        <v>0</v>
      </c>
      <c r="K5149" s="455">
        <f t="shared" ca="1" si="201"/>
        <v>-1381872012442.4988</v>
      </c>
      <c r="L5149" s="455">
        <f t="shared" ca="1" si="202"/>
        <v>-333031154998642.19</v>
      </c>
      <c r="M5149" s="471">
        <f t="shared" si="204"/>
        <v>0.05</v>
      </c>
      <c r="N5149" s="475">
        <f t="shared" si="205"/>
        <v>207765</v>
      </c>
    </row>
    <row r="5150" spans="7:14" ht="11.25" customHeight="1" x14ac:dyDescent="0.3">
      <c r="G5150" s="470"/>
      <c r="H5150" s="470">
        <v>5143</v>
      </c>
      <c r="I5150" s="455">
        <f t="shared" ca="1" si="203"/>
        <v>-333031154998642.19</v>
      </c>
      <c r="J5150" s="455">
        <f t="array" ref="J5150">IFERROR(INDEX('Retirement Calculator'!J:J,MATCH('Isaac 401k'!N5150,'Retirement Calculator'!A:A,0),0),0)</f>
        <v>0</v>
      </c>
      <c r="K5150" s="455">
        <f t="shared" ca="1" si="201"/>
        <v>-1387629812494.3425</v>
      </c>
      <c r="L5150" s="455">
        <f t="shared" ca="1" si="202"/>
        <v>-334418784811136.5</v>
      </c>
      <c r="M5150" s="471">
        <f t="shared" si="204"/>
        <v>0.05</v>
      </c>
      <c r="N5150" s="475">
        <f t="shared" si="205"/>
        <v>207795</v>
      </c>
    </row>
    <row r="5151" spans="7:14" ht="11.25" customHeight="1" x14ac:dyDescent="0.3">
      <c r="G5151" s="470"/>
      <c r="H5151" s="470">
        <v>5144</v>
      </c>
      <c r="I5151" s="455">
        <f t="shared" ca="1" si="203"/>
        <v>-334418784811136.5</v>
      </c>
      <c r="J5151" s="455">
        <f t="array" ref="J5151">IFERROR(INDEX('Retirement Calculator'!J:J,MATCH('Isaac 401k'!N5151,'Retirement Calculator'!A:A,0),0),0)</f>
        <v>0</v>
      </c>
      <c r="K5151" s="455">
        <f t="shared" ca="1" si="201"/>
        <v>-1393411603379.7354</v>
      </c>
      <c r="L5151" s="455">
        <f t="shared" ca="1" si="202"/>
        <v>-335812196414516.25</v>
      </c>
      <c r="M5151" s="471">
        <f t="shared" si="204"/>
        <v>0.05</v>
      </c>
      <c r="N5151" s="475">
        <f t="shared" si="205"/>
        <v>207826</v>
      </c>
    </row>
    <row r="5152" spans="7:14" ht="11.25" customHeight="1" x14ac:dyDescent="0.3">
      <c r="G5152" s="470"/>
      <c r="H5152" s="470">
        <v>5145</v>
      </c>
      <c r="I5152" s="455">
        <f t="shared" ca="1" si="203"/>
        <v>-335812196414516.25</v>
      </c>
      <c r="J5152" s="455">
        <f t="array" ref="J5152">IFERROR(INDEX('Retirement Calculator'!J:J,MATCH('Isaac 401k'!N5152,'Retirement Calculator'!A:A,0),0),0)</f>
        <v>0</v>
      </c>
      <c r="K5152" s="455">
        <f t="shared" ca="1" si="201"/>
        <v>-1399217485060.4844</v>
      </c>
      <c r="L5152" s="455">
        <f t="shared" ca="1" si="202"/>
        <v>-337211413899576.75</v>
      </c>
      <c r="M5152" s="471">
        <f t="shared" si="204"/>
        <v>0.05</v>
      </c>
      <c r="N5152" s="475">
        <f t="shared" si="205"/>
        <v>207857</v>
      </c>
    </row>
    <row r="5153" spans="7:14" ht="11.25" customHeight="1" x14ac:dyDescent="0.3">
      <c r="G5153" s="470"/>
      <c r="H5153" s="470">
        <v>5146</v>
      </c>
      <c r="I5153" s="455">
        <f t="shared" ca="1" si="203"/>
        <v>-337211413899576.75</v>
      </c>
      <c r="J5153" s="455">
        <f t="array" ref="J5153">IFERROR(INDEX('Retirement Calculator'!J:J,MATCH('Isaac 401k'!N5153,'Retirement Calculator'!A:A,0),0),0)</f>
        <v>0</v>
      </c>
      <c r="K5153" s="455">
        <f t="shared" ca="1" si="201"/>
        <v>-1405047557914.9031</v>
      </c>
      <c r="L5153" s="455">
        <f t="shared" ca="1" si="202"/>
        <v>-338616461457491.63</v>
      </c>
      <c r="M5153" s="471">
        <f t="shared" si="204"/>
        <v>0.05</v>
      </c>
      <c r="N5153" s="475">
        <f t="shared" si="205"/>
        <v>207885</v>
      </c>
    </row>
    <row r="5154" spans="7:14" ht="11.25" customHeight="1" x14ac:dyDescent="0.3">
      <c r="G5154" s="470"/>
      <c r="H5154" s="470">
        <v>5147</v>
      </c>
      <c r="I5154" s="455">
        <f t="shared" ca="1" si="203"/>
        <v>-338616461457491.63</v>
      </c>
      <c r="J5154" s="455">
        <f t="array" ref="J5154">IFERROR(INDEX('Retirement Calculator'!J:J,MATCH('Isaac 401k'!N5154,'Retirement Calculator'!A:A,0),0),0)</f>
        <v>0</v>
      </c>
      <c r="K5154" s="455">
        <f t="shared" ca="1" si="201"/>
        <v>-1410901922739.5483</v>
      </c>
      <c r="L5154" s="455">
        <f t="shared" ca="1" si="202"/>
        <v>-340027363380231.19</v>
      </c>
      <c r="M5154" s="471">
        <f t="shared" si="204"/>
        <v>0.05</v>
      </c>
      <c r="N5154" s="475">
        <f t="shared" si="205"/>
        <v>207916</v>
      </c>
    </row>
    <row r="5155" spans="7:14" ht="11.25" customHeight="1" x14ac:dyDescent="0.3">
      <c r="G5155" s="470"/>
      <c r="H5155" s="470">
        <v>5148</v>
      </c>
      <c r="I5155" s="455">
        <f t="shared" ca="1" si="203"/>
        <v>-340027363380231.19</v>
      </c>
      <c r="J5155" s="455">
        <f t="array" ref="J5155">IFERROR(INDEX('Retirement Calculator'!J:J,MATCH('Isaac 401k'!N5155,'Retirement Calculator'!A:A,0),0),0)</f>
        <v>0</v>
      </c>
      <c r="K5155" s="455">
        <f t="shared" ca="1" si="201"/>
        <v>-1416780680750.9634</v>
      </c>
      <c r="L5155" s="455">
        <f t="shared" ca="1" si="202"/>
        <v>-341444144060982.13</v>
      </c>
      <c r="M5155" s="471">
        <f t="shared" si="204"/>
        <v>0.05</v>
      </c>
      <c r="N5155" s="475">
        <f t="shared" si="205"/>
        <v>207946</v>
      </c>
    </row>
    <row r="5156" spans="7:14" ht="11.25" customHeight="1" x14ac:dyDescent="0.3">
      <c r="G5156" s="470"/>
      <c r="H5156" s="470">
        <v>5149</v>
      </c>
      <c r="I5156" s="455">
        <f t="shared" ca="1" si="203"/>
        <v>-341444144060982.13</v>
      </c>
      <c r="J5156" s="455">
        <f t="array" ref="J5156">IFERROR(INDEX('Retirement Calculator'!J:J,MATCH('Isaac 401k'!N5156,'Retirement Calculator'!A:A,0),0),0)</f>
        <v>0</v>
      </c>
      <c r="K5156" s="455">
        <f t="shared" ca="1" si="201"/>
        <v>-1422683933587.4255</v>
      </c>
      <c r="L5156" s="455">
        <f t="shared" ca="1" si="202"/>
        <v>-342866827994569.56</v>
      </c>
      <c r="M5156" s="471">
        <f t="shared" si="204"/>
        <v>0.05</v>
      </c>
      <c r="N5156" s="475">
        <f t="shared" si="205"/>
        <v>207977</v>
      </c>
    </row>
    <row r="5157" spans="7:14" ht="11.25" customHeight="1" x14ac:dyDescent="0.3">
      <c r="G5157" s="470"/>
      <c r="H5157" s="470">
        <v>5150</v>
      </c>
      <c r="I5157" s="455">
        <f t="shared" ca="1" si="203"/>
        <v>-342866827994569.56</v>
      </c>
      <c r="J5157" s="455">
        <f t="array" ref="J5157">IFERROR(INDEX('Retirement Calculator'!J:J,MATCH('Isaac 401k'!N5157,'Retirement Calculator'!A:A,0),0),0)</f>
        <v>0</v>
      </c>
      <c r="K5157" s="455">
        <f t="shared" ca="1" si="201"/>
        <v>-1428611783310.7065</v>
      </c>
      <c r="L5157" s="455">
        <f t="shared" ca="1" si="202"/>
        <v>-344295439777880.25</v>
      </c>
      <c r="M5157" s="471">
        <f t="shared" si="204"/>
        <v>0.05</v>
      </c>
      <c r="N5157" s="475">
        <f t="shared" si="205"/>
        <v>208007</v>
      </c>
    </row>
    <row r="5158" spans="7:14" ht="11.25" customHeight="1" x14ac:dyDescent="0.3">
      <c r="G5158" s="470"/>
      <c r="H5158" s="470">
        <v>5151</v>
      </c>
      <c r="I5158" s="455">
        <f t="shared" ca="1" si="203"/>
        <v>-344295439777880.25</v>
      </c>
      <c r="J5158" s="455">
        <f t="array" ref="J5158">IFERROR(INDEX('Retirement Calculator'!J:J,MATCH('Isaac 401k'!N5158,'Retirement Calculator'!A:A,0),0),0)</f>
        <v>0</v>
      </c>
      <c r="K5158" s="455">
        <f t="shared" ca="1" si="201"/>
        <v>-1434564332407.8345</v>
      </c>
      <c r="L5158" s="455">
        <f t="shared" ca="1" si="202"/>
        <v>-345730004110288.06</v>
      </c>
      <c r="M5158" s="471">
        <f t="shared" si="204"/>
        <v>0.05</v>
      </c>
      <c r="N5158" s="475">
        <f t="shared" si="205"/>
        <v>208038</v>
      </c>
    </row>
    <row r="5159" spans="7:14" ht="11.25" customHeight="1" x14ac:dyDescent="0.3">
      <c r="G5159" s="470"/>
      <c r="H5159" s="470">
        <v>5152</v>
      </c>
      <c r="I5159" s="455">
        <f t="shared" ca="1" si="203"/>
        <v>-345730004110288.06</v>
      </c>
      <c r="J5159" s="455">
        <f t="array" ref="J5159">IFERROR(INDEX('Retirement Calculator'!J:J,MATCH('Isaac 401k'!N5159,'Retirement Calculator'!A:A,0),0),0)</f>
        <v>0</v>
      </c>
      <c r="K5159" s="455">
        <f t="shared" ca="1" si="201"/>
        <v>-1440541683792.8669</v>
      </c>
      <c r="L5159" s="455">
        <f t="shared" ca="1" si="202"/>
        <v>-347170545794080.94</v>
      </c>
      <c r="M5159" s="471">
        <f t="shared" si="204"/>
        <v>0.05</v>
      </c>
      <c r="N5159" s="475">
        <f t="shared" si="205"/>
        <v>208069</v>
      </c>
    </row>
    <row r="5160" spans="7:14" ht="11.25" customHeight="1" x14ac:dyDescent="0.3">
      <c r="G5160" s="470"/>
      <c r="H5160" s="470">
        <v>5153</v>
      </c>
      <c r="I5160" s="455">
        <f t="shared" ca="1" si="203"/>
        <v>-347170545794080.94</v>
      </c>
      <c r="J5160" s="455">
        <f t="array" ref="J5160">IFERROR(INDEX('Retirement Calculator'!J:J,MATCH('Isaac 401k'!N5160,'Retirement Calculator'!A:A,0),0),0)</f>
        <v>0</v>
      </c>
      <c r="K5160" s="455">
        <f t="shared" ca="1" si="201"/>
        <v>-1446543940808.6707</v>
      </c>
      <c r="L5160" s="455">
        <f t="shared" ca="1" si="202"/>
        <v>-348617089734889.63</v>
      </c>
      <c r="M5160" s="471">
        <f t="shared" si="204"/>
        <v>0.05</v>
      </c>
      <c r="N5160" s="475">
        <f t="shared" si="205"/>
        <v>208099</v>
      </c>
    </row>
    <row r="5161" spans="7:14" ht="11.25" customHeight="1" x14ac:dyDescent="0.3">
      <c r="G5161" s="470"/>
      <c r="H5161" s="470">
        <v>5154</v>
      </c>
      <c r="I5161" s="455">
        <f t="shared" ca="1" si="203"/>
        <v>-348617089734889.63</v>
      </c>
      <c r="J5161" s="455">
        <f t="array" ref="J5161">IFERROR(INDEX('Retirement Calculator'!J:J,MATCH('Isaac 401k'!N5161,'Retirement Calculator'!A:A,0),0),0)</f>
        <v>0</v>
      </c>
      <c r="K5161" s="455">
        <f t="shared" ca="1" si="201"/>
        <v>-1452571207228.7068</v>
      </c>
      <c r="L5161" s="455">
        <f t="shared" ca="1" si="202"/>
        <v>-350069660942118.31</v>
      </c>
      <c r="M5161" s="471">
        <f t="shared" si="204"/>
        <v>0.05</v>
      </c>
      <c r="N5161" s="475">
        <f t="shared" si="205"/>
        <v>208130</v>
      </c>
    </row>
    <row r="5162" spans="7:14" ht="11.25" customHeight="1" x14ac:dyDescent="0.3">
      <c r="G5162" s="470"/>
      <c r="H5162" s="470">
        <v>5155</v>
      </c>
      <c r="I5162" s="455">
        <f t="shared" ca="1" si="203"/>
        <v>-350069660942118.31</v>
      </c>
      <c r="J5162" s="455">
        <f t="array" ref="J5162">IFERROR(INDEX('Retirement Calculator'!J:J,MATCH('Isaac 401k'!N5162,'Retirement Calculator'!A:A,0),0),0)</f>
        <v>0</v>
      </c>
      <c r="K5162" s="455">
        <f t="shared" ca="1" si="201"/>
        <v>-1458623587258.8262</v>
      </c>
      <c r="L5162" s="455">
        <f t="shared" ca="1" si="202"/>
        <v>-351528284529377.13</v>
      </c>
      <c r="M5162" s="471">
        <f t="shared" si="204"/>
        <v>0.05</v>
      </c>
      <c r="N5162" s="475">
        <f t="shared" si="205"/>
        <v>208160</v>
      </c>
    </row>
    <row r="5163" spans="7:14" ht="11.25" customHeight="1" x14ac:dyDescent="0.3">
      <c r="G5163" s="470"/>
      <c r="H5163" s="470">
        <v>5156</v>
      </c>
      <c r="I5163" s="455">
        <f t="shared" ca="1" si="203"/>
        <v>-351528284529377.13</v>
      </c>
      <c r="J5163" s="455">
        <f t="array" ref="J5163">IFERROR(INDEX('Retirement Calculator'!J:J,MATCH('Isaac 401k'!N5163,'Retirement Calculator'!A:A,0),0),0)</f>
        <v>0</v>
      </c>
      <c r="K5163" s="455">
        <f t="shared" ca="1" si="201"/>
        <v>-1464701185539.0713</v>
      </c>
      <c r="L5163" s="455">
        <f t="shared" ca="1" si="202"/>
        <v>-352992985714916.19</v>
      </c>
      <c r="M5163" s="471">
        <f t="shared" si="204"/>
        <v>0.05</v>
      </c>
      <c r="N5163" s="475">
        <f t="shared" si="205"/>
        <v>208191</v>
      </c>
    </row>
    <row r="5164" spans="7:14" ht="11.25" customHeight="1" x14ac:dyDescent="0.3">
      <c r="G5164" s="470"/>
      <c r="H5164" s="470">
        <v>5157</v>
      </c>
      <c r="I5164" s="455">
        <f t="shared" ca="1" si="203"/>
        <v>-352992985714916.19</v>
      </c>
      <c r="J5164" s="455">
        <f t="array" ref="J5164">IFERROR(INDEX('Retirement Calculator'!J:J,MATCH('Isaac 401k'!N5164,'Retirement Calculator'!A:A,0),0),0)</f>
        <v>0</v>
      </c>
      <c r="K5164" s="455">
        <f t="shared" ca="1" si="201"/>
        <v>-1470804107145.4841</v>
      </c>
      <c r="L5164" s="455">
        <f t="shared" ca="1" si="202"/>
        <v>-354463789822061.69</v>
      </c>
      <c r="M5164" s="471">
        <f t="shared" si="204"/>
        <v>0.05</v>
      </c>
      <c r="N5164" s="475">
        <f t="shared" si="205"/>
        <v>208222</v>
      </c>
    </row>
    <row r="5165" spans="7:14" ht="11.25" customHeight="1" x14ac:dyDescent="0.3">
      <c r="G5165" s="470"/>
      <c r="H5165" s="470">
        <v>5158</v>
      </c>
      <c r="I5165" s="455">
        <f t="shared" ca="1" si="203"/>
        <v>-354463789822061.69</v>
      </c>
      <c r="J5165" s="455">
        <f t="array" ref="J5165">IFERROR(INDEX('Retirement Calculator'!J:J,MATCH('Isaac 401k'!N5165,'Retirement Calculator'!A:A,0),0),0)</f>
        <v>0</v>
      </c>
      <c r="K5165" s="455">
        <f t="shared" ca="1" si="201"/>
        <v>-1476932457591.9236</v>
      </c>
      <c r="L5165" s="455">
        <f t="shared" ca="1" si="202"/>
        <v>-355940722279653.63</v>
      </c>
      <c r="M5165" s="471">
        <f t="shared" si="204"/>
        <v>0.05</v>
      </c>
      <c r="N5165" s="475">
        <f t="shared" si="205"/>
        <v>208250</v>
      </c>
    </row>
    <row r="5166" spans="7:14" ht="11.25" customHeight="1" x14ac:dyDescent="0.3">
      <c r="G5166" s="470"/>
      <c r="H5166" s="470">
        <v>5159</v>
      </c>
      <c r="I5166" s="455">
        <f t="shared" ca="1" si="203"/>
        <v>-355940722279653.63</v>
      </c>
      <c r="J5166" s="455">
        <f t="array" ref="J5166">IFERROR(INDEX('Retirement Calculator'!J:J,MATCH('Isaac 401k'!N5166,'Retirement Calculator'!A:A,0),0),0)</f>
        <v>0</v>
      </c>
      <c r="K5166" s="455">
        <f t="shared" ca="1" si="201"/>
        <v>-1483086342831.8901</v>
      </c>
      <c r="L5166" s="455">
        <f t="shared" ca="1" si="202"/>
        <v>-357423808622485.5</v>
      </c>
      <c r="M5166" s="471">
        <f t="shared" si="204"/>
        <v>0.05</v>
      </c>
      <c r="N5166" s="475">
        <f t="shared" si="205"/>
        <v>208281</v>
      </c>
    </row>
    <row r="5167" spans="7:14" ht="11.25" customHeight="1" x14ac:dyDescent="0.3">
      <c r="G5167" s="470"/>
      <c r="H5167" s="470">
        <v>5160</v>
      </c>
      <c r="I5167" s="455">
        <f t="shared" ca="1" si="203"/>
        <v>-357423808622485.5</v>
      </c>
      <c r="J5167" s="455">
        <f t="array" ref="J5167">IFERROR(INDEX('Retirement Calculator'!J:J,MATCH('Isaac 401k'!N5167,'Retirement Calculator'!A:A,0),0),0)</f>
        <v>0</v>
      </c>
      <c r="K5167" s="455">
        <f t="shared" ca="1" si="201"/>
        <v>-1489265869260.3562</v>
      </c>
      <c r="L5167" s="455">
        <f t="shared" ca="1" si="202"/>
        <v>-358913074491745.88</v>
      </c>
      <c r="M5167" s="471">
        <f t="shared" si="204"/>
        <v>0.05</v>
      </c>
      <c r="N5167" s="475">
        <f t="shared" si="205"/>
        <v>208311</v>
      </c>
    </row>
    <row r="5168" spans="7:14" ht="11.25" customHeight="1" x14ac:dyDescent="0.3">
      <c r="G5168" s="470"/>
      <c r="H5168" s="470">
        <v>5161</v>
      </c>
      <c r="I5168" s="455">
        <f t="shared" ca="1" si="203"/>
        <v>-358913074491745.88</v>
      </c>
      <c r="J5168" s="455">
        <f t="array" ref="J5168">IFERROR(INDEX('Retirement Calculator'!J:J,MATCH('Isaac 401k'!N5168,'Retirement Calculator'!A:A,0),0),0)</f>
        <v>0</v>
      </c>
      <c r="K5168" s="455">
        <f t="shared" ca="1" si="201"/>
        <v>-1495471143715.6079</v>
      </c>
      <c r="L5168" s="455">
        <f t="shared" ca="1" si="202"/>
        <v>-360408545635461.5</v>
      </c>
      <c r="M5168" s="471">
        <f t="shared" si="204"/>
        <v>0.05</v>
      </c>
      <c r="N5168" s="475">
        <f t="shared" si="205"/>
        <v>208342</v>
      </c>
    </row>
    <row r="5169" spans="7:14" ht="11.25" customHeight="1" x14ac:dyDescent="0.3">
      <c r="G5169" s="470"/>
      <c r="H5169" s="470">
        <v>5162</v>
      </c>
      <c r="I5169" s="455">
        <f t="shared" ca="1" si="203"/>
        <v>-360408545635461.5</v>
      </c>
      <c r="J5169" s="455">
        <f t="array" ref="J5169">IFERROR(INDEX('Retirement Calculator'!J:J,MATCH('Isaac 401k'!N5169,'Retirement Calculator'!A:A,0),0),0)</f>
        <v>0</v>
      </c>
      <c r="K5169" s="455">
        <f t="shared" ca="1" si="201"/>
        <v>-1501702273481.0896</v>
      </c>
      <c r="L5169" s="455">
        <f t="shared" ca="1" si="202"/>
        <v>-361910247908942.56</v>
      </c>
      <c r="M5169" s="471">
        <f t="shared" si="204"/>
        <v>0.05</v>
      </c>
      <c r="N5169" s="475">
        <f t="shared" si="205"/>
        <v>208372</v>
      </c>
    </row>
    <row r="5170" spans="7:14" ht="11.25" customHeight="1" x14ac:dyDescent="0.3">
      <c r="G5170" s="470"/>
      <c r="H5170" s="470">
        <v>5163</v>
      </c>
      <c r="I5170" s="455">
        <f t="shared" ca="1" si="203"/>
        <v>-361910247908942.56</v>
      </c>
      <c r="J5170" s="455">
        <f t="array" ref="J5170">IFERROR(INDEX('Retirement Calculator'!J:J,MATCH('Isaac 401k'!N5170,'Retirement Calculator'!A:A,0),0),0)</f>
        <v>0</v>
      </c>
      <c r="K5170" s="455">
        <f t="shared" ca="1" si="201"/>
        <v>-1507959366287.2607</v>
      </c>
      <c r="L5170" s="455">
        <f t="shared" ca="1" si="202"/>
        <v>-363418207275229.81</v>
      </c>
      <c r="M5170" s="471">
        <f t="shared" si="204"/>
        <v>0.05</v>
      </c>
      <c r="N5170" s="475">
        <f t="shared" si="205"/>
        <v>208403</v>
      </c>
    </row>
    <row r="5171" spans="7:14" ht="11.25" customHeight="1" x14ac:dyDescent="0.3">
      <c r="G5171" s="470"/>
      <c r="H5171" s="470">
        <v>5164</v>
      </c>
      <c r="I5171" s="455">
        <f t="shared" ca="1" si="203"/>
        <v>-363418207275229.81</v>
      </c>
      <c r="J5171" s="455">
        <f t="array" ref="J5171">IFERROR(INDEX('Retirement Calculator'!J:J,MATCH('Isaac 401k'!N5171,'Retirement Calculator'!A:A,0),0),0)</f>
        <v>0</v>
      </c>
      <c r="K5171" s="455">
        <f t="shared" ca="1" si="201"/>
        <v>-1514242530313.4575</v>
      </c>
      <c r="L5171" s="455">
        <f t="shared" ca="1" si="202"/>
        <v>-364932449805543.25</v>
      </c>
      <c r="M5171" s="471">
        <f t="shared" si="204"/>
        <v>0.05</v>
      </c>
      <c r="N5171" s="475">
        <f t="shared" si="205"/>
        <v>208434</v>
      </c>
    </row>
    <row r="5172" spans="7:14" ht="11.25" customHeight="1" x14ac:dyDescent="0.3">
      <c r="G5172" s="470"/>
      <c r="H5172" s="470">
        <v>5165</v>
      </c>
      <c r="I5172" s="455">
        <f t="shared" ca="1" si="203"/>
        <v>-364932449805543.25</v>
      </c>
      <c r="J5172" s="455">
        <f t="array" ref="J5172">IFERROR(INDEX('Retirement Calculator'!J:J,MATCH('Isaac 401k'!N5172,'Retirement Calculator'!A:A,0),0),0)</f>
        <v>0</v>
      </c>
      <c r="K5172" s="455">
        <f t="shared" ca="1" si="201"/>
        <v>-1520551874189.7634</v>
      </c>
      <c r="L5172" s="455">
        <f t="shared" ca="1" si="202"/>
        <v>-366453001679733</v>
      </c>
      <c r="M5172" s="471">
        <f t="shared" si="204"/>
        <v>0.05</v>
      </c>
      <c r="N5172" s="475">
        <f t="shared" si="205"/>
        <v>208464</v>
      </c>
    </row>
    <row r="5173" spans="7:14" ht="11.25" customHeight="1" x14ac:dyDescent="0.3">
      <c r="G5173" s="470"/>
      <c r="H5173" s="470">
        <v>5166</v>
      </c>
      <c r="I5173" s="455">
        <f t="shared" ca="1" si="203"/>
        <v>-366453001679733</v>
      </c>
      <c r="J5173" s="455">
        <f t="array" ref="J5173">IFERROR(INDEX('Retirement Calculator'!J:J,MATCH('Isaac 401k'!N5173,'Retirement Calculator'!A:A,0),0),0)</f>
        <v>0</v>
      </c>
      <c r="K5173" s="455">
        <f t="shared" ca="1" si="201"/>
        <v>-1526887506998.8875</v>
      </c>
      <c r="L5173" s="455">
        <f t="shared" ca="1" si="202"/>
        <v>-367979889186731.88</v>
      </c>
      <c r="M5173" s="471">
        <f t="shared" si="204"/>
        <v>0.05</v>
      </c>
      <c r="N5173" s="475">
        <f t="shared" si="205"/>
        <v>208495</v>
      </c>
    </row>
    <row r="5174" spans="7:14" ht="11.25" customHeight="1" x14ac:dyDescent="0.3">
      <c r="G5174" s="470"/>
      <c r="H5174" s="470">
        <v>5167</v>
      </c>
      <c r="I5174" s="455">
        <f t="shared" ca="1" si="203"/>
        <v>-367979889186731.88</v>
      </c>
      <c r="J5174" s="455">
        <f t="array" ref="J5174">IFERROR(INDEX('Retirement Calculator'!J:J,MATCH('Isaac 401k'!N5174,'Retirement Calculator'!A:A,0),0),0)</f>
        <v>0</v>
      </c>
      <c r="K5174" s="455">
        <f t="shared" ca="1" si="201"/>
        <v>-1533249538278.0496</v>
      </c>
      <c r="L5174" s="455">
        <f t="shared" ca="1" si="202"/>
        <v>-369513138725009.94</v>
      </c>
      <c r="M5174" s="471">
        <f t="shared" si="204"/>
        <v>0.05</v>
      </c>
      <c r="N5174" s="475">
        <f t="shared" si="205"/>
        <v>208525</v>
      </c>
    </row>
    <row r="5175" spans="7:14" ht="11.25" customHeight="1" x14ac:dyDescent="0.3">
      <c r="G5175" s="470"/>
      <c r="H5175" s="470">
        <v>5168</v>
      </c>
      <c r="I5175" s="455">
        <f t="shared" ca="1" si="203"/>
        <v>-369513138725009.94</v>
      </c>
      <c r="J5175" s="455">
        <f t="array" ref="J5175">IFERROR(INDEX('Retirement Calculator'!J:J,MATCH('Isaac 401k'!N5175,'Retirement Calculator'!A:A,0),0),0)</f>
        <v>0</v>
      </c>
      <c r="K5175" s="455">
        <f t="shared" ca="1" si="201"/>
        <v>-1539638078020.8748</v>
      </c>
      <c r="L5175" s="455">
        <f t="shared" ca="1" si="202"/>
        <v>-371052776803030.81</v>
      </c>
      <c r="M5175" s="471">
        <f t="shared" si="204"/>
        <v>0.05</v>
      </c>
      <c r="N5175" s="475">
        <f t="shared" si="205"/>
        <v>208556</v>
      </c>
    </row>
    <row r="5176" spans="7:14" ht="11.25" customHeight="1" x14ac:dyDescent="0.3">
      <c r="G5176" s="470"/>
      <c r="H5176" s="470">
        <v>5169</v>
      </c>
      <c r="I5176" s="455">
        <f t="shared" ca="1" si="203"/>
        <v>-371052776803030.81</v>
      </c>
      <c r="J5176" s="455">
        <f t="array" ref="J5176">IFERROR(INDEX('Retirement Calculator'!J:J,MATCH('Isaac 401k'!N5176,'Retirement Calculator'!A:A,0),0),0)</f>
        <v>0</v>
      </c>
      <c r="K5176" s="455">
        <f t="shared" ca="1" si="201"/>
        <v>-1546053236679.2949</v>
      </c>
      <c r="L5176" s="455">
        <f t="shared" ca="1" si="202"/>
        <v>-372598830039710.13</v>
      </c>
      <c r="M5176" s="471">
        <f t="shared" si="204"/>
        <v>0.05</v>
      </c>
      <c r="N5176" s="475">
        <f t="shared" si="205"/>
        <v>208587</v>
      </c>
    </row>
    <row r="5177" spans="7:14" ht="11.25" customHeight="1" x14ac:dyDescent="0.3">
      <c r="G5177" s="470"/>
      <c r="H5177" s="470">
        <v>5170</v>
      </c>
      <c r="I5177" s="455">
        <f t="shared" ca="1" si="203"/>
        <v>-372598830039710.13</v>
      </c>
      <c r="J5177" s="455">
        <f t="array" ref="J5177">IFERROR(INDEX('Retirement Calculator'!J:J,MATCH('Isaac 401k'!N5177,'Retirement Calculator'!A:A,0),0),0)</f>
        <v>0</v>
      </c>
      <c r="K5177" s="455">
        <f t="shared" ca="1" si="201"/>
        <v>-1552495125165.4587</v>
      </c>
      <c r="L5177" s="455">
        <f t="shared" ca="1" si="202"/>
        <v>-374151325164875.56</v>
      </c>
      <c r="M5177" s="471">
        <f t="shared" si="204"/>
        <v>0.05</v>
      </c>
      <c r="N5177" s="475">
        <f t="shared" si="205"/>
        <v>208615</v>
      </c>
    </row>
    <row r="5178" spans="7:14" ht="11.25" customHeight="1" x14ac:dyDescent="0.3">
      <c r="G5178" s="470"/>
      <c r="H5178" s="470">
        <v>5171</v>
      </c>
      <c r="I5178" s="455">
        <f t="shared" ca="1" si="203"/>
        <v>-374151325164875.56</v>
      </c>
      <c r="J5178" s="455">
        <f t="array" ref="J5178">IFERROR(INDEX('Retirement Calculator'!J:J,MATCH('Isaac 401k'!N5178,'Retirement Calculator'!A:A,0),0),0)</f>
        <v>0</v>
      </c>
      <c r="K5178" s="455">
        <f t="shared" ca="1" si="201"/>
        <v>-1558963854853.6482</v>
      </c>
      <c r="L5178" s="455">
        <f t="shared" ca="1" si="202"/>
        <v>-375710289019729.19</v>
      </c>
      <c r="M5178" s="471">
        <f t="shared" si="204"/>
        <v>0.05</v>
      </c>
      <c r="N5178" s="475">
        <f t="shared" si="205"/>
        <v>208646</v>
      </c>
    </row>
    <row r="5179" spans="7:14" ht="11.25" customHeight="1" x14ac:dyDescent="0.3">
      <c r="G5179" s="470"/>
      <c r="H5179" s="470">
        <v>5172</v>
      </c>
      <c r="I5179" s="455">
        <f t="shared" ca="1" si="203"/>
        <v>-375710289019729.19</v>
      </c>
      <c r="J5179" s="455">
        <f t="array" ref="J5179">IFERROR(INDEX('Retirement Calculator'!J:J,MATCH('Isaac 401k'!N5179,'Retirement Calculator'!A:A,0),0),0)</f>
        <v>0</v>
      </c>
      <c r="K5179" s="455">
        <f t="shared" ca="1" si="201"/>
        <v>-1565459537582.2048</v>
      </c>
      <c r="L5179" s="455">
        <f t="shared" ca="1" si="202"/>
        <v>-377275748557311.38</v>
      </c>
      <c r="M5179" s="471">
        <f t="shared" si="204"/>
        <v>0.05</v>
      </c>
      <c r="N5179" s="475">
        <f t="shared" si="205"/>
        <v>208676</v>
      </c>
    </row>
    <row r="5180" spans="7:14" ht="11.25" customHeight="1" x14ac:dyDescent="0.3">
      <c r="G5180" s="470"/>
      <c r="H5180" s="470">
        <v>5173</v>
      </c>
      <c r="I5180" s="455">
        <f t="shared" ca="1" si="203"/>
        <v>-377275748557311.38</v>
      </c>
      <c r="J5180" s="455">
        <f t="array" ref="J5180">IFERROR(INDEX('Retirement Calculator'!J:J,MATCH('Isaac 401k'!N5180,'Retirement Calculator'!A:A,0),0),0)</f>
        <v>0</v>
      </c>
      <c r="K5180" s="455">
        <f t="shared" ca="1" si="201"/>
        <v>-1571982285655.4641</v>
      </c>
      <c r="L5180" s="455">
        <f t="shared" ca="1" si="202"/>
        <v>-378847730842966.81</v>
      </c>
      <c r="M5180" s="471">
        <f t="shared" si="204"/>
        <v>0.05</v>
      </c>
      <c r="N5180" s="475">
        <f t="shared" si="205"/>
        <v>208707</v>
      </c>
    </row>
    <row r="5181" spans="7:14" ht="11.25" customHeight="1" x14ac:dyDescent="0.3">
      <c r="G5181" s="470"/>
      <c r="H5181" s="470">
        <v>5174</v>
      </c>
      <c r="I5181" s="455">
        <f t="shared" ca="1" si="203"/>
        <v>-378847730842966.81</v>
      </c>
      <c r="J5181" s="455">
        <f t="array" ref="J5181">IFERROR(INDEX('Retirement Calculator'!J:J,MATCH('Isaac 401k'!N5181,'Retirement Calculator'!A:A,0),0),0)</f>
        <v>0</v>
      </c>
      <c r="K5181" s="455">
        <f t="shared" ca="1" si="201"/>
        <v>-1578532211845.6951</v>
      </c>
      <c r="L5181" s="455">
        <f t="shared" ca="1" si="202"/>
        <v>-380426263054812.5</v>
      </c>
      <c r="M5181" s="471">
        <f t="shared" si="204"/>
        <v>0.05</v>
      </c>
      <c r="N5181" s="475">
        <f t="shared" si="205"/>
        <v>208737</v>
      </c>
    </row>
    <row r="5182" spans="7:14" ht="11.25" customHeight="1" x14ac:dyDescent="0.3">
      <c r="G5182" s="470"/>
      <c r="H5182" s="470">
        <v>5175</v>
      </c>
      <c r="I5182" s="455">
        <f t="shared" ca="1" si="203"/>
        <v>-380426263054812.5</v>
      </c>
      <c r="J5182" s="455">
        <f t="array" ref="J5182">IFERROR(INDEX('Retirement Calculator'!J:J,MATCH('Isaac 401k'!N5182,'Retirement Calculator'!A:A,0),0),0)</f>
        <v>0</v>
      </c>
      <c r="K5182" s="455">
        <f t="shared" ca="1" si="201"/>
        <v>-1585109429395.052</v>
      </c>
      <c r="L5182" s="455">
        <f t="shared" ca="1" si="202"/>
        <v>-382011372484207.56</v>
      </c>
      <c r="M5182" s="471">
        <f t="shared" si="204"/>
        <v>0.05</v>
      </c>
      <c r="N5182" s="475">
        <f t="shared" si="205"/>
        <v>208768</v>
      </c>
    </row>
    <row r="5183" spans="7:14" ht="11.25" customHeight="1" x14ac:dyDescent="0.3">
      <c r="G5183" s="470"/>
      <c r="H5183" s="470">
        <v>5176</v>
      </c>
      <c r="I5183" s="455">
        <f t="shared" ca="1" si="203"/>
        <v>-382011372484207.56</v>
      </c>
      <c r="J5183" s="455">
        <f t="array" ref="J5183">IFERROR(INDEX('Retirement Calculator'!J:J,MATCH('Isaac 401k'!N5183,'Retirement Calculator'!A:A,0),0),0)</f>
        <v>0</v>
      </c>
      <c r="K5183" s="455">
        <f t="shared" ca="1" si="201"/>
        <v>-1591714052017.5315</v>
      </c>
      <c r="L5183" s="455">
        <f t="shared" ca="1" si="202"/>
        <v>-383603086536225.13</v>
      </c>
      <c r="M5183" s="471">
        <f t="shared" si="204"/>
        <v>0.05</v>
      </c>
      <c r="N5183" s="475">
        <f t="shared" si="205"/>
        <v>208799</v>
      </c>
    </row>
    <row r="5184" spans="7:14" ht="11.25" customHeight="1" x14ac:dyDescent="0.3">
      <c r="G5184" s="470"/>
      <c r="H5184" s="470">
        <v>5177</v>
      </c>
      <c r="I5184" s="455">
        <f t="shared" ca="1" si="203"/>
        <v>-383603086536225.13</v>
      </c>
      <c r="J5184" s="455">
        <f t="array" ref="J5184">IFERROR(INDEX('Retirement Calculator'!J:J,MATCH('Isaac 401k'!N5184,'Retirement Calculator'!A:A,0),0),0)</f>
        <v>0</v>
      </c>
      <c r="K5184" s="455">
        <f t="shared" ca="1" si="201"/>
        <v>-1598346193900.938</v>
      </c>
      <c r="L5184" s="455">
        <f t="shared" ca="1" si="202"/>
        <v>-385201432730126.06</v>
      </c>
      <c r="M5184" s="471">
        <f t="shared" si="204"/>
        <v>0.05</v>
      </c>
      <c r="N5184" s="475">
        <f t="shared" si="205"/>
        <v>208829</v>
      </c>
    </row>
    <row r="5185" spans="7:14" ht="11.25" customHeight="1" x14ac:dyDescent="0.3">
      <c r="G5185" s="470"/>
      <c r="H5185" s="470">
        <v>5178</v>
      </c>
      <c r="I5185" s="455">
        <f t="shared" ca="1" si="203"/>
        <v>-385201432730126.06</v>
      </c>
      <c r="J5185" s="455">
        <f t="array" ref="J5185">IFERROR(INDEX('Retirement Calculator'!J:J,MATCH('Isaac 401k'!N5185,'Retirement Calculator'!A:A,0),0),0)</f>
        <v>0</v>
      </c>
      <c r="K5185" s="455">
        <f t="shared" ca="1" si="201"/>
        <v>-1605005969708.8586</v>
      </c>
      <c r="L5185" s="455">
        <f t="shared" ca="1" si="202"/>
        <v>-386806438699834.94</v>
      </c>
      <c r="M5185" s="471">
        <f t="shared" si="204"/>
        <v>0.05</v>
      </c>
      <c r="N5185" s="475">
        <f t="shared" si="205"/>
        <v>208860</v>
      </c>
    </row>
    <row r="5186" spans="7:14" ht="11.25" customHeight="1" x14ac:dyDescent="0.3">
      <c r="G5186" s="470"/>
      <c r="H5186" s="470">
        <v>5179</v>
      </c>
      <c r="I5186" s="455">
        <f t="shared" ca="1" si="203"/>
        <v>-386806438699834.94</v>
      </c>
      <c r="J5186" s="455">
        <f t="array" ref="J5186">IFERROR(INDEX('Retirement Calculator'!J:J,MATCH('Isaac 401k'!N5186,'Retirement Calculator'!A:A,0),0),0)</f>
        <v>0</v>
      </c>
      <c r="K5186" s="455">
        <f t="shared" ca="1" si="201"/>
        <v>-1611693494582.6455</v>
      </c>
      <c r="L5186" s="455">
        <f t="shared" ca="1" si="202"/>
        <v>-388418132194417.56</v>
      </c>
      <c r="M5186" s="471">
        <f t="shared" si="204"/>
        <v>0.05</v>
      </c>
      <c r="N5186" s="475">
        <f t="shared" si="205"/>
        <v>208890</v>
      </c>
    </row>
    <row r="5187" spans="7:14" ht="11.25" customHeight="1" x14ac:dyDescent="0.3">
      <c r="G5187" s="470"/>
      <c r="H5187" s="470">
        <v>5180</v>
      </c>
      <c r="I5187" s="455">
        <f t="shared" ca="1" si="203"/>
        <v>-388418132194417.56</v>
      </c>
      <c r="J5187" s="455">
        <f t="array" ref="J5187">IFERROR(INDEX('Retirement Calculator'!J:J,MATCH('Isaac 401k'!N5187,'Retirement Calculator'!A:A,0),0),0)</f>
        <v>0</v>
      </c>
      <c r="K5187" s="455">
        <f t="shared" ca="1" si="201"/>
        <v>-1618408884143.4065</v>
      </c>
      <c r="L5187" s="455">
        <f t="shared" ca="1" si="202"/>
        <v>-390036541078561</v>
      </c>
      <c r="M5187" s="471">
        <f t="shared" si="204"/>
        <v>0.05</v>
      </c>
      <c r="N5187" s="475">
        <f t="shared" si="205"/>
        <v>208921</v>
      </c>
    </row>
    <row r="5188" spans="7:14" ht="11.25" customHeight="1" x14ac:dyDescent="0.3">
      <c r="G5188" s="470"/>
      <c r="H5188" s="470">
        <v>5181</v>
      </c>
      <c r="I5188" s="455">
        <f t="shared" ca="1" si="203"/>
        <v>-390036541078561</v>
      </c>
      <c r="J5188" s="455">
        <f t="array" ref="J5188">IFERROR(INDEX('Retirement Calculator'!J:J,MATCH('Isaac 401k'!N5188,'Retirement Calculator'!A:A,0),0),0)</f>
        <v>0</v>
      </c>
      <c r="K5188" s="455">
        <f t="shared" ca="1" si="201"/>
        <v>-1625152254494.0042</v>
      </c>
      <c r="L5188" s="455">
        <f t="shared" ca="1" si="202"/>
        <v>-391661693333055</v>
      </c>
      <c r="M5188" s="471">
        <f t="shared" si="204"/>
        <v>0.05</v>
      </c>
      <c r="N5188" s="475">
        <f t="shared" si="205"/>
        <v>208952</v>
      </c>
    </row>
    <row r="5189" spans="7:14" ht="11.25" customHeight="1" x14ac:dyDescent="0.3">
      <c r="G5189" s="470"/>
      <c r="H5189" s="470">
        <v>5182</v>
      </c>
      <c r="I5189" s="455">
        <f t="shared" ca="1" si="203"/>
        <v>-391661693333055</v>
      </c>
      <c r="J5189" s="455">
        <f t="array" ref="J5189">IFERROR(INDEX('Retirement Calculator'!J:J,MATCH('Isaac 401k'!N5189,'Retirement Calculator'!A:A,0),0),0)</f>
        <v>0</v>
      </c>
      <c r="K5189" s="455">
        <f t="shared" ca="1" si="201"/>
        <v>-1631923722221.0625</v>
      </c>
      <c r="L5189" s="455">
        <f t="shared" ca="1" si="202"/>
        <v>-393293617055276.06</v>
      </c>
      <c r="M5189" s="471">
        <f t="shared" si="204"/>
        <v>0.05</v>
      </c>
      <c r="N5189" s="475">
        <f t="shared" si="205"/>
        <v>208981</v>
      </c>
    </row>
    <row r="5190" spans="7:14" ht="11.25" customHeight="1" x14ac:dyDescent="0.3">
      <c r="G5190" s="470"/>
      <c r="H5190" s="470">
        <v>5183</v>
      </c>
      <c r="I5190" s="455">
        <f t="shared" ca="1" si="203"/>
        <v>-393293617055276.06</v>
      </c>
      <c r="J5190" s="455">
        <f t="array" ref="J5190">IFERROR(INDEX('Retirement Calculator'!J:J,MATCH('Isaac 401k'!N5190,'Retirement Calculator'!A:A,0),0),0)</f>
        <v>0</v>
      </c>
      <c r="K5190" s="455">
        <f t="shared" ca="1" si="201"/>
        <v>-1638723404396.9836</v>
      </c>
      <c r="L5190" s="455">
        <f t="shared" ca="1" si="202"/>
        <v>-394932340459673.06</v>
      </c>
      <c r="M5190" s="471">
        <f t="shared" si="204"/>
        <v>0.05</v>
      </c>
      <c r="N5190" s="475">
        <f t="shared" si="205"/>
        <v>209012</v>
      </c>
    </row>
    <row r="5191" spans="7:14" ht="11.25" customHeight="1" x14ac:dyDescent="0.3">
      <c r="G5191" s="470"/>
      <c r="H5191" s="470">
        <v>5184</v>
      </c>
      <c r="I5191" s="455">
        <f t="shared" ca="1" si="203"/>
        <v>-394932340459673.06</v>
      </c>
      <c r="J5191" s="455">
        <f t="array" ref="J5191">IFERROR(INDEX('Retirement Calculator'!J:J,MATCH('Isaac 401k'!N5191,'Retirement Calculator'!A:A,0),0),0)</f>
        <v>0</v>
      </c>
      <c r="K5191" s="455">
        <f t="shared" ca="1" si="201"/>
        <v>-1645551418581.9712</v>
      </c>
      <c r="L5191" s="455">
        <f t="shared" ca="1" si="202"/>
        <v>-396577891878255.06</v>
      </c>
      <c r="M5191" s="471">
        <f t="shared" si="204"/>
        <v>0.05</v>
      </c>
      <c r="N5191" s="475">
        <f t="shared" si="205"/>
        <v>209042</v>
      </c>
    </row>
    <row r="5192" spans="7:14" ht="11.25" customHeight="1" x14ac:dyDescent="0.3">
      <c r="G5192" s="470"/>
      <c r="H5192" s="470">
        <v>5185</v>
      </c>
      <c r="I5192" s="455">
        <f t="shared" ca="1" si="203"/>
        <v>-396577891878255.06</v>
      </c>
      <c r="J5192" s="455">
        <f t="array" ref="J5192">IFERROR(INDEX('Retirement Calculator'!J:J,MATCH('Isaac 401k'!N5192,'Retirement Calculator'!A:A,0),0),0)</f>
        <v>0</v>
      </c>
      <c r="K5192" s="455">
        <f t="shared" ca="1" si="201"/>
        <v>-1652407882826.0627</v>
      </c>
      <c r="L5192" s="455">
        <f t="shared" ca="1" si="202"/>
        <v>-398230299761081.13</v>
      </c>
      <c r="M5192" s="471">
        <f t="shared" si="204"/>
        <v>0.05</v>
      </c>
      <c r="N5192" s="475">
        <f t="shared" si="205"/>
        <v>209073</v>
      </c>
    </row>
    <row r="5193" spans="7:14" ht="11.25" customHeight="1" x14ac:dyDescent="0.3">
      <c r="G5193" s="470"/>
      <c r="H5193" s="470">
        <v>5186</v>
      </c>
      <c r="I5193" s="455">
        <f t="shared" ca="1" si="203"/>
        <v>-398230299761081.13</v>
      </c>
      <c r="J5193" s="455">
        <f t="array" ref="J5193">IFERROR(INDEX('Retirement Calculator'!J:J,MATCH('Isaac 401k'!N5193,'Retirement Calculator'!A:A,0),0),0)</f>
        <v>0</v>
      </c>
      <c r="K5193" s="455">
        <f t="shared" ca="1" si="201"/>
        <v>-1659292915671.1714</v>
      </c>
      <c r="L5193" s="455">
        <f t="shared" ca="1" si="202"/>
        <v>-399889592676752.31</v>
      </c>
      <c r="M5193" s="471">
        <f t="shared" si="204"/>
        <v>0.05</v>
      </c>
      <c r="N5193" s="475">
        <f t="shared" si="205"/>
        <v>209103</v>
      </c>
    </row>
    <row r="5194" spans="7:14" ht="11.25" customHeight="1" x14ac:dyDescent="0.3">
      <c r="G5194" s="470"/>
      <c r="H5194" s="470">
        <v>5187</v>
      </c>
      <c r="I5194" s="455">
        <f t="shared" ca="1" si="203"/>
        <v>-399889592676752.31</v>
      </c>
      <c r="J5194" s="455">
        <f t="array" ref="J5194">IFERROR(INDEX('Retirement Calculator'!J:J,MATCH('Isaac 401k'!N5194,'Retirement Calculator'!A:A,0),0),0)</f>
        <v>0</v>
      </c>
      <c r="K5194" s="455">
        <f t="shared" ca="1" si="201"/>
        <v>-1666206636153.1345</v>
      </c>
      <c r="L5194" s="455">
        <f t="shared" ca="1" si="202"/>
        <v>-401555799312905.44</v>
      </c>
      <c r="M5194" s="471">
        <f t="shared" si="204"/>
        <v>0.05</v>
      </c>
      <c r="N5194" s="475">
        <f t="shared" si="205"/>
        <v>209134</v>
      </c>
    </row>
    <row r="5195" spans="7:14" ht="11.25" customHeight="1" x14ac:dyDescent="0.3">
      <c r="G5195" s="470"/>
      <c r="H5195" s="470">
        <v>5188</v>
      </c>
      <c r="I5195" s="455">
        <f t="shared" ca="1" si="203"/>
        <v>-401555799312905.44</v>
      </c>
      <c r="J5195" s="455">
        <f t="array" ref="J5195">IFERROR(INDEX('Retirement Calculator'!J:J,MATCH('Isaac 401k'!N5195,'Retirement Calculator'!A:A,0),0),0)</f>
        <v>0</v>
      </c>
      <c r="K5195" s="455">
        <f t="shared" ca="1" si="201"/>
        <v>-1673149163803.7727</v>
      </c>
      <c r="L5195" s="455">
        <f t="shared" ca="1" si="202"/>
        <v>-403228948476709.19</v>
      </c>
      <c r="M5195" s="471">
        <f t="shared" si="204"/>
        <v>0.05</v>
      </c>
      <c r="N5195" s="475">
        <f t="shared" si="205"/>
        <v>209165</v>
      </c>
    </row>
    <row r="5196" spans="7:14" ht="11.25" customHeight="1" x14ac:dyDescent="0.3">
      <c r="G5196" s="470"/>
      <c r="H5196" s="470">
        <v>5189</v>
      </c>
      <c r="I5196" s="455">
        <f t="shared" ca="1" si="203"/>
        <v>-403228948476709.19</v>
      </c>
      <c r="J5196" s="455">
        <f t="array" ref="J5196">IFERROR(INDEX('Retirement Calculator'!J:J,MATCH('Isaac 401k'!N5196,'Retirement Calculator'!A:A,0),0),0)</f>
        <v>0</v>
      </c>
      <c r="K5196" s="455">
        <f t="shared" ca="1" si="201"/>
        <v>-1680120618652.9548</v>
      </c>
      <c r="L5196" s="455">
        <f t="shared" ca="1" si="202"/>
        <v>-404909069095362.13</v>
      </c>
      <c r="M5196" s="471">
        <f t="shared" si="204"/>
        <v>0.05</v>
      </c>
      <c r="N5196" s="475">
        <f t="shared" si="205"/>
        <v>209195</v>
      </c>
    </row>
    <row r="5197" spans="7:14" ht="11.25" customHeight="1" x14ac:dyDescent="0.3">
      <c r="G5197" s="470"/>
      <c r="H5197" s="470">
        <v>5190</v>
      </c>
      <c r="I5197" s="455">
        <f t="shared" ca="1" si="203"/>
        <v>-404909069095362.13</v>
      </c>
      <c r="J5197" s="455">
        <f t="array" ref="J5197">IFERROR(INDEX('Retirement Calculator'!J:J,MATCH('Isaac 401k'!N5197,'Retirement Calculator'!A:A,0),0),0)</f>
        <v>0</v>
      </c>
      <c r="K5197" s="455">
        <f t="shared" ca="1" si="201"/>
        <v>-1687121121230.6755</v>
      </c>
      <c r="L5197" s="455">
        <f t="shared" ca="1" si="202"/>
        <v>-406596190216592.81</v>
      </c>
      <c r="M5197" s="471">
        <f t="shared" si="204"/>
        <v>0.05</v>
      </c>
      <c r="N5197" s="475">
        <f t="shared" si="205"/>
        <v>209226</v>
      </c>
    </row>
    <row r="5198" spans="7:14" ht="11.25" customHeight="1" x14ac:dyDescent="0.3">
      <c r="G5198" s="470"/>
      <c r="H5198" s="470">
        <v>5191</v>
      </c>
      <c r="I5198" s="455">
        <f t="shared" ca="1" si="203"/>
        <v>-406596190216592.81</v>
      </c>
      <c r="J5198" s="455">
        <f t="array" ref="J5198">IFERROR(INDEX('Retirement Calculator'!J:J,MATCH('Isaac 401k'!N5198,'Retirement Calculator'!A:A,0),0),0)</f>
        <v>0</v>
      </c>
      <c r="K5198" s="455">
        <f t="shared" ca="1" si="201"/>
        <v>-1694150792569.1367</v>
      </c>
      <c r="L5198" s="455">
        <f t="shared" ca="1" si="202"/>
        <v>-408290341009161.94</v>
      </c>
      <c r="M5198" s="471">
        <f t="shared" si="204"/>
        <v>0.05</v>
      </c>
      <c r="N5198" s="475">
        <f t="shared" si="205"/>
        <v>209256</v>
      </c>
    </row>
    <row r="5199" spans="7:14" ht="11.25" customHeight="1" x14ac:dyDescent="0.3">
      <c r="G5199" s="470"/>
      <c r="H5199" s="470">
        <v>5192</v>
      </c>
      <c r="I5199" s="455">
        <f t="shared" ca="1" si="203"/>
        <v>-408290341009161.94</v>
      </c>
      <c r="J5199" s="455">
        <f t="array" ref="J5199">IFERROR(INDEX('Retirement Calculator'!J:J,MATCH('Isaac 401k'!N5199,'Retirement Calculator'!A:A,0),0),0)</f>
        <v>0</v>
      </c>
      <c r="K5199" s="455">
        <f t="shared" ca="1" si="201"/>
        <v>-1701209754204.8413</v>
      </c>
      <c r="L5199" s="455">
        <f t="shared" ca="1" si="202"/>
        <v>-409991550763366.75</v>
      </c>
      <c r="M5199" s="471">
        <f t="shared" si="204"/>
        <v>0.05</v>
      </c>
      <c r="N5199" s="475">
        <f t="shared" si="205"/>
        <v>209287</v>
      </c>
    </row>
    <row r="5200" spans="7:14" ht="11.25" customHeight="1" x14ac:dyDescent="0.3">
      <c r="G5200" s="470"/>
      <c r="H5200" s="470">
        <v>5193</v>
      </c>
      <c r="I5200" s="455">
        <f t="shared" ca="1" si="203"/>
        <v>-409991550763366.75</v>
      </c>
      <c r="J5200" s="455">
        <f t="array" ref="J5200">IFERROR(INDEX('Retirement Calculator'!J:J,MATCH('Isaac 401k'!N5200,'Retirement Calculator'!A:A,0),0),0)</f>
        <v>0</v>
      </c>
      <c r="K5200" s="455">
        <f t="shared" ca="1" si="201"/>
        <v>-1708298128180.6948</v>
      </c>
      <c r="L5200" s="455">
        <f t="shared" ca="1" si="202"/>
        <v>-411699848891547.44</v>
      </c>
      <c r="M5200" s="471">
        <f t="shared" si="204"/>
        <v>0.05</v>
      </c>
      <c r="N5200" s="475">
        <f t="shared" si="205"/>
        <v>209318</v>
      </c>
    </row>
    <row r="5201" spans="7:14" ht="11.25" customHeight="1" x14ac:dyDescent="0.3">
      <c r="G5201" s="470"/>
      <c r="H5201" s="470">
        <v>5194</v>
      </c>
      <c r="I5201" s="455">
        <f t="shared" ca="1" si="203"/>
        <v>-411699848891547.44</v>
      </c>
      <c r="J5201" s="455">
        <f t="array" ref="J5201">IFERROR(INDEX('Retirement Calculator'!J:J,MATCH('Isaac 401k'!N5201,'Retirement Calculator'!A:A,0),0),0)</f>
        <v>0</v>
      </c>
      <c r="K5201" s="455">
        <f t="shared" ca="1" si="201"/>
        <v>-1715416037048.1143</v>
      </c>
      <c r="L5201" s="455">
        <f t="shared" ca="1" si="202"/>
        <v>-413415264928595.56</v>
      </c>
      <c r="M5201" s="471">
        <f t="shared" si="204"/>
        <v>0.05</v>
      </c>
      <c r="N5201" s="475">
        <f t="shared" si="205"/>
        <v>209346</v>
      </c>
    </row>
    <row r="5202" spans="7:14" ht="11.25" customHeight="1" x14ac:dyDescent="0.3">
      <c r="G5202" s="470"/>
      <c r="H5202" s="470">
        <v>5195</v>
      </c>
      <c r="I5202" s="455">
        <f t="shared" ca="1" si="203"/>
        <v>-413415264928595.56</v>
      </c>
      <c r="J5202" s="455">
        <f t="array" ref="J5202">IFERROR(INDEX('Retirement Calculator'!J:J,MATCH('Isaac 401k'!N5202,'Retirement Calculator'!A:A,0),0),0)</f>
        <v>0</v>
      </c>
      <c r="K5202" s="455">
        <f t="shared" ca="1" si="201"/>
        <v>-1722563603869.1482</v>
      </c>
      <c r="L5202" s="455">
        <f t="shared" ca="1" si="202"/>
        <v>-415137828532464.69</v>
      </c>
      <c r="M5202" s="471">
        <f t="shared" si="204"/>
        <v>0.05</v>
      </c>
      <c r="N5202" s="475">
        <f t="shared" si="205"/>
        <v>209377</v>
      </c>
    </row>
    <row r="5203" spans="7:14" ht="11.25" customHeight="1" x14ac:dyDescent="0.3">
      <c r="G5203" s="470"/>
      <c r="H5203" s="470">
        <v>5196</v>
      </c>
      <c r="I5203" s="455">
        <f t="shared" ca="1" si="203"/>
        <v>-415137828532464.69</v>
      </c>
      <c r="J5203" s="455">
        <f t="array" ref="J5203">IFERROR(INDEX('Retirement Calculator'!J:J,MATCH('Isaac 401k'!N5203,'Retirement Calculator'!A:A,0),0),0)</f>
        <v>0</v>
      </c>
      <c r="K5203" s="455">
        <f t="shared" ca="1" si="201"/>
        <v>-1729740952218.6028</v>
      </c>
      <c r="L5203" s="455">
        <f t="shared" ca="1" si="202"/>
        <v>-416867569484683.31</v>
      </c>
      <c r="M5203" s="471">
        <f t="shared" si="204"/>
        <v>0.05</v>
      </c>
      <c r="N5203" s="475">
        <f t="shared" si="205"/>
        <v>209407</v>
      </c>
    </row>
    <row r="5204" spans="7:14" ht="11.25" customHeight="1" x14ac:dyDescent="0.3">
      <c r="G5204" s="470"/>
      <c r="H5204" s="470">
        <v>5197</v>
      </c>
      <c r="I5204" s="455">
        <f t="shared" ca="1" si="203"/>
        <v>-416867569484683.31</v>
      </c>
      <c r="J5204" s="455">
        <f t="array" ref="J5204">IFERROR(INDEX('Retirement Calculator'!J:J,MATCH('Isaac 401k'!N5204,'Retirement Calculator'!A:A,0),0),0)</f>
        <v>0</v>
      </c>
      <c r="K5204" s="455">
        <f t="shared" ca="1" si="201"/>
        <v>-1736948206186.1804</v>
      </c>
      <c r="L5204" s="455">
        <f t="shared" ca="1" si="202"/>
        <v>-418604517690869.5</v>
      </c>
      <c r="M5204" s="471">
        <f t="shared" si="204"/>
        <v>0.05</v>
      </c>
      <c r="N5204" s="475">
        <f t="shared" si="205"/>
        <v>209438</v>
      </c>
    </row>
    <row r="5205" spans="7:14" ht="11.25" customHeight="1" x14ac:dyDescent="0.3">
      <c r="G5205" s="470"/>
      <c r="H5205" s="470">
        <v>5198</v>
      </c>
      <c r="I5205" s="455">
        <f t="shared" ca="1" si="203"/>
        <v>-418604517690869.5</v>
      </c>
      <c r="J5205" s="455">
        <f t="array" ref="J5205">IFERROR(INDEX('Retirement Calculator'!J:J,MATCH('Isaac 401k'!N5205,'Retirement Calculator'!A:A,0),0),0)</f>
        <v>0</v>
      </c>
      <c r="K5205" s="455">
        <f t="shared" ca="1" si="201"/>
        <v>-1744185490378.6228</v>
      </c>
      <c r="L5205" s="455">
        <f t="shared" ca="1" si="202"/>
        <v>-420348703181248.13</v>
      </c>
      <c r="M5205" s="471">
        <f t="shared" si="204"/>
        <v>0.05</v>
      </c>
      <c r="N5205" s="475">
        <f t="shared" si="205"/>
        <v>209468</v>
      </c>
    </row>
    <row r="5206" spans="7:14" ht="11.25" customHeight="1" x14ac:dyDescent="0.3">
      <c r="G5206" s="470"/>
      <c r="H5206" s="470">
        <v>5199</v>
      </c>
      <c r="I5206" s="455">
        <f t="shared" ca="1" si="203"/>
        <v>-420348703181248.13</v>
      </c>
      <c r="J5206" s="455">
        <f t="array" ref="J5206">IFERROR(INDEX('Retirement Calculator'!J:J,MATCH('Isaac 401k'!N5206,'Retirement Calculator'!A:A,0),0),0)</f>
        <v>0</v>
      </c>
      <c r="K5206" s="455">
        <f t="shared" ca="1" si="201"/>
        <v>-1751452929921.8672</v>
      </c>
      <c r="L5206" s="455">
        <f t="shared" ca="1" si="202"/>
        <v>-422100156111170</v>
      </c>
      <c r="M5206" s="471">
        <f t="shared" si="204"/>
        <v>0.05</v>
      </c>
      <c r="N5206" s="475">
        <f t="shared" si="205"/>
        <v>209499</v>
      </c>
    </row>
    <row r="5207" spans="7:14" ht="11.25" customHeight="1" x14ac:dyDescent="0.3">
      <c r="G5207" s="470"/>
      <c r="H5207" s="470">
        <v>5200</v>
      </c>
      <c r="I5207" s="455">
        <f t="shared" ca="1" si="203"/>
        <v>-422100156111170</v>
      </c>
      <c r="J5207" s="455">
        <f t="array" ref="J5207">IFERROR(INDEX('Retirement Calculator'!J:J,MATCH('Isaac 401k'!N5207,'Retirement Calculator'!A:A,0),0),0)</f>
        <v>0</v>
      </c>
      <c r="K5207" s="455">
        <f t="shared" ca="1" si="201"/>
        <v>-1758750650463.2083</v>
      </c>
      <c r="L5207" s="455">
        <f t="shared" ca="1" si="202"/>
        <v>-423858906761633.19</v>
      </c>
      <c r="M5207" s="471">
        <f t="shared" si="204"/>
        <v>0.05</v>
      </c>
      <c r="N5207" s="475">
        <f t="shared" si="205"/>
        <v>209530</v>
      </c>
    </row>
    <row r="5208" spans="7:14" ht="11.25" customHeight="1" x14ac:dyDescent="0.3">
      <c r="G5208" s="470"/>
      <c r="H5208" s="470">
        <v>5201</v>
      </c>
      <c r="I5208" s="455">
        <f t="shared" ca="1" si="203"/>
        <v>-423858906761633.19</v>
      </c>
      <c r="J5208" s="455">
        <f t="array" ref="J5208">IFERROR(INDEX('Retirement Calculator'!J:J,MATCH('Isaac 401k'!N5208,'Retirement Calculator'!A:A,0),0),0)</f>
        <v>0</v>
      </c>
      <c r="K5208" s="455">
        <f t="shared" ca="1" si="201"/>
        <v>-1766078778173.4717</v>
      </c>
      <c r="L5208" s="455">
        <f t="shared" ca="1" si="202"/>
        <v>-425624985539806.69</v>
      </c>
      <c r="M5208" s="471">
        <f t="shared" si="204"/>
        <v>0.05</v>
      </c>
      <c r="N5208" s="475">
        <f t="shared" si="205"/>
        <v>209560</v>
      </c>
    </row>
    <row r="5209" spans="7:14" ht="11.25" customHeight="1" x14ac:dyDescent="0.3">
      <c r="G5209" s="470"/>
      <c r="H5209" s="470">
        <v>5202</v>
      </c>
      <c r="I5209" s="455">
        <f t="shared" ca="1" si="203"/>
        <v>-425624985539806.69</v>
      </c>
      <c r="J5209" s="455">
        <f t="array" ref="J5209">IFERROR(INDEX('Retirement Calculator'!J:J,MATCH('Isaac 401k'!N5209,'Retirement Calculator'!A:A,0),0),0)</f>
        <v>0</v>
      </c>
      <c r="K5209" s="455">
        <f t="shared" ca="1" si="201"/>
        <v>-1773437439749.1946</v>
      </c>
      <c r="L5209" s="455">
        <f t="shared" ca="1" si="202"/>
        <v>-427398422979555.88</v>
      </c>
      <c r="M5209" s="471">
        <f t="shared" si="204"/>
        <v>0.05</v>
      </c>
      <c r="N5209" s="475">
        <f t="shared" si="205"/>
        <v>209591</v>
      </c>
    </row>
    <row r="5210" spans="7:14" ht="11.25" customHeight="1" x14ac:dyDescent="0.3">
      <c r="G5210" s="470"/>
      <c r="H5210" s="470">
        <v>5203</v>
      </c>
      <c r="I5210" s="455">
        <f t="shared" ca="1" si="203"/>
        <v>-427398422979555.88</v>
      </c>
      <c r="J5210" s="455">
        <f t="array" ref="J5210">IFERROR(INDEX('Retirement Calculator'!J:J,MATCH('Isaac 401k'!N5210,'Retirement Calculator'!A:A,0),0),0)</f>
        <v>0</v>
      </c>
      <c r="K5210" s="455">
        <f t="shared" ca="1" si="201"/>
        <v>-1780826762414.8162</v>
      </c>
      <c r="L5210" s="455">
        <f t="shared" ca="1" si="202"/>
        <v>-429179249741970.69</v>
      </c>
      <c r="M5210" s="471">
        <f t="shared" si="204"/>
        <v>0.05</v>
      </c>
      <c r="N5210" s="475">
        <f t="shared" si="205"/>
        <v>209621</v>
      </c>
    </row>
    <row r="5211" spans="7:14" ht="11.25" customHeight="1" x14ac:dyDescent="0.3">
      <c r="G5211" s="470"/>
      <c r="H5211" s="470">
        <v>5204</v>
      </c>
      <c r="I5211" s="455">
        <f t="shared" ca="1" si="203"/>
        <v>-429179249741970.69</v>
      </c>
      <c r="J5211" s="455">
        <f t="array" ref="J5211">IFERROR(INDEX('Retirement Calculator'!J:J,MATCH('Isaac 401k'!N5211,'Retirement Calculator'!A:A,0),0),0)</f>
        <v>0</v>
      </c>
      <c r="K5211" s="455">
        <f t="shared" ca="1" si="201"/>
        <v>-1788246873924.8779</v>
      </c>
      <c r="L5211" s="455">
        <f t="shared" ca="1" si="202"/>
        <v>-430967496615895.56</v>
      </c>
      <c r="M5211" s="471">
        <f t="shared" si="204"/>
        <v>0.05</v>
      </c>
      <c r="N5211" s="475">
        <f t="shared" si="205"/>
        <v>209652</v>
      </c>
    </row>
    <row r="5212" spans="7:14" ht="11.25" customHeight="1" x14ac:dyDescent="0.3">
      <c r="G5212" s="470"/>
      <c r="H5212" s="470">
        <v>5205</v>
      </c>
      <c r="I5212" s="455">
        <f t="shared" ca="1" si="203"/>
        <v>-430967496615895.56</v>
      </c>
      <c r="J5212" s="455">
        <f t="array" ref="J5212">IFERROR(INDEX('Retirement Calculator'!J:J,MATCH('Isaac 401k'!N5212,'Retirement Calculator'!A:A,0),0),0)</f>
        <v>0</v>
      </c>
      <c r="K5212" s="455">
        <f t="shared" ca="1" si="201"/>
        <v>-1795697902566.2314</v>
      </c>
      <c r="L5212" s="455">
        <f t="shared" ca="1" si="202"/>
        <v>-432763194518461.81</v>
      </c>
      <c r="M5212" s="471">
        <f t="shared" si="204"/>
        <v>0.05</v>
      </c>
      <c r="N5212" s="475">
        <f t="shared" si="205"/>
        <v>209683</v>
      </c>
    </row>
    <row r="5213" spans="7:14" ht="11.25" customHeight="1" x14ac:dyDescent="0.3">
      <c r="G5213" s="470"/>
      <c r="H5213" s="470">
        <v>5206</v>
      </c>
      <c r="I5213" s="455">
        <f t="shared" ca="1" si="203"/>
        <v>-432763194518461.81</v>
      </c>
      <c r="J5213" s="455">
        <f t="array" ref="J5213">IFERROR(INDEX('Retirement Calculator'!J:J,MATCH('Isaac 401k'!N5213,'Retirement Calculator'!A:A,0),0),0)</f>
        <v>0</v>
      </c>
      <c r="K5213" s="455">
        <f t="shared" ca="1" si="201"/>
        <v>-1803179977160.2576</v>
      </c>
      <c r="L5213" s="455">
        <f t="shared" ca="1" si="202"/>
        <v>-434566374495622.06</v>
      </c>
      <c r="M5213" s="471">
        <f t="shared" si="204"/>
        <v>0.05</v>
      </c>
      <c r="N5213" s="475">
        <f t="shared" si="205"/>
        <v>209711</v>
      </c>
    </row>
    <row r="5214" spans="7:14" ht="11.25" customHeight="1" x14ac:dyDescent="0.3">
      <c r="G5214" s="470"/>
      <c r="H5214" s="470">
        <v>5207</v>
      </c>
      <c r="I5214" s="455">
        <f t="shared" ca="1" si="203"/>
        <v>-434566374495622.06</v>
      </c>
      <c r="J5214" s="455">
        <f t="array" ref="J5214">IFERROR(INDEX('Retirement Calculator'!J:J,MATCH('Isaac 401k'!N5214,'Retirement Calculator'!A:A,0),0),0)</f>
        <v>0</v>
      </c>
      <c r="K5214" s="455">
        <f t="shared" ca="1" si="201"/>
        <v>-1810693227065.0918</v>
      </c>
      <c r="L5214" s="455">
        <f t="shared" ca="1" si="202"/>
        <v>-436377067722687.13</v>
      </c>
      <c r="M5214" s="471">
        <f t="shared" si="204"/>
        <v>0.05</v>
      </c>
      <c r="N5214" s="475">
        <f t="shared" si="205"/>
        <v>209742</v>
      </c>
    </row>
    <row r="5215" spans="7:14" ht="11.25" customHeight="1" x14ac:dyDescent="0.3">
      <c r="G5215" s="470"/>
      <c r="H5215" s="470">
        <v>5208</v>
      </c>
      <c r="I5215" s="455">
        <f t="shared" ca="1" si="203"/>
        <v>-436377067722687.13</v>
      </c>
      <c r="J5215" s="455">
        <f t="array" ref="J5215">IFERROR(INDEX('Retirement Calculator'!J:J,MATCH('Isaac 401k'!N5215,'Retirement Calculator'!A:A,0),0),0)</f>
        <v>0</v>
      </c>
      <c r="K5215" s="455">
        <f t="shared" ca="1" si="201"/>
        <v>-1818237782177.863</v>
      </c>
      <c r="L5215" s="455">
        <f t="shared" ca="1" si="202"/>
        <v>-438195305504865</v>
      </c>
      <c r="M5215" s="471">
        <f t="shared" si="204"/>
        <v>0.05</v>
      </c>
      <c r="N5215" s="475">
        <f t="shared" si="205"/>
        <v>209772</v>
      </c>
    </row>
    <row r="5216" spans="7:14" ht="11.25" customHeight="1" x14ac:dyDescent="0.3">
      <c r="G5216" s="470"/>
      <c r="H5216" s="470">
        <v>5209</v>
      </c>
      <c r="I5216" s="455">
        <f t="shared" ca="1" si="203"/>
        <v>-438195305504865</v>
      </c>
      <c r="J5216" s="455">
        <f t="array" ref="J5216">IFERROR(INDEX('Retirement Calculator'!J:J,MATCH('Isaac 401k'!N5216,'Retirement Calculator'!A:A,0),0),0)</f>
        <v>0</v>
      </c>
      <c r="K5216" s="455">
        <f t="shared" ca="1" si="201"/>
        <v>-1825813772936.9375</v>
      </c>
      <c r="L5216" s="455">
        <f t="shared" ca="1" si="202"/>
        <v>-440021119277801.94</v>
      </c>
      <c r="M5216" s="471">
        <f t="shared" si="204"/>
        <v>0.05</v>
      </c>
      <c r="N5216" s="475">
        <f t="shared" si="205"/>
        <v>209803</v>
      </c>
    </row>
    <row r="5217" spans="7:14" ht="11.25" customHeight="1" x14ac:dyDescent="0.3">
      <c r="G5217" s="470"/>
      <c r="H5217" s="470">
        <v>5210</v>
      </c>
      <c r="I5217" s="455">
        <f t="shared" ca="1" si="203"/>
        <v>-440021119277801.94</v>
      </c>
      <c r="J5217" s="455">
        <f t="array" ref="J5217">IFERROR(INDEX('Retirement Calculator'!J:J,MATCH('Isaac 401k'!N5217,'Retirement Calculator'!A:A,0),0),0)</f>
        <v>0</v>
      </c>
      <c r="K5217" s="455">
        <f t="shared" ca="1" si="201"/>
        <v>-1833421330324.1748</v>
      </c>
      <c r="L5217" s="455">
        <f t="shared" ca="1" si="202"/>
        <v>-441854540608126.13</v>
      </c>
      <c r="M5217" s="471">
        <f t="shared" si="204"/>
        <v>0.05</v>
      </c>
      <c r="N5217" s="475">
        <f t="shared" si="205"/>
        <v>209833</v>
      </c>
    </row>
    <row r="5218" spans="7:14" ht="11.25" customHeight="1" x14ac:dyDescent="0.3">
      <c r="G5218" s="470"/>
      <c r="H5218" s="470">
        <v>5211</v>
      </c>
      <c r="I5218" s="455">
        <f t="shared" ca="1" si="203"/>
        <v>-441854540608126.13</v>
      </c>
      <c r="J5218" s="455">
        <f t="array" ref="J5218">IFERROR(INDEX('Retirement Calculator'!J:J,MATCH('Isaac 401k'!N5218,'Retirement Calculator'!A:A,0),0),0)</f>
        <v>0</v>
      </c>
      <c r="K5218" s="455">
        <f t="shared" ca="1" si="201"/>
        <v>-1841060585867.1921</v>
      </c>
      <c r="L5218" s="455">
        <f t="shared" ca="1" si="202"/>
        <v>-443695601193993.31</v>
      </c>
      <c r="M5218" s="471">
        <f t="shared" si="204"/>
        <v>0.05</v>
      </c>
      <c r="N5218" s="475">
        <f t="shared" si="205"/>
        <v>209864</v>
      </c>
    </row>
    <row r="5219" spans="7:14" ht="11.25" customHeight="1" x14ac:dyDescent="0.3">
      <c r="G5219" s="470"/>
      <c r="H5219" s="470">
        <v>5212</v>
      </c>
      <c r="I5219" s="455">
        <f t="shared" ca="1" si="203"/>
        <v>-443695601193993.31</v>
      </c>
      <c r="J5219" s="455">
        <f t="array" ref="J5219">IFERROR(INDEX('Retirement Calculator'!J:J,MATCH('Isaac 401k'!N5219,'Retirement Calculator'!A:A,0),0),0)</f>
        <v>0</v>
      </c>
      <c r="K5219" s="455">
        <f t="shared" ca="1" si="201"/>
        <v>-1848731671641.6387</v>
      </c>
      <c r="L5219" s="455">
        <f t="shared" ca="1" si="202"/>
        <v>-445544332865634.94</v>
      </c>
      <c r="M5219" s="471">
        <f t="shared" si="204"/>
        <v>0.05</v>
      </c>
      <c r="N5219" s="475">
        <f t="shared" si="205"/>
        <v>209895</v>
      </c>
    </row>
    <row r="5220" spans="7:14" ht="11.25" customHeight="1" x14ac:dyDescent="0.3">
      <c r="G5220" s="470"/>
      <c r="H5220" s="470">
        <v>5213</v>
      </c>
      <c r="I5220" s="455">
        <f t="shared" ca="1" si="203"/>
        <v>-445544332865634.94</v>
      </c>
      <c r="J5220" s="455">
        <f t="array" ref="J5220">IFERROR(INDEX('Retirement Calculator'!J:J,MATCH('Isaac 401k'!N5220,'Retirement Calculator'!A:A,0),0),0)</f>
        <v>0</v>
      </c>
      <c r="K5220" s="455">
        <f t="shared" ca="1" si="201"/>
        <v>-1856434720273.4792</v>
      </c>
      <c r="L5220" s="455">
        <f t="shared" ca="1" si="202"/>
        <v>-447400767585908.44</v>
      </c>
      <c r="M5220" s="471">
        <f t="shared" si="204"/>
        <v>0.05</v>
      </c>
      <c r="N5220" s="475">
        <f t="shared" si="205"/>
        <v>209925</v>
      </c>
    </row>
    <row r="5221" spans="7:14" ht="11.25" customHeight="1" x14ac:dyDescent="0.3">
      <c r="G5221" s="470"/>
      <c r="H5221" s="470">
        <v>5214</v>
      </c>
      <c r="I5221" s="455">
        <f t="shared" ca="1" si="203"/>
        <v>-447400767585908.44</v>
      </c>
      <c r="J5221" s="455">
        <f t="array" ref="J5221">IFERROR(INDEX('Retirement Calculator'!J:J,MATCH('Isaac 401k'!N5221,'Retirement Calculator'!A:A,0),0),0)</f>
        <v>0</v>
      </c>
      <c r="K5221" s="455">
        <f t="shared" ca="1" si="201"/>
        <v>-1864169864941.2854</v>
      </c>
      <c r="L5221" s="455">
        <f t="shared" ca="1" si="202"/>
        <v>-449264937450849.75</v>
      </c>
      <c r="M5221" s="471">
        <f t="shared" si="204"/>
        <v>0.05</v>
      </c>
      <c r="N5221" s="475">
        <f t="shared" si="205"/>
        <v>209956</v>
      </c>
    </row>
    <row r="5222" spans="7:14" ht="11.25" customHeight="1" x14ac:dyDescent="0.3">
      <c r="G5222" s="470"/>
      <c r="H5222" s="470">
        <v>5215</v>
      </c>
      <c r="I5222" s="455">
        <f t="shared" ca="1" si="203"/>
        <v>-449264937450849.75</v>
      </c>
      <c r="J5222" s="455">
        <f t="array" ref="J5222">IFERROR(INDEX('Retirement Calculator'!J:J,MATCH('Isaac 401k'!N5222,'Retirement Calculator'!A:A,0),0),0)</f>
        <v>0</v>
      </c>
      <c r="K5222" s="455">
        <f t="shared" ca="1" si="201"/>
        <v>-1871937239378.5405</v>
      </c>
      <c r="L5222" s="455">
        <f t="shared" ca="1" si="202"/>
        <v>-451136874690228.31</v>
      </c>
      <c r="M5222" s="471">
        <f t="shared" si="204"/>
        <v>0.05</v>
      </c>
      <c r="N5222" s="475">
        <f t="shared" si="205"/>
        <v>209986</v>
      </c>
    </row>
    <row r="5223" spans="7:14" ht="11.25" customHeight="1" x14ac:dyDescent="0.3">
      <c r="G5223" s="470"/>
      <c r="H5223" s="470">
        <v>5216</v>
      </c>
      <c r="I5223" s="455">
        <f t="shared" ca="1" si="203"/>
        <v>-451136874690228.31</v>
      </c>
      <c r="J5223" s="455">
        <f t="array" ref="J5223">IFERROR(INDEX('Retirement Calculator'!J:J,MATCH('Isaac 401k'!N5223,'Retirement Calculator'!A:A,0),0),0)</f>
        <v>0</v>
      </c>
      <c r="K5223" s="455">
        <f t="shared" ca="1" si="201"/>
        <v>-1879736977875.9512</v>
      </c>
      <c r="L5223" s="455">
        <f t="shared" ca="1" si="202"/>
        <v>-453016611668104.25</v>
      </c>
      <c r="M5223" s="471">
        <f t="shared" si="204"/>
        <v>0.05</v>
      </c>
      <c r="N5223" s="475">
        <f t="shared" si="205"/>
        <v>210017</v>
      </c>
    </row>
    <row r="5224" spans="7:14" ht="11.25" customHeight="1" x14ac:dyDescent="0.3">
      <c r="G5224" s="470"/>
      <c r="H5224" s="470">
        <v>5217</v>
      </c>
      <c r="I5224" s="455">
        <f t="shared" ca="1" si="203"/>
        <v>-453016611668104.25</v>
      </c>
      <c r="J5224" s="455">
        <f t="array" ref="J5224">IFERROR(INDEX('Retirement Calculator'!J:J,MATCH('Isaac 401k'!N5224,'Retirement Calculator'!A:A,0),0),0)</f>
        <v>0</v>
      </c>
      <c r="K5224" s="455">
        <f t="shared" ca="1" si="201"/>
        <v>-1887569215283.7673</v>
      </c>
      <c r="L5224" s="455">
        <f t="shared" ca="1" si="202"/>
        <v>-454904180883388</v>
      </c>
      <c r="M5224" s="471">
        <f t="shared" si="204"/>
        <v>0.05</v>
      </c>
      <c r="N5224" s="475">
        <f t="shared" si="205"/>
        <v>210048</v>
      </c>
    </row>
    <row r="5225" spans="7:14" ht="11.25" customHeight="1" x14ac:dyDescent="0.3">
      <c r="G5225" s="470"/>
      <c r="H5225" s="470">
        <v>5218</v>
      </c>
      <c r="I5225" s="455">
        <f t="shared" ca="1" si="203"/>
        <v>-454904180883388</v>
      </c>
      <c r="J5225" s="455">
        <f t="array" ref="J5225">IFERROR(INDEX('Retirement Calculator'!J:J,MATCH('Isaac 401k'!N5225,'Retirement Calculator'!A:A,0),0),0)</f>
        <v>0</v>
      </c>
      <c r="K5225" s="455">
        <f t="shared" ca="1" si="201"/>
        <v>-1895434087014.1165</v>
      </c>
      <c r="L5225" s="455">
        <f t="shared" ca="1" si="202"/>
        <v>-456799614970402.13</v>
      </c>
      <c r="M5225" s="471">
        <f t="shared" si="204"/>
        <v>0.05</v>
      </c>
      <c r="N5225" s="475">
        <f t="shared" si="205"/>
        <v>210076</v>
      </c>
    </row>
    <row r="5226" spans="7:14" ht="11.25" customHeight="1" x14ac:dyDescent="0.3">
      <c r="G5226" s="470"/>
      <c r="H5226" s="470">
        <v>5219</v>
      </c>
      <c r="I5226" s="455">
        <f t="shared" ca="1" si="203"/>
        <v>-456799614970402.13</v>
      </c>
      <c r="J5226" s="455">
        <f t="array" ref="J5226">IFERROR(INDEX('Retirement Calculator'!J:J,MATCH('Isaac 401k'!N5226,'Retirement Calculator'!A:A,0),0),0)</f>
        <v>0</v>
      </c>
      <c r="K5226" s="455">
        <f t="shared" ca="1" si="201"/>
        <v>-1903331729043.3425</v>
      </c>
      <c r="L5226" s="455">
        <f t="shared" ca="1" si="202"/>
        <v>-458702946699445.44</v>
      </c>
      <c r="M5226" s="471">
        <f t="shared" si="204"/>
        <v>0.05</v>
      </c>
      <c r="N5226" s="475">
        <f t="shared" si="205"/>
        <v>210107</v>
      </c>
    </row>
    <row r="5227" spans="7:14" ht="11.25" customHeight="1" x14ac:dyDescent="0.3">
      <c r="G5227" s="470"/>
      <c r="H5227" s="470">
        <v>5220</v>
      </c>
      <c r="I5227" s="455">
        <f t="shared" ca="1" si="203"/>
        <v>-458702946699445.44</v>
      </c>
      <c r="J5227" s="455">
        <f t="array" ref="J5227">IFERROR(INDEX('Retirement Calculator'!J:J,MATCH('Isaac 401k'!N5227,'Retirement Calculator'!A:A,0),0),0)</f>
        <v>0</v>
      </c>
      <c r="K5227" s="455">
        <f t="shared" ca="1" si="201"/>
        <v>-1911262277914.356</v>
      </c>
      <c r="L5227" s="455">
        <f t="shared" ca="1" si="202"/>
        <v>-460614208977359.81</v>
      </c>
      <c r="M5227" s="471">
        <f t="shared" si="204"/>
        <v>0.05</v>
      </c>
      <c r="N5227" s="475">
        <f t="shared" si="205"/>
        <v>210137</v>
      </c>
    </row>
    <row r="5228" spans="7:14" ht="11.25" customHeight="1" x14ac:dyDescent="0.3">
      <c r="G5228" s="470"/>
      <c r="H5228" s="470">
        <v>5221</v>
      </c>
      <c r="I5228" s="455">
        <f t="shared" ca="1" si="203"/>
        <v>-460614208977359.81</v>
      </c>
      <c r="J5228" s="455">
        <f t="array" ref="J5228">IFERROR(INDEX('Retirement Calculator'!J:J,MATCH('Isaac 401k'!N5228,'Retirement Calculator'!A:A,0),0),0)</f>
        <v>0</v>
      </c>
      <c r="K5228" s="455">
        <f t="shared" ca="1" si="201"/>
        <v>-1919225870738.9993</v>
      </c>
      <c r="L5228" s="455">
        <f t="shared" ca="1" si="202"/>
        <v>-462533434848098.81</v>
      </c>
      <c r="M5228" s="471">
        <f t="shared" si="204"/>
        <v>0.05</v>
      </c>
      <c r="N5228" s="475">
        <f t="shared" si="205"/>
        <v>210168</v>
      </c>
    </row>
    <row r="5229" spans="7:14" ht="11.25" customHeight="1" x14ac:dyDescent="0.3">
      <c r="G5229" s="470"/>
      <c r="H5229" s="470">
        <v>5222</v>
      </c>
      <c r="I5229" s="455">
        <f t="shared" ca="1" si="203"/>
        <v>-462533434848098.81</v>
      </c>
      <c r="J5229" s="455">
        <f t="array" ref="J5229">IFERROR(INDEX('Retirement Calculator'!J:J,MATCH('Isaac 401k'!N5229,'Retirement Calculator'!A:A,0),0),0)</f>
        <v>0</v>
      </c>
      <c r="K5229" s="455">
        <f t="shared" ca="1" si="201"/>
        <v>-1927222645200.4116</v>
      </c>
      <c r="L5229" s="455">
        <f t="shared" ca="1" si="202"/>
        <v>-464460657493299.25</v>
      </c>
      <c r="M5229" s="471">
        <f t="shared" si="204"/>
        <v>0.05</v>
      </c>
      <c r="N5229" s="475">
        <f t="shared" si="205"/>
        <v>210198</v>
      </c>
    </row>
    <row r="5230" spans="7:14" ht="11.25" customHeight="1" x14ac:dyDescent="0.3">
      <c r="G5230" s="470"/>
      <c r="H5230" s="470">
        <v>5223</v>
      </c>
      <c r="I5230" s="455">
        <f t="shared" ca="1" si="203"/>
        <v>-464460657493299.25</v>
      </c>
      <c r="J5230" s="455">
        <f t="array" ref="J5230">IFERROR(INDEX('Retirement Calculator'!J:J,MATCH('Isaac 401k'!N5230,'Retirement Calculator'!A:A,0),0),0)</f>
        <v>0</v>
      </c>
      <c r="K5230" s="455">
        <f t="shared" ca="1" si="201"/>
        <v>-1935252739555.4136</v>
      </c>
      <c r="L5230" s="455">
        <f t="shared" ca="1" si="202"/>
        <v>-466395910232854.69</v>
      </c>
      <c r="M5230" s="471">
        <f t="shared" si="204"/>
        <v>0.05</v>
      </c>
      <c r="N5230" s="475">
        <f t="shared" si="205"/>
        <v>210229</v>
      </c>
    </row>
    <row r="5231" spans="7:14" ht="11.25" customHeight="1" x14ac:dyDescent="0.3">
      <c r="G5231" s="470"/>
      <c r="H5231" s="470">
        <v>5224</v>
      </c>
      <c r="I5231" s="455">
        <f t="shared" ca="1" si="203"/>
        <v>-466395910232854.69</v>
      </c>
      <c r="J5231" s="455">
        <f t="array" ref="J5231">IFERROR(INDEX('Retirement Calculator'!J:J,MATCH('Isaac 401k'!N5231,'Retirement Calculator'!A:A,0),0),0)</f>
        <v>0</v>
      </c>
      <c r="K5231" s="455">
        <f t="shared" ca="1" si="201"/>
        <v>-1943316292636.8945</v>
      </c>
      <c r="L5231" s="455">
        <f t="shared" ca="1" si="202"/>
        <v>-468339226525491.56</v>
      </c>
      <c r="M5231" s="471">
        <f t="shared" si="204"/>
        <v>0.05</v>
      </c>
      <c r="N5231" s="475">
        <f t="shared" si="205"/>
        <v>210260</v>
      </c>
    </row>
    <row r="5232" spans="7:14" ht="11.25" customHeight="1" x14ac:dyDescent="0.3">
      <c r="G5232" s="470"/>
      <c r="H5232" s="470">
        <v>5225</v>
      </c>
      <c r="I5232" s="455">
        <f t="shared" ca="1" si="203"/>
        <v>-468339226525491.56</v>
      </c>
      <c r="J5232" s="455">
        <f t="array" ref="J5232">IFERROR(INDEX('Retirement Calculator'!J:J,MATCH('Isaac 401k'!N5232,'Retirement Calculator'!A:A,0),0),0)</f>
        <v>0</v>
      </c>
      <c r="K5232" s="455">
        <f t="shared" ca="1" si="201"/>
        <v>-1951413443856.2148</v>
      </c>
      <c r="L5232" s="455">
        <f t="shared" ca="1" si="202"/>
        <v>-470290639969347.75</v>
      </c>
      <c r="M5232" s="471">
        <f t="shared" si="204"/>
        <v>0.05</v>
      </c>
      <c r="N5232" s="475">
        <f t="shared" si="205"/>
        <v>210290</v>
      </c>
    </row>
    <row r="5233" spans="7:14" ht="11.25" customHeight="1" x14ac:dyDescent="0.3">
      <c r="G5233" s="470"/>
      <c r="H5233" s="470">
        <v>5226</v>
      </c>
      <c r="I5233" s="455">
        <f t="shared" ca="1" si="203"/>
        <v>-470290639969347.75</v>
      </c>
      <c r="J5233" s="455">
        <f t="array" ref="J5233">IFERROR(INDEX('Retirement Calculator'!J:J,MATCH('Isaac 401k'!N5233,'Retirement Calculator'!A:A,0),0),0)</f>
        <v>0</v>
      </c>
      <c r="K5233" s="455">
        <f t="shared" ca="1" si="201"/>
        <v>-1959544333205.616</v>
      </c>
      <c r="L5233" s="455">
        <f t="shared" ca="1" si="202"/>
        <v>-472250184302553.38</v>
      </c>
      <c r="M5233" s="471">
        <f t="shared" si="204"/>
        <v>0.05</v>
      </c>
      <c r="N5233" s="475">
        <f t="shared" si="205"/>
        <v>210321</v>
      </c>
    </row>
    <row r="5234" spans="7:14" ht="11.25" customHeight="1" x14ac:dyDescent="0.3">
      <c r="G5234" s="470"/>
      <c r="H5234" s="470">
        <v>5227</v>
      </c>
      <c r="I5234" s="455">
        <f t="shared" ca="1" si="203"/>
        <v>-472250184302553.38</v>
      </c>
      <c r="J5234" s="455">
        <f t="array" ref="J5234">IFERROR(INDEX('Retirement Calculator'!J:J,MATCH('Isaac 401k'!N5234,'Retirement Calculator'!A:A,0),0),0)</f>
        <v>0</v>
      </c>
      <c r="K5234" s="455">
        <f t="shared" ca="1" si="201"/>
        <v>-1967709101260.6389</v>
      </c>
      <c r="L5234" s="455">
        <f t="shared" ca="1" si="202"/>
        <v>-474217893403814</v>
      </c>
      <c r="M5234" s="471">
        <f t="shared" si="204"/>
        <v>0.05</v>
      </c>
      <c r="N5234" s="475">
        <f t="shared" si="205"/>
        <v>210351</v>
      </c>
    </row>
    <row r="5235" spans="7:14" ht="11.25" customHeight="1" x14ac:dyDescent="0.3">
      <c r="G5235" s="470"/>
      <c r="H5235" s="470">
        <v>5228</v>
      </c>
      <c r="I5235" s="455">
        <f t="shared" ca="1" si="203"/>
        <v>-474217893403814</v>
      </c>
      <c r="J5235" s="455">
        <f t="array" ref="J5235">IFERROR(INDEX('Retirement Calculator'!J:J,MATCH('Isaac 401k'!N5235,'Retirement Calculator'!A:A,0),0),0)</f>
        <v>0</v>
      </c>
      <c r="K5235" s="455">
        <f t="shared" ca="1" si="201"/>
        <v>-1975907889182.5581</v>
      </c>
      <c r="L5235" s="455">
        <f t="shared" ca="1" si="202"/>
        <v>-476193801292996.56</v>
      </c>
      <c r="M5235" s="471">
        <f t="shared" si="204"/>
        <v>0.05</v>
      </c>
      <c r="N5235" s="475">
        <f t="shared" si="205"/>
        <v>210382</v>
      </c>
    </row>
    <row r="5236" spans="7:14" ht="11.25" customHeight="1" x14ac:dyDescent="0.3">
      <c r="G5236" s="470"/>
      <c r="H5236" s="470">
        <v>5229</v>
      </c>
      <c r="I5236" s="455">
        <f t="shared" ca="1" si="203"/>
        <v>-476193801292996.56</v>
      </c>
      <c r="J5236" s="455">
        <f t="array" ref="J5236">IFERROR(INDEX('Retirement Calculator'!J:J,MATCH('Isaac 401k'!N5236,'Retirement Calculator'!A:A,0),0),0)</f>
        <v>0</v>
      </c>
      <c r="K5236" s="455">
        <f t="shared" ca="1" si="201"/>
        <v>-1984140838720.8193</v>
      </c>
      <c r="L5236" s="455">
        <f t="shared" ca="1" si="202"/>
        <v>-478177942131717.38</v>
      </c>
      <c r="M5236" s="471">
        <f t="shared" si="204"/>
        <v>0.05</v>
      </c>
      <c r="N5236" s="475">
        <f t="shared" si="205"/>
        <v>210413</v>
      </c>
    </row>
    <row r="5237" spans="7:14" ht="11.25" customHeight="1" x14ac:dyDescent="0.3">
      <c r="G5237" s="470"/>
      <c r="H5237" s="470">
        <v>5230</v>
      </c>
      <c r="I5237" s="455">
        <f t="shared" ca="1" si="203"/>
        <v>-478177942131717.38</v>
      </c>
      <c r="J5237" s="455">
        <f t="array" ref="J5237">IFERROR(INDEX('Retirement Calculator'!J:J,MATCH('Isaac 401k'!N5237,'Retirement Calculator'!A:A,0),0),0)</f>
        <v>0</v>
      </c>
      <c r="K5237" s="455">
        <f t="shared" ca="1" si="201"/>
        <v>-1992408092215.489</v>
      </c>
      <c r="L5237" s="455">
        <f t="shared" ca="1" si="202"/>
        <v>-480170350223932.88</v>
      </c>
      <c r="M5237" s="471">
        <f t="shared" si="204"/>
        <v>0.05</v>
      </c>
      <c r="N5237" s="475">
        <f t="shared" si="205"/>
        <v>210442</v>
      </c>
    </row>
    <row r="5238" spans="7:14" ht="11.25" customHeight="1" x14ac:dyDescent="0.3">
      <c r="G5238" s="470"/>
      <c r="H5238" s="470">
        <v>5231</v>
      </c>
      <c r="I5238" s="455">
        <f t="shared" ca="1" si="203"/>
        <v>-480170350223932.88</v>
      </c>
      <c r="J5238" s="455">
        <f t="array" ref="J5238">IFERROR(INDEX('Retirement Calculator'!J:J,MATCH('Isaac 401k'!N5238,'Retirement Calculator'!A:A,0),0),0)</f>
        <v>0</v>
      </c>
      <c r="K5238" s="455">
        <f t="shared" ca="1" si="201"/>
        <v>-2000709792599.7202</v>
      </c>
      <c r="L5238" s="455">
        <f t="shared" ca="1" si="202"/>
        <v>-482171060016532.63</v>
      </c>
      <c r="M5238" s="471">
        <f t="shared" si="204"/>
        <v>0.05</v>
      </c>
      <c r="N5238" s="475">
        <f t="shared" si="205"/>
        <v>210473</v>
      </c>
    </row>
    <row r="5239" spans="7:14" ht="11.25" customHeight="1" x14ac:dyDescent="0.3">
      <c r="G5239" s="470"/>
      <c r="H5239" s="470">
        <v>5232</v>
      </c>
      <c r="I5239" s="455">
        <f t="shared" ca="1" si="203"/>
        <v>-482171060016532.63</v>
      </c>
      <c r="J5239" s="455">
        <f t="array" ref="J5239">IFERROR(INDEX('Retirement Calculator'!J:J,MATCH('Isaac 401k'!N5239,'Retirement Calculator'!A:A,0),0),0)</f>
        <v>0</v>
      </c>
      <c r="K5239" s="455">
        <f t="shared" ca="1" si="201"/>
        <v>-2009046083402.2192</v>
      </c>
      <c r="L5239" s="455">
        <f t="shared" ca="1" si="202"/>
        <v>-484180106099934.88</v>
      </c>
      <c r="M5239" s="471">
        <f t="shared" si="204"/>
        <v>0.05</v>
      </c>
      <c r="N5239" s="475">
        <f t="shared" si="205"/>
        <v>210503</v>
      </c>
    </row>
    <row r="5240" spans="7:14" ht="11.25" customHeight="1" x14ac:dyDescent="0.3">
      <c r="G5240" s="470"/>
      <c r="H5240" s="470">
        <v>5233</v>
      </c>
      <c r="I5240" s="455">
        <f t="shared" ca="1" si="203"/>
        <v>-484180106099934.88</v>
      </c>
      <c r="J5240" s="455">
        <f t="array" ref="J5240">IFERROR(INDEX('Retirement Calculator'!J:J,MATCH('Isaac 401k'!N5240,'Retirement Calculator'!A:A,0),0),0)</f>
        <v>0</v>
      </c>
      <c r="K5240" s="455">
        <f t="shared" ca="1" si="201"/>
        <v>-2017417108749.7285</v>
      </c>
      <c r="L5240" s="455">
        <f t="shared" ca="1" si="202"/>
        <v>-486197523208684.63</v>
      </c>
      <c r="M5240" s="471">
        <f t="shared" si="204"/>
        <v>0.05</v>
      </c>
      <c r="N5240" s="475">
        <f t="shared" si="205"/>
        <v>210534</v>
      </c>
    </row>
    <row r="5241" spans="7:14" ht="11.25" customHeight="1" x14ac:dyDescent="0.3">
      <c r="G5241" s="470"/>
      <c r="H5241" s="470">
        <v>5234</v>
      </c>
      <c r="I5241" s="455">
        <f t="shared" ca="1" si="203"/>
        <v>-486197523208684.63</v>
      </c>
      <c r="J5241" s="455">
        <f t="array" ref="J5241">IFERROR(INDEX('Retirement Calculator'!J:J,MATCH('Isaac 401k'!N5241,'Retirement Calculator'!A:A,0),0),0)</f>
        <v>0</v>
      </c>
      <c r="K5241" s="455">
        <f t="shared" ca="1" si="201"/>
        <v>-2025823013369.5193</v>
      </c>
      <c r="L5241" s="455">
        <f t="shared" ca="1" si="202"/>
        <v>-488223346222054.13</v>
      </c>
      <c r="M5241" s="471">
        <f t="shared" si="204"/>
        <v>0.05</v>
      </c>
      <c r="N5241" s="475">
        <f t="shared" si="205"/>
        <v>210564</v>
      </c>
    </row>
    <row r="5242" spans="7:14" ht="11.25" customHeight="1" x14ac:dyDescent="0.3">
      <c r="G5242" s="470"/>
      <c r="H5242" s="470">
        <v>5235</v>
      </c>
      <c r="I5242" s="455">
        <f t="shared" ca="1" si="203"/>
        <v>-488223346222054.13</v>
      </c>
      <c r="J5242" s="455">
        <f t="array" ref="J5242">IFERROR(INDEX('Retirement Calculator'!J:J,MATCH('Isaac 401k'!N5242,'Retirement Calculator'!A:A,0),0),0)</f>
        <v>0</v>
      </c>
      <c r="K5242" s="455">
        <f t="shared" ca="1" si="201"/>
        <v>-2034263942591.8923</v>
      </c>
      <c r="L5242" s="455">
        <f t="shared" ca="1" si="202"/>
        <v>-490257610164646</v>
      </c>
      <c r="M5242" s="471">
        <f t="shared" si="204"/>
        <v>0.05</v>
      </c>
      <c r="N5242" s="475">
        <f t="shared" si="205"/>
        <v>210595</v>
      </c>
    </row>
    <row r="5243" spans="7:14" ht="11.25" customHeight="1" x14ac:dyDescent="0.3">
      <c r="G5243" s="470"/>
      <c r="H5243" s="470">
        <v>5236</v>
      </c>
      <c r="I5243" s="455">
        <f t="shared" ca="1" si="203"/>
        <v>-490257610164646</v>
      </c>
      <c r="J5243" s="455">
        <f t="array" ref="J5243">IFERROR(INDEX('Retirement Calculator'!J:J,MATCH('Isaac 401k'!N5243,'Retirement Calculator'!A:A,0),0),0)</f>
        <v>0</v>
      </c>
      <c r="K5243" s="455">
        <f t="shared" ca="1" si="201"/>
        <v>-2042740042352.6917</v>
      </c>
      <c r="L5243" s="455">
        <f t="shared" ca="1" si="202"/>
        <v>-492300350206998.69</v>
      </c>
      <c r="M5243" s="471">
        <f t="shared" si="204"/>
        <v>0.05</v>
      </c>
      <c r="N5243" s="475">
        <f t="shared" si="205"/>
        <v>210626</v>
      </c>
    </row>
    <row r="5244" spans="7:14" ht="11.25" customHeight="1" x14ac:dyDescent="0.3">
      <c r="G5244" s="470"/>
      <c r="H5244" s="470">
        <v>5237</v>
      </c>
      <c r="I5244" s="455">
        <f t="shared" ca="1" si="203"/>
        <v>-492300350206998.69</v>
      </c>
      <c r="J5244" s="455">
        <f t="array" ref="J5244">IFERROR(INDEX('Retirement Calculator'!J:J,MATCH('Isaac 401k'!N5244,'Retirement Calculator'!A:A,0),0),0)</f>
        <v>0</v>
      </c>
      <c r="K5244" s="455">
        <f t="shared" ca="1" si="201"/>
        <v>-2051251459195.8281</v>
      </c>
      <c r="L5244" s="455">
        <f t="shared" ca="1" si="202"/>
        <v>-494351601666194.5</v>
      </c>
      <c r="M5244" s="471">
        <f t="shared" si="204"/>
        <v>0.05</v>
      </c>
      <c r="N5244" s="475">
        <f t="shared" si="205"/>
        <v>210656</v>
      </c>
    </row>
    <row r="5245" spans="7:14" ht="11.25" customHeight="1" x14ac:dyDescent="0.3">
      <c r="G5245" s="470"/>
      <c r="H5245" s="470">
        <v>5238</v>
      </c>
      <c r="I5245" s="455">
        <f t="shared" ca="1" si="203"/>
        <v>-494351601666194.5</v>
      </c>
      <c r="J5245" s="455">
        <f t="array" ref="J5245">IFERROR(INDEX('Retirement Calculator'!J:J,MATCH('Isaac 401k'!N5245,'Retirement Calculator'!A:A,0),0),0)</f>
        <v>0</v>
      </c>
      <c r="K5245" s="455">
        <f t="shared" ca="1" si="201"/>
        <v>-2059798340275.8103</v>
      </c>
      <c r="L5245" s="455">
        <f t="shared" ca="1" si="202"/>
        <v>-496411400006470.31</v>
      </c>
      <c r="M5245" s="471">
        <f t="shared" si="204"/>
        <v>0.05</v>
      </c>
      <c r="N5245" s="475">
        <f t="shared" si="205"/>
        <v>210687</v>
      </c>
    </row>
    <row r="5246" spans="7:14" ht="11.25" customHeight="1" x14ac:dyDescent="0.3">
      <c r="G5246" s="470"/>
      <c r="H5246" s="470">
        <v>5239</v>
      </c>
      <c r="I5246" s="455">
        <f t="shared" ca="1" si="203"/>
        <v>-496411400006470.31</v>
      </c>
      <c r="J5246" s="455">
        <f t="array" ref="J5246">IFERROR(INDEX('Retirement Calculator'!J:J,MATCH('Isaac 401k'!N5246,'Retirement Calculator'!A:A,0),0),0)</f>
        <v>0</v>
      </c>
      <c r="K5246" s="455">
        <f t="shared" ca="1" si="201"/>
        <v>-2068380833360.2927</v>
      </c>
      <c r="L5246" s="455">
        <f t="shared" ca="1" si="202"/>
        <v>-498479780839830.63</v>
      </c>
      <c r="M5246" s="471">
        <f t="shared" si="204"/>
        <v>0.05</v>
      </c>
      <c r="N5246" s="475">
        <f t="shared" si="205"/>
        <v>210717</v>
      </c>
    </row>
    <row r="5247" spans="7:14" ht="11.25" customHeight="1" x14ac:dyDescent="0.3">
      <c r="G5247" s="470"/>
      <c r="H5247" s="470">
        <v>5240</v>
      </c>
      <c r="I5247" s="455">
        <f t="shared" ca="1" si="203"/>
        <v>-498479780839830.63</v>
      </c>
      <c r="J5247" s="455">
        <f t="array" ref="J5247">IFERROR(INDEX('Retirement Calculator'!J:J,MATCH('Isaac 401k'!N5247,'Retirement Calculator'!A:A,0),0),0)</f>
        <v>0</v>
      </c>
      <c r="K5247" s="455">
        <f t="shared" ca="1" si="201"/>
        <v>-2076999086832.6272</v>
      </c>
      <c r="L5247" s="455">
        <f t="shared" ca="1" si="202"/>
        <v>-500556779926663.25</v>
      </c>
      <c r="M5247" s="471">
        <f t="shared" si="204"/>
        <v>0.05</v>
      </c>
      <c r="N5247" s="475">
        <f t="shared" si="205"/>
        <v>210748</v>
      </c>
    </row>
    <row r="5248" spans="7:14" ht="11.25" customHeight="1" x14ac:dyDescent="0.3">
      <c r="G5248" s="470"/>
      <c r="H5248" s="470">
        <v>5241</v>
      </c>
      <c r="I5248" s="455">
        <f t="shared" ca="1" si="203"/>
        <v>-500556779926663.25</v>
      </c>
      <c r="J5248" s="455">
        <f t="array" ref="J5248">IFERROR(INDEX('Retirement Calculator'!J:J,MATCH('Isaac 401k'!N5248,'Retirement Calculator'!A:A,0),0),0)</f>
        <v>0</v>
      </c>
      <c r="K5248" s="455">
        <f t="shared" ca="1" si="201"/>
        <v>-2085653249694.4302</v>
      </c>
      <c r="L5248" s="455">
        <f t="shared" ca="1" si="202"/>
        <v>-502642433176357.69</v>
      </c>
      <c r="M5248" s="471">
        <f t="shared" si="204"/>
        <v>0.05</v>
      </c>
      <c r="N5248" s="475">
        <f t="shared" si="205"/>
        <v>210779</v>
      </c>
    </row>
    <row r="5249" spans="7:14" ht="11.25" customHeight="1" x14ac:dyDescent="0.3">
      <c r="G5249" s="470"/>
      <c r="H5249" s="470">
        <v>5242</v>
      </c>
      <c r="I5249" s="455">
        <f t="shared" ca="1" si="203"/>
        <v>-502642433176357.69</v>
      </c>
      <c r="J5249" s="455">
        <f t="array" ref="J5249">IFERROR(INDEX('Retirement Calculator'!J:J,MATCH('Isaac 401k'!N5249,'Retirement Calculator'!A:A,0),0),0)</f>
        <v>0</v>
      </c>
      <c r="K5249" s="455">
        <f t="shared" ca="1" si="201"/>
        <v>-2094343471568.1572</v>
      </c>
      <c r="L5249" s="455">
        <f t="shared" ca="1" si="202"/>
        <v>-504736776647925.88</v>
      </c>
      <c r="M5249" s="471">
        <f t="shared" si="204"/>
        <v>0.05</v>
      </c>
      <c r="N5249" s="475">
        <f t="shared" si="205"/>
        <v>210807</v>
      </c>
    </row>
    <row r="5250" spans="7:14" ht="11.25" customHeight="1" x14ac:dyDescent="0.3">
      <c r="G5250" s="470"/>
      <c r="H5250" s="470">
        <v>5243</v>
      </c>
      <c r="I5250" s="455">
        <f t="shared" ca="1" si="203"/>
        <v>-504736776647925.88</v>
      </c>
      <c r="J5250" s="455">
        <f t="array" ref="J5250">IFERROR(INDEX('Retirement Calculator'!J:J,MATCH('Isaac 401k'!N5250,'Retirement Calculator'!A:A,0),0),0)</f>
        <v>0</v>
      </c>
      <c r="K5250" s="455">
        <f t="shared" ca="1" si="201"/>
        <v>-2103069902699.6912</v>
      </c>
      <c r="L5250" s="455">
        <f t="shared" ca="1" si="202"/>
        <v>-506839846550625.56</v>
      </c>
      <c r="M5250" s="471">
        <f t="shared" si="204"/>
        <v>0.05</v>
      </c>
      <c r="N5250" s="475">
        <f t="shared" si="205"/>
        <v>210838</v>
      </c>
    </row>
    <row r="5251" spans="7:14" ht="11.25" customHeight="1" x14ac:dyDescent="0.3">
      <c r="G5251" s="470"/>
      <c r="H5251" s="470">
        <v>5244</v>
      </c>
      <c r="I5251" s="455">
        <f t="shared" ca="1" si="203"/>
        <v>-506839846550625.56</v>
      </c>
      <c r="J5251" s="455">
        <f t="array" ref="J5251">IFERROR(INDEX('Retirement Calculator'!J:J,MATCH('Isaac 401k'!N5251,'Retirement Calculator'!A:A,0),0),0)</f>
        <v>0</v>
      </c>
      <c r="K5251" s="455">
        <f t="shared" ca="1" si="201"/>
        <v>-2111832693960.9397</v>
      </c>
      <c r="L5251" s="455">
        <f t="shared" ca="1" si="202"/>
        <v>-508951679244586.5</v>
      </c>
      <c r="M5251" s="471">
        <f t="shared" si="204"/>
        <v>0.05</v>
      </c>
      <c r="N5251" s="475">
        <f t="shared" si="205"/>
        <v>210868</v>
      </c>
    </row>
    <row r="5252" spans="7:14" ht="11.25" customHeight="1" x14ac:dyDescent="0.3">
      <c r="G5252" s="470"/>
      <c r="H5252" s="470">
        <v>5245</v>
      </c>
      <c r="I5252" s="455">
        <f t="shared" ca="1" si="203"/>
        <v>-508951679244586.5</v>
      </c>
      <c r="J5252" s="455">
        <f t="array" ref="J5252">IFERROR(INDEX('Retirement Calculator'!J:J,MATCH('Isaac 401k'!N5252,'Retirement Calculator'!A:A,0),0),0)</f>
        <v>0</v>
      </c>
      <c r="K5252" s="455">
        <f t="shared" ca="1" si="201"/>
        <v>-2120631996852.4434</v>
      </c>
      <c r="L5252" s="455">
        <f t="shared" ca="1" si="202"/>
        <v>-511072311241438.94</v>
      </c>
      <c r="M5252" s="471">
        <f t="shared" si="204"/>
        <v>0.05</v>
      </c>
      <c r="N5252" s="475">
        <f t="shared" si="205"/>
        <v>210899</v>
      </c>
    </row>
    <row r="5253" spans="7:14" ht="11.25" customHeight="1" x14ac:dyDescent="0.3">
      <c r="G5253" s="470"/>
      <c r="H5253" s="470">
        <v>5246</v>
      </c>
      <c r="I5253" s="455">
        <f t="shared" ca="1" si="203"/>
        <v>-511072311241438.94</v>
      </c>
      <c r="J5253" s="455">
        <f t="array" ref="J5253">IFERROR(INDEX('Retirement Calculator'!J:J,MATCH('Isaac 401k'!N5253,'Retirement Calculator'!A:A,0),0),0)</f>
        <v>0</v>
      </c>
      <c r="K5253" s="455">
        <f t="shared" ca="1" si="201"/>
        <v>-2129467963505.9958</v>
      </c>
      <c r="L5253" s="455">
        <f t="shared" ca="1" si="202"/>
        <v>-513201779204944.94</v>
      </c>
      <c r="M5253" s="471">
        <f t="shared" si="204"/>
        <v>0.05</v>
      </c>
      <c r="N5253" s="475">
        <f t="shared" si="205"/>
        <v>210929</v>
      </c>
    </row>
    <row r="5254" spans="7:14" ht="11.25" customHeight="1" x14ac:dyDescent="0.3">
      <c r="G5254" s="470"/>
      <c r="H5254" s="470">
        <v>5247</v>
      </c>
      <c r="I5254" s="455">
        <f t="shared" ca="1" si="203"/>
        <v>-513201779204944.94</v>
      </c>
      <c r="J5254" s="455">
        <f t="array" ref="J5254">IFERROR(INDEX('Retirement Calculator'!J:J,MATCH('Isaac 401k'!N5254,'Retirement Calculator'!A:A,0),0),0)</f>
        <v>0</v>
      </c>
      <c r="K5254" s="455">
        <f t="shared" ca="1" si="201"/>
        <v>-2138340746687.2705</v>
      </c>
      <c r="L5254" s="455">
        <f t="shared" ca="1" si="202"/>
        <v>-515340119951632.19</v>
      </c>
      <c r="M5254" s="471">
        <f t="shared" si="204"/>
        <v>0.05</v>
      </c>
      <c r="N5254" s="475">
        <f t="shared" si="205"/>
        <v>210960</v>
      </c>
    </row>
    <row r="5255" spans="7:14" ht="11.25" customHeight="1" x14ac:dyDescent="0.3">
      <c r="G5255" s="470"/>
      <c r="H5255" s="470">
        <v>5248</v>
      </c>
      <c r="I5255" s="455">
        <f t="shared" ca="1" si="203"/>
        <v>-515340119951632.19</v>
      </c>
      <c r="J5255" s="455">
        <f t="array" ref="J5255">IFERROR(INDEX('Retirement Calculator'!J:J,MATCH('Isaac 401k'!N5255,'Retirement Calculator'!A:A,0),0),0)</f>
        <v>0</v>
      </c>
      <c r="K5255" s="455">
        <f t="shared" ca="1" si="201"/>
        <v>-2147250499798.4675</v>
      </c>
      <c r="L5255" s="455">
        <f t="shared" ca="1" si="202"/>
        <v>-517487370451430.63</v>
      </c>
      <c r="M5255" s="471">
        <f t="shared" si="204"/>
        <v>0.05</v>
      </c>
      <c r="N5255" s="475">
        <f t="shared" si="205"/>
        <v>210991</v>
      </c>
    </row>
    <row r="5256" spans="7:14" ht="11.25" customHeight="1" x14ac:dyDescent="0.3">
      <c r="G5256" s="470"/>
      <c r="H5256" s="470">
        <v>5249</v>
      </c>
      <c r="I5256" s="455">
        <f t="shared" ca="1" si="203"/>
        <v>-517487370451430.63</v>
      </c>
      <c r="J5256" s="455">
        <f t="array" ref="J5256">IFERROR(INDEX('Retirement Calculator'!J:J,MATCH('Isaac 401k'!N5256,'Retirement Calculator'!A:A,0),0),0)</f>
        <v>0</v>
      </c>
      <c r="K5256" s="455">
        <f t="shared" ca="1" si="201"/>
        <v>-2156197376880.9609</v>
      </c>
      <c r="L5256" s="455">
        <f t="shared" ca="1" si="202"/>
        <v>-519643567828311.56</v>
      </c>
      <c r="M5256" s="471">
        <f t="shared" si="204"/>
        <v>0.05</v>
      </c>
      <c r="N5256" s="475">
        <f t="shared" si="205"/>
        <v>211021</v>
      </c>
    </row>
    <row r="5257" spans="7:14" ht="11.25" customHeight="1" x14ac:dyDescent="0.3">
      <c r="G5257" s="470"/>
      <c r="H5257" s="470">
        <v>5250</v>
      </c>
      <c r="I5257" s="455">
        <f t="shared" ca="1" si="203"/>
        <v>-519643567828311.56</v>
      </c>
      <c r="J5257" s="455">
        <f t="array" ref="J5257">IFERROR(INDEX('Retirement Calculator'!J:J,MATCH('Isaac 401k'!N5257,'Retirement Calculator'!A:A,0),0),0)</f>
        <v>0</v>
      </c>
      <c r="K5257" s="455">
        <f t="shared" ca="1" si="201"/>
        <v>-2165181532617.9648</v>
      </c>
      <c r="L5257" s="455">
        <f t="shared" ca="1" si="202"/>
        <v>-521808749360929.5</v>
      </c>
      <c r="M5257" s="471">
        <f t="shared" si="204"/>
        <v>0.05</v>
      </c>
      <c r="N5257" s="475">
        <f t="shared" si="205"/>
        <v>211052</v>
      </c>
    </row>
    <row r="5258" spans="7:14" ht="11.25" customHeight="1" x14ac:dyDescent="0.3">
      <c r="G5258" s="470"/>
      <c r="H5258" s="470">
        <v>5251</v>
      </c>
      <c r="I5258" s="455">
        <f t="shared" ca="1" si="203"/>
        <v>-521808749360929.5</v>
      </c>
      <c r="J5258" s="455">
        <f t="array" ref="J5258">IFERROR(INDEX('Retirement Calculator'!J:J,MATCH('Isaac 401k'!N5258,'Retirement Calculator'!A:A,0),0),0)</f>
        <v>0</v>
      </c>
      <c r="K5258" s="455">
        <f t="shared" ca="1" si="201"/>
        <v>-2174203122337.2063</v>
      </c>
      <c r="L5258" s="455">
        <f t="shared" ca="1" si="202"/>
        <v>-523982952483266.69</v>
      </c>
      <c r="M5258" s="471">
        <f t="shared" si="204"/>
        <v>0.05</v>
      </c>
      <c r="N5258" s="475">
        <f t="shared" si="205"/>
        <v>211082</v>
      </c>
    </row>
    <row r="5259" spans="7:14" ht="11.25" customHeight="1" x14ac:dyDescent="0.3">
      <c r="G5259" s="470"/>
      <c r="H5259" s="470">
        <v>5252</v>
      </c>
      <c r="I5259" s="455">
        <f t="shared" ca="1" si="203"/>
        <v>-523982952483266.69</v>
      </c>
      <c r="J5259" s="455">
        <f t="array" ref="J5259">IFERROR(INDEX('Retirement Calculator'!J:J,MATCH('Isaac 401k'!N5259,'Retirement Calculator'!A:A,0),0),0)</f>
        <v>0</v>
      </c>
      <c r="K5259" s="455">
        <f t="shared" ca="1" si="201"/>
        <v>-2183262302013.6111</v>
      </c>
      <c r="L5259" s="455">
        <f t="shared" ca="1" si="202"/>
        <v>-526166214785280.31</v>
      </c>
      <c r="M5259" s="471">
        <f t="shared" si="204"/>
        <v>0.05</v>
      </c>
      <c r="N5259" s="475">
        <f t="shared" si="205"/>
        <v>211113</v>
      </c>
    </row>
    <row r="5260" spans="7:14" ht="11.25" customHeight="1" x14ac:dyDescent="0.3">
      <c r="G5260" s="470"/>
      <c r="H5260" s="470">
        <v>5253</v>
      </c>
      <c r="I5260" s="455">
        <f t="shared" ca="1" si="203"/>
        <v>-526166214785280.31</v>
      </c>
      <c r="J5260" s="455">
        <f t="array" ref="J5260">IFERROR(INDEX('Retirement Calculator'!J:J,MATCH('Isaac 401k'!N5260,'Retirement Calculator'!A:A,0),0),0)</f>
        <v>0</v>
      </c>
      <c r="K5260" s="455">
        <f t="shared" ca="1" si="201"/>
        <v>-2192359228272.0012</v>
      </c>
      <c r="L5260" s="455">
        <f t="shared" ca="1" si="202"/>
        <v>-528358574013552.31</v>
      </c>
      <c r="M5260" s="471">
        <f t="shared" si="204"/>
        <v>0.05</v>
      </c>
      <c r="N5260" s="475">
        <f t="shared" si="205"/>
        <v>211144</v>
      </c>
    </row>
    <row r="5261" spans="7:14" ht="11.25" customHeight="1" x14ac:dyDescent="0.3">
      <c r="G5261" s="470"/>
      <c r="H5261" s="470">
        <v>5254</v>
      </c>
      <c r="I5261" s="455">
        <f t="shared" ca="1" si="203"/>
        <v>-528358574013552.31</v>
      </c>
      <c r="J5261" s="455">
        <f t="array" ref="J5261">IFERROR(INDEX('Retirement Calculator'!J:J,MATCH('Isaac 401k'!N5261,'Retirement Calculator'!A:A,0),0),0)</f>
        <v>0</v>
      </c>
      <c r="K5261" s="455">
        <f t="shared" ca="1" si="201"/>
        <v>-2201494058389.8013</v>
      </c>
      <c r="L5261" s="455">
        <f t="shared" ca="1" si="202"/>
        <v>-530560068071942.13</v>
      </c>
      <c r="M5261" s="471">
        <f t="shared" si="204"/>
        <v>0.05</v>
      </c>
      <c r="N5261" s="475">
        <f t="shared" si="205"/>
        <v>211172</v>
      </c>
    </row>
    <row r="5262" spans="7:14" ht="11.25" customHeight="1" x14ac:dyDescent="0.3">
      <c r="G5262" s="470"/>
      <c r="H5262" s="470">
        <v>5255</v>
      </c>
      <c r="I5262" s="455">
        <f t="shared" ca="1" si="203"/>
        <v>-530560068071942.13</v>
      </c>
      <c r="J5262" s="455">
        <f t="array" ref="J5262">IFERROR(INDEX('Retirement Calculator'!J:J,MATCH('Isaac 401k'!N5262,'Retirement Calculator'!A:A,0),0),0)</f>
        <v>0</v>
      </c>
      <c r="K5262" s="455">
        <f t="shared" ca="1" si="201"/>
        <v>-2210666950299.7588</v>
      </c>
      <c r="L5262" s="455">
        <f t="shared" ca="1" si="202"/>
        <v>-532770735022241.88</v>
      </c>
      <c r="M5262" s="471">
        <f t="shared" si="204"/>
        <v>0.05</v>
      </c>
      <c r="N5262" s="475">
        <f t="shared" si="205"/>
        <v>211203</v>
      </c>
    </row>
    <row r="5263" spans="7:14" ht="11.25" customHeight="1" x14ac:dyDescent="0.3">
      <c r="G5263" s="470"/>
      <c r="H5263" s="470">
        <v>5256</v>
      </c>
      <c r="I5263" s="455">
        <f t="shared" ca="1" si="203"/>
        <v>-532770735022241.88</v>
      </c>
      <c r="J5263" s="455">
        <f t="array" ref="J5263">IFERROR(INDEX('Retirement Calculator'!J:J,MATCH('Isaac 401k'!N5263,'Retirement Calculator'!A:A,0),0),0)</f>
        <v>0</v>
      </c>
      <c r="K5263" s="455">
        <f t="shared" ca="1" si="201"/>
        <v>-2219878062592.6743</v>
      </c>
      <c r="L5263" s="455">
        <f t="shared" ca="1" si="202"/>
        <v>-534990613084834.56</v>
      </c>
      <c r="M5263" s="471">
        <f t="shared" si="204"/>
        <v>0.05</v>
      </c>
      <c r="N5263" s="475">
        <f t="shared" si="205"/>
        <v>211233</v>
      </c>
    </row>
    <row r="5264" spans="7:14" ht="11.25" customHeight="1" x14ac:dyDescent="0.3">
      <c r="G5264" s="470"/>
      <c r="H5264" s="470">
        <v>5257</v>
      </c>
      <c r="I5264" s="455">
        <f t="shared" ca="1" si="203"/>
        <v>-534990613084834.56</v>
      </c>
      <c r="J5264" s="455">
        <f t="array" ref="J5264">IFERROR(INDEX('Retirement Calculator'!J:J,MATCH('Isaac 401k'!N5264,'Retirement Calculator'!A:A,0),0),0)</f>
        <v>0</v>
      </c>
      <c r="K5264" s="455">
        <f t="shared" ca="1" si="201"/>
        <v>-2229127554520.144</v>
      </c>
      <c r="L5264" s="455">
        <f t="shared" ca="1" si="202"/>
        <v>-537219740639354.69</v>
      </c>
      <c r="M5264" s="471">
        <f t="shared" si="204"/>
        <v>0.05</v>
      </c>
      <c r="N5264" s="475">
        <f t="shared" si="205"/>
        <v>211264</v>
      </c>
    </row>
    <row r="5265" spans="7:14" ht="11.25" customHeight="1" x14ac:dyDescent="0.3">
      <c r="G5265" s="470"/>
      <c r="H5265" s="470">
        <v>5258</v>
      </c>
      <c r="I5265" s="455">
        <f t="shared" ca="1" si="203"/>
        <v>-537219740639354.69</v>
      </c>
      <c r="J5265" s="455">
        <f t="array" ref="J5265">IFERROR(INDEX('Retirement Calculator'!J:J,MATCH('Isaac 401k'!N5265,'Retirement Calculator'!A:A,0),0),0)</f>
        <v>0</v>
      </c>
      <c r="K5265" s="455">
        <f t="shared" ca="1" si="201"/>
        <v>-2238415585997.311</v>
      </c>
      <c r="L5265" s="455">
        <f t="shared" ca="1" si="202"/>
        <v>-539458156225352</v>
      </c>
      <c r="M5265" s="471">
        <f t="shared" si="204"/>
        <v>0.05</v>
      </c>
      <c r="N5265" s="475">
        <f t="shared" si="205"/>
        <v>211294</v>
      </c>
    </row>
    <row r="5266" spans="7:14" ht="11.25" customHeight="1" x14ac:dyDescent="0.3">
      <c r="G5266" s="470"/>
      <c r="H5266" s="470">
        <v>5259</v>
      </c>
      <c r="I5266" s="455">
        <f t="shared" ca="1" si="203"/>
        <v>-539458156225352</v>
      </c>
      <c r="J5266" s="455">
        <f t="array" ref="J5266">IFERROR(INDEX('Retirement Calculator'!J:J,MATCH('Isaac 401k'!N5266,'Retirement Calculator'!A:A,0),0),0)</f>
        <v>0</v>
      </c>
      <c r="K5266" s="455">
        <f t="shared" ca="1" si="201"/>
        <v>-2247742317605.6333</v>
      </c>
      <c r="L5266" s="455">
        <f t="shared" ca="1" si="202"/>
        <v>-541705898542957.63</v>
      </c>
      <c r="M5266" s="471">
        <f t="shared" si="204"/>
        <v>0.05</v>
      </c>
      <c r="N5266" s="475">
        <f t="shared" si="205"/>
        <v>211325</v>
      </c>
    </row>
    <row r="5267" spans="7:14" ht="11.25" customHeight="1" x14ac:dyDescent="0.3">
      <c r="G5267" s="470"/>
      <c r="H5267" s="470">
        <v>5260</v>
      </c>
      <c r="I5267" s="455">
        <f t="shared" ca="1" si="203"/>
        <v>-541705898542957.63</v>
      </c>
      <c r="J5267" s="455">
        <f t="array" ref="J5267">IFERROR(INDEX('Retirement Calculator'!J:J,MATCH('Isaac 401k'!N5267,'Retirement Calculator'!A:A,0),0),0)</f>
        <v>0</v>
      </c>
      <c r="K5267" s="455">
        <f t="shared" ca="1" si="201"/>
        <v>-2257107910595.6567</v>
      </c>
      <c r="L5267" s="455">
        <f t="shared" ca="1" si="202"/>
        <v>-543963006453553.31</v>
      </c>
      <c r="M5267" s="471">
        <f t="shared" si="204"/>
        <v>0.05</v>
      </c>
      <c r="N5267" s="475">
        <f t="shared" si="205"/>
        <v>211356</v>
      </c>
    </row>
    <row r="5268" spans="7:14" ht="11.25" customHeight="1" x14ac:dyDescent="0.3">
      <c r="G5268" s="470"/>
      <c r="H5268" s="470">
        <v>5261</v>
      </c>
      <c r="I5268" s="455">
        <f t="shared" ca="1" si="203"/>
        <v>-543963006453553.31</v>
      </c>
      <c r="J5268" s="455">
        <f t="array" ref="J5268">IFERROR(INDEX('Retirement Calculator'!J:J,MATCH('Isaac 401k'!N5268,'Retirement Calculator'!A:A,0),0),0)</f>
        <v>0</v>
      </c>
      <c r="K5268" s="455">
        <f t="shared" ca="1" si="201"/>
        <v>-2266512526889.8057</v>
      </c>
      <c r="L5268" s="455">
        <f t="shared" ca="1" si="202"/>
        <v>-546229518980443.13</v>
      </c>
      <c r="M5268" s="471">
        <f t="shared" si="204"/>
        <v>0.05</v>
      </c>
      <c r="N5268" s="475">
        <f t="shared" si="205"/>
        <v>211386</v>
      </c>
    </row>
    <row r="5269" spans="7:14" ht="11.25" customHeight="1" x14ac:dyDescent="0.3">
      <c r="G5269" s="470"/>
      <c r="H5269" s="470">
        <v>5262</v>
      </c>
      <c r="I5269" s="455">
        <f t="shared" ca="1" si="203"/>
        <v>-546229518980443.13</v>
      </c>
      <c r="J5269" s="455">
        <f t="array" ref="J5269">IFERROR(INDEX('Retirement Calculator'!J:J,MATCH('Isaac 401k'!N5269,'Retirement Calculator'!A:A,0),0),0)</f>
        <v>0</v>
      </c>
      <c r="K5269" s="455">
        <f t="shared" ca="1" si="201"/>
        <v>-2275956329085.1792</v>
      </c>
      <c r="L5269" s="455">
        <f t="shared" ca="1" si="202"/>
        <v>-548505475309528.31</v>
      </c>
      <c r="M5269" s="471">
        <f t="shared" si="204"/>
        <v>0.05</v>
      </c>
      <c r="N5269" s="475">
        <f t="shared" si="205"/>
        <v>211417</v>
      </c>
    </row>
    <row r="5270" spans="7:14" ht="11.25" customHeight="1" x14ac:dyDescent="0.3">
      <c r="G5270" s="470"/>
      <c r="H5270" s="470">
        <v>5263</v>
      </c>
      <c r="I5270" s="455">
        <f t="shared" ca="1" si="203"/>
        <v>-548505475309528.31</v>
      </c>
      <c r="J5270" s="455">
        <f t="array" ref="J5270">IFERROR(INDEX('Retirement Calculator'!J:J,MATCH('Isaac 401k'!N5270,'Retirement Calculator'!A:A,0),0),0)</f>
        <v>0</v>
      </c>
      <c r="K5270" s="455">
        <f t="shared" ca="1" si="201"/>
        <v>-2285439480456.3682</v>
      </c>
      <c r="L5270" s="455">
        <f t="shared" ca="1" si="202"/>
        <v>-550790914789984.69</v>
      </c>
      <c r="M5270" s="471">
        <f t="shared" si="204"/>
        <v>0.05</v>
      </c>
      <c r="N5270" s="475">
        <f t="shared" si="205"/>
        <v>211447</v>
      </c>
    </row>
    <row r="5271" spans="7:14" ht="11.25" customHeight="1" x14ac:dyDescent="0.3">
      <c r="G5271" s="470"/>
      <c r="H5271" s="470">
        <v>5264</v>
      </c>
      <c r="I5271" s="455">
        <f t="shared" ca="1" si="203"/>
        <v>-550790914789984.69</v>
      </c>
      <c r="J5271" s="455">
        <f t="array" ref="J5271">IFERROR(INDEX('Retirement Calculator'!J:J,MATCH('Isaac 401k'!N5271,'Retirement Calculator'!A:A,0),0),0)</f>
        <v>0</v>
      </c>
      <c r="K5271" s="455">
        <f t="shared" ca="1" si="201"/>
        <v>-2294962144958.2695</v>
      </c>
      <c r="L5271" s="455">
        <f t="shared" ca="1" si="202"/>
        <v>-553085876934942.94</v>
      </c>
      <c r="M5271" s="471">
        <f t="shared" si="204"/>
        <v>0.05</v>
      </c>
      <c r="N5271" s="475">
        <f t="shared" si="205"/>
        <v>211478</v>
      </c>
    </row>
    <row r="5272" spans="7:14" ht="11.25" customHeight="1" x14ac:dyDescent="0.3">
      <c r="G5272" s="470"/>
      <c r="H5272" s="470">
        <v>5265</v>
      </c>
      <c r="I5272" s="455">
        <f t="shared" ca="1" si="203"/>
        <v>-553085876934942.94</v>
      </c>
      <c r="J5272" s="455">
        <f t="array" ref="J5272">IFERROR(INDEX('Retirement Calculator'!J:J,MATCH('Isaac 401k'!N5272,'Retirement Calculator'!A:A,0),0),0)</f>
        <v>0</v>
      </c>
      <c r="K5272" s="455">
        <f t="shared" ca="1" si="201"/>
        <v>-2304524487228.9287</v>
      </c>
      <c r="L5272" s="455">
        <f t="shared" ca="1" si="202"/>
        <v>-555390401422171.88</v>
      </c>
      <c r="M5272" s="471">
        <f t="shared" si="204"/>
        <v>0.05</v>
      </c>
      <c r="N5272" s="475">
        <f t="shared" si="205"/>
        <v>211509</v>
      </c>
    </row>
    <row r="5273" spans="7:14" ht="11.25" customHeight="1" x14ac:dyDescent="0.3">
      <c r="G5273" s="470"/>
      <c r="H5273" s="470">
        <v>5266</v>
      </c>
      <c r="I5273" s="455">
        <f t="shared" ca="1" si="203"/>
        <v>-555390401422171.88</v>
      </c>
      <c r="J5273" s="455">
        <f t="array" ref="J5273">IFERROR(INDEX('Retirement Calculator'!J:J,MATCH('Isaac 401k'!N5273,'Retirement Calculator'!A:A,0),0),0)</f>
        <v>0</v>
      </c>
      <c r="K5273" s="455">
        <f t="shared" ca="1" si="201"/>
        <v>-2314126672592.3828</v>
      </c>
      <c r="L5273" s="455">
        <f t="shared" ca="1" si="202"/>
        <v>-557704528094764.25</v>
      </c>
      <c r="M5273" s="471">
        <f t="shared" si="204"/>
        <v>0.05</v>
      </c>
      <c r="N5273" s="475">
        <f t="shared" si="205"/>
        <v>211537</v>
      </c>
    </row>
    <row r="5274" spans="7:14" ht="11.25" customHeight="1" x14ac:dyDescent="0.3">
      <c r="G5274" s="470"/>
      <c r="H5274" s="470">
        <v>5267</v>
      </c>
      <c r="I5274" s="455">
        <f t="shared" ca="1" si="203"/>
        <v>-557704528094764.25</v>
      </c>
      <c r="J5274" s="455">
        <f t="array" ref="J5274">IFERROR(INDEX('Retirement Calculator'!J:J,MATCH('Isaac 401k'!N5274,'Retirement Calculator'!A:A,0),0),0)</f>
        <v>0</v>
      </c>
      <c r="K5274" s="455">
        <f t="shared" ca="1" si="201"/>
        <v>-2323768867061.5176</v>
      </c>
      <c r="L5274" s="455">
        <f t="shared" ca="1" si="202"/>
        <v>-560028296961825.75</v>
      </c>
      <c r="M5274" s="471">
        <f t="shared" si="204"/>
        <v>0.05</v>
      </c>
      <c r="N5274" s="475">
        <f t="shared" si="205"/>
        <v>211568</v>
      </c>
    </row>
    <row r="5275" spans="7:14" ht="11.25" customHeight="1" x14ac:dyDescent="0.3">
      <c r="G5275" s="470"/>
      <c r="H5275" s="470">
        <v>5268</v>
      </c>
      <c r="I5275" s="455">
        <f t="shared" ca="1" si="203"/>
        <v>-560028296961825.75</v>
      </c>
      <c r="J5275" s="455">
        <f t="array" ref="J5275">IFERROR(INDEX('Retirement Calculator'!J:J,MATCH('Isaac 401k'!N5275,'Retirement Calculator'!A:A,0),0),0)</f>
        <v>0</v>
      </c>
      <c r="K5275" s="455">
        <f t="shared" ca="1" si="201"/>
        <v>-2333451237340.9404</v>
      </c>
      <c r="L5275" s="455">
        <f t="shared" ca="1" si="202"/>
        <v>-562361748199166.69</v>
      </c>
      <c r="M5275" s="471">
        <f t="shared" si="204"/>
        <v>0.05</v>
      </c>
      <c r="N5275" s="475">
        <f t="shared" si="205"/>
        <v>211598</v>
      </c>
    </row>
    <row r="5276" spans="7:14" ht="11.25" customHeight="1" x14ac:dyDescent="0.3">
      <c r="G5276" s="470"/>
      <c r="H5276" s="470">
        <v>5269</v>
      </c>
      <c r="I5276" s="455">
        <f t="shared" ca="1" si="203"/>
        <v>-562361748199166.69</v>
      </c>
      <c r="J5276" s="455">
        <f t="array" ref="J5276">IFERROR(INDEX('Retirement Calculator'!J:J,MATCH('Isaac 401k'!N5276,'Retirement Calculator'!A:A,0),0),0)</f>
        <v>0</v>
      </c>
      <c r="K5276" s="455">
        <f t="shared" ca="1" si="201"/>
        <v>-2343173950829.8613</v>
      </c>
      <c r="L5276" s="455">
        <f t="shared" ca="1" si="202"/>
        <v>-564704922149996.5</v>
      </c>
      <c r="M5276" s="471">
        <f t="shared" si="204"/>
        <v>0.05</v>
      </c>
      <c r="N5276" s="475">
        <f t="shared" si="205"/>
        <v>211629</v>
      </c>
    </row>
    <row r="5277" spans="7:14" ht="11.25" customHeight="1" x14ac:dyDescent="0.3">
      <c r="G5277" s="470"/>
      <c r="H5277" s="470">
        <v>5270</v>
      </c>
      <c r="I5277" s="455">
        <f t="shared" ca="1" si="203"/>
        <v>-564704922149996.5</v>
      </c>
      <c r="J5277" s="455">
        <f t="array" ref="J5277">IFERROR(INDEX('Retirement Calculator'!J:J,MATCH('Isaac 401k'!N5277,'Retirement Calculator'!A:A,0),0),0)</f>
        <v>0</v>
      </c>
      <c r="K5277" s="455">
        <f t="shared" ca="1" si="201"/>
        <v>-2352937175624.9854</v>
      </c>
      <c r="L5277" s="455">
        <f t="shared" ca="1" si="202"/>
        <v>-567057859325621.5</v>
      </c>
      <c r="M5277" s="471">
        <f t="shared" si="204"/>
        <v>0.05</v>
      </c>
      <c r="N5277" s="475">
        <f t="shared" si="205"/>
        <v>211659</v>
      </c>
    </row>
    <row r="5278" spans="7:14" ht="11.25" customHeight="1" x14ac:dyDescent="0.3">
      <c r="G5278" s="470"/>
      <c r="H5278" s="470">
        <v>5271</v>
      </c>
      <c r="I5278" s="455">
        <f t="shared" ca="1" si="203"/>
        <v>-567057859325621.5</v>
      </c>
      <c r="J5278" s="455">
        <f t="array" ref="J5278">IFERROR(INDEX('Retirement Calculator'!J:J,MATCH('Isaac 401k'!N5278,'Retirement Calculator'!A:A,0),0),0)</f>
        <v>0</v>
      </c>
      <c r="K5278" s="455">
        <f t="shared" ca="1" si="201"/>
        <v>-2362741080523.4229</v>
      </c>
      <c r="L5278" s="455">
        <f t="shared" ca="1" si="202"/>
        <v>-569420600406144.88</v>
      </c>
      <c r="M5278" s="471">
        <f t="shared" si="204"/>
        <v>0.05</v>
      </c>
      <c r="N5278" s="475">
        <f t="shared" si="205"/>
        <v>211690</v>
      </c>
    </row>
    <row r="5279" spans="7:14" ht="11.25" customHeight="1" x14ac:dyDescent="0.3">
      <c r="G5279" s="470"/>
      <c r="H5279" s="470">
        <v>5272</v>
      </c>
      <c r="I5279" s="455">
        <f t="shared" ca="1" si="203"/>
        <v>-569420600406144.88</v>
      </c>
      <c r="J5279" s="455">
        <f t="array" ref="J5279">IFERROR(INDEX('Retirement Calculator'!J:J,MATCH('Isaac 401k'!N5279,'Retirement Calculator'!A:A,0),0),0)</f>
        <v>0</v>
      </c>
      <c r="K5279" s="455">
        <f t="shared" ca="1" si="201"/>
        <v>-2372585835025.6035</v>
      </c>
      <c r="L5279" s="455">
        <f t="shared" ca="1" si="202"/>
        <v>-571793186241170.5</v>
      </c>
      <c r="M5279" s="471">
        <f t="shared" si="204"/>
        <v>0.05</v>
      </c>
      <c r="N5279" s="475">
        <f t="shared" si="205"/>
        <v>211721</v>
      </c>
    </row>
    <row r="5280" spans="7:14" ht="11.25" customHeight="1" x14ac:dyDescent="0.3">
      <c r="G5280" s="470"/>
      <c r="H5280" s="470">
        <v>5273</v>
      </c>
      <c r="I5280" s="455">
        <f t="shared" ca="1" si="203"/>
        <v>-571793186241170.5</v>
      </c>
      <c r="J5280" s="455">
        <f t="array" ref="J5280">IFERROR(INDEX('Retirement Calculator'!J:J,MATCH('Isaac 401k'!N5280,'Retirement Calculator'!A:A,0),0),0)</f>
        <v>0</v>
      </c>
      <c r="K5280" s="455">
        <f t="shared" ca="1" si="201"/>
        <v>-2382471609338.2104</v>
      </c>
      <c r="L5280" s="455">
        <f t="shared" ca="1" si="202"/>
        <v>-574175657850508.75</v>
      </c>
      <c r="M5280" s="471">
        <f t="shared" si="204"/>
        <v>0.05</v>
      </c>
      <c r="N5280" s="475">
        <f t="shared" si="205"/>
        <v>211751</v>
      </c>
    </row>
    <row r="5281" spans="7:14" ht="11.25" customHeight="1" x14ac:dyDescent="0.3">
      <c r="G5281" s="470"/>
      <c r="H5281" s="470">
        <v>5274</v>
      </c>
      <c r="I5281" s="455">
        <f t="shared" ca="1" si="203"/>
        <v>-574175657850508.75</v>
      </c>
      <c r="J5281" s="455">
        <f t="array" ref="J5281">IFERROR(INDEX('Retirement Calculator'!J:J,MATCH('Isaac 401k'!N5281,'Retirement Calculator'!A:A,0),0),0)</f>
        <v>0</v>
      </c>
      <c r="K5281" s="455">
        <f t="shared" ca="1" si="201"/>
        <v>-2392398574377.1196</v>
      </c>
      <c r="L5281" s="455">
        <f t="shared" ca="1" si="202"/>
        <v>-576568056424885.88</v>
      </c>
      <c r="M5281" s="471">
        <f t="shared" si="204"/>
        <v>0.05</v>
      </c>
      <c r="N5281" s="475">
        <f t="shared" si="205"/>
        <v>211782</v>
      </c>
    </row>
    <row r="5282" spans="7:14" ht="11.25" customHeight="1" x14ac:dyDescent="0.3">
      <c r="G5282" s="470"/>
      <c r="H5282" s="470">
        <v>5275</v>
      </c>
      <c r="I5282" s="455">
        <f t="shared" ca="1" si="203"/>
        <v>-576568056424885.88</v>
      </c>
      <c r="J5282" s="455">
        <f t="array" ref="J5282">IFERROR(INDEX('Retirement Calculator'!J:J,MATCH('Isaac 401k'!N5282,'Retirement Calculator'!A:A,0),0),0)</f>
        <v>0</v>
      </c>
      <c r="K5282" s="455">
        <f t="shared" ca="1" si="201"/>
        <v>-2402366901770.3579</v>
      </c>
      <c r="L5282" s="455">
        <f t="shared" ca="1" si="202"/>
        <v>-578970423326656.25</v>
      </c>
      <c r="M5282" s="471">
        <f t="shared" si="204"/>
        <v>0.05</v>
      </c>
      <c r="N5282" s="475">
        <f t="shared" si="205"/>
        <v>211812</v>
      </c>
    </row>
    <row r="5283" spans="7:14" ht="11.25" customHeight="1" x14ac:dyDescent="0.3">
      <c r="G5283" s="470"/>
      <c r="H5283" s="470">
        <v>5276</v>
      </c>
      <c r="I5283" s="455">
        <f t="shared" ca="1" si="203"/>
        <v>-578970423326656.25</v>
      </c>
      <c r="J5283" s="455">
        <f t="array" ref="J5283">IFERROR(INDEX('Retirement Calculator'!J:J,MATCH('Isaac 401k'!N5283,'Retirement Calculator'!A:A,0),0),0)</f>
        <v>0</v>
      </c>
      <c r="K5283" s="455">
        <f t="shared" ca="1" si="201"/>
        <v>-2412376763861.0679</v>
      </c>
      <c r="L5283" s="455">
        <f t="shared" ca="1" si="202"/>
        <v>-581382800090517.38</v>
      </c>
      <c r="M5283" s="471">
        <f t="shared" si="204"/>
        <v>0.05</v>
      </c>
      <c r="N5283" s="475">
        <f t="shared" si="205"/>
        <v>211843</v>
      </c>
    </row>
    <row r="5284" spans="7:14" ht="11.25" customHeight="1" x14ac:dyDescent="0.3">
      <c r="G5284" s="470"/>
      <c r="H5284" s="470">
        <v>5277</v>
      </c>
      <c r="I5284" s="455">
        <f t="shared" ca="1" si="203"/>
        <v>-581382800090517.38</v>
      </c>
      <c r="J5284" s="455">
        <f t="array" ref="J5284">IFERROR(INDEX('Retirement Calculator'!J:J,MATCH('Isaac 401k'!N5284,'Retirement Calculator'!A:A,0),0),0)</f>
        <v>0</v>
      </c>
      <c r="K5284" s="455">
        <f t="shared" ca="1" si="201"/>
        <v>-2422428333710.4893</v>
      </c>
      <c r="L5284" s="455">
        <f t="shared" ca="1" si="202"/>
        <v>-583805228424227.88</v>
      </c>
      <c r="M5284" s="471">
        <f t="shared" si="204"/>
        <v>0.05</v>
      </c>
      <c r="N5284" s="475">
        <f t="shared" si="205"/>
        <v>211874</v>
      </c>
    </row>
    <row r="5285" spans="7:14" ht="11.25" customHeight="1" x14ac:dyDescent="0.3">
      <c r="G5285" s="470"/>
      <c r="H5285" s="470">
        <v>5278</v>
      </c>
      <c r="I5285" s="455">
        <f t="shared" ca="1" si="203"/>
        <v>-583805228424227.88</v>
      </c>
      <c r="J5285" s="455">
        <f t="array" ref="J5285">IFERROR(INDEX('Retirement Calculator'!J:J,MATCH('Isaac 401k'!N5285,'Retirement Calculator'!A:A,0),0),0)</f>
        <v>0</v>
      </c>
      <c r="K5285" s="455">
        <f t="shared" ca="1" si="201"/>
        <v>-2432521785100.9492</v>
      </c>
      <c r="L5285" s="455">
        <f t="shared" ca="1" si="202"/>
        <v>-586237750209328.88</v>
      </c>
      <c r="M5285" s="471">
        <f t="shared" si="204"/>
        <v>0.05</v>
      </c>
      <c r="N5285" s="475">
        <f t="shared" si="205"/>
        <v>211903</v>
      </c>
    </row>
    <row r="5286" spans="7:14" ht="11.25" customHeight="1" x14ac:dyDescent="0.3">
      <c r="G5286" s="470"/>
      <c r="H5286" s="470">
        <v>5279</v>
      </c>
      <c r="I5286" s="455">
        <f t="shared" ca="1" si="203"/>
        <v>-586237750209328.88</v>
      </c>
      <c r="J5286" s="455">
        <f t="array" ref="J5286">IFERROR(INDEX('Retirement Calculator'!J:J,MATCH('Isaac 401k'!N5286,'Retirement Calculator'!A:A,0),0),0)</f>
        <v>0</v>
      </c>
      <c r="K5286" s="455">
        <f t="shared" ca="1" si="201"/>
        <v>-2442657292538.8701</v>
      </c>
      <c r="L5286" s="455">
        <f t="shared" ca="1" si="202"/>
        <v>-588680407501867.75</v>
      </c>
      <c r="M5286" s="471">
        <f t="shared" si="204"/>
        <v>0.05</v>
      </c>
      <c r="N5286" s="475">
        <f t="shared" si="205"/>
        <v>211934</v>
      </c>
    </row>
    <row r="5287" spans="7:14" ht="11.25" customHeight="1" x14ac:dyDescent="0.3">
      <c r="G5287" s="470"/>
      <c r="H5287" s="470">
        <v>5280</v>
      </c>
      <c r="I5287" s="455">
        <f t="shared" ca="1" si="203"/>
        <v>-588680407501867.75</v>
      </c>
      <c r="J5287" s="455">
        <f t="array" ref="J5287">IFERROR(INDEX('Retirement Calculator'!J:J,MATCH('Isaac 401k'!N5287,'Retirement Calculator'!A:A,0),0),0)</f>
        <v>0</v>
      </c>
      <c r="K5287" s="455">
        <f t="shared" ca="1" si="201"/>
        <v>-2452835031257.7822</v>
      </c>
      <c r="L5287" s="455">
        <f t="shared" ca="1" si="202"/>
        <v>-591133242533125.5</v>
      </c>
      <c r="M5287" s="471">
        <f t="shared" si="204"/>
        <v>0.05</v>
      </c>
      <c r="N5287" s="475">
        <f t="shared" si="205"/>
        <v>211964</v>
      </c>
    </row>
    <row r="5288" spans="7:14" ht="11.25" customHeight="1" x14ac:dyDescent="0.3">
      <c r="G5288" s="470"/>
      <c r="H5288" s="470">
        <v>5281</v>
      </c>
      <c r="I5288" s="455">
        <f t="shared" ca="1" si="203"/>
        <v>-591133242533125.5</v>
      </c>
      <c r="J5288" s="455">
        <f t="array" ref="J5288">IFERROR(INDEX('Retirement Calculator'!J:J,MATCH('Isaac 401k'!N5288,'Retirement Calculator'!A:A,0),0),0)</f>
        <v>0</v>
      </c>
      <c r="K5288" s="455">
        <f t="shared" ca="1" si="201"/>
        <v>-2463055177221.3564</v>
      </c>
      <c r="L5288" s="455">
        <f t="shared" ca="1" si="202"/>
        <v>-593596297710346.88</v>
      </c>
      <c r="M5288" s="471">
        <f t="shared" si="204"/>
        <v>0.05</v>
      </c>
      <c r="N5288" s="475">
        <f t="shared" si="205"/>
        <v>211995</v>
      </c>
    </row>
    <row r="5289" spans="7:14" ht="11.25" customHeight="1" x14ac:dyDescent="0.3">
      <c r="G5289" s="470"/>
      <c r="H5289" s="470">
        <v>5282</v>
      </c>
      <c r="I5289" s="455">
        <f t="shared" ca="1" si="203"/>
        <v>-593596297710346.88</v>
      </c>
      <c r="J5289" s="455">
        <f t="array" ref="J5289">IFERROR(INDEX('Retirement Calculator'!J:J,MATCH('Isaac 401k'!N5289,'Retirement Calculator'!A:A,0),0),0)</f>
        <v>0</v>
      </c>
      <c r="K5289" s="455">
        <f t="shared" ca="1" si="201"/>
        <v>-2473317907126.4453</v>
      </c>
      <c r="L5289" s="455">
        <f t="shared" ca="1" si="202"/>
        <v>-596069615617473.38</v>
      </c>
      <c r="M5289" s="471">
        <f t="shared" si="204"/>
        <v>0.05</v>
      </c>
      <c r="N5289" s="475">
        <f t="shared" si="205"/>
        <v>212025</v>
      </c>
    </row>
    <row r="5290" spans="7:14" ht="11.25" customHeight="1" x14ac:dyDescent="0.3">
      <c r="G5290" s="470"/>
      <c r="H5290" s="470">
        <v>5283</v>
      </c>
      <c r="I5290" s="455">
        <f t="shared" ca="1" si="203"/>
        <v>-596069615617473.38</v>
      </c>
      <c r="J5290" s="455">
        <f t="array" ref="J5290">IFERROR(INDEX('Retirement Calculator'!J:J,MATCH('Isaac 401k'!N5290,'Retirement Calculator'!A:A,0),0),0)</f>
        <v>0</v>
      </c>
      <c r="K5290" s="455">
        <f t="shared" ca="1" si="201"/>
        <v>-2483623398406.1392</v>
      </c>
      <c r="L5290" s="455">
        <f t="shared" ca="1" si="202"/>
        <v>-598553239015879.5</v>
      </c>
      <c r="M5290" s="471">
        <f t="shared" si="204"/>
        <v>0.05</v>
      </c>
      <c r="N5290" s="475">
        <f t="shared" si="205"/>
        <v>212056</v>
      </c>
    </row>
    <row r="5291" spans="7:14" ht="11.25" customHeight="1" x14ac:dyDescent="0.3">
      <c r="G5291" s="470"/>
      <c r="H5291" s="470">
        <v>5284</v>
      </c>
      <c r="I5291" s="455">
        <f t="shared" ca="1" si="203"/>
        <v>-598553239015879.5</v>
      </c>
      <c r="J5291" s="455">
        <f t="array" ref="J5291">IFERROR(INDEX('Retirement Calculator'!J:J,MATCH('Isaac 401k'!N5291,'Retirement Calculator'!A:A,0),0),0)</f>
        <v>0</v>
      </c>
      <c r="K5291" s="455">
        <f t="shared" ca="1" si="201"/>
        <v>-2493971829232.8311</v>
      </c>
      <c r="L5291" s="455">
        <f t="shared" ca="1" si="202"/>
        <v>-601047210845112.38</v>
      </c>
      <c r="M5291" s="471">
        <f t="shared" si="204"/>
        <v>0.05</v>
      </c>
      <c r="N5291" s="475">
        <f t="shared" si="205"/>
        <v>212087</v>
      </c>
    </row>
    <row r="5292" spans="7:14" ht="11.25" customHeight="1" x14ac:dyDescent="0.3">
      <c r="G5292" s="470"/>
      <c r="H5292" s="470">
        <v>5285</v>
      </c>
      <c r="I5292" s="455">
        <f t="shared" ca="1" si="203"/>
        <v>-601047210845112.38</v>
      </c>
      <c r="J5292" s="455">
        <f t="array" ref="J5292">IFERROR(INDEX('Retirement Calculator'!J:J,MATCH('Isaac 401k'!N5292,'Retirement Calculator'!A:A,0),0),0)</f>
        <v>0</v>
      </c>
      <c r="K5292" s="455">
        <f t="shared" ca="1" si="201"/>
        <v>-2504363378521.3018</v>
      </c>
      <c r="L5292" s="455">
        <f t="shared" ca="1" si="202"/>
        <v>-603551574223633.63</v>
      </c>
      <c r="M5292" s="471">
        <f t="shared" si="204"/>
        <v>0.05</v>
      </c>
      <c r="N5292" s="475">
        <f t="shared" si="205"/>
        <v>212117</v>
      </c>
    </row>
    <row r="5293" spans="7:14" ht="11.25" customHeight="1" x14ac:dyDescent="0.3">
      <c r="G5293" s="470"/>
      <c r="H5293" s="470">
        <v>5286</v>
      </c>
      <c r="I5293" s="455">
        <f t="shared" ca="1" si="203"/>
        <v>-603551574223633.63</v>
      </c>
      <c r="J5293" s="455">
        <f t="array" ref="J5293">IFERROR(INDEX('Retirement Calculator'!J:J,MATCH('Isaac 401k'!N5293,'Retirement Calculator'!A:A,0),0),0)</f>
        <v>0</v>
      </c>
      <c r="K5293" s="455">
        <f t="shared" ca="1" si="201"/>
        <v>-2514798225931.8066</v>
      </c>
      <c r="L5293" s="455">
        <f t="shared" ca="1" si="202"/>
        <v>-606066372449565.38</v>
      </c>
      <c r="M5293" s="471">
        <f t="shared" si="204"/>
        <v>0.05</v>
      </c>
      <c r="N5293" s="475">
        <f t="shared" si="205"/>
        <v>212148</v>
      </c>
    </row>
    <row r="5294" spans="7:14" ht="11.25" customHeight="1" x14ac:dyDescent="0.3">
      <c r="G5294" s="470"/>
      <c r="H5294" s="470">
        <v>5287</v>
      </c>
      <c r="I5294" s="455">
        <f t="shared" ca="1" si="203"/>
        <v>-606066372449565.38</v>
      </c>
      <c r="J5294" s="455">
        <f t="array" ref="J5294">IFERROR(INDEX('Retirement Calculator'!J:J,MATCH('Isaac 401k'!N5294,'Retirement Calculator'!A:A,0),0),0)</f>
        <v>0</v>
      </c>
      <c r="K5294" s="455">
        <f t="shared" ca="1" si="201"/>
        <v>-2525276551873.189</v>
      </c>
      <c r="L5294" s="455">
        <f t="shared" ca="1" si="202"/>
        <v>-608591649001438.63</v>
      </c>
      <c r="M5294" s="471">
        <f t="shared" si="204"/>
        <v>0.05</v>
      </c>
      <c r="N5294" s="475">
        <f t="shared" si="205"/>
        <v>212178</v>
      </c>
    </row>
    <row r="5295" spans="7:14" ht="11.25" customHeight="1" x14ac:dyDescent="0.3">
      <c r="G5295" s="470"/>
      <c r="H5295" s="470">
        <v>5288</v>
      </c>
      <c r="I5295" s="455">
        <f t="shared" ca="1" si="203"/>
        <v>-608591649001438.63</v>
      </c>
      <c r="J5295" s="455">
        <f t="array" ref="J5295">IFERROR(INDEX('Retirement Calculator'!J:J,MATCH('Isaac 401k'!N5295,'Retirement Calculator'!A:A,0),0),0)</f>
        <v>0</v>
      </c>
      <c r="K5295" s="455">
        <f t="shared" ca="1" si="201"/>
        <v>-2535798537505.9941</v>
      </c>
      <c r="L5295" s="455">
        <f t="shared" ca="1" si="202"/>
        <v>-611127447538944.63</v>
      </c>
      <c r="M5295" s="471">
        <f t="shared" si="204"/>
        <v>0.05</v>
      </c>
      <c r="N5295" s="475">
        <f t="shared" si="205"/>
        <v>212209</v>
      </c>
    </row>
    <row r="5296" spans="7:14" ht="11.25" customHeight="1" x14ac:dyDescent="0.3">
      <c r="G5296" s="470"/>
      <c r="H5296" s="470">
        <v>5289</v>
      </c>
      <c r="I5296" s="455">
        <f t="shared" ca="1" si="203"/>
        <v>-611127447538944.63</v>
      </c>
      <c r="J5296" s="455">
        <f t="array" ref="J5296">IFERROR(INDEX('Retirement Calculator'!J:J,MATCH('Isaac 401k'!N5296,'Retirement Calculator'!A:A,0),0),0)</f>
        <v>0</v>
      </c>
      <c r="K5296" s="455">
        <f t="shared" ca="1" si="201"/>
        <v>-2546364364745.6025</v>
      </c>
      <c r="L5296" s="455">
        <f t="shared" ca="1" si="202"/>
        <v>-613673811903690.25</v>
      </c>
      <c r="M5296" s="471">
        <f t="shared" si="204"/>
        <v>0.05</v>
      </c>
      <c r="N5296" s="475">
        <f t="shared" si="205"/>
        <v>212240</v>
      </c>
    </row>
    <row r="5297" spans="7:14" ht="11.25" customHeight="1" x14ac:dyDescent="0.3">
      <c r="G5297" s="470"/>
      <c r="H5297" s="470">
        <v>5290</v>
      </c>
      <c r="I5297" s="455">
        <f t="shared" ca="1" si="203"/>
        <v>-613673811903690.25</v>
      </c>
      <c r="J5297" s="455">
        <f t="array" ref="J5297">IFERROR(INDEX('Retirement Calculator'!J:J,MATCH('Isaac 401k'!N5297,'Retirement Calculator'!A:A,0),0),0)</f>
        <v>0</v>
      </c>
      <c r="K5297" s="455">
        <f t="shared" ca="1" si="201"/>
        <v>-2556974216265.376</v>
      </c>
      <c r="L5297" s="455">
        <f t="shared" ca="1" si="202"/>
        <v>-616230786119955.63</v>
      </c>
      <c r="M5297" s="471">
        <f t="shared" si="204"/>
        <v>0.05</v>
      </c>
      <c r="N5297" s="475">
        <f t="shared" si="205"/>
        <v>212268</v>
      </c>
    </row>
    <row r="5298" spans="7:14" ht="11.25" customHeight="1" x14ac:dyDescent="0.3">
      <c r="G5298" s="470"/>
      <c r="H5298" s="470">
        <v>5291</v>
      </c>
      <c r="I5298" s="455">
        <f t="shared" ca="1" si="203"/>
        <v>-616230786119955.63</v>
      </c>
      <c r="J5298" s="455">
        <f t="array" ref="J5298">IFERROR(INDEX('Retirement Calculator'!J:J,MATCH('Isaac 401k'!N5298,'Retirement Calculator'!A:A,0),0),0)</f>
        <v>0</v>
      </c>
      <c r="K5298" s="455">
        <f t="shared" ca="1" si="201"/>
        <v>-2567628275499.8149</v>
      </c>
      <c r="L5298" s="455">
        <f t="shared" ca="1" si="202"/>
        <v>-618798414395455.5</v>
      </c>
      <c r="M5298" s="471">
        <f t="shared" si="204"/>
        <v>0.05</v>
      </c>
      <c r="N5298" s="475">
        <f t="shared" si="205"/>
        <v>212299</v>
      </c>
    </row>
    <row r="5299" spans="7:14" ht="11.25" customHeight="1" x14ac:dyDescent="0.3">
      <c r="G5299" s="470"/>
      <c r="H5299" s="470">
        <v>5292</v>
      </c>
      <c r="I5299" s="455">
        <f t="shared" ca="1" si="203"/>
        <v>-618798414395455.5</v>
      </c>
      <c r="J5299" s="455">
        <f t="array" ref="J5299">IFERROR(INDEX('Retirement Calculator'!J:J,MATCH('Isaac 401k'!N5299,'Retirement Calculator'!A:A,0),0),0)</f>
        <v>0</v>
      </c>
      <c r="K5299" s="455">
        <f t="shared" ca="1" si="201"/>
        <v>-2578326726647.7314</v>
      </c>
      <c r="L5299" s="455">
        <f t="shared" ca="1" si="202"/>
        <v>-621376741122103.25</v>
      </c>
      <c r="M5299" s="471">
        <f t="shared" si="204"/>
        <v>0.05</v>
      </c>
      <c r="N5299" s="475">
        <f t="shared" si="205"/>
        <v>212329</v>
      </c>
    </row>
    <row r="5300" spans="7:14" ht="11.25" customHeight="1" x14ac:dyDescent="0.3">
      <c r="G5300" s="470"/>
      <c r="H5300" s="470">
        <v>5293</v>
      </c>
      <c r="I5300" s="455">
        <f t="shared" ca="1" si="203"/>
        <v>-621376741122103.25</v>
      </c>
      <c r="J5300" s="455">
        <f t="array" ref="J5300">IFERROR(INDEX('Retirement Calculator'!J:J,MATCH('Isaac 401k'!N5300,'Retirement Calculator'!A:A,0),0),0)</f>
        <v>0</v>
      </c>
      <c r="K5300" s="455">
        <f t="shared" ca="1" si="201"/>
        <v>-2589069754675.4302</v>
      </c>
      <c r="L5300" s="455">
        <f t="shared" ca="1" si="202"/>
        <v>-623965810876778.63</v>
      </c>
      <c r="M5300" s="471">
        <f t="shared" si="204"/>
        <v>0.05</v>
      </c>
      <c r="N5300" s="475">
        <f t="shared" si="205"/>
        <v>212360</v>
      </c>
    </row>
    <row r="5301" spans="7:14" ht="11.25" customHeight="1" x14ac:dyDescent="0.3">
      <c r="G5301" s="470"/>
      <c r="H5301" s="470">
        <v>5294</v>
      </c>
      <c r="I5301" s="455">
        <f t="shared" ca="1" si="203"/>
        <v>-623965810876778.63</v>
      </c>
      <c r="J5301" s="455">
        <f t="array" ref="J5301">IFERROR(INDEX('Retirement Calculator'!J:J,MATCH('Isaac 401k'!N5301,'Retirement Calculator'!A:A,0),0),0)</f>
        <v>0</v>
      </c>
      <c r="K5301" s="455">
        <f t="shared" ca="1" si="201"/>
        <v>-2599857545319.9111</v>
      </c>
      <c r="L5301" s="455">
        <f t="shared" ca="1" si="202"/>
        <v>-626565668422098.5</v>
      </c>
      <c r="M5301" s="471">
        <f t="shared" si="204"/>
        <v>0.05</v>
      </c>
      <c r="N5301" s="475">
        <f t="shared" si="205"/>
        <v>212390</v>
      </c>
    </row>
    <row r="5302" spans="7:14" ht="11.25" customHeight="1" x14ac:dyDescent="0.3">
      <c r="G5302" s="470"/>
      <c r="H5302" s="470">
        <v>5295</v>
      </c>
      <c r="I5302" s="455">
        <f t="shared" ca="1" si="203"/>
        <v>-626565668422098.5</v>
      </c>
      <c r="J5302" s="455">
        <f t="array" ref="J5302">IFERROR(INDEX('Retirement Calculator'!J:J,MATCH('Isaac 401k'!N5302,'Retirement Calculator'!A:A,0),0),0)</f>
        <v>0</v>
      </c>
      <c r="K5302" s="455">
        <f t="shared" ca="1" si="201"/>
        <v>-2610690285092.0771</v>
      </c>
      <c r="L5302" s="455">
        <f t="shared" ca="1" si="202"/>
        <v>-629176358707190.63</v>
      </c>
      <c r="M5302" s="471">
        <f t="shared" si="204"/>
        <v>0.05</v>
      </c>
      <c r="N5302" s="475">
        <f t="shared" si="205"/>
        <v>212421</v>
      </c>
    </row>
    <row r="5303" spans="7:14" ht="11.25" customHeight="1" x14ac:dyDescent="0.3">
      <c r="G5303" s="470"/>
      <c r="H5303" s="470">
        <v>5296</v>
      </c>
      <c r="I5303" s="455">
        <f t="shared" ca="1" si="203"/>
        <v>-629176358707190.63</v>
      </c>
      <c r="J5303" s="455">
        <f t="array" ref="J5303">IFERROR(INDEX('Retirement Calculator'!J:J,MATCH('Isaac 401k'!N5303,'Retirement Calculator'!A:A,0),0),0)</f>
        <v>0</v>
      </c>
      <c r="K5303" s="455">
        <f t="shared" ca="1" si="201"/>
        <v>-2621568161279.9609</v>
      </c>
      <c r="L5303" s="455">
        <f t="shared" ca="1" si="202"/>
        <v>-631797926868470.63</v>
      </c>
      <c r="M5303" s="471">
        <f t="shared" si="204"/>
        <v>0.05</v>
      </c>
      <c r="N5303" s="475">
        <f t="shared" si="205"/>
        <v>212452</v>
      </c>
    </row>
    <row r="5304" spans="7:14" ht="11.25" customHeight="1" x14ac:dyDescent="0.3">
      <c r="G5304" s="470"/>
      <c r="H5304" s="470">
        <v>5297</v>
      </c>
      <c r="I5304" s="455">
        <f t="shared" ca="1" si="203"/>
        <v>-631797926868470.63</v>
      </c>
      <c r="J5304" s="455">
        <f t="array" ref="J5304">IFERROR(INDEX('Retirement Calculator'!J:J,MATCH('Isaac 401k'!N5304,'Retirement Calculator'!A:A,0),0),0)</f>
        <v>0</v>
      </c>
      <c r="K5304" s="455">
        <f t="shared" ca="1" si="201"/>
        <v>-2632491361951.9609</v>
      </c>
      <c r="L5304" s="455">
        <f t="shared" ca="1" si="202"/>
        <v>-634430418230422.63</v>
      </c>
      <c r="M5304" s="471">
        <f t="shared" si="204"/>
        <v>0.05</v>
      </c>
      <c r="N5304" s="475">
        <f t="shared" si="205"/>
        <v>212482</v>
      </c>
    </row>
    <row r="5305" spans="7:14" ht="11.25" customHeight="1" x14ac:dyDescent="0.3">
      <c r="G5305" s="470"/>
      <c r="H5305" s="470">
        <v>5298</v>
      </c>
      <c r="I5305" s="455">
        <f t="shared" ca="1" si="203"/>
        <v>-634430418230422.63</v>
      </c>
      <c r="J5305" s="455">
        <f t="array" ref="J5305">IFERROR(INDEX('Retirement Calculator'!J:J,MATCH('Isaac 401k'!N5305,'Retirement Calculator'!A:A,0),0),0)</f>
        <v>0</v>
      </c>
      <c r="K5305" s="455">
        <f t="shared" ca="1" si="201"/>
        <v>-2643460075960.0942</v>
      </c>
      <c r="L5305" s="455">
        <f t="shared" ca="1" si="202"/>
        <v>-637073878306382.75</v>
      </c>
      <c r="M5305" s="471">
        <f t="shared" si="204"/>
        <v>0.05</v>
      </c>
      <c r="N5305" s="475">
        <f t="shared" si="205"/>
        <v>212513</v>
      </c>
    </row>
    <row r="5306" spans="7:14" ht="11.25" customHeight="1" x14ac:dyDescent="0.3">
      <c r="G5306" s="470"/>
      <c r="H5306" s="470">
        <v>5299</v>
      </c>
      <c r="I5306" s="455">
        <f t="shared" ca="1" si="203"/>
        <v>-637073878306382.75</v>
      </c>
      <c r="J5306" s="455">
        <f t="array" ref="J5306">IFERROR(INDEX('Retirement Calculator'!J:J,MATCH('Isaac 401k'!N5306,'Retirement Calculator'!A:A,0),0),0)</f>
        <v>0</v>
      </c>
      <c r="K5306" s="455">
        <f t="shared" ca="1" si="201"/>
        <v>-2654474492943.2612</v>
      </c>
      <c r="L5306" s="455">
        <f t="shared" ca="1" si="202"/>
        <v>-639728352799326</v>
      </c>
      <c r="M5306" s="471">
        <f t="shared" si="204"/>
        <v>0.05</v>
      </c>
      <c r="N5306" s="475">
        <f t="shared" si="205"/>
        <v>212543</v>
      </c>
    </row>
    <row r="5307" spans="7:14" ht="11.25" customHeight="1" x14ac:dyDescent="0.3">
      <c r="G5307" s="470"/>
      <c r="H5307" s="470">
        <v>5300</v>
      </c>
      <c r="I5307" s="455">
        <f t="shared" ca="1" si="203"/>
        <v>-639728352799326</v>
      </c>
      <c r="J5307" s="455">
        <f t="array" ref="J5307">IFERROR(INDEX('Retirement Calculator'!J:J,MATCH('Isaac 401k'!N5307,'Retirement Calculator'!A:A,0),0),0)</f>
        <v>0</v>
      </c>
      <c r="K5307" s="455">
        <f t="shared" ca="1" si="201"/>
        <v>-2665534803330.5249</v>
      </c>
      <c r="L5307" s="455">
        <f t="shared" ca="1" si="202"/>
        <v>-642393887602656.5</v>
      </c>
      <c r="M5307" s="471">
        <f t="shared" si="204"/>
        <v>0.05</v>
      </c>
      <c r="N5307" s="475">
        <f t="shared" si="205"/>
        <v>212574</v>
      </c>
    </row>
    <row r="5308" spans="7:14" ht="11.25" customHeight="1" x14ac:dyDescent="0.3">
      <c r="G5308" s="470"/>
      <c r="H5308" s="470">
        <v>5301</v>
      </c>
      <c r="I5308" s="455">
        <f t="shared" ca="1" si="203"/>
        <v>-642393887602656.5</v>
      </c>
      <c r="J5308" s="455">
        <f t="array" ref="J5308">IFERROR(INDEX('Retirement Calculator'!J:J,MATCH('Isaac 401k'!N5308,'Retirement Calculator'!A:A,0),0),0)</f>
        <v>0</v>
      </c>
      <c r="K5308" s="455">
        <f t="shared" ca="1" si="201"/>
        <v>-2676641198344.4019</v>
      </c>
      <c r="L5308" s="455">
        <f t="shared" ca="1" si="202"/>
        <v>-645070528801000.88</v>
      </c>
      <c r="M5308" s="471">
        <f t="shared" si="204"/>
        <v>0.05</v>
      </c>
      <c r="N5308" s="475">
        <f t="shared" si="205"/>
        <v>212605</v>
      </c>
    </row>
    <row r="5309" spans="7:14" ht="11.25" customHeight="1" x14ac:dyDescent="0.3">
      <c r="G5309" s="470"/>
      <c r="H5309" s="470">
        <v>5302</v>
      </c>
      <c r="I5309" s="455">
        <f t="shared" ca="1" si="203"/>
        <v>-645070528801000.88</v>
      </c>
      <c r="J5309" s="455">
        <f t="array" ref="J5309">IFERROR(INDEX('Retirement Calculator'!J:J,MATCH('Isaac 401k'!N5309,'Retirement Calculator'!A:A,0),0),0)</f>
        <v>0</v>
      </c>
      <c r="K5309" s="455">
        <f t="shared" ca="1" si="201"/>
        <v>-2687793870004.1704</v>
      </c>
      <c r="L5309" s="455">
        <f t="shared" ca="1" si="202"/>
        <v>-647758322671005</v>
      </c>
      <c r="M5309" s="471">
        <f t="shared" si="204"/>
        <v>0.05</v>
      </c>
      <c r="N5309" s="475">
        <f t="shared" si="205"/>
        <v>212633</v>
      </c>
    </row>
    <row r="5310" spans="7:14" ht="11.25" customHeight="1" x14ac:dyDescent="0.3">
      <c r="G5310" s="470"/>
      <c r="H5310" s="470">
        <v>5303</v>
      </c>
      <c r="I5310" s="455">
        <f t="shared" ca="1" si="203"/>
        <v>-647758322671005</v>
      </c>
      <c r="J5310" s="455">
        <f t="array" ref="J5310">IFERROR(INDEX('Retirement Calculator'!J:J,MATCH('Isaac 401k'!N5310,'Retirement Calculator'!A:A,0),0),0)</f>
        <v>0</v>
      </c>
      <c r="K5310" s="455">
        <f t="shared" ca="1" si="201"/>
        <v>-2698993011129.1875</v>
      </c>
      <c r="L5310" s="455">
        <f t="shared" ca="1" si="202"/>
        <v>-650457315682134.25</v>
      </c>
      <c r="M5310" s="471">
        <f t="shared" si="204"/>
        <v>0.05</v>
      </c>
      <c r="N5310" s="475">
        <f t="shared" si="205"/>
        <v>212664</v>
      </c>
    </row>
    <row r="5311" spans="7:14" ht="11.25" customHeight="1" x14ac:dyDescent="0.3">
      <c r="G5311" s="470"/>
      <c r="H5311" s="470">
        <v>5304</v>
      </c>
      <c r="I5311" s="455">
        <f t="shared" ca="1" si="203"/>
        <v>-650457315682134.25</v>
      </c>
      <c r="J5311" s="455">
        <f t="array" ref="J5311">IFERROR(INDEX('Retirement Calculator'!J:J,MATCH('Isaac 401k'!N5311,'Retirement Calculator'!A:A,0),0),0)</f>
        <v>0</v>
      </c>
      <c r="K5311" s="455">
        <f t="shared" ca="1" si="201"/>
        <v>-2710238815342.2261</v>
      </c>
      <c r="L5311" s="455">
        <f t="shared" ca="1" si="202"/>
        <v>-653167554497476.5</v>
      </c>
      <c r="M5311" s="471">
        <f t="shared" si="204"/>
        <v>0.05</v>
      </c>
      <c r="N5311" s="475">
        <f t="shared" si="205"/>
        <v>212694</v>
      </c>
    </row>
    <row r="5312" spans="7:14" ht="11.25" customHeight="1" x14ac:dyDescent="0.3">
      <c r="G5312" s="470"/>
      <c r="H5312" s="470">
        <v>5305</v>
      </c>
      <c r="I5312" s="455">
        <f t="shared" ca="1" si="203"/>
        <v>-653167554497476.5</v>
      </c>
      <c r="J5312" s="455">
        <f t="array" ref="J5312">IFERROR(INDEX('Retirement Calculator'!J:J,MATCH('Isaac 401k'!N5312,'Retirement Calculator'!A:A,0),0),0)</f>
        <v>0</v>
      </c>
      <c r="K5312" s="455">
        <f t="shared" ca="1" si="201"/>
        <v>-2721531477072.8188</v>
      </c>
      <c r="L5312" s="455">
        <f t="shared" ca="1" si="202"/>
        <v>-655889085974549.38</v>
      </c>
      <c r="M5312" s="471">
        <f t="shared" si="204"/>
        <v>0.05</v>
      </c>
      <c r="N5312" s="475">
        <f t="shared" si="205"/>
        <v>212725</v>
      </c>
    </row>
    <row r="5313" spans="7:14" ht="11.25" customHeight="1" x14ac:dyDescent="0.3">
      <c r="G5313" s="470"/>
      <c r="H5313" s="470">
        <v>5306</v>
      </c>
      <c r="I5313" s="455">
        <f t="shared" ca="1" si="203"/>
        <v>-655889085974549.38</v>
      </c>
      <c r="J5313" s="455">
        <f t="array" ref="J5313">IFERROR(INDEX('Retirement Calculator'!J:J,MATCH('Isaac 401k'!N5313,'Retirement Calculator'!A:A,0),0),0)</f>
        <v>0</v>
      </c>
      <c r="K5313" s="455">
        <f t="shared" ca="1" si="201"/>
        <v>-2732871191560.6226</v>
      </c>
      <c r="L5313" s="455">
        <f t="shared" ca="1" si="202"/>
        <v>-658621957166110</v>
      </c>
      <c r="M5313" s="471">
        <f t="shared" si="204"/>
        <v>0.05</v>
      </c>
      <c r="N5313" s="475">
        <f t="shared" si="205"/>
        <v>212755</v>
      </c>
    </row>
    <row r="5314" spans="7:14" ht="11.25" customHeight="1" x14ac:dyDescent="0.3">
      <c r="G5314" s="470"/>
      <c r="H5314" s="470">
        <v>5307</v>
      </c>
      <c r="I5314" s="455">
        <f t="shared" ca="1" si="203"/>
        <v>-658621957166110</v>
      </c>
      <c r="J5314" s="455">
        <f t="array" ref="J5314">IFERROR(INDEX('Retirement Calculator'!J:J,MATCH('Isaac 401k'!N5314,'Retirement Calculator'!A:A,0),0),0)</f>
        <v>0</v>
      </c>
      <c r="K5314" s="455">
        <f t="shared" ca="1" si="201"/>
        <v>-2744258154858.7915</v>
      </c>
      <c r="L5314" s="455">
        <f t="shared" ca="1" si="202"/>
        <v>-661366215320968.75</v>
      </c>
      <c r="M5314" s="471">
        <f t="shared" si="204"/>
        <v>0.05</v>
      </c>
      <c r="N5314" s="475">
        <f t="shared" si="205"/>
        <v>212786</v>
      </c>
    </row>
    <row r="5315" spans="7:14" ht="11.25" customHeight="1" x14ac:dyDescent="0.3">
      <c r="G5315" s="470"/>
      <c r="H5315" s="470">
        <v>5308</v>
      </c>
      <c r="I5315" s="455">
        <f t="shared" ca="1" si="203"/>
        <v>-661366215320968.75</v>
      </c>
      <c r="J5315" s="455">
        <f t="array" ref="J5315">IFERROR(INDEX('Retirement Calculator'!J:J,MATCH('Isaac 401k'!N5315,'Retirement Calculator'!A:A,0),0),0)</f>
        <v>0</v>
      </c>
      <c r="K5315" s="455">
        <f t="shared" ca="1" si="201"/>
        <v>-2755692563837.3696</v>
      </c>
      <c r="L5315" s="455">
        <f t="shared" ca="1" si="202"/>
        <v>-664121907884806.13</v>
      </c>
      <c r="M5315" s="471">
        <f t="shared" si="204"/>
        <v>0.05</v>
      </c>
      <c r="N5315" s="475">
        <f t="shared" si="205"/>
        <v>212817</v>
      </c>
    </row>
    <row r="5316" spans="7:14" ht="11.25" customHeight="1" x14ac:dyDescent="0.3">
      <c r="G5316" s="470"/>
      <c r="H5316" s="470">
        <v>5309</v>
      </c>
      <c r="I5316" s="455">
        <f t="shared" ca="1" si="203"/>
        <v>-664121907884806.13</v>
      </c>
      <c r="J5316" s="455">
        <f t="array" ref="J5316">IFERROR(INDEX('Retirement Calculator'!J:J,MATCH('Isaac 401k'!N5316,'Retirement Calculator'!A:A,0),0),0)</f>
        <v>0</v>
      </c>
      <c r="K5316" s="455">
        <f t="shared" ca="1" si="201"/>
        <v>-2767174616186.6924</v>
      </c>
      <c r="L5316" s="455">
        <f t="shared" ca="1" si="202"/>
        <v>-666889082500992.88</v>
      </c>
      <c r="M5316" s="471">
        <f t="shared" si="204"/>
        <v>0.05</v>
      </c>
      <c r="N5316" s="475">
        <f t="shared" si="205"/>
        <v>212847</v>
      </c>
    </row>
    <row r="5317" spans="7:14" ht="11.25" customHeight="1" x14ac:dyDescent="0.3">
      <c r="G5317" s="470"/>
      <c r="H5317" s="470">
        <v>5310</v>
      </c>
      <c r="I5317" s="455">
        <f t="shared" ca="1" si="203"/>
        <v>-666889082500992.88</v>
      </c>
      <c r="J5317" s="455">
        <f t="array" ref="J5317">IFERROR(INDEX('Retirement Calculator'!J:J,MATCH('Isaac 401k'!N5317,'Retirement Calculator'!A:A,0),0),0)</f>
        <v>0</v>
      </c>
      <c r="K5317" s="455">
        <f t="shared" ca="1" si="201"/>
        <v>-2778704510420.8037</v>
      </c>
      <c r="L5317" s="455">
        <f t="shared" ca="1" si="202"/>
        <v>-669667787011413.63</v>
      </c>
      <c r="M5317" s="471">
        <f t="shared" si="204"/>
        <v>0.05</v>
      </c>
      <c r="N5317" s="475">
        <f t="shared" si="205"/>
        <v>212878</v>
      </c>
    </row>
    <row r="5318" spans="7:14" ht="11.25" customHeight="1" x14ac:dyDescent="0.3">
      <c r="G5318" s="470"/>
      <c r="H5318" s="470">
        <v>5311</v>
      </c>
      <c r="I5318" s="455">
        <f t="shared" ca="1" si="203"/>
        <v>-669667787011413.63</v>
      </c>
      <c r="J5318" s="455">
        <f t="array" ref="J5318">IFERROR(INDEX('Retirement Calculator'!J:J,MATCH('Isaac 401k'!N5318,'Retirement Calculator'!A:A,0),0),0)</f>
        <v>0</v>
      </c>
      <c r="K5318" s="455">
        <f t="shared" ca="1" si="201"/>
        <v>-2790282445880.8901</v>
      </c>
      <c r="L5318" s="455">
        <f t="shared" ca="1" si="202"/>
        <v>-672458069457294.5</v>
      </c>
      <c r="M5318" s="471">
        <f t="shared" si="204"/>
        <v>0.05</v>
      </c>
      <c r="N5318" s="475">
        <f t="shared" si="205"/>
        <v>212908</v>
      </c>
    </row>
    <row r="5319" spans="7:14" ht="11.25" customHeight="1" x14ac:dyDescent="0.3">
      <c r="G5319" s="470"/>
      <c r="H5319" s="470">
        <v>5312</v>
      </c>
      <c r="I5319" s="455">
        <f t="shared" ca="1" si="203"/>
        <v>-672458069457294.5</v>
      </c>
      <c r="J5319" s="455">
        <f t="array" ref="J5319">IFERROR(INDEX('Retirement Calculator'!J:J,MATCH('Isaac 401k'!N5319,'Retirement Calculator'!A:A,0),0),0)</f>
        <v>0</v>
      </c>
      <c r="K5319" s="455">
        <f t="shared" ca="1" si="201"/>
        <v>-2801908622738.7271</v>
      </c>
      <c r="L5319" s="455">
        <f t="shared" ca="1" si="202"/>
        <v>-675259978080033.25</v>
      </c>
      <c r="M5319" s="471">
        <f t="shared" si="204"/>
        <v>0.05</v>
      </c>
      <c r="N5319" s="475">
        <f t="shared" si="205"/>
        <v>212939</v>
      </c>
    </row>
    <row r="5320" spans="7:14" ht="11.25" customHeight="1" x14ac:dyDescent="0.3">
      <c r="G5320" s="470"/>
      <c r="H5320" s="470">
        <v>5313</v>
      </c>
      <c r="I5320" s="455">
        <f t="shared" ca="1" si="203"/>
        <v>-675259978080033.25</v>
      </c>
      <c r="J5320" s="455">
        <f t="array" ref="J5320">IFERROR(INDEX('Retirement Calculator'!J:J,MATCH('Isaac 401k'!N5320,'Retirement Calculator'!A:A,0),0),0)</f>
        <v>0</v>
      </c>
      <c r="K5320" s="455">
        <f t="shared" ca="1" si="201"/>
        <v>-2813583242000.1387</v>
      </c>
      <c r="L5320" s="455">
        <f t="shared" ca="1" si="202"/>
        <v>-678073561322033.38</v>
      </c>
      <c r="M5320" s="471">
        <f t="shared" si="204"/>
        <v>0.05</v>
      </c>
      <c r="N5320" s="475">
        <f t="shared" si="205"/>
        <v>212970</v>
      </c>
    </row>
    <row r="5321" spans="7:14" ht="11.25" customHeight="1" x14ac:dyDescent="0.3">
      <c r="G5321" s="470"/>
      <c r="H5321" s="470">
        <v>5314</v>
      </c>
      <c r="I5321" s="455">
        <f t="shared" ca="1" si="203"/>
        <v>-678073561322033.38</v>
      </c>
      <c r="J5321" s="455">
        <f t="array" ref="J5321">IFERROR(INDEX('Retirement Calculator'!J:J,MATCH('Isaac 401k'!N5321,'Retirement Calculator'!A:A,0),0),0)</f>
        <v>0</v>
      </c>
      <c r="K5321" s="455">
        <f t="shared" ca="1" si="201"/>
        <v>-2825306505508.4722</v>
      </c>
      <c r="L5321" s="455">
        <f t="shared" ca="1" si="202"/>
        <v>-680898867827541.88</v>
      </c>
      <c r="M5321" s="471">
        <f t="shared" si="204"/>
        <v>0.05</v>
      </c>
      <c r="N5321" s="475">
        <f t="shared" si="205"/>
        <v>212998</v>
      </c>
    </row>
    <row r="5322" spans="7:14" ht="11.25" customHeight="1" x14ac:dyDescent="0.3">
      <c r="G5322" s="470"/>
      <c r="H5322" s="470">
        <v>5315</v>
      </c>
      <c r="I5322" s="455">
        <f t="shared" ca="1" si="203"/>
        <v>-680898867827541.88</v>
      </c>
      <c r="J5322" s="455">
        <f t="array" ref="J5322">IFERROR(INDEX('Retirement Calculator'!J:J,MATCH('Isaac 401k'!N5322,'Retirement Calculator'!A:A,0),0),0)</f>
        <v>0</v>
      </c>
      <c r="K5322" s="455">
        <f t="shared" ca="1" si="201"/>
        <v>-2837078615948.0913</v>
      </c>
      <c r="L5322" s="455">
        <f t="shared" ca="1" si="202"/>
        <v>-683735946443490</v>
      </c>
      <c r="M5322" s="471">
        <f t="shared" si="204"/>
        <v>0.05</v>
      </c>
      <c r="N5322" s="475">
        <f t="shared" si="205"/>
        <v>213029</v>
      </c>
    </row>
    <row r="5323" spans="7:14" ht="11.25" customHeight="1" x14ac:dyDescent="0.3">
      <c r="G5323" s="470"/>
      <c r="H5323" s="470">
        <v>5316</v>
      </c>
      <c r="I5323" s="455">
        <f t="shared" ca="1" si="203"/>
        <v>-683735946443490</v>
      </c>
      <c r="J5323" s="455">
        <f t="array" ref="J5323">IFERROR(INDEX('Retirement Calculator'!J:J,MATCH('Isaac 401k'!N5323,'Retirement Calculator'!A:A,0),0),0)</f>
        <v>0</v>
      </c>
      <c r="K5323" s="455">
        <f t="shared" ca="1" si="201"/>
        <v>-2848899776847.875</v>
      </c>
      <c r="L5323" s="455">
        <f t="shared" ca="1" si="202"/>
        <v>-686584846220337.88</v>
      </c>
      <c r="M5323" s="471">
        <f t="shared" si="204"/>
        <v>0.05</v>
      </c>
      <c r="N5323" s="475">
        <f t="shared" si="205"/>
        <v>213059</v>
      </c>
    </row>
    <row r="5324" spans="7:14" ht="11.25" customHeight="1" x14ac:dyDescent="0.3">
      <c r="G5324" s="470"/>
      <c r="H5324" s="470">
        <v>5317</v>
      </c>
      <c r="I5324" s="455">
        <f t="shared" ca="1" si="203"/>
        <v>-686584846220337.88</v>
      </c>
      <c r="J5324" s="455">
        <f t="array" ref="J5324">IFERROR(INDEX('Retirement Calculator'!J:J,MATCH('Isaac 401k'!N5324,'Retirement Calculator'!A:A,0),0),0)</f>
        <v>0</v>
      </c>
      <c r="K5324" s="455">
        <f t="shared" ca="1" si="201"/>
        <v>-2860770192584.7412</v>
      </c>
      <c r="L5324" s="455">
        <f t="shared" ca="1" si="202"/>
        <v>-689445616412922.63</v>
      </c>
      <c r="M5324" s="471">
        <f t="shared" si="204"/>
        <v>0.05</v>
      </c>
      <c r="N5324" s="475">
        <f t="shared" si="205"/>
        <v>213090</v>
      </c>
    </row>
    <row r="5325" spans="7:14" ht="11.25" customHeight="1" x14ac:dyDescent="0.3">
      <c r="G5325" s="470"/>
      <c r="H5325" s="470">
        <v>5318</v>
      </c>
      <c r="I5325" s="455">
        <f t="shared" ca="1" si="203"/>
        <v>-689445616412922.63</v>
      </c>
      <c r="J5325" s="455">
        <f t="array" ref="J5325">IFERROR(INDEX('Retirement Calculator'!J:J,MATCH('Isaac 401k'!N5325,'Retirement Calculator'!A:A,0),0),0)</f>
        <v>0</v>
      </c>
      <c r="K5325" s="455">
        <f t="shared" ca="1" si="201"/>
        <v>-2872690068387.1777</v>
      </c>
      <c r="L5325" s="455">
        <f t="shared" ca="1" si="202"/>
        <v>-692318306481309.75</v>
      </c>
      <c r="M5325" s="471">
        <f t="shared" si="204"/>
        <v>0.05</v>
      </c>
      <c r="N5325" s="475">
        <f t="shared" si="205"/>
        <v>213120</v>
      </c>
    </row>
    <row r="5326" spans="7:14" ht="11.25" customHeight="1" x14ac:dyDescent="0.3">
      <c r="G5326" s="470"/>
      <c r="H5326" s="470">
        <v>5319</v>
      </c>
      <c r="I5326" s="455">
        <f t="shared" ca="1" si="203"/>
        <v>-692318306481309.75</v>
      </c>
      <c r="J5326" s="455">
        <f t="array" ref="J5326">IFERROR(INDEX('Retirement Calculator'!J:J,MATCH('Isaac 401k'!N5326,'Retirement Calculator'!A:A,0),0),0)</f>
        <v>0</v>
      </c>
      <c r="K5326" s="455">
        <f t="shared" ca="1" si="201"/>
        <v>-2884659610338.7905</v>
      </c>
      <c r="L5326" s="455">
        <f t="shared" ca="1" si="202"/>
        <v>-695202966091648.5</v>
      </c>
      <c r="M5326" s="471">
        <f t="shared" si="204"/>
        <v>0.05</v>
      </c>
      <c r="N5326" s="475">
        <f t="shared" si="205"/>
        <v>213151</v>
      </c>
    </row>
    <row r="5327" spans="7:14" ht="11.25" customHeight="1" x14ac:dyDescent="0.3">
      <c r="G5327" s="470"/>
      <c r="H5327" s="470">
        <v>5320</v>
      </c>
      <c r="I5327" s="455">
        <f t="shared" ca="1" si="203"/>
        <v>-695202966091648.5</v>
      </c>
      <c r="J5327" s="455">
        <f t="array" ref="J5327">IFERROR(INDEX('Retirement Calculator'!J:J,MATCH('Isaac 401k'!N5327,'Retirement Calculator'!A:A,0),0),0)</f>
        <v>0</v>
      </c>
      <c r="K5327" s="455">
        <f t="shared" ca="1" si="201"/>
        <v>-2896679025381.8687</v>
      </c>
      <c r="L5327" s="455">
        <f t="shared" ca="1" si="202"/>
        <v>-698099645117030.38</v>
      </c>
      <c r="M5327" s="471">
        <f t="shared" si="204"/>
        <v>0.05</v>
      </c>
      <c r="N5327" s="475">
        <f t="shared" si="205"/>
        <v>213182</v>
      </c>
    </row>
    <row r="5328" spans="7:14" ht="11.25" customHeight="1" x14ac:dyDescent="0.3">
      <c r="G5328" s="470"/>
      <c r="H5328" s="470">
        <v>5321</v>
      </c>
      <c r="I5328" s="455">
        <f t="shared" ca="1" si="203"/>
        <v>-698099645117030.38</v>
      </c>
      <c r="J5328" s="455">
        <f t="array" ref="J5328">IFERROR(INDEX('Retirement Calculator'!J:J,MATCH('Isaac 401k'!N5328,'Retirement Calculator'!A:A,0),0),0)</f>
        <v>0</v>
      </c>
      <c r="K5328" s="455">
        <f t="shared" ca="1" si="201"/>
        <v>-2908748521320.96</v>
      </c>
      <c r="L5328" s="455">
        <f t="shared" ca="1" si="202"/>
        <v>-701008393638351.38</v>
      </c>
      <c r="M5328" s="471">
        <f t="shared" si="204"/>
        <v>0.05</v>
      </c>
      <c r="N5328" s="475">
        <f t="shared" si="205"/>
        <v>213212</v>
      </c>
    </row>
    <row r="5329" spans="7:14" ht="11.25" customHeight="1" x14ac:dyDescent="0.3">
      <c r="G5329" s="470"/>
      <c r="H5329" s="470">
        <v>5322</v>
      </c>
      <c r="I5329" s="455">
        <f t="shared" ca="1" si="203"/>
        <v>-701008393638351.38</v>
      </c>
      <c r="J5329" s="455">
        <f t="array" ref="J5329">IFERROR(INDEX('Retirement Calculator'!J:J,MATCH('Isaac 401k'!N5329,'Retirement Calculator'!A:A,0),0),0)</f>
        <v>0</v>
      </c>
      <c r="K5329" s="455">
        <f t="shared" ca="1" si="201"/>
        <v>-2920868306826.4639</v>
      </c>
      <c r="L5329" s="455">
        <f t="shared" ca="1" si="202"/>
        <v>-703929261945177.88</v>
      </c>
      <c r="M5329" s="471">
        <f t="shared" si="204"/>
        <v>0.05</v>
      </c>
      <c r="N5329" s="475">
        <f t="shared" si="205"/>
        <v>213243</v>
      </c>
    </row>
    <row r="5330" spans="7:14" ht="11.25" customHeight="1" x14ac:dyDescent="0.3">
      <c r="G5330" s="470"/>
      <c r="H5330" s="470">
        <v>5323</v>
      </c>
      <c r="I5330" s="455">
        <f t="shared" ca="1" si="203"/>
        <v>-703929261945177.88</v>
      </c>
      <c r="J5330" s="455">
        <f t="array" ref="J5330">IFERROR(INDEX('Retirement Calculator'!J:J,MATCH('Isaac 401k'!N5330,'Retirement Calculator'!A:A,0),0),0)</f>
        <v>0</v>
      </c>
      <c r="K5330" s="455">
        <f t="shared" ca="1" si="201"/>
        <v>-2933038591438.2412</v>
      </c>
      <c r="L5330" s="455">
        <f t="shared" ca="1" si="202"/>
        <v>-706862300536616.13</v>
      </c>
      <c r="M5330" s="471">
        <f t="shared" si="204"/>
        <v>0.05</v>
      </c>
      <c r="N5330" s="475">
        <f t="shared" si="205"/>
        <v>213273</v>
      </c>
    </row>
    <row r="5331" spans="7:14" ht="11.25" customHeight="1" x14ac:dyDescent="0.3">
      <c r="G5331" s="470"/>
      <c r="H5331" s="470">
        <v>5324</v>
      </c>
      <c r="I5331" s="455">
        <f t="shared" ca="1" si="203"/>
        <v>-706862300536616.13</v>
      </c>
      <c r="J5331" s="455">
        <f t="array" ref="J5331">IFERROR(INDEX('Retirement Calculator'!J:J,MATCH('Isaac 401k'!N5331,'Retirement Calculator'!A:A,0),0),0)</f>
        <v>0</v>
      </c>
      <c r="K5331" s="455">
        <f t="shared" ca="1" si="201"/>
        <v>-2945259585569.2339</v>
      </c>
      <c r="L5331" s="455">
        <f t="shared" ca="1" si="202"/>
        <v>-709807560122185.38</v>
      </c>
      <c r="M5331" s="471">
        <f t="shared" si="204"/>
        <v>0.05</v>
      </c>
      <c r="N5331" s="475">
        <f t="shared" si="205"/>
        <v>213304</v>
      </c>
    </row>
    <row r="5332" spans="7:14" ht="11.25" customHeight="1" x14ac:dyDescent="0.3">
      <c r="G5332" s="470"/>
      <c r="H5332" s="470">
        <v>5325</v>
      </c>
      <c r="I5332" s="455">
        <f t="shared" ca="1" si="203"/>
        <v>-709807560122185.38</v>
      </c>
      <c r="J5332" s="455">
        <f t="array" ref="J5332">IFERROR(INDEX('Retirement Calculator'!J:J,MATCH('Isaac 401k'!N5332,'Retirement Calculator'!A:A,0),0),0)</f>
        <v>0</v>
      </c>
      <c r="K5332" s="455">
        <f t="shared" ca="1" si="201"/>
        <v>-2957531500509.1055</v>
      </c>
      <c r="L5332" s="455">
        <f t="shared" ca="1" si="202"/>
        <v>-712765091622694.5</v>
      </c>
      <c r="M5332" s="471">
        <f t="shared" si="204"/>
        <v>0.05</v>
      </c>
      <c r="N5332" s="475">
        <f t="shared" si="205"/>
        <v>213335</v>
      </c>
    </row>
    <row r="5333" spans="7:14" ht="11.25" customHeight="1" x14ac:dyDescent="0.3">
      <c r="G5333" s="470"/>
      <c r="H5333" s="470">
        <v>5326</v>
      </c>
      <c r="I5333" s="455">
        <f t="shared" ca="1" si="203"/>
        <v>-712765091622694.5</v>
      </c>
      <c r="J5333" s="455">
        <f t="array" ref="J5333">IFERROR(INDEX('Retirement Calculator'!J:J,MATCH('Isaac 401k'!N5333,'Retirement Calculator'!A:A,0),0),0)</f>
        <v>0</v>
      </c>
      <c r="K5333" s="455">
        <f t="shared" ca="1" si="201"/>
        <v>-2969854548427.8936</v>
      </c>
      <c r="L5333" s="455">
        <f t="shared" ca="1" si="202"/>
        <v>-715734946171122.38</v>
      </c>
      <c r="M5333" s="471">
        <f t="shared" si="204"/>
        <v>0.05</v>
      </c>
      <c r="N5333" s="475">
        <f t="shared" si="205"/>
        <v>213364</v>
      </c>
    </row>
    <row r="5334" spans="7:14" ht="11.25" customHeight="1" x14ac:dyDescent="0.3">
      <c r="G5334" s="470"/>
      <c r="H5334" s="470">
        <v>5327</v>
      </c>
      <c r="I5334" s="455">
        <f t="shared" ca="1" si="203"/>
        <v>-715734946171122.38</v>
      </c>
      <c r="J5334" s="455">
        <f t="array" ref="J5334">IFERROR(INDEX('Retirement Calculator'!J:J,MATCH('Isaac 401k'!N5334,'Retirement Calculator'!A:A,0),0),0)</f>
        <v>0</v>
      </c>
      <c r="K5334" s="455">
        <f t="shared" ca="1" si="201"/>
        <v>-2982228942379.6768</v>
      </c>
      <c r="L5334" s="455">
        <f t="shared" ca="1" si="202"/>
        <v>-718717175113502</v>
      </c>
      <c r="M5334" s="471">
        <f t="shared" si="204"/>
        <v>0.05</v>
      </c>
      <c r="N5334" s="475">
        <f t="shared" si="205"/>
        <v>213395</v>
      </c>
    </row>
    <row r="5335" spans="7:14" ht="11.25" customHeight="1" x14ac:dyDescent="0.3">
      <c r="G5335" s="470"/>
      <c r="H5335" s="470">
        <v>5328</v>
      </c>
      <c r="I5335" s="455">
        <f t="shared" ca="1" si="203"/>
        <v>-718717175113502</v>
      </c>
      <c r="J5335" s="455">
        <f t="array" ref="J5335">IFERROR(INDEX('Retirement Calculator'!J:J,MATCH('Isaac 401k'!N5335,'Retirement Calculator'!A:A,0),0),0)</f>
        <v>0</v>
      </c>
      <c r="K5335" s="455">
        <f t="shared" ca="1" si="201"/>
        <v>-2994654896306.2583</v>
      </c>
      <c r="L5335" s="455">
        <f t="shared" ca="1" si="202"/>
        <v>-721711830009808.25</v>
      </c>
      <c r="M5335" s="471">
        <f t="shared" si="204"/>
        <v>0.05</v>
      </c>
      <c r="N5335" s="475">
        <f t="shared" si="205"/>
        <v>213425</v>
      </c>
    </row>
    <row r="5336" spans="7:14" ht="11.25" customHeight="1" x14ac:dyDescent="0.3">
      <c r="G5336" s="470"/>
      <c r="H5336" s="470">
        <v>5329</v>
      </c>
      <c r="I5336" s="455">
        <f t="shared" ca="1" si="203"/>
        <v>-721711830009808.25</v>
      </c>
      <c r="J5336" s="455">
        <f t="array" ref="J5336">IFERROR(INDEX('Retirement Calculator'!J:J,MATCH('Isaac 401k'!N5336,'Retirement Calculator'!A:A,0),0),0)</f>
        <v>0</v>
      </c>
      <c r="K5336" s="455">
        <f t="shared" ca="1" si="201"/>
        <v>-3007132625040.8677</v>
      </c>
      <c r="L5336" s="455">
        <f t="shared" ca="1" si="202"/>
        <v>-724718962634849.13</v>
      </c>
      <c r="M5336" s="471">
        <f t="shared" si="204"/>
        <v>0.05</v>
      </c>
      <c r="N5336" s="475">
        <f t="shared" si="205"/>
        <v>213456</v>
      </c>
    </row>
    <row r="5337" spans="7:14" ht="11.25" customHeight="1" x14ac:dyDescent="0.3">
      <c r="G5337" s="470"/>
      <c r="H5337" s="470">
        <v>5330</v>
      </c>
      <c r="I5337" s="455">
        <f t="shared" ca="1" si="203"/>
        <v>-724718962634849.13</v>
      </c>
      <c r="J5337" s="455">
        <f t="array" ref="J5337">IFERROR(INDEX('Retirement Calculator'!J:J,MATCH('Isaac 401k'!N5337,'Retirement Calculator'!A:A,0),0),0)</f>
        <v>0</v>
      </c>
      <c r="K5337" s="455">
        <f t="shared" ca="1" si="201"/>
        <v>-3019662344311.8711</v>
      </c>
      <c r="L5337" s="455">
        <f t="shared" ca="1" si="202"/>
        <v>-727738624979161</v>
      </c>
      <c r="M5337" s="471">
        <f t="shared" si="204"/>
        <v>0.05</v>
      </c>
      <c r="N5337" s="475">
        <f t="shared" si="205"/>
        <v>213486</v>
      </c>
    </row>
    <row r="5338" spans="7:14" ht="11.25" customHeight="1" x14ac:dyDescent="0.3">
      <c r="G5338" s="470"/>
      <c r="H5338" s="470">
        <v>5331</v>
      </c>
      <c r="I5338" s="455">
        <f t="shared" ca="1" si="203"/>
        <v>-727738624979161</v>
      </c>
      <c r="J5338" s="455">
        <f t="array" ref="J5338">IFERROR(INDEX('Retirement Calculator'!J:J,MATCH('Isaac 401k'!N5338,'Retirement Calculator'!A:A,0),0),0)</f>
        <v>0</v>
      </c>
      <c r="K5338" s="455">
        <f t="shared" ca="1" si="201"/>
        <v>-3032244270746.5039</v>
      </c>
      <c r="L5338" s="455">
        <f t="shared" ca="1" si="202"/>
        <v>-730770869249907.5</v>
      </c>
      <c r="M5338" s="471">
        <f t="shared" si="204"/>
        <v>0.05</v>
      </c>
      <c r="N5338" s="475">
        <f t="shared" si="205"/>
        <v>213517</v>
      </c>
    </row>
    <row r="5339" spans="7:14" ht="11.25" customHeight="1" x14ac:dyDescent="0.3">
      <c r="G5339" s="470"/>
      <c r="H5339" s="470">
        <v>5332</v>
      </c>
      <c r="I5339" s="455">
        <f t="shared" ca="1" si="203"/>
        <v>-730770869249907.5</v>
      </c>
      <c r="J5339" s="455">
        <f t="array" ref="J5339">IFERROR(INDEX('Retirement Calculator'!J:J,MATCH('Isaac 401k'!N5339,'Retirement Calculator'!A:A,0),0),0)</f>
        <v>0</v>
      </c>
      <c r="K5339" s="455">
        <f t="shared" ca="1" si="201"/>
        <v>-3044878621874.6147</v>
      </c>
      <c r="L5339" s="455">
        <f t="shared" ca="1" si="202"/>
        <v>-733815747871782.13</v>
      </c>
      <c r="M5339" s="471">
        <f t="shared" si="204"/>
        <v>0.05</v>
      </c>
      <c r="N5339" s="475">
        <f t="shared" si="205"/>
        <v>213548</v>
      </c>
    </row>
    <row r="5340" spans="7:14" ht="11.25" customHeight="1" x14ac:dyDescent="0.3">
      <c r="G5340" s="470"/>
      <c r="H5340" s="470">
        <v>5333</v>
      </c>
      <c r="I5340" s="455">
        <f t="shared" ca="1" si="203"/>
        <v>-733815747871782.13</v>
      </c>
      <c r="J5340" s="455">
        <f t="array" ref="J5340">IFERROR(INDEX('Retirement Calculator'!J:J,MATCH('Isaac 401k'!N5340,'Retirement Calculator'!A:A,0),0),0)</f>
        <v>0</v>
      </c>
      <c r="K5340" s="455">
        <f t="shared" ca="1" si="201"/>
        <v>-3057565616132.4253</v>
      </c>
      <c r="L5340" s="455">
        <f t="shared" ca="1" si="202"/>
        <v>-736873313487914.5</v>
      </c>
      <c r="M5340" s="471">
        <f t="shared" si="204"/>
        <v>0.05</v>
      </c>
      <c r="N5340" s="475">
        <f t="shared" si="205"/>
        <v>213578</v>
      </c>
    </row>
    <row r="5341" spans="7:14" ht="11.25" customHeight="1" x14ac:dyDescent="0.3">
      <c r="G5341" s="470"/>
      <c r="H5341" s="470">
        <v>5334</v>
      </c>
      <c r="I5341" s="455">
        <f t="shared" ca="1" si="203"/>
        <v>-736873313487914.5</v>
      </c>
      <c r="J5341" s="455">
        <f t="array" ref="J5341">IFERROR(INDEX('Retirement Calculator'!J:J,MATCH('Isaac 401k'!N5341,'Retirement Calculator'!A:A,0),0),0)</f>
        <v>0</v>
      </c>
      <c r="K5341" s="455">
        <f t="shared" ca="1" si="201"/>
        <v>-3070305472866.3105</v>
      </c>
      <c r="L5341" s="455">
        <f t="shared" ca="1" si="202"/>
        <v>-739943618960780.75</v>
      </c>
      <c r="M5341" s="471">
        <f t="shared" si="204"/>
        <v>0.05</v>
      </c>
      <c r="N5341" s="475">
        <f t="shared" si="205"/>
        <v>213609</v>
      </c>
    </row>
    <row r="5342" spans="7:14" ht="11.25" customHeight="1" x14ac:dyDescent="0.3">
      <c r="G5342" s="470"/>
      <c r="H5342" s="470">
        <v>5335</v>
      </c>
      <c r="I5342" s="455">
        <f t="shared" ca="1" si="203"/>
        <v>-739943618960780.75</v>
      </c>
      <c r="J5342" s="455">
        <f t="array" ref="J5342">IFERROR(INDEX('Retirement Calculator'!J:J,MATCH('Isaac 401k'!N5342,'Retirement Calculator'!A:A,0),0),0)</f>
        <v>0</v>
      </c>
      <c r="K5342" s="455">
        <f t="shared" ca="1" si="201"/>
        <v>-3083098412336.5864</v>
      </c>
      <c r="L5342" s="455">
        <f t="shared" ca="1" si="202"/>
        <v>-743026717373117.38</v>
      </c>
      <c r="M5342" s="471">
        <f t="shared" si="204"/>
        <v>0.05</v>
      </c>
      <c r="N5342" s="475">
        <f t="shared" si="205"/>
        <v>213639</v>
      </c>
    </row>
    <row r="5343" spans="7:14" ht="11.25" customHeight="1" x14ac:dyDescent="0.3">
      <c r="G5343" s="470"/>
      <c r="H5343" s="470">
        <v>5336</v>
      </c>
      <c r="I5343" s="455">
        <f t="shared" ca="1" si="203"/>
        <v>-743026717373117.38</v>
      </c>
      <c r="J5343" s="455">
        <f t="array" ref="J5343">IFERROR(INDEX('Retirement Calculator'!J:J,MATCH('Isaac 401k'!N5343,'Retirement Calculator'!A:A,0),0),0)</f>
        <v>0</v>
      </c>
      <c r="K5343" s="455">
        <f t="shared" ca="1" si="201"/>
        <v>-3095944655721.3223</v>
      </c>
      <c r="L5343" s="455">
        <f t="shared" ca="1" si="202"/>
        <v>-746122662028838.75</v>
      </c>
      <c r="M5343" s="471">
        <f t="shared" si="204"/>
        <v>0.05</v>
      </c>
      <c r="N5343" s="475">
        <f t="shared" si="205"/>
        <v>213670</v>
      </c>
    </row>
    <row r="5344" spans="7:14" ht="11.25" customHeight="1" x14ac:dyDescent="0.3">
      <c r="G5344" s="470"/>
      <c r="H5344" s="470">
        <v>5337</v>
      </c>
      <c r="I5344" s="455">
        <f t="shared" ca="1" si="203"/>
        <v>-746122662028838.75</v>
      </c>
      <c r="J5344" s="455">
        <f t="array" ref="J5344">IFERROR(INDEX('Retirement Calculator'!J:J,MATCH('Isaac 401k'!N5344,'Retirement Calculator'!A:A,0),0),0)</f>
        <v>0</v>
      </c>
      <c r="K5344" s="455">
        <f t="shared" ca="1" si="201"/>
        <v>-3108844425120.1616</v>
      </c>
      <c r="L5344" s="455">
        <f t="shared" ca="1" si="202"/>
        <v>-749231506453958.88</v>
      </c>
      <c r="M5344" s="471">
        <f t="shared" si="204"/>
        <v>0.05</v>
      </c>
      <c r="N5344" s="475">
        <f t="shared" si="205"/>
        <v>213701</v>
      </c>
    </row>
    <row r="5345" spans="7:14" ht="11.25" customHeight="1" x14ac:dyDescent="0.3">
      <c r="G5345" s="470"/>
      <c r="H5345" s="470">
        <v>5338</v>
      </c>
      <c r="I5345" s="455">
        <f t="shared" ca="1" si="203"/>
        <v>-749231506453958.88</v>
      </c>
      <c r="J5345" s="455">
        <f t="array" ref="J5345">IFERROR(INDEX('Retirement Calculator'!J:J,MATCH('Isaac 401k'!N5345,'Retirement Calculator'!A:A,0),0),0)</f>
        <v>0</v>
      </c>
      <c r="K5345" s="455">
        <f t="shared" ca="1" si="201"/>
        <v>-3121797943558.1621</v>
      </c>
      <c r="L5345" s="455">
        <f t="shared" ca="1" si="202"/>
        <v>-752353304397517</v>
      </c>
      <c r="M5345" s="471">
        <f t="shared" si="204"/>
        <v>0.05</v>
      </c>
      <c r="N5345" s="475">
        <f t="shared" si="205"/>
        <v>213729</v>
      </c>
    </row>
    <row r="5346" spans="7:14" ht="11.25" customHeight="1" x14ac:dyDescent="0.3">
      <c r="G5346" s="470"/>
      <c r="H5346" s="470">
        <v>5339</v>
      </c>
      <c r="I5346" s="455">
        <f t="shared" ca="1" si="203"/>
        <v>-752353304397517</v>
      </c>
      <c r="J5346" s="455">
        <f t="array" ref="J5346">IFERROR(INDEX('Retirement Calculator'!J:J,MATCH('Isaac 401k'!N5346,'Retirement Calculator'!A:A,0),0),0)</f>
        <v>0</v>
      </c>
      <c r="K5346" s="455">
        <f t="shared" ca="1" si="201"/>
        <v>-3134805434989.6543</v>
      </c>
      <c r="L5346" s="455">
        <f t="shared" ca="1" si="202"/>
        <v>-755488109832506.63</v>
      </c>
      <c r="M5346" s="471">
        <f t="shared" si="204"/>
        <v>0.05</v>
      </c>
      <c r="N5346" s="475">
        <f t="shared" si="205"/>
        <v>213760</v>
      </c>
    </row>
    <row r="5347" spans="7:14" ht="11.25" customHeight="1" x14ac:dyDescent="0.3">
      <c r="G5347" s="470"/>
      <c r="H5347" s="470">
        <v>5340</v>
      </c>
      <c r="I5347" s="455">
        <f t="shared" ca="1" si="203"/>
        <v>-755488109832506.63</v>
      </c>
      <c r="J5347" s="455">
        <f t="array" ref="J5347">IFERROR(INDEX('Retirement Calculator'!J:J,MATCH('Isaac 401k'!N5347,'Retirement Calculator'!A:A,0),0),0)</f>
        <v>0</v>
      </c>
      <c r="K5347" s="455">
        <f t="shared" ca="1" si="201"/>
        <v>-3147867124302.1108</v>
      </c>
      <c r="L5347" s="455">
        <f t="shared" ca="1" si="202"/>
        <v>-758635976956808.75</v>
      </c>
      <c r="M5347" s="471">
        <f t="shared" si="204"/>
        <v>0.05</v>
      </c>
      <c r="N5347" s="475">
        <f t="shared" si="205"/>
        <v>213790</v>
      </c>
    </row>
    <row r="5348" spans="7:14" ht="11.25" customHeight="1" x14ac:dyDescent="0.3">
      <c r="G5348" s="470"/>
      <c r="H5348" s="470">
        <v>5341</v>
      </c>
      <c r="I5348" s="455">
        <f t="shared" ca="1" si="203"/>
        <v>-758635976956808.75</v>
      </c>
      <c r="J5348" s="455">
        <f t="array" ref="J5348">IFERROR(INDEX('Retirement Calculator'!J:J,MATCH('Isaac 401k'!N5348,'Retirement Calculator'!A:A,0),0),0)</f>
        <v>0</v>
      </c>
      <c r="K5348" s="455">
        <f t="shared" ca="1" si="201"/>
        <v>-3160983237320.0366</v>
      </c>
      <c r="L5348" s="455">
        <f t="shared" ca="1" si="202"/>
        <v>-761796960194128.75</v>
      </c>
      <c r="M5348" s="471">
        <f t="shared" si="204"/>
        <v>0.05</v>
      </c>
      <c r="N5348" s="475">
        <f t="shared" si="205"/>
        <v>213821</v>
      </c>
    </row>
    <row r="5349" spans="7:14" ht="11.25" customHeight="1" x14ac:dyDescent="0.3">
      <c r="G5349" s="470"/>
      <c r="H5349" s="470">
        <v>5342</v>
      </c>
      <c r="I5349" s="455">
        <f t="shared" ca="1" si="203"/>
        <v>-761796960194128.75</v>
      </c>
      <c r="J5349" s="455">
        <f t="array" ref="J5349">IFERROR(INDEX('Retirement Calculator'!J:J,MATCH('Isaac 401k'!N5349,'Retirement Calculator'!A:A,0),0),0)</f>
        <v>0</v>
      </c>
      <c r="K5349" s="455">
        <f t="shared" ca="1" si="201"/>
        <v>-3174154000808.8696</v>
      </c>
      <c r="L5349" s="455">
        <f t="shared" ca="1" si="202"/>
        <v>-764971114194937.63</v>
      </c>
      <c r="M5349" s="471">
        <f t="shared" si="204"/>
        <v>0.05</v>
      </c>
      <c r="N5349" s="475">
        <f t="shared" si="205"/>
        <v>213851</v>
      </c>
    </row>
    <row r="5350" spans="7:14" ht="11.25" customHeight="1" x14ac:dyDescent="0.3">
      <c r="G5350" s="470"/>
      <c r="H5350" s="470">
        <v>5343</v>
      </c>
      <c r="I5350" s="455">
        <f t="shared" ca="1" si="203"/>
        <v>-764971114194937.63</v>
      </c>
      <c r="J5350" s="455">
        <f t="array" ref="J5350">IFERROR(INDEX('Retirement Calculator'!J:J,MATCH('Isaac 401k'!N5350,'Retirement Calculator'!A:A,0),0),0)</f>
        <v>0</v>
      </c>
      <c r="K5350" s="455">
        <f t="shared" ca="1" si="201"/>
        <v>-3187379642478.9067</v>
      </c>
      <c r="L5350" s="455">
        <f t="shared" ca="1" si="202"/>
        <v>-768158493837416.5</v>
      </c>
      <c r="M5350" s="471">
        <f t="shared" si="204"/>
        <v>0.05</v>
      </c>
      <c r="N5350" s="475">
        <f t="shared" si="205"/>
        <v>213882</v>
      </c>
    </row>
    <row r="5351" spans="7:14" ht="11.25" customHeight="1" x14ac:dyDescent="0.3">
      <c r="G5351" s="470"/>
      <c r="H5351" s="470">
        <v>5344</v>
      </c>
      <c r="I5351" s="455">
        <f t="shared" ca="1" si="203"/>
        <v>-768158493837416.5</v>
      </c>
      <c r="J5351" s="455">
        <f t="array" ref="J5351">IFERROR(INDEX('Retirement Calculator'!J:J,MATCH('Isaac 401k'!N5351,'Retirement Calculator'!A:A,0),0),0)</f>
        <v>0</v>
      </c>
      <c r="K5351" s="455">
        <f t="shared" ca="1" si="201"/>
        <v>-3200660390989.2354</v>
      </c>
      <c r="L5351" s="455">
        <f t="shared" ca="1" si="202"/>
        <v>-771359154228405.75</v>
      </c>
      <c r="M5351" s="471">
        <f t="shared" si="204"/>
        <v>0.05</v>
      </c>
      <c r="N5351" s="475">
        <f t="shared" si="205"/>
        <v>213913</v>
      </c>
    </row>
    <row r="5352" spans="7:14" ht="11.25" customHeight="1" x14ac:dyDescent="0.3">
      <c r="G5352" s="470"/>
      <c r="H5352" s="470">
        <v>5345</v>
      </c>
      <c r="I5352" s="455">
        <f t="shared" ca="1" si="203"/>
        <v>-771359154228405.75</v>
      </c>
      <c r="J5352" s="455">
        <f t="array" ref="J5352">IFERROR(INDEX('Retirement Calculator'!J:J,MATCH('Isaac 401k'!N5352,'Retirement Calculator'!A:A,0),0),0)</f>
        <v>0</v>
      </c>
      <c r="K5352" s="455">
        <f t="shared" ca="1" si="201"/>
        <v>-3213996475951.6904</v>
      </c>
      <c r="L5352" s="455">
        <f t="shared" ca="1" si="202"/>
        <v>-774573150704357.5</v>
      </c>
      <c r="M5352" s="471">
        <f t="shared" si="204"/>
        <v>0.05</v>
      </c>
      <c r="N5352" s="475">
        <f t="shared" si="205"/>
        <v>213943</v>
      </c>
    </row>
    <row r="5353" spans="7:14" ht="11.25" customHeight="1" x14ac:dyDescent="0.3">
      <c r="G5353" s="470"/>
      <c r="H5353" s="470">
        <v>5346</v>
      </c>
      <c r="I5353" s="455">
        <f t="shared" ca="1" si="203"/>
        <v>-774573150704357.5</v>
      </c>
      <c r="J5353" s="455">
        <f t="array" ref="J5353">IFERROR(INDEX('Retirement Calculator'!J:J,MATCH('Isaac 401k'!N5353,'Retirement Calculator'!A:A,0),0),0)</f>
        <v>0</v>
      </c>
      <c r="K5353" s="455">
        <f t="shared" ca="1" si="201"/>
        <v>-3227388127934.8228</v>
      </c>
      <c r="L5353" s="455">
        <f t="shared" ca="1" si="202"/>
        <v>-777800538832292.38</v>
      </c>
      <c r="M5353" s="471">
        <f t="shared" si="204"/>
        <v>0.05</v>
      </c>
      <c r="N5353" s="475">
        <f t="shared" si="205"/>
        <v>213974</v>
      </c>
    </row>
    <row r="5354" spans="7:14" ht="11.25" customHeight="1" x14ac:dyDescent="0.3">
      <c r="G5354" s="470"/>
      <c r="H5354" s="470">
        <v>5347</v>
      </c>
      <c r="I5354" s="455">
        <f t="shared" ca="1" si="203"/>
        <v>-777800538832292.38</v>
      </c>
      <c r="J5354" s="455">
        <f t="array" ref="J5354">IFERROR(INDEX('Retirement Calculator'!J:J,MATCH('Isaac 401k'!N5354,'Retirement Calculator'!A:A,0),0),0)</f>
        <v>0</v>
      </c>
      <c r="K5354" s="455">
        <f t="shared" ca="1" si="201"/>
        <v>-3240835578467.8848</v>
      </c>
      <c r="L5354" s="455">
        <f t="shared" ca="1" si="202"/>
        <v>-781041374410760.25</v>
      </c>
      <c r="M5354" s="471">
        <f t="shared" si="204"/>
        <v>0.05</v>
      </c>
      <c r="N5354" s="475">
        <f t="shared" si="205"/>
        <v>214004</v>
      </c>
    </row>
    <row r="5355" spans="7:14" ht="11.25" customHeight="1" x14ac:dyDescent="0.3">
      <c r="G5355" s="470"/>
      <c r="H5355" s="470">
        <v>5348</v>
      </c>
      <c r="I5355" s="455">
        <f t="shared" ca="1" si="203"/>
        <v>-781041374410760.25</v>
      </c>
      <c r="J5355" s="455">
        <f t="array" ref="J5355">IFERROR(INDEX('Retirement Calculator'!J:J,MATCH('Isaac 401k'!N5355,'Retirement Calculator'!A:A,0),0),0)</f>
        <v>0</v>
      </c>
      <c r="K5355" s="455">
        <f t="shared" ca="1" si="201"/>
        <v>-3254339060044.8345</v>
      </c>
      <c r="L5355" s="455">
        <f t="shared" ca="1" si="202"/>
        <v>-784295713470805.13</v>
      </c>
      <c r="M5355" s="471">
        <f t="shared" si="204"/>
        <v>0.05</v>
      </c>
      <c r="N5355" s="475">
        <f t="shared" si="205"/>
        <v>214035</v>
      </c>
    </row>
    <row r="5356" spans="7:14" ht="11.25" customHeight="1" x14ac:dyDescent="0.3">
      <c r="G5356" s="470"/>
      <c r="H5356" s="470">
        <v>5349</v>
      </c>
      <c r="I5356" s="455">
        <f t="shared" ca="1" si="203"/>
        <v>-784295713470805.13</v>
      </c>
      <c r="J5356" s="455">
        <f t="array" ref="J5356">IFERROR(INDEX('Retirement Calculator'!J:J,MATCH('Isaac 401k'!N5356,'Retirement Calculator'!A:A,0),0),0)</f>
        <v>0</v>
      </c>
      <c r="K5356" s="455">
        <f t="shared" ca="1" si="201"/>
        <v>-3267898806128.3545</v>
      </c>
      <c r="L5356" s="455">
        <f t="shared" ca="1" si="202"/>
        <v>-787563612276933.5</v>
      </c>
      <c r="M5356" s="471">
        <f t="shared" si="204"/>
        <v>0.05</v>
      </c>
      <c r="N5356" s="475">
        <f t="shared" si="205"/>
        <v>214066</v>
      </c>
    </row>
    <row r="5357" spans="7:14" ht="11.25" customHeight="1" x14ac:dyDescent="0.3">
      <c r="G5357" s="470"/>
      <c r="H5357" s="470">
        <v>5350</v>
      </c>
      <c r="I5357" s="455">
        <f t="shared" ca="1" si="203"/>
        <v>-787563612276933.5</v>
      </c>
      <c r="J5357" s="455">
        <f t="array" ref="J5357">IFERROR(INDEX('Retirement Calculator'!J:J,MATCH('Isaac 401k'!N5357,'Retirement Calculator'!A:A,0),0),0)</f>
        <v>0</v>
      </c>
      <c r="K5357" s="455">
        <f t="shared" ca="1" si="201"/>
        <v>-3281515051153.8896</v>
      </c>
      <c r="L5357" s="455">
        <f t="shared" ca="1" si="202"/>
        <v>-790845127328087.38</v>
      </c>
      <c r="M5357" s="471">
        <f t="shared" si="204"/>
        <v>0.05</v>
      </c>
      <c r="N5357" s="475">
        <f t="shared" si="205"/>
        <v>214094</v>
      </c>
    </row>
    <row r="5358" spans="7:14" ht="11.25" customHeight="1" x14ac:dyDescent="0.3">
      <c r="G5358" s="470"/>
      <c r="H5358" s="470">
        <v>5351</v>
      </c>
      <c r="I5358" s="455">
        <f t="shared" ca="1" si="203"/>
        <v>-790845127328087.38</v>
      </c>
      <c r="J5358" s="455">
        <f t="array" ref="J5358">IFERROR(INDEX('Retirement Calculator'!J:J,MATCH('Isaac 401k'!N5358,'Retirement Calculator'!A:A,0),0),0)</f>
        <v>0</v>
      </c>
      <c r="K5358" s="455">
        <f t="shared" ca="1" si="201"/>
        <v>-3295188030533.6973</v>
      </c>
      <c r="L5358" s="455">
        <f t="shared" ca="1" si="202"/>
        <v>-794140315358621.13</v>
      </c>
      <c r="M5358" s="471">
        <f t="shared" si="204"/>
        <v>0.05</v>
      </c>
      <c r="N5358" s="475">
        <f t="shared" si="205"/>
        <v>214125</v>
      </c>
    </row>
    <row r="5359" spans="7:14" ht="11.25" customHeight="1" x14ac:dyDescent="0.3">
      <c r="G5359" s="470"/>
      <c r="H5359" s="470">
        <v>5352</v>
      </c>
      <c r="I5359" s="455">
        <f t="shared" ca="1" si="203"/>
        <v>-794140315358621.13</v>
      </c>
      <c r="J5359" s="455">
        <f t="array" ref="J5359">IFERROR(INDEX('Retirement Calculator'!J:J,MATCH('Isaac 401k'!N5359,'Retirement Calculator'!A:A,0),0),0)</f>
        <v>0</v>
      </c>
      <c r="K5359" s="455">
        <f t="shared" ca="1" si="201"/>
        <v>-3308917980660.9214</v>
      </c>
      <c r="L5359" s="455">
        <f t="shared" ca="1" si="202"/>
        <v>-797449233339282</v>
      </c>
      <c r="M5359" s="471">
        <f t="shared" si="204"/>
        <v>0.05</v>
      </c>
      <c r="N5359" s="475">
        <f t="shared" si="205"/>
        <v>214155</v>
      </c>
    </row>
    <row r="5360" spans="7:14" ht="11.25" customHeight="1" x14ac:dyDescent="0.3">
      <c r="G5360" s="470"/>
      <c r="H5360" s="470">
        <v>5353</v>
      </c>
      <c r="I5360" s="455">
        <f t="shared" ca="1" si="203"/>
        <v>-797449233339282</v>
      </c>
      <c r="J5360" s="455">
        <f t="array" ref="J5360">IFERROR(INDEX('Retirement Calculator'!J:J,MATCH('Isaac 401k'!N5360,'Retirement Calculator'!A:A,0),0),0)</f>
        <v>0</v>
      </c>
      <c r="K5360" s="455">
        <f t="shared" ca="1" si="201"/>
        <v>-3322705138913.6748</v>
      </c>
      <c r="L5360" s="455">
        <f t="shared" ca="1" si="202"/>
        <v>-800771938478195.63</v>
      </c>
      <c r="M5360" s="471">
        <f t="shared" si="204"/>
        <v>0.05</v>
      </c>
      <c r="N5360" s="475">
        <f t="shared" si="205"/>
        <v>214186</v>
      </c>
    </row>
    <row r="5361" spans="7:14" ht="11.25" customHeight="1" x14ac:dyDescent="0.3">
      <c r="G5361" s="470"/>
      <c r="H5361" s="470">
        <v>5354</v>
      </c>
      <c r="I5361" s="455">
        <f t="shared" ca="1" si="203"/>
        <v>-800771938478195.63</v>
      </c>
      <c r="J5361" s="455">
        <f t="array" ref="J5361">IFERROR(INDEX('Retirement Calculator'!J:J,MATCH('Isaac 401k'!N5361,'Retirement Calculator'!A:A,0),0),0)</f>
        <v>0</v>
      </c>
      <c r="K5361" s="455">
        <f t="shared" ca="1" si="201"/>
        <v>-3336549743659.1484</v>
      </c>
      <c r="L5361" s="455">
        <f t="shared" ca="1" si="202"/>
        <v>-804108488221854.75</v>
      </c>
      <c r="M5361" s="471">
        <f t="shared" si="204"/>
        <v>0.05</v>
      </c>
      <c r="N5361" s="475">
        <f t="shared" si="205"/>
        <v>214216</v>
      </c>
    </row>
    <row r="5362" spans="7:14" ht="11.25" customHeight="1" x14ac:dyDescent="0.3">
      <c r="G5362" s="470"/>
      <c r="H5362" s="470">
        <v>5355</v>
      </c>
      <c r="I5362" s="455">
        <f t="shared" ca="1" si="203"/>
        <v>-804108488221854.75</v>
      </c>
      <c r="J5362" s="455">
        <f t="array" ref="J5362">IFERROR(INDEX('Retirement Calculator'!J:J,MATCH('Isaac 401k'!N5362,'Retirement Calculator'!A:A,0),0),0)</f>
        <v>0</v>
      </c>
      <c r="K5362" s="455">
        <f t="shared" ca="1" si="201"/>
        <v>-3350452034257.728</v>
      </c>
      <c r="L5362" s="455">
        <f t="shared" ca="1" si="202"/>
        <v>-807458940256112.5</v>
      </c>
      <c r="M5362" s="471">
        <f t="shared" si="204"/>
        <v>0.05</v>
      </c>
      <c r="N5362" s="475">
        <f t="shared" si="205"/>
        <v>214247</v>
      </c>
    </row>
    <row r="5363" spans="7:14" ht="11.25" customHeight="1" x14ac:dyDescent="0.3">
      <c r="G5363" s="470"/>
      <c r="H5363" s="470">
        <v>5356</v>
      </c>
      <c r="I5363" s="455">
        <f t="shared" ca="1" si="203"/>
        <v>-807458940256112.5</v>
      </c>
      <c r="J5363" s="455">
        <f t="array" ref="J5363">IFERROR(INDEX('Retirement Calculator'!J:J,MATCH('Isaac 401k'!N5363,'Retirement Calculator'!A:A,0),0),0)</f>
        <v>0</v>
      </c>
      <c r="K5363" s="455">
        <f t="shared" ref="K5363:K5617" ca="1" si="206">IPMT(M5363/12,1,12,-I5363+J5363,,0)</f>
        <v>-3364412251067.1353</v>
      </c>
      <c r="L5363" s="455">
        <f t="shared" ref="L5363:L5617" ca="1" si="207">I5363-J5363+K5363</f>
        <v>-810823352507179.63</v>
      </c>
      <c r="M5363" s="471">
        <f t="shared" si="204"/>
        <v>0.05</v>
      </c>
      <c r="N5363" s="475">
        <f t="shared" si="205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208">L5363</f>
        <v>-810823352507179.63</v>
      </c>
      <c r="J5364" s="455">
        <f t="array" ref="J5364">IFERROR(INDEX('Retirement Calculator'!J:J,MATCH('Isaac 401k'!N5364,'Retirement Calculator'!A:A,0),0),0)</f>
        <v>0</v>
      </c>
      <c r="K5364" s="455">
        <f t="shared" ca="1" si="206"/>
        <v>-3378430635446.5815</v>
      </c>
      <c r="L5364" s="455">
        <f t="shared" ca="1" si="207"/>
        <v>-814201783142626.25</v>
      </c>
      <c r="M5364" s="471">
        <f t="shared" ref="M5364:M5618" si="209">M5363</f>
        <v>0.05</v>
      </c>
      <c r="N5364" s="475">
        <f t="shared" ref="N5364:N5618" si="210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208"/>
        <v>-814201783142626.25</v>
      </c>
      <c r="J5365" s="455">
        <f t="array" ref="J5365">IFERROR(INDEX('Retirement Calculator'!J:J,MATCH('Isaac 401k'!N5365,'Retirement Calculator'!A:A,0),0),0)</f>
        <v>0</v>
      </c>
      <c r="K5365" s="455">
        <f t="shared" ca="1" si="206"/>
        <v>-3392507429760.9429</v>
      </c>
      <c r="L5365" s="455">
        <f t="shared" ca="1" si="207"/>
        <v>-817594290572387.25</v>
      </c>
      <c r="M5365" s="471">
        <f t="shared" si="209"/>
        <v>0.05</v>
      </c>
      <c r="N5365" s="475">
        <f t="shared" si="210"/>
        <v>214339</v>
      </c>
    </row>
    <row r="5366" spans="7:14" ht="11.25" customHeight="1" x14ac:dyDescent="0.3">
      <c r="G5366" s="470"/>
      <c r="H5366" s="470">
        <v>5359</v>
      </c>
      <c r="I5366" s="455">
        <f t="shared" ca="1" si="208"/>
        <v>-817594290572387.25</v>
      </c>
      <c r="J5366" s="455">
        <f t="array" ref="J5366">IFERROR(INDEX('Retirement Calculator'!J:J,MATCH('Isaac 401k'!N5366,'Retirement Calculator'!A:A,0),0),0)</f>
        <v>0</v>
      </c>
      <c r="K5366" s="455">
        <f t="shared" ca="1" si="206"/>
        <v>-3406642877384.9468</v>
      </c>
      <c r="L5366" s="455">
        <f t="shared" ca="1" si="207"/>
        <v>-821000933449772.25</v>
      </c>
      <c r="M5366" s="471">
        <f t="shared" si="209"/>
        <v>0.05</v>
      </c>
      <c r="N5366" s="475">
        <f t="shared" si="210"/>
        <v>214369</v>
      </c>
    </row>
    <row r="5367" spans="7:14" ht="11.25" customHeight="1" x14ac:dyDescent="0.3">
      <c r="G5367" s="470"/>
      <c r="H5367" s="470">
        <v>5360</v>
      </c>
      <c r="I5367" s="455">
        <f t="shared" ca="1" si="208"/>
        <v>-821000933449772.25</v>
      </c>
      <c r="J5367" s="455">
        <f t="array" ref="J5367">IFERROR(INDEX('Retirement Calculator'!J:J,MATCH('Isaac 401k'!N5367,'Retirement Calculator'!A:A,0),0),0)</f>
        <v>0</v>
      </c>
      <c r="K5367" s="455">
        <f t="shared" ca="1" si="206"/>
        <v>-3420837222707.3843</v>
      </c>
      <c r="L5367" s="455">
        <f t="shared" ca="1" si="207"/>
        <v>-824421770672479.63</v>
      </c>
      <c r="M5367" s="471">
        <f t="shared" si="209"/>
        <v>0.05</v>
      </c>
      <c r="N5367" s="475">
        <f t="shared" si="210"/>
        <v>214400</v>
      </c>
    </row>
    <row r="5368" spans="7:14" ht="11.25" customHeight="1" x14ac:dyDescent="0.3">
      <c r="G5368" s="470"/>
      <c r="H5368" s="470">
        <v>5361</v>
      </c>
      <c r="I5368" s="455">
        <f t="shared" ca="1" si="208"/>
        <v>-824421770672479.63</v>
      </c>
      <c r="J5368" s="455">
        <f t="array" ref="J5368">IFERROR(INDEX('Retirement Calculator'!J:J,MATCH('Isaac 401k'!N5368,'Retirement Calculator'!A:A,0),0),0)</f>
        <v>0</v>
      </c>
      <c r="K5368" s="455">
        <f t="shared" ca="1" si="206"/>
        <v>-3435090711135.3315</v>
      </c>
      <c r="L5368" s="455">
        <f t="shared" ca="1" si="207"/>
        <v>-827856861383615</v>
      </c>
      <c r="M5368" s="471">
        <f t="shared" si="209"/>
        <v>0.05</v>
      </c>
      <c r="N5368" s="475">
        <f t="shared" si="210"/>
        <v>214431</v>
      </c>
    </row>
    <row r="5369" spans="7:14" ht="11.25" customHeight="1" x14ac:dyDescent="0.3">
      <c r="G5369" s="470"/>
      <c r="H5369" s="470">
        <v>5362</v>
      </c>
      <c r="I5369" s="455">
        <f t="shared" ca="1" si="208"/>
        <v>-827856861383615</v>
      </c>
      <c r="J5369" s="455">
        <f t="array" ref="J5369">IFERROR(INDEX('Retirement Calculator'!J:J,MATCH('Isaac 401k'!N5369,'Retirement Calculator'!A:A,0),0),0)</f>
        <v>0</v>
      </c>
      <c r="K5369" s="455">
        <f t="shared" ca="1" si="206"/>
        <v>-3449403589098.396</v>
      </c>
      <c r="L5369" s="455">
        <f t="shared" ca="1" si="207"/>
        <v>-831306264972713.38</v>
      </c>
      <c r="M5369" s="471">
        <f t="shared" si="209"/>
        <v>0.05</v>
      </c>
      <c r="N5369" s="475">
        <f t="shared" si="210"/>
        <v>214459</v>
      </c>
    </row>
    <row r="5370" spans="7:14" ht="11.25" customHeight="1" x14ac:dyDescent="0.3">
      <c r="G5370" s="470"/>
      <c r="H5370" s="470">
        <v>5363</v>
      </c>
      <c r="I5370" s="455">
        <f t="shared" ca="1" si="208"/>
        <v>-831306264972713.38</v>
      </c>
      <c r="J5370" s="455">
        <f t="array" ref="J5370">IFERROR(INDEX('Retirement Calculator'!J:J,MATCH('Isaac 401k'!N5370,'Retirement Calculator'!A:A,0),0),0)</f>
        <v>0</v>
      </c>
      <c r="K5370" s="455">
        <f t="shared" ca="1" si="206"/>
        <v>-3463776104052.9722</v>
      </c>
      <c r="L5370" s="455">
        <f t="shared" ca="1" si="207"/>
        <v>-834770041076766.38</v>
      </c>
      <c r="M5370" s="471">
        <f t="shared" si="209"/>
        <v>0.05</v>
      </c>
      <c r="N5370" s="475">
        <f t="shared" si="210"/>
        <v>214490</v>
      </c>
    </row>
    <row r="5371" spans="7:14" ht="11.25" customHeight="1" x14ac:dyDescent="0.3">
      <c r="G5371" s="470"/>
      <c r="H5371" s="470">
        <v>5364</v>
      </c>
      <c r="I5371" s="455">
        <f t="shared" ca="1" si="208"/>
        <v>-834770041076766.38</v>
      </c>
      <c r="J5371" s="455">
        <f t="array" ref="J5371">IFERROR(INDEX('Retirement Calculator'!J:J,MATCH('Isaac 401k'!N5371,'Retirement Calculator'!A:A,0),0),0)</f>
        <v>0</v>
      </c>
      <c r="K5371" s="455">
        <f t="shared" ca="1" si="206"/>
        <v>-3478208504486.5264</v>
      </c>
      <c r="L5371" s="455">
        <f t="shared" ca="1" si="207"/>
        <v>-838248249581252.88</v>
      </c>
      <c r="M5371" s="471">
        <f t="shared" si="209"/>
        <v>0.05</v>
      </c>
      <c r="N5371" s="475">
        <f t="shared" si="210"/>
        <v>214520</v>
      </c>
    </row>
    <row r="5372" spans="7:14" ht="11.25" customHeight="1" x14ac:dyDescent="0.3">
      <c r="G5372" s="470"/>
      <c r="H5372" s="470">
        <v>5365</v>
      </c>
      <c r="I5372" s="455">
        <f t="shared" ca="1" si="208"/>
        <v>-838248249581252.88</v>
      </c>
      <c r="J5372" s="455">
        <f t="array" ref="J5372">IFERROR(INDEX('Retirement Calculator'!J:J,MATCH('Isaac 401k'!N5372,'Retirement Calculator'!A:A,0),0),0)</f>
        <v>0</v>
      </c>
      <c r="K5372" s="455">
        <f t="shared" ca="1" si="206"/>
        <v>-3492701039921.8867</v>
      </c>
      <c r="L5372" s="455">
        <f t="shared" ca="1" si="207"/>
        <v>-841740950621174.75</v>
      </c>
      <c r="M5372" s="471">
        <f t="shared" si="209"/>
        <v>0.05</v>
      </c>
      <c r="N5372" s="475">
        <f t="shared" si="210"/>
        <v>214551</v>
      </c>
    </row>
    <row r="5373" spans="7:14" ht="11.25" customHeight="1" x14ac:dyDescent="0.3">
      <c r="G5373" s="470"/>
      <c r="H5373" s="470">
        <v>5366</v>
      </c>
      <c r="I5373" s="455">
        <f t="shared" ca="1" si="208"/>
        <v>-841740950621174.75</v>
      </c>
      <c r="J5373" s="455">
        <f t="array" ref="J5373">IFERROR(INDEX('Retirement Calculator'!J:J,MATCH('Isaac 401k'!N5373,'Retirement Calculator'!A:A,0),0),0)</f>
        <v>0</v>
      </c>
      <c r="K5373" s="455">
        <f t="shared" ca="1" si="206"/>
        <v>-3507253960921.5615</v>
      </c>
      <c r="L5373" s="455">
        <f t="shared" ca="1" si="207"/>
        <v>-845248204582096.25</v>
      </c>
      <c r="M5373" s="471">
        <f t="shared" si="209"/>
        <v>0.05</v>
      </c>
      <c r="N5373" s="475">
        <f t="shared" si="210"/>
        <v>214581</v>
      </c>
    </row>
    <row r="5374" spans="7:14" ht="11.25" customHeight="1" x14ac:dyDescent="0.3">
      <c r="G5374" s="470"/>
      <c r="H5374" s="470">
        <v>5367</v>
      </c>
      <c r="I5374" s="455">
        <f t="shared" ca="1" si="208"/>
        <v>-845248204582096.25</v>
      </c>
      <c r="J5374" s="455">
        <f t="array" ref="J5374">IFERROR(INDEX('Retirement Calculator'!J:J,MATCH('Isaac 401k'!N5374,'Retirement Calculator'!A:A,0),0),0)</f>
        <v>0</v>
      </c>
      <c r="K5374" s="455">
        <f t="shared" ca="1" si="206"/>
        <v>-3521867519092.0679</v>
      </c>
      <c r="L5374" s="455">
        <f t="shared" ca="1" si="207"/>
        <v>-848770072101188.38</v>
      </c>
      <c r="M5374" s="471">
        <f t="shared" si="209"/>
        <v>0.05</v>
      </c>
      <c r="N5374" s="475">
        <f t="shared" si="210"/>
        <v>214612</v>
      </c>
    </row>
    <row r="5375" spans="7:14" ht="11.25" customHeight="1" x14ac:dyDescent="0.3">
      <c r="G5375" s="470"/>
      <c r="H5375" s="470">
        <v>5368</v>
      </c>
      <c r="I5375" s="455">
        <f t="shared" ca="1" si="208"/>
        <v>-848770072101188.38</v>
      </c>
      <c r="J5375" s="455">
        <f t="array" ref="J5375">IFERROR(INDEX('Retirement Calculator'!J:J,MATCH('Isaac 401k'!N5375,'Retirement Calculator'!A:A,0),0),0)</f>
        <v>0</v>
      </c>
      <c r="K5375" s="455">
        <f t="shared" ca="1" si="206"/>
        <v>-3536541967088.2847</v>
      </c>
      <c r="L5375" s="455">
        <f t="shared" ca="1" si="207"/>
        <v>-852306614068276.63</v>
      </c>
      <c r="M5375" s="471">
        <f t="shared" si="209"/>
        <v>0.05</v>
      </c>
      <c r="N5375" s="475">
        <f t="shared" si="210"/>
        <v>214643</v>
      </c>
    </row>
    <row r="5376" spans="7:14" ht="11.25" customHeight="1" x14ac:dyDescent="0.3">
      <c r="G5376" s="470"/>
      <c r="H5376" s="470">
        <v>5369</v>
      </c>
      <c r="I5376" s="455">
        <f t="shared" ca="1" si="208"/>
        <v>-852306614068276.63</v>
      </c>
      <c r="J5376" s="455">
        <f t="array" ref="J5376">IFERROR(INDEX('Retirement Calculator'!J:J,MATCH('Isaac 401k'!N5376,'Retirement Calculator'!A:A,0),0),0)</f>
        <v>0</v>
      </c>
      <c r="K5376" s="455">
        <f t="shared" ca="1" si="206"/>
        <v>-3551277558617.8193</v>
      </c>
      <c r="L5376" s="455">
        <f t="shared" ca="1" si="207"/>
        <v>-855857891626894.5</v>
      </c>
      <c r="M5376" s="471">
        <f t="shared" si="209"/>
        <v>0.05</v>
      </c>
      <c r="N5376" s="475">
        <f t="shared" si="210"/>
        <v>214673</v>
      </c>
    </row>
    <row r="5377" spans="7:14" ht="11.25" customHeight="1" x14ac:dyDescent="0.3">
      <c r="G5377" s="470"/>
      <c r="H5377" s="470">
        <v>5370</v>
      </c>
      <c r="I5377" s="455">
        <f t="shared" ca="1" si="208"/>
        <v>-855857891626894.5</v>
      </c>
      <c r="J5377" s="455">
        <f t="array" ref="J5377">IFERROR(INDEX('Retirement Calculator'!J:J,MATCH('Isaac 401k'!N5377,'Retirement Calculator'!A:A,0),0),0)</f>
        <v>0</v>
      </c>
      <c r="K5377" s="455">
        <f t="shared" ca="1" si="206"/>
        <v>-3566074548445.3936</v>
      </c>
      <c r="L5377" s="455">
        <f t="shared" ca="1" si="207"/>
        <v>-859423966175339.88</v>
      </c>
      <c r="M5377" s="471">
        <f t="shared" si="209"/>
        <v>0.05</v>
      </c>
      <c r="N5377" s="475">
        <f t="shared" si="210"/>
        <v>214704</v>
      </c>
    </row>
    <row r="5378" spans="7:14" ht="11.25" customHeight="1" x14ac:dyDescent="0.3">
      <c r="G5378" s="470"/>
      <c r="H5378" s="470">
        <v>5371</v>
      </c>
      <c r="I5378" s="455">
        <f t="shared" ca="1" si="208"/>
        <v>-859423966175339.88</v>
      </c>
      <c r="J5378" s="455">
        <f t="array" ref="J5378">IFERROR(INDEX('Retirement Calculator'!J:J,MATCH('Isaac 401k'!N5378,'Retirement Calculator'!A:A,0),0),0)</f>
        <v>0</v>
      </c>
      <c r="K5378" s="455">
        <f t="shared" ca="1" si="206"/>
        <v>-3580933192397.2495</v>
      </c>
      <c r="L5378" s="455">
        <f t="shared" ca="1" si="207"/>
        <v>-863004899367737.13</v>
      </c>
      <c r="M5378" s="471">
        <f t="shared" si="209"/>
        <v>0.05</v>
      </c>
      <c r="N5378" s="475">
        <f t="shared" si="210"/>
        <v>214734</v>
      </c>
    </row>
    <row r="5379" spans="7:14" ht="11.25" customHeight="1" x14ac:dyDescent="0.3">
      <c r="G5379" s="470"/>
      <c r="H5379" s="470">
        <v>5372</v>
      </c>
      <c r="I5379" s="455">
        <f t="shared" ca="1" si="208"/>
        <v>-863004899367737.13</v>
      </c>
      <c r="J5379" s="455">
        <f t="array" ref="J5379">IFERROR(INDEX('Retirement Calculator'!J:J,MATCH('Isaac 401k'!N5379,'Retirement Calculator'!A:A,0),0),0)</f>
        <v>0</v>
      </c>
      <c r="K5379" s="455">
        <f t="shared" ca="1" si="206"/>
        <v>-3595853747365.5713</v>
      </c>
      <c r="L5379" s="455">
        <f t="shared" ca="1" si="207"/>
        <v>-866600753115102.75</v>
      </c>
      <c r="M5379" s="471">
        <f t="shared" si="209"/>
        <v>0.05</v>
      </c>
      <c r="N5379" s="475">
        <f t="shared" si="210"/>
        <v>214765</v>
      </c>
    </row>
    <row r="5380" spans="7:14" ht="11.25" customHeight="1" x14ac:dyDescent="0.3">
      <c r="G5380" s="470"/>
      <c r="H5380" s="470">
        <v>5373</v>
      </c>
      <c r="I5380" s="455">
        <f t="shared" ca="1" si="208"/>
        <v>-866600753115102.75</v>
      </c>
      <c r="J5380" s="455">
        <f t="array" ref="J5380">IFERROR(INDEX('Retirement Calculator'!J:J,MATCH('Isaac 401k'!N5380,'Retirement Calculator'!A:A,0),0),0)</f>
        <v>0</v>
      </c>
      <c r="K5380" s="455">
        <f t="shared" ca="1" si="206"/>
        <v>-3610836471312.9282</v>
      </c>
      <c r="L5380" s="455">
        <f t="shared" ca="1" si="207"/>
        <v>-870211589586415.63</v>
      </c>
      <c r="M5380" s="471">
        <f t="shared" si="209"/>
        <v>0.05</v>
      </c>
      <c r="N5380" s="475">
        <f t="shared" si="210"/>
        <v>214796</v>
      </c>
    </row>
    <row r="5381" spans="7:14" ht="11.25" customHeight="1" x14ac:dyDescent="0.3">
      <c r="G5381" s="470"/>
      <c r="H5381" s="470">
        <v>5374</v>
      </c>
      <c r="I5381" s="455">
        <f t="shared" ca="1" si="208"/>
        <v>-870211589586415.63</v>
      </c>
      <c r="J5381" s="455">
        <f t="array" ref="J5381">IFERROR(INDEX('Retirement Calculator'!J:J,MATCH('Isaac 401k'!N5381,'Retirement Calculator'!A:A,0),0),0)</f>
        <v>0</v>
      </c>
      <c r="K5381" s="455">
        <f t="shared" ca="1" si="206"/>
        <v>-3625881623276.7319</v>
      </c>
      <c r="L5381" s="455">
        <f t="shared" ca="1" si="207"/>
        <v>-873837471209692.38</v>
      </c>
      <c r="M5381" s="471">
        <f t="shared" si="209"/>
        <v>0.05</v>
      </c>
      <c r="N5381" s="475">
        <f t="shared" si="210"/>
        <v>214825</v>
      </c>
    </row>
    <row r="5382" spans="7:14" ht="11.25" customHeight="1" x14ac:dyDescent="0.3">
      <c r="G5382" s="470"/>
      <c r="H5382" s="470">
        <v>5375</v>
      </c>
      <c r="I5382" s="455">
        <f t="shared" ca="1" si="208"/>
        <v>-873837471209692.38</v>
      </c>
      <c r="J5382" s="455">
        <f t="array" ref="J5382">IFERROR(INDEX('Retirement Calculator'!J:J,MATCH('Isaac 401k'!N5382,'Retirement Calculator'!A:A,0),0),0)</f>
        <v>0</v>
      </c>
      <c r="K5382" s="455">
        <f t="shared" ca="1" si="206"/>
        <v>-3640989463373.7183</v>
      </c>
      <c r="L5382" s="455">
        <f t="shared" ca="1" si="207"/>
        <v>-877478460673066.13</v>
      </c>
      <c r="M5382" s="471">
        <f t="shared" si="209"/>
        <v>0.05</v>
      </c>
      <c r="N5382" s="475">
        <f t="shared" si="210"/>
        <v>214856</v>
      </c>
    </row>
    <row r="5383" spans="7:14" ht="11.25" customHeight="1" x14ac:dyDescent="0.3">
      <c r="G5383" s="470"/>
      <c r="H5383" s="470">
        <v>5376</v>
      </c>
      <c r="I5383" s="455">
        <f t="shared" ca="1" si="208"/>
        <v>-877478460673066.13</v>
      </c>
      <c r="J5383" s="455">
        <f t="array" ref="J5383">IFERROR(INDEX('Retirement Calculator'!J:J,MATCH('Isaac 401k'!N5383,'Retirement Calculator'!A:A,0),0),0)</f>
        <v>0</v>
      </c>
      <c r="K5383" s="455">
        <f t="shared" ca="1" si="206"/>
        <v>-3656160252804.4419</v>
      </c>
      <c r="L5383" s="455">
        <f t="shared" ca="1" si="207"/>
        <v>-881134620925870.63</v>
      </c>
      <c r="M5383" s="471">
        <f t="shared" si="209"/>
        <v>0.05</v>
      </c>
      <c r="N5383" s="475">
        <f t="shared" si="210"/>
        <v>214886</v>
      </c>
    </row>
    <row r="5384" spans="7:14" ht="11.25" customHeight="1" x14ac:dyDescent="0.3">
      <c r="G5384" s="470"/>
      <c r="H5384" s="470">
        <v>5377</v>
      </c>
      <c r="I5384" s="455">
        <f t="shared" ca="1" si="208"/>
        <v>-881134620925870.63</v>
      </c>
      <c r="J5384" s="455">
        <f t="array" ref="J5384">IFERROR(INDEX('Retirement Calculator'!J:J,MATCH('Isaac 401k'!N5384,'Retirement Calculator'!A:A,0),0),0)</f>
        <v>0</v>
      </c>
      <c r="K5384" s="455">
        <f t="shared" ca="1" si="206"/>
        <v>-3671394253857.7935</v>
      </c>
      <c r="L5384" s="455">
        <f t="shared" ca="1" si="207"/>
        <v>-884806015179728.38</v>
      </c>
      <c r="M5384" s="471">
        <f t="shared" si="209"/>
        <v>0.05</v>
      </c>
      <c r="N5384" s="475">
        <f t="shared" si="210"/>
        <v>214917</v>
      </c>
    </row>
    <row r="5385" spans="7:14" ht="11.25" customHeight="1" x14ac:dyDescent="0.3">
      <c r="G5385" s="470"/>
      <c r="H5385" s="470">
        <v>5378</v>
      </c>
      <c r="I5385" s="455">
        <f t="shared" ca="1" si="208"/>
        <v>-884806015179728.38</v>
      </c>
      <c r="J5385" s="455">
        <f t="array" ref="J5385">IFERROR(INDEX('Retirement Calculator'!J:J,MATCH('Isaac 401k'!N5385,'Retirement Calculator'!A:A,0),0),0)</f>
        <v>0</v>
      </c>
      <c r="K5385" s="455">
        <f t="shared" ca="1" si="206"/>
        <v>-3686691729915.5347</v>
      </c>
      <c r="L5385" s="455">
        <f t="shared" ca="1" si="207"/>
        <v>-888492706909643.88</v>
      </c>
      <c r="M5385" s="471">
        <f t="shared" si="209"/>
        <v>0.05</v>
      </c>
      <c r="N5385" s="475">
        <f t="shared" si="210"/>
        <v>214947</v>
      </c>
    </row>
    <row r="5386" spans="7:14" ht="11.25" customHeight="1" x14ac:dyDescent="0.3">
      <c r="G5386" s="470"/>
      <c r="H5386" s="470">
        <v>5379</v>
      </c>
      <c r="I5386" s="455">
        <f t="shared" ca="1" si="208"/>
        <v>-888492706909643.88</v>
      </c>
      <c r="J5386" s="455">
        <f t="array" ref="J5386">IFERROR(INDEX('Retirement Calculator'!J:J,MATCH('Isaac 401k'!N5386,'Retirement Calculator'!A:A,0),0),0)</f>
        <v>0</v>
      </c>
      <c r="K5386" s="455">
        <f t="shared" ca="1" si="206"/>
        <v>-3702052945456.8496</v>
      </c>
      <c r="L5386" s="455">
        <f t="shared" ca="1" si="207"/>
        <v>-892194759855100.75</v>
      </c>
      <c r="M5386" s="471">
        <f t="shared" si="209"/>
        <v>0.05</v>
      </c>
      <c r="N5386" s="475">
        <f t="shared" si="210"/>
        <v>214978</v>
      </c>
    </row>
    <row r="5387" spans="7:14" ht="11.25" customHeight="1" x14ac:dyDescent="0.3">
      <c r="G5387" s="470"/>
      <c r="H5387" s="470">
        <v>5380</v>
      </c>
      <c r="I5387" s="455">
        <f t="shared" ca="1" si="208"/>
        <v>-892194759855100.75</v>
      </c>
      <c r="J5387" s="455">
        <f t="array" ref="J5387">IFERROR(INDEX('Retirement Calculator'!J:J,MATCH('Isaac 401k'!N5387,'Retirement Calculator'!A:A,0),0),0)</f>
        <v>0</v>
      </c>
      <c r="K5387" s="455">
        <f t="shared" ca="1" si="206"/>
        <v>-3717478166062.9194</v>
      </c>
      <c r="L5387" s="455">
        <f t="shared" ca="1" si="207"/>
        <v>-895912238021163.63</v>
      </c>
      <c r="M5387" s="471">
        <f t="shared" si="209"/>
        <v>0.05</v>
      </c>
      <c r="N5387" s="475">
        <f t="shared" si="210"/>
        <v>215009</v>
      </c>
    </row>
    <row r="5388" spans="7:14" ht="11.25" customHeight="1" x14ac:dyDescent="0.3">
      <c r="G5388" s="470"/>
      <c r="H5388" s="470">
        <v>5381</v>
      </c>
      <c r="I5388" s="455">
        <f t="shared" ca="1" si="208"/>
        <v>-895912238021163.63</v>
      </c>
      <c r="J5388" s="455">
        <f t="array" ref="J5388">IFERROR(INDEX('Retirement Calculator'!J:J,MATCH('Isaac 401k'!N5388,'Retirement Calculator'!A:A,0),0),0)</f>
        <v>0</v>
      </c>
      <c r="K5388" s="455">
        <f t="shared" ca="1" si="206"/>
        <v>-3732967658421.5156</v>
      </c>
      <c r="L5388" s="455">
        <f t="shared" ca="1" si="207"/>
        <v>-899645205679585.13</v>
      </c>
      <c r="M5388" s="471">
        <f t="shared" si="209"/>
        <v>0.05</v>
      </c>
      <c r="N5388" s="475">
        <f t="shared" si="210"/>
        <v>215039</v>
      </c>
    </row>
    <row r="5389" spans="7:14" ht="11.25" customHeight="1" x14ac:dyDescent="0.3">
      <c r="G5389" s="470"/>
      <c r="H5389" s="470">
        <v>5382</v>
      </c>
      <c r="I5389" s="455">
        <f t="shared" ca="1" si="208"/>
        <v>-899645205679585.13</v>
      </c>
      <c r="J5389" s="455">
        <f t="array" ref="J5389">IFERROR(INDEX('Retirement Calculator'!J:J,MATCH('Isaac 401k'!N5389,'Retirement Calculator'!A:A,0),0),0)</f>
        <v>0</v>
      </c>
      <c r="K5389" s="455">
        <f t="shared" ca="1" si="206"/>
        <v>-3748521690331.6045</v>
      </c>
      <c r="L5389" s="455">
        <f t="shared" ca="1" si="207"/>
        <v>-903393727369916.75</v>
      </c>
      <c r="M5389" s="471">
        <f t="shared" si="209"/>
        <v>0.05</v>
      </c>
      <c r="N5389" s="475">
        <f t="shared" si="210"/>
        <v>215070</v>
      </c>
    </row>
    <row r="5390" spans="7:14" ht="11.25" customHeight="1" x14ac:dyDescent="0.3">
      <c r="G5390" s="470"/>
      <c r="H5390" s="470">
        <v>5383</v>
      </c>
      <c r="I5390" s="455">
        <f t="shared" ca="1" si="208"/>
        <v>-903393727369916.75</v>
      </c>
      <c r="J5390" s="455">
        <f t="array" ref="J5390">IFERROR(INDEX('Retirement Calculator'!J:J,MATCH('Isaac 401k'!N5390,'Retirement Calculator'!A:A,0),0),0)</f>
        <v>0</v>
      </c>
      <c r="K5390" s="455">
        <f t="shared" ca="1" si="206"/>
        <v>-3764140530707.9863</v>
      </c>
      <c r="L5390" s="455">
        <f t="shared" ca="1" si="207"/>
        <v>-907157867900624.75</v>
      </c>
      <c r="M5390" s="471">
        <f t="shared" si="209"/>
        <v>0.05</v>
      </c>
      <c r="N5390" s="475">
        <f t="shared" si="210"/>
        <v>215100</v>
      </c>
    </row>
    <row r="5391" spans="7:14" ht="11.25" customHeight="1" x14ac:dyDescent="0.3">
      <c r="G5391" s="470"/>
      <c r="H5391" s="470">
        <v>5384</v>
      </c>
      <c r="I5391" s="455">
        <f t="shared" ca="1" si="208"/>
        <v>-907157867900624.75</v>
      </c>
      <c r="J5391" s="455">
        <f t="array" ref="J5391">IFERROR(INDEX('Retirement Calculator'!J:J,MATCH('Isaac 401k'!N5391,'Retirement Calculator'!A:A,0),0),0)</f>
        <v>0</v>
      </c>
      <c r="K5391" s="455">
        <f t="shared" ca="1" si="206"/>
        <v>-3779824449585.9365</v>
      </c>
      <c r="L5391" s="455">
        <f t="shared" ca="1" si="207"/>
        <v>-910937692350210.63</v>
      </c>
      <c r="M5391" s="471">
        <f t="shared" si="209"/>
        <v>0.05</v>
      </c>
      <c r="N5391" s="475">
        <f t="shared" si="210"/>
        <v>215131</v>
      </c>
    </row>
    <row r="5392" spans="7:14" ht="11.25" customHeight="1" x14ac:dyDescent="0.3">
      <c r="G5392" s="470"/>
      <c r="H5392" s="470">
        <v>5385</v>
      </c>
      <c r="I5392" s="455">
        <f t="shared" ca="1" si="208"/>
        <v>-910937692350210.63</v>
      </c>
      <c r="J5392" s="455">
        <f t="array" ref="J5392">IFERROR(INDEX('Retirement Calculator'!J:J,MATCH('Isaac 401k'!N5392,'Retirement Calculator'!A:A,0),0),0)</f>
        <v>0</v>
      </c>
      <c r="K5392" s="455">
        <f t="shared" ca="1" si="206"/>
        <v>-3795573718125.8774</v>
      </c>
      <c r="L5392" s="455">
        <f t="shared" ca="1" si="207"/>
        <v>-914733266068336.5</v>
      </c>
      <c r="M5392" s="471">
        <f t="shared" si="209"/>
        <v>0.05</v>
      </c>
      <c r="N5392" s="475">
        <f t="shared" si="210"/>
        <v>215162</v>
      </c>
    </row>
    <row r="5393" spans="7:14" ht="11.25" customHeight="1" x14ac:dyDescent="0.3">
      <c r="G5393" s="470"/>
      <c r="H5393" s="470">
        <v>5386</v>
      </c>
      <c r="I5393" s="455">
        <f t="shared" ca="1" si="208"/>
        <v>-914733266068336.5</v>
      </c>
      <c r="J5393" s="455">
        <f t="array" ref="J5393">IFERROR(INDEX('Retirement Calculator'!J:J,MATCH('Isaac 401k'!N5393,'Retirement Calculator'!A:A,0),0),0)</f>
        <v>0</v>
      </c>
      <c r="K5393" s="455">
        <f t="shared" ca="1" si="206"/>
        <v>-3811388608618.0684</v>
      </c>
      <c r="L5393" s="455">
        <f t="shared" ca="1" si="207"/>
        <v>-918544654676954.63</v>
      </c>
      <c r="M5393" s="471">
        <f t="shared" si="209"/>
        <v>0.05</v>
      </c>
      <c r="N5393" s="475">
        <f t="shared" si="210"/>
        <v>215190</v>
      </c>
    </row>
    <row r="5394" spans="7:14" ht="11.25" customHeight="1" x14ac:dyDescent="0.3">
      <c r="G5394" s="470"/>
      <c r="H5394" s="470">
        <v>5387</v>
      </c>
      <c r="I5394" s="455">
        <f t="shared" ca="1" si="208"/>
        <v>-918544654676954.63</v>
      </c>
      <c r="J5394" s="455">
        <f t="array" ref="J5394">IFERROR(INDEX('Retirement Calculator'!J:J,MATCH('Isaac 401k'!N5394,'Retirement Calculator'!A:A,0),0),0)</f>
        <v>0</v>
      </c>
      <c r="K5394" s="455">
        <f t="shared" ca="1" si="206"/>
        <v>-3827269394487.311</v>
      </c>
      <c r="L5394" s="455">
        <f t="shared" ca="1" si="207"/>
        <v>-922371924071441.88</v>
      </c>
      <c r="M5394" s="471">
        <f t="shared" si="209"/>
        <v>0.05</v>
      </c>
      <c r="N5394" s="475">
        <f t="shared" si="210"/>
        <v>215221</v>
      </c>
    </row>
    <row r="5395" spans="7:14" ht="11.25" customHeight="1" x14ac:dyDescent="0.3">
      <c r="G5395" s="470"/>
      <c r="H5395" s="470">
        <v>5388</v>
      </c>
      <c r="I5395" s="455">
        <f t="shared" ca="1" si="208"/>
        <v>-922371924071441.88</v>
      </c>
      <c r="J5395" s="455">
        <f t="array" ref="J5395">IFERROR(INDEX('Retirement Calculator'!J:J,MATCH('Isaac 401k'!N5395,'Retirement Calculator'!A:A,0),0),0)</f>
        <v>0</v>
      </c>
      <c r="K5395" s="455">
        <f t="shared" ca="1" si="206"/>
        <v>-3843216350297.6743</v>
      </c>
      <c r="L5395" s="455">
        <f t="shared" ca="1" si="207"/>
        <v>-926215140421739.5</v>
      </c>
      <c r="M5395" s="471">
        <f t="shared" si="209"/>
        <v>0.05</v>
      </c>
      <c r="N5395" s="475">
        <f t="shared" si="210"/>
        <v>215251</v>
      </c>
    </row>
    <row r="5396" spans="7:14" ht="11.25" customHeight="1" x14ac:dyDescent="0.3">
      <c r="G5396" s="470"/>
      <c r="H5396" s="470">
        <v>5389</v>
      </c>
      <c r="I5396" s="455">
        <f t="shared" ca="1" si="208"/>
        <v>-926215140421739.5</v>
      </c>
      <c r="J5396" s="455">
        <f t="array" ref="J5396">IFERROR(INDEX('Retirement Calculator'!J:J,MATCH('Isaac 401k'!N5396,'Retirement Calculator'!A:A,0),0),0)</f>
        <v>0</v>
      </c>
      <c r="K5396" s="455">
        <f t="shared" ca="1" si="206"/>
        <v>-3859229751757.2476</v>
      </c>
      <c r="L5396" s="455">
        <f t="shared" ca="1" si="207"/>
        <v>-930074370173496.75</v>
      </c>
      <c r="M5396" s="471">
        <f t="shared" si="209"/>
        <v>0.05</v>
      </c>
      <c r="N5396" s="475">
        <f t="shared" si="210"/>
        <v>215282</v>
      </c>
    </row>
    <row r="5397" spans="7:14" ht="11.25" customHeight="1" x14ac:dyDescent="0.3">
      <c r="G5397" s="470"/>
      <c r="H5397" s="470">
        <v>5390</v>
      </c>
      <c r="I5397" s="455">
        <f t="shared" ca="1" si="208"/>
        <v>-930074370173496.75</v>
      </c>
      <c r="J5397" s="455">
        <f t="array" ref="J5397">IFERROR(INDEX('Retirement Calculator'!J:J,MATCH('Isaac 401k'!N5397,'Retirement Calculator'!A:A,0),0),0)</f>
        <v>0</v>
      </c>
      <c r="K5397" s="455">
        <f t="shared" ca="1" si="206"/>
        <v>-3875309875722.9038</v>
      </c>
      <c r="L5397" s="455">
        <f t="shared" ca="1" si="207"/>
        <v>-933949680049219.63</v>
      </c>
      <c r="M5397" s="471">
        <f t="shared" si="209"/>
        <v>0.05</v>
      </c>
      <c r="N5397" s="475">
        <f t="shared" si="210"/>
        <v>215312</v>
      </c>
    </row>
    <row r="5398" spans="7:14" ht="11.25" customHeight="1" x14ac:dyDescent="0.3">
      <c r="G5398" s="470"/>
      <c r="H5398" s="470">
        <v>5391</v>
      </c>
      <c r="I5398" s="455">
        <f t="shared" ca="1" si="208"/>
        <v>-933949680049219.63</v>
      </c>
      <c r="J5398" s="455">
        <f t="array" ref="J5398">IFERROR(INDEX('Retirement Calculator'!J:J,MATCH('Isaac 401k'!N5398,'Retirement Calculator'!A:A,0),0),0)</f>
        <v>0</v>
      </c>
      <c r="K5398" s="455">
        <f t="shared" ca="1" si="206"/>
        <v>-3891457000205.0815</v>
      </c>
      <c r="L5398" s="455">
        <f t="shared" ca="1" si="207"/>
        <v>-937841137049424.75</v>
      </c>
      <c r="M5398" s="471">
        <f t="shared" si="209"/>
        <v>0.05</v>
      </c>
      <c r="N5398" s="475">
        <f t="shared" si="210"/>
        <v>215343</v>
      </c>
    </row>
    <row r="5399" spans="7:14" ht="11.25" customHeight="1" x14ac:dyDescent="0.3">
      <c r="G5399" s="470"/>
      <c r="H5399" s="470">
        <v>5392</v>
      </c>
      <c r="I5399" s="455">
        <f t="shared" ca="1" si="208"/>
        <v>-937841137049424.75</v>
      </c>
      <c r="J5399" s="455">
        <f t="array" ref="J5399">IFERROR(INDEX('Retirement Calculator'!J:J,MATCH('Isaac 401k'!N5399,'Retirement Calculator'!A:A,0),0),0)</f>
        <v>0</v>
      </c>
      <c r="K5399" s="455">
        <f t="shared" ca="1" si="206"/>
        <v>-3907671404372.603</v>
      </c>
      <c r="L5399" s="455">
        <f t="shared" ca="1" si="207"/>
        <v>-941748808453797.38</v>
      </c>
      <c r="M5399" s="471">
        <f t="shared" si="209"/>
        <v>0.05</v>
      </c>
      <c r="N5399" s="475">
        <f t="shared" si="210"/>
        <v>215374</v>
      </c>
    </row>
    <row r="5400" spans="7:14" ht="11.25" customHeight="1" x14ac:dyDescent="0.3">
      <c r="G5400" s="470"/>
      <c r="H5400" s="470">
        <v>5393</v>
      </c>
      <c r="I5400" s="455">
        <f t="shared" ca="1" si="208"/>
        <v>-941748808453797.38</v>
      </c>
      <c r="J5400" s="455">
        <f t="array" ref="J5400">IFERROR(INDEX('Retirement Calculator'!J:J,MATCH('Isaac 401k'!N5400,'Retirement Calculator'!A:A,0),0),0)</f>
        <v>0</v>
      </c>
      <c r="K5400" s="455">
        <f t="shared" ca="1" si="206"/>
        <v>-3923953368557.4897</v>
      </c>
      <c r="L5400" s="455">
        <f t="shared" ca="1" si="207"/>
        <v>-945672761822354.88</v>
      </c>
      <c r="M5400" s="471">
        <f t="shared" si="209"/>
        <v>0.05</v>
      </c>
      <c r="N5400" s="475">
        <f t="shared" si="210"/>
        <v>215404</v>
      </c>
    </row>
    <row r="5401" spans="7:14" ht="11.25" customHeight="1" x14ac:dyDescent="0.3">
      <c r="G5401" s="470"/>
      <c r="H5401" s="470">
        <v>5394</v>
      </c>
      <c r="I5401" s="455">
        <f t="shared" ca="1" si="208"/>
        <v>-945672761822354.88</v>
      </c>
      <c r="J5401" s="455">
        <f t="array" ref="J5401">IFERROR(INDEX('Retirement Calculator'!J:J,MATCH('Isaac 401k'!N5401,'Retirement Calculator'!A:A,0),0),0)</f>
        <v>0</v>
      </c>
      <c r="K5401" s="455">
        <f t="shared" ca="1" si="206"/>
        <v>-3940303174259.8115</v>
      </c>
      <c r="L5401" s="455">
        <f t="shared" ca="1" si="207"/>
        <v>-949613064996614.63</v>
      </c>
      <c r="M5401" s="471">
        <f t="shared" si="209"/>
        <v>0.05</v>
      </c>
      <c r="N5401" s="475">
        <f t="shared" si="210"/>
        <v>215435</v>
      </c>
    </row>
    <row r="5402" spans="7:14" ht="11.25" customHeight="1" x14ac:dyDescent="0.3">
      <c r="G5402" s="470"/>
      <c r="H5402" s="470">
        <v>5395</v>
      </c>
      <c r="I5402" s="455">
        <f t="shared" ca="1" si="208"/>
        <v>-949613064996614.63</v>
      </c>
      <c r="J5402" s="455">
        <f t="array" ref="J5402">IFERROR(INDEX('Retirement Calculator'!J:J,MATCH('Isaac 401k'!N5402,'Retirement Calculator'!A:A,0),0),0)</f>
        <v>0</v>
      </c>
      <c r="K5402" s="455">
        <f t="shared" ca="1" si="206"/>
        <v>-3956721104152.5605</v>
      </c>
      <c r="L5402" s="455">
        <f t="shared" ca="1" si="207"/>
        <v>-953569786100767.13</v>
      </c>
      <c r="M5402" s="471">
        <f t="shared" si="209"/>
        <v>0.05</v>
      </c>
      <c r="N5402" s="475">
        <f t="shared" si="210"/>
        <v>215465</v>
      </c>
    </row>
    <row r="5403" spans="7:14" ht="11.25" customHeight="1" x14ac:dyDescent="0.3">
      <c r="G5403" s="470"/>
      <c r="H5403" s="470">
        <v>5396</v>
      </c>
      <c r="I5403" s="455">
        <f t="shared" ca="1" si="208"/>
        <v>-953569786100767.13</v>
      </c>
      <c r="J5403" s="455">
        <f t="array" ref="J5403">IFERROR(INDEX('Retirement Calculator'!J:J,MATCH('Isaac 401k'!N5403,'Retirement Calculator'!A:A,0),0),0)</f>
        <v>0</v>
      </c>
      <c r="K5403" s="455">
        <f t="shared" ca="1" si="206"/>
        <v>-3973207442086.5298</v>
      </c>
      <c r="L5403" s="455">
        <f t="shared" ca="1" si="207"/>
        <v>-957542993542853.63</v>
      </c>
      <c r="M5403" s="471">
        <f t="shared" si="209"/>
        <v>0.05</v>
      </c>
      <c r="N5403" s="475">
        <f t="shared" si="210"/>
        <v>215496</v>
      </c>
    </row>
    <row r="5404" spans="7:14" ht="11.25" customHeight="1" x14ac:dyDescent="0.3">
      <c r="G5404" s="470"/>
      <c r="H5404" s="470">
        <v>5397</v>
      </c>
      <c r="I5404" s="455">
        <f t="shared" ca="1" si="208"/>
        <v>-957542993542853.63</v>
      </c>
      <c r="J5404" s="455">
        <f t="array" ref="J5404">IFERROR(INDEX('Retirement Calculator'!J:J,MATCH('Isaac 401k'!N5404,'Retirement Calculator'!A:A,0),0),0)</f>
        <v>0</v>
      </c>
      <c r="K5404" s="455">
        <f t="shared" ca="1" si="206"/>
        <v>-3989762473095.2227</v>
      </c>
      <c r="L5404" s="455">
        <f t="shared" ca="1" si="207"/>
        <v>-961532756015948.88</v>
      </c>
      <c r="M5404" s="471">
        <f t="shared" si="209"/>
        <v>0.05</v>
      </c>
      <c r="N5404" s="475">
        <f t="shared" si="210"/>
        <v>215527</v>
      </c>
    </row>
    <row r="5405" spans="7:14" ht="11.25" customHeight="1" x14ac:dyDescent="0.3">
      <c r="G5405" s="470"/>
      <c r="H5405" s="470">
        <v>5398</v>
      </c>
      <c r="I5405" s="455">
        <f t="shared" ca="1" si="208"/>
        <v>-961532756015948.88</v>
      </c>
      <c r="J5405" s="455">
        <f t="array" ref="J5405">IFERROR(INDEX('Retirement Calculator'!J:J,MATCH('Isaac 401k'!N5405,'Retirement Calculator'!A:A,0),0),0)</f>
        <v>0</v>
      </c>
      <c r="K5405" s="455">
        <f t="shared" ca="1" si="206"/>
        <v>-4006386483399.7871</v>
      </c>
      <c r="L5405" s="455">
        <f t="shared" ca="1" si="207"/>
        <v>-965539142499348.63</v>
      </c>
      <c r="M5405" s="471">
        <f t="shared" si="209"/>
        <v>0.05</v>
      </c>
      <c r="N5405" s="475">
        <f t="shared" si="210"/>
        <v>215555</v>
      </c>
    </row>
    <row r="5406" spans="7:14" ht="11.25" customHeight="1" x14ac:dyDescent="0.3">
      <c r="G5406" s="470"/>
      <c r="H5406" s="470">
        <v>5399</v>
      </c>
      <c r="I5406" s="455">
        <f t="shared" ca="1" si="208"/>
        <v>-965539142499348.63</v>
      </c>
      <c r="J5406" s="455">
        <f t="array" ref="J5406">IFERROR(INDEX('Retirement Calculator'!J:J,MATCH('Isaac 401k'!N5406,'Retirement Calculator'!A:A,0),0),0)</f>
        <v>0</v>
      </c>
      <c r="K5406" s="455">
        <f t="shared" ca="1" si="206"/>
        <v>-4023079760413.9521</v>
      </c>
      <c r="L5406" s="455">
        <f t="shared" ca="1" si="207"/>
        <v>-969562222259762.63</v>
      </c>
      <c r="M5406" s="471">
        <f t="shared" si="209"/>
        <v>0.05</v>
      </c>
      <c r="N5406" s="475">
        <f t="shared" si="210"/>
        <v>215586</v>
      </c>
    </row>
    <row r="5407" spans="7:14" ht="11.25" customHeight="1" x14ac:dyDescent="0.3">
      <c r="G5407" s="470"/>
      <c r="H5407" s="470">
        <v>5400</v>
      </c>
      <c r="I5407" s="455">
        <f t="shared" ca="1" si="208"/>
        <v>-969562222259762.63</v>
      </c>
      <c r="J5407" s="455">
        <f t="array" ref="J5407">IFERROR(INDEX('Retirement Calculator'!J:J,MATCH('Isaac 401k'!N5407,'Retirement Calculator'!A:A,0),0),0)</f>
        <v>0</v>
      </c>
      <c r="K5407" s="455">
        <f t="shared" ca="1" si="206"/>
        <v>-4039842592749.0107</v>
      </c>
      <c r="L5407" s="455">
        <f t="shared" ca="1" si="207"/>
        <v>-973602064852511.63</v>
      </c>
      <c r="M5407" s="471">
        <f t="shared" si="209"/>
        <v>0.05</v>
      </c>
      <c r="N5407" s="475">
        <f t="shared" si="210"/>
        <v>215616</v>
      </c>
    </row>
    <row r="5408" spans="7:14" ht="11.25" customHeight="1" x14ac:dyDescent="0.3">
      <c r="G5408" s="470"/>
      <c r="H5408" s="470">
        <v>5401</v>
      </c>
      <c r="I5408" s="455">
        <f t="shared" ca="1" si="208"/>
        <v>-973602064852511.63</v>
      </c>
      <c r="J5408" s="455">
        <f t="array" ref="J5408">IFERROR(INDEX('Retirement Calculator'!J:J,MATCH('Isaac 401k'!N5408,'Retirement Calculator'!A:A,0),0),0)</f>
        <v>0</v>
      </c>
      <c r="K5408" s="455">
        <f t="shared" ca="1" si="206"/>
        <v>-4056675270218.7983</v>
      </c>
      <c r="L5408" s="455">
        <f t="shared" ca="1" si="207"/>
        <v>-977658740122730.38</v>
      </c>
      <c r="M5408" s="471">
        <f t="shared" si="209"/>
        <v>0.05</v>
      </c>
      <c r="N5408" s="475">
        <f t="shared" si="210"/>
        <v>215647</v>
      </c>
    </row>
    <row r="5409" spans="7:14" ht="11.25" customHeight="1" x14ac:dyDescent="0.3">
      <c r="G5409" s="470"/>
      <c r="H5409" s="470">
        <v>5402</v>
      </c>
      <c r="I5409" s="455">
        <f t="shared" ca="1" si="208"/>
        <v>-977658740122730.38</v>
      </c>
      <c r="J5409" s="455">
        <f t="array" ref="J5409">IFERROR(INDEX('Retirement Calculator'!J:J,MATCH('Isaac 401k'!N5409,'Retirement Calculator'!A:A,0),0),0)</f>
        <v>0</v>
      </c>
      <c r="K5409" s="455">
        <f t="shared" ca="1" si="206"/>
        <v>-4073578083844.7104</v>
      </c>
      <c r="L5409" s="455">
        <f t="shared" ca="1" si="207"/>
        <v>-981732318206575.13</v>
      </c>
      <c r="M5409" s="471">
        <f t="shared" si="209"/>
        <v>0.05</v>
      </c>
      <c r="N5409" s="475">
        <f t="shared" si="210"/>
        <v>215677</v>
      </c>
    </row>
    <row r="5410" spans="7:14" ht="11.25" customHeight="1" x14ac:dyDescent="0.3">
      <c r="G5410" s="470"/>
      <c r="H5410" s="470">
        <v>5403</v>
      </c>
      <c r="I5410" s="455">
        <f t="shared" ca="1" si="208"/>
        <v>-981732318206575.13</v>
      </c>
      <c r="J5410" s="455">
        <f t="array" ref="J5410">IFERROR(INDEX('Retirement Calculator'!J:J,MATCH('Isaac 401k'!N5410,'Retirement Calculator'!A:A,0),0),0)</f>
        <v>0</v>
      </c>
      <c r="K5410" s="455">
        <f t="shared" ca="1" si="206"/>
        <v>-4090551325860.7295</v>
      </c>
      <c r="L5410" s="455">
        <f t="shared" ca="1" si="207"/>
        <v>-985822869532435.88</v>
      </c>
      <c r="M5410" s="471">
        <f t="shared" si="209"/>
        <v>0.05</v>
      </c>
      <c r="N5410" s="475">
        <f t="shared" si="210"/>
        <v>215708</v>
      </c>
    </row>
    <row r="5411" spans="7:14" ht="11.25" customHeight="1" x14ac:dyDescent="0.3">
      <c r="G5411" s="470"/>
      <c r="H5411" s="470">
        <v>5404</v>
      </c>
      <c r="I5411" s="455">
        <f t="shared" ca="1" si="208"/>
        <v>-985822869532435.88</v>
      </c>
      <c r="J5411" s="455">
        <f t="array" ref="J5411">IFERROR(INDEX('Retirement Calculator'!J:J,MATCH('Isaac 401k'!N5411,'Retirement Calculator'!A:A,0),0),0)</f>
        <v>0</v>
      </c>
      <c r="K5411" s="455">
        <f t="shared" ca="1" si="206"/>
        <v>-4107595289718.4834</v>
      </c>
      <c r="L5411" s="455">
        <f t="shared" ca="1" si="207"/>
        <v>-989930464822154.38</v>
      </c>
      <c r="M5411" s="471">
        <f t="shared" si="209"/>
        <v>0.05</v>
      </c>
      <c r="N5411" s="475">
        <f t="shared" si="210"/>
        <v>215739</v>
      </c>
    </row>
    <row r="5412" spans="7:14" ht="11.25" customHeight="1" x14ac:dyDescent="0.3">
      <c r="G5412" s="470"/>
      <c r="H5412" s="470">
        <v>5405</v>
      </c>
      <c r="I5412" s="455">
        <f t="shared" ca="1" si="208"/>
        <v>-989930464822154.38</v>
      </c>
      <c r="J5412" s="455">
        <f t="array" ref="J5412">IFERROR(INDEX('Retirement Calculator'!J:J,MATCH('Isaac 401k'!N5412,'Retirement Calculator'!A:A,0),0),0)</f>
        <v>0</v>
      </c>
      <c r="K5412" s="455">
        <f t="shared" ca="1" si="206"/>
        <v>-4124710270092.3101</v>
      </c>
      <c r="L5412" s="455">
        <f t="shared" ca="1" si="207"/>
        <v>-994055175092246.63</v>
      </c>
      <c r="M5412" s="471">
        <f t="shared" si="209"/>
        <v>0.05</v>
      </c>
      <c r="N5412" s="475">
        <f t="shared" si="210"/>
        <v>215769</v>
      </c>
    </row>
    <row r="5413" spans="7:14" ht="11.25" customHeight="1" x14ac:dyDescent="0.3">
      <c r="G5413" s="470"/>
      <c r="H5413" s="470">
        <v>5406</v>
      </c>
      <c r="I5413" s="455">
        <f t="shared" ca="1" si="208"/>
        <v>-994055175092246.63</v>
      </c>
      <c r="J5413" s="455">
        <f t="array" ref="J5413">IFERROR(INDEX('Retirement Calculator'!J:J,MATCH('Isaac 401k'!N5413,'Retirement Calculator'!A:A,0),0),0)</f>
        <v>0</v>
      </c>
      <c r="K5413" s="455">
        <f t="shared" ca="1" si="206"/>
        <v>-4141896562884.3604</v>
      </c>
      <c r="L5413" s="455">
        <f t="shared" ca="1" si="207"/>
        <v>-998197071655131</v>
      </c>
      <c r="M5413" s="471">
        <f t="shared" si="209"/>
        <v>0.05</v>
      </c>
      <c r="N5413" s="475">
        <f t="shared" si="210"/>
        <v>215800</v>
      </c>
    </row>
    <row r="5414" spans="7:14" ht="11.25" customHeight="1" x14ac:dyDescent="0.3">
      <c r="G5414" s="470"/>
      <c r="H5414" s="470">
        <v>5407</v>
      </c>
      <c r="I5414" s="455">
        <f t="shared" ca="1" si="208"/>
        <v>-998197071655131</v>
      </c>
      <c r="J5414" s="455">
        <f t="array" ref="J5414">IFERROR(INDEX('Retirement Calculator'!J:J,MATCH('Isaac 401k'!N5414,'Retirement Calculator'!A:A,0),0),0)</f>
        <v>0</v>
      </c>
      <c r="K5414" s="455">
        <f t="shared" ca="1" si="206"/>
        <v>-4159154465229.7124</v>
      </c>
      <c r="L5414" s="455">
        <f t="shared" ca="1" si="207"/>
        <v>-1002356226120360.8</v>
      </c>
      <c r="M5414" s="471">
        <f t="shared" si="209"/>
        <v>0.05</v>
      </c>
      <c r="N5414" s="475">
        <f t="shared" si="210"/>
        <v>215830</v>
      </c>
    </row>
    <row r="5415" spans="7:14" ht="11.25" customHeight="1" x14ac:dyDescent="0.3">
      <c r="G5415" s="470"/>
      <c r="H5415" s="470">
        <v>5408</v>
      </c>
      <c r="I5415" s="455">
        <f t="shared" ca="1" si="208"/>
        <v>-1002356226120360.8</v>
      </c>
      <c r="J5415" s="455">
        <f t="array" ref="J5415">IFERROR(INDEX('Retirement Calculator'!J:J,MATCH('Isaac 401k'!N5415,'Retirement Calculator'!A:A,0),0),0)</f>
        <v>0</v>
      </c>
      <c r="K5415" s="455">
        <f t="shared" ca="1" si="206"/>
        <v>-4176484275501.5024</v>
      </c>
      <c r="L5415" s="455">
        <f t="shared" ca="1" si="207"/>
        <v>-1006532710395862.3</v>
      </c>
      <c r="M5415" s="471">
        <f t="shared" si="209"/>
        <v>0.05</v>
      </c>
      <c r="N5415" s="475">
        <f t="shared" si="210"/>
        <v>215861</v>
      </c>
    </row>
    <row r="5416" spans="7:14" ht="11.25" customHeight="1" x14ac:dyDescent="0.3">
      <c r="G5416" s="470"/>
      <c r="H5416" s="470">
        <v>5409</v>
      </c>
      <c r="I5416" s="455">
        <f t="shared" ca="1" si="208"/>
        <v>-1006532710395862.3</v>
      </c>
      <c r="J5416" s="455">
        <f t="array" ref="J5416">IFERROR(INDEX('Retirement Calculator'!J:J,MATCH('Isaac 401k'!N5416,'Retirement Calculator'!A:A,0),0),0)</f>
        <v>0</v>
      </c>
      <c r="K5416" s="455">
        <f t="shared" ca="1" si="206"/>
        <v>-4193886293316.0928</v>
      </c>
      <c r="L5416" s="455">
        <f t="shared" ca="1" si="207"/>
        <v>-1010726596689178.4</v>
      </c>
      <c r="M5416" s="471">
        <f t="shared" si="209"/>
        <v>0.05</v>
      </c>
      <c r="N5416" s="475">
        <f t="shared" si="210"/>
        <v>215892</v>
      </c>
    </row>
    <row r="5417" spans="7:14" ht="11.25" customHeight="1" x14ac:dyDescent="0.3">
      <c r="G5417" s="470"/>
      <c r="H5417" s="470">
        <v>5410</v>
      </c>
      <c r="I5417" s="455">
        <f t="shared" ca="1" si="208"/>
        <v>-1010726596689178.4</v>
      </c>
      <c r="J5417" s="455">
        <f t="array" ref="J5417">IFERROR(INDEX('Retirement Calculator'!J:J,MATCH('Isaac 401k'!N5417,'Retirement Calculator'!A:A,0),0),0)</f>
        <v>0</v>
      </c>
      <c r="K5417" s="455">
        <f t="shared" ca="1" si="206"/>
        <v>-4211360819538.2432</v>
      </c>
      <c r="L5417" s="455">
        <f t="shared" ca="1" si="207"/>
        <v>-1014937957508716.6</v>
      </c>
      <c r="M5417" s="471">
        <f t="shared" si="209"/>
        <v>0.05</v>
      </c>
      <c r="N5417" s="475">
        <f t="shared" si="210"/>
        <v>215920</v>
      </c>
    </row>
    <row r="5418" spans="7:14" ht="11.25" customHeight="1" x14ac:dyDescent="0.3">
      <c r="G5418" s="470"/>
      <c r="H5418" s="470">
        <v>5411</v>
      </c>
      <c r="I5418" s="455">
        <f t="shared" ca="1" si="208"/>
        <v>-1014937957508716.6</v>
      </c>
      <c r="J5418" s="455">
        <f t="array" ref="J5418">IFERROR(INDEX('Retirement Calculator'!J:J,MATCH('Isaac 401k'!N5418,'Retirement Calculator'!A:A,0),0),0)</f>
        <v>0</v>
      </c>
      <c r="K5418" s="455">
        <f t="shared" ca="1" si="206"/>
        <v>-4228908156286.3193</v>
      </c>
      <c r="L5418" s="455">
        <f t="shared" ca="1" si="207"/>
        <v>-1019166865665003</v>
      </c>
      <c r="M5418" s="471">
        <f t="shared" si="209"/>
        <v>0.05</v>
      </c>
      <c r="N5418" s="475">
        <f t="shared" si="210"/>
        <v>215951</v>
      </c>
    </row>
    <row r="5419" spans="7:14" ht="11.25" customHeight="1" x14ac:dyDescent="0.3">
      <c r="G5419" s="470"/>
      <c r="H5419" s="470">
        <v>5412</v>
      </c>
      <c r="I5419" s="455">
        <f t="shared" ca="1" si="208"/>
        <v>-1019166865665003</v>
      </c>
      <c r="J5419" s="455">
        <f t="array" ref="J5419">IFERROR(INDEX('Retirement Calculator'!J:J,MATCH('Isaac 401k'!N5419,'Retirement Calculator'!A:A,0),0),0)</f>
        <v>0</v>
      </c>
      <c r="K5419" s="455">
        <f t="shared" ca="1" si="206"/>
        <v>-4246528606937.5122</v>
      </c>
      <c r="L5419" s="455">
        <f t="shared" ca="1" si="207"/>
        <v>-1023413394271940.5</v>
      </c>
      <c r="M5419" s="471">
        <f t="shared" si="209"/>
        <v>0.05</v>
      </c>
      <c r="N5419" s="475">
        <f t="shared" si="210"/>
        <v>215981</v>
      </c>
    </row>
    <row r="5420" spans="7:14" ht="11.25" customHeight="1" x14ac:dyDescent="0.3">
      <c r="G5420" s="470"/>
      <c r="H5420" s="470">
        <v>5413</v>
      </c>
      <c r="I5420" s="455">
        <f t="shared" ca="1" si="208"/>
        <v>-1023413394271940.5</v>
      </c>
      <c r="J5420" s="455">
        <f t="array" ref="J5420">IFERROR(INDEX('Retirement Calculator'!J:J,MATCH('Isaac 401k'!N5420,'Retirement Calculator'!A:A,0),0),0)</f>
        <v>0</v>
      </c>
      <c r="K5420" s="455">
        <f t="shared" ca="1" si="206"/>
        <v>-4264222476133.0859</v>
      </c>
      <c r="L5420" s="455">
        <f t="shared" ca="1" si="207"/>
        <v>-1027677616748073.6</v>
      </c>
      <c r="M5420" s="471">
        <f t="shared" si="209"/>
        <v>0.05</v>
      </c>
      <c r="N5420" s="475">
        <f t="shared" si="210"/>
        <v>216012</v>
      </c>
    </row>
    <row r="5421" spans="7:14" ht="11.25" customHeight="1" x14ac:dyDescent="0.3">
      <c r="G5421" s="470"/>
      <c r="H5421" s="470">
        <v>5414</v>
      </c>
      <c r="I5421" s="455">
        <f t="shared" ca="1" si="208"/>
        <v>-1027677616748073.6</v>
      </c>
      <c r="J5421" s="455">
        <f t="array" ref="J5421">IFERROR(INDEX('Retirement Calculator'!J:J,MATCH('Isaac 401k'!N5421,'Retirement Calculator'!A:A,0),0),0)</f>
        <v>0</v>
      </c>
      <c r="K5421" s="455">
        <f t="shared" ca="1" si="206"/>
        <v>-4281990069783.6401</v>
      </c>
      <c r="L5421" s="455">
        <f t="shared" ca="1" si="207"/>
        <v>-1031959606817857.3</v>
      </c>
      <c r="M5421" s="471">
        <f t="shared" si="209"/>
        <v>0.05</v>
      </c>
      <c r="N5421" s="475">
        <f t="shared" si="210"/>
        <v>216042</v>
      </c>
    </row>
    <row r="5422" spans="7:14" ht="11.25" customHeight="1" x14ac:dyDescent="0.3">
      <c r="G5422" s="470"/>
      <c r="H5422" s="470">
        <v>5415</v>
      </c>
      <c r="I5422" s="455">
        <f t="shared" ca="1" si="208"/>
        <v>-1031959606817857.3</v>
      </c>
      <c r="J5422" s="455">
        <f t="array" ref="J5422">IFERROR(INDEX('Retirement Calculator'!J:J,MATCH('Isaac 401k'!N5422,'Retirement Calculator'!A:A,0),0),0)</f>
        <v>0</v>
      </c>
      <c r="K5422" s="455">
        <f t="shared" ca="1" si="206"/>
        <v>-4299831695074.4053</v>
      </c>
      <c r="L5422" s="455">
        <f t="shared" ca="1" si="207"/>
        <v>-1036259438512931.6</v>
      </c>
      <c r="M5422" s="471">
        <f t="shared" si="209"/>
        <v>0.05</v>
      </c>
      <c r="N5422" s="475">
        <f t="shared" si="210"/>
        <v>216073</v>
      </c>
    </row>
    <row r="5423" spans="7:14" ht="11.25" customHeight="1" x14ac:dyDescent="0.3">
      <c r="G5423" s="470"/>
      <c r="H5423" s="470">
        <v>5416</v>
      </c>
      <c r="I5423" s="455">
        <f t="shared" ca="1" si="208"/>
        <v>-1036259438512931.6</v>
      </c>
      <c r="J5423" s="455">
        <f t="array" ref="J5423">IFERROR(INDEX('Retirement Calculator'!J:J,MATCH('Isaac 401k'!N5423,'Retirement Calculator'!A:A,0),0),0)</f>
        <v>0</v>
      </c>
      <c r="K5423" s="455">
        <f t="shared" ca="1" si="206"/>
        <v>-4317747660470.5483</v>
      </c>
      <c r="L5423" s="455">
        <f t="shared" ca="1" si="207"/>
        <v>-1040577186173402.1</v>
      </c>
      <c r="M5423" s="471">
        <f t="shared" si="209"/>
        <v>0.05</v>
      </c>
      <c r="N5423" s="475">
        <f t="shared" si="210"/>
        <v>216104</v>
      </c>
    </row>
    <row r="5424" spans="7:14" ht="11.25" customHeight="1" x14ac:dyDescent="0.3">
      <c r="G5424" s="470"/>
      <c r="H5424" s="470">
        <v>5417</v>
      </c>
      <c r="I5424" s="455">
        <f t="shared" ca="1" si="208"/>
        <v>-1040577186173402.1</v>
      </c>
      <c r="J5424" s="455">
        <f t="array" ref="J5424">IFERROR(INDEX('Retirement Calculator'!J:J,MATCH('Isaac 401k'!N5424,'Retirement Calculator'!A:A,0),0),0)</f>
        <v>0</v>
      </c>
      <c r="K5424" s="455">
        <f t="shared" ca="1" si="206"/>
        <v>-4335738275722.5093</v>
      </c>
      <c r="L5424" s="455">
        <f t="shared" ca="1" si="207"/>
        <v>-1044912924449124.6</v>
      </c>
      <c r="M5424" s="471">
        <f t="shared" si="209"/>
        <v>0.05</v>
      </c>
      <c r="N5424" s="475">
        <f t="shared" si="210"/>
        <v>216134</v>
      </c>
    </row>
    <row r="5425" spans="7:14" ht="11.25" customHeight="1" x14ac:dyDescent="0.3">
      <c r="G5425" s="470"/>
      <c r="H5425" s="470">
        <v>5418</v>
      </c>
      <c r="I5425" s="455">
        <f t="shared" ca="1" si="208"/>
        <v>-1044912924449124.6</v>
      </c>
      <c r="J5425" s="455">
        <f t="array" ref="J5425">IFERROR(INDEX('Retirement Calculator'!J:J,MATCH('Isaac 401k'!N5425,'Retirement Calculator'!A:A,0),0),0)</f>
        <v>0</v>
      </c>
      <c r="K5425" s="455">
        <f t="shared" ca="1" si="206"/>
        <v>-4353803851871.3525</v>
      </c>
      <c r="L5425" s="455">
        <f t="shared" ca="1" si="207"/>
        <v>-1049266728300996</v>
      </c>
      <c r="M5425" s="471">
        <f t="shared" si="209"/>
        <v>0.05</v>
      </c>
      <c r="N5425" s="475">
        <f t="shared" si="210"/>
        <v>216165</v>
      </c>
    </row>
    <row r="5426" spans="7:14" ht="11.25" customHeight="1" x14ac:dyDescent="0.3">
      <c r="G5426" s="470"/>
      <c r="H5426" s="470">
        <v>5419</v>
      </c>
      <c r="I5426" s="455">
        <f t="shared" ca="1" si="208"/>
        <v>-1049266728300996</v>
      </c>
      <c r="J5426" s="455">
        <f t="array" ref="J5426">IFERROR(INDEX('Retirement Calculator'!J:J,MATCH('Isaac 401k'!N5426,'Retirement Calculator'!A:A,0),0),0)</f>
        <v>0</v>
      </c>
      <c r="K5426" s="455">
        <f t="shared" ca="1" si="206"/>
        <v>-4371944701254.1499</v>
      </c>
      <c r="L5426" s="455">
        <f t="shared" ca="1" si="207"/>
        <v>-1053638673002250.1</v>
      </c>
      <c r="M5426" s="471">
        <f t="shared" si="209"/>
        <v>0.05</v>
      </c>
      <c r="N5426" s="475">
        <f t="shared" si="210"/>
        <v>216195</v>
      </c>
    </row>
    <row r="5427" spans="7:14" ht="11.25" customHeight="1" x14ac:dyDescent="0.3">
      <c r="G5427" s="470"/>
      <c r="H5427" s="470">
        <v>5420</v>
      </c>
      <c r="I5427" s="455">
        <f t="shared" ca="1" si="208"/>
        <v>-1053638673002250.1</v>
      </c>
      <c r="J5427" s="455">
        <f t="array" ref="J5427">IFERROR(INDEX('Retirement Calculator'!J:J,MATCH('Isaac 401k'!N5427,'Retirement Calculator'!A:A,0),0),0)</f>
        <v>0</v>
      </c>
      <c r="K5427" s="455">
        <f t="shared" ca="1" si="206"/>
        <v>-4390161137509.3755</v>
      </c>
      <c r="L5427" s="455">
        <f t="shared" ca="1" si="207"/>
        <v>-1058028834139759.5</v>
      </c>
      <c r="M5427" s="471">
        <f t="shared" si="209"/>
        <v>0.05</v>
      </c>
      <c r="N5427" s="475">
        <f t="shared" si="210"/>
        <v>216226</v>
      </c>
    </row>
    <row r="5428" spans="7:14" ht="11.25" customHeight="1" x14ac:dyDescent="0.3">
      <c r="G5428" s="470"/>
      <c r="H5428" s="470">
        <v>5421</v>
      </c>
      <c r="I5428" s="455">
        <f t="shared" ca="1" si="208"/>
        <v>-1058028834139759.5</v>
      </c>
      <c r="J5428" s="455">
        <f t="array" ref="J5428">IFERROR(INDEX('Retirement Calculator'!J:J,MATCH('Isaac 401k'!N5428,'Retirement Calculator'!A:A,0),0),0)</f>
        <v>0</v>
      </c>
      <c r="K5428" s="455">
        <f t="shared" ca="1" si="206"/>
        <v>-4408453475582.3311</v>
      </c>
      <c r="L5428" s="455">
        <f t="shared" ca="1" si="207"/>
        <v>-1062437287615341.9</v>
      </c>
      <c r="M5428" s="471">
        <f t="shared" si="209"/>
        <v>0.05</v>
      </c>
      <c r="N5428" s="475">
        <f t="shared" si="210"/>
        <v>216257</v>
      </c>
    </row>
    <row r="5429" spans="7:14" ht="11.25" customHeight="1" x14ac:dyDescent="0.3">
      <c r="G5429" s="470"/>
      <c r="H5429" s="470">
        <v>5422</v>
      </c>
      <c r="I5429" s="455">
        <f t="shared" ca="1" si="208"/>
        <v>-1062437287615341.9</v>
      </c>
      <c r="J5429" s="455">
        <f t="array" ref="J5429">IFERROR(INDEX('Retirement Calculator'!J:J,MATCH('Isaac 401k'!N5429,'Retirement Calculator'!A:A,0),0),0)</f>
        <v>0</v>
      </c>
      <c r="K5429" s="455">
        <f t="shared" ca="1" si="206"/>
        <v>-4426822031730.5918</v>
      </c>
      <c r="L5429" s="455">
        <f t="shared" ca="1" si="207"/>
        <v>-1066864109647072.5</v>
      </c>
      <c r="M5429" s="471">
        <f t="shared" si="209"/>
        <v>0.05</v>
      </c>
      <c r="N5429" s="475">
        <f t="shared" si="210"/>
        <v>216286</v>
      </c>
    </row>
    <row r="5430" spans="7:14" ht="11.25" customHeight="1" x14ac:dyDescent="0.3">
      <c r="G5430" s="470"/>
      <c r="H5430" s="470">
        <v>5423</v>
      </c>
      <c r="I5430" s="455">
        <f t="shared" ca="1" si="208"/>
        <v>-1066864109647072.5</v>
      </c>
      <c r="J5430" s="455">
        <f t="array" ref="J5430">IFERROR(INDEX('Retirement Calculator'!J:J,MATCH('Isaac 401k'!N5430,'Retirement Calculator'!A:A,0),0),0)</f>
        <v>0</v>
      </c>
      <c r="K5430" s="455">
        <f t="shared" ca="1" si="206"/>
        <v>-4445267123529.4678</v>
      </c>
      <c r="L5430" s="455">
        <f t="shared" ca="1" si="207"/>
        <v>-1071309376770602</v>
      </c>
      <c r="M5430" s="471">
        <f t="shared" si="209"/>
        <v>0.05</v>
      </c>
      <c r="N5430" s="475">
        <f t="shared" si="210"/>
        <v>216317</v>
      </c>
    </row>
    <row r="5431" spans="7:14" ht="11.25" customHeight="1" x14ac:dyDescent="0.3">
      <c r="G5431" s="470"/>
      <c r="H5431" s="470">
        <v>5424</v>
      </c>
      <c r="I5431" s="455">
        <f t="shared" ca="1" si="208"/>
        <v>-1071309376770602</v>
      </c>
      <c r="J5431" s="455">
        <f t="array" ref="J5431">IFERROR(INDEX('Retirement Calculator'!J:J,MATCH('Isaac 401k'!N5431,'Retirement Calculator'!A:A,0),0),0)</f>
        <v>0</v>
      </c>
      <c r="K5431" s="455">
        <f t="shared" ca="1" si="206"/>
        <v>-4463789069877.5078</v>
      </c>
      <c r="L5431" s="455">
        <f t="shared" ca="1" si="207"/>
        <v>-1075773165840479.5</v>
      </c>
      <c r="M5431" s="471">
        <f t="shared" si="209"/>
        <v>0.05</v>
      </c>
      <c r="N5431" s="475">
        <f t="shared" si="210"/>
        <v>216347</v>
      </c>
    </row>
    <row r="5432" spans="7:14" ht="11.25" customHeight="1" x14ac:dyDescent="0.3">
      <c r="G5432" s="470"/>
      <c r="H5432" s="470">
        <v>5425</v>
      </c>
      <c r="I5432" s="455">
        <f t="shared" ca="1" si="208"/>
        <v>-1075773165840479.5</v>
      </c>
      <c r="J5432" s="455">
        <f t="array" ref="J5432">IFERROR(INDEX('Retirement Calculator'!J:J,MATCH('Isaac 401k'!N5432,'Retirement Calculator'!A:A,0),0),0)</f>
        <v>0</v>
      </c>
      <c r="K5432" s="455">
        <f t="shared" ca="1" si="206"/>
        <v>-4482388191001.998</v>
      </c>
      <c r="L5432" s="455">
        <f t="shared" ca="1" si="207"/>
        <v>-1080255554031481.5</v>
      </c>
      <c r="M5432" s="471">
        <f t="shared" si="209"/>
        <v>0.05</v>
      </c>
      <c r="N5432" s="475">
        <f t="shared" si="210"/>
        <v>216378</v>
      </c>
    </row>
    <row r="5433" spans="7:14" ht="11.25" customHeight="1" x14ac:dyDescent="0.3">
      <c r="G5433" s="470"/>
      <c r="H5433" s="470">
        <v>5426</v>
      </c>
      <c r="I5433" s="455">
        <f t="shared" ca="1" si="208"/>
        <v>-1080255554031481.5</v>
      </c>
      <c r="J5433" s="455">
        <f t="array" ref="J5433">IFERROR(INDEX('Retirement Calculator'!J:J,MATCH('Isaac 401k'!N5433,'Retirement Calculator'!A:A,0),0),0)</f>
        <v>0</v>
      </c>
      <c r="K5433" s="455">
        <f t="shared" ca="1" si="206"/>
        <v>-4501064808464.5059</v>
      </c>
      <c r="L5433" s="455">
        <f t="shared" ca="1" si="207"/>
        <v>-1084756618839946</v>
      </c>
      <c r="M5433" s="471">
        <f t="shared" si="209"/>
        <v>0.05</v>
      </c>
      <c r="N5433" s="475">
        <f t="shared" si="210"/>
        <v>216408</v>
      </c>
    </row>
    <row r="5434" spans="7:14" ht="11.25" customHeight="1" x14ac:dyDescent="0.3">
      <c r="G5434" s="470"/>
      <c r="H5434" s="470">
        <v>5427</v>
      </c>
      <c r="I5434" s="455">
        <f t="shared" ca="1" si="208"/>
        <v>-1084756618839946</v>
      </c>
      <c r="J5434" s="455">
        <f t="array" ref="J5434">IFERROR(INDEX('Retirement Calculator'!J:J,MATCH('Isaac 401k'!N5434,'Retirement Calculator'!A:A,0),0),0)</f>
        <v>0</v>
      </c>
      <c r="K5434" s="455">
        <f t="shared" ca="1" si="206"/>
        <v>-4519819245166.4414</v>
      </c>
      <c r="L5434" s="455">
        <f t="shared" ca="1" si="207"/>
        <v>-1089276438085112.5</v>
      </c>
      <c r="M5434" s="471">
        <f t="shared" si="209"/>
        <v>0.05</v>
      </c>
      <c r="N5434" s="475">
        <f t="shared" si="210"/>
        <v>216439</v>
      </c>
    </row>
    <row r="5435" spans="7:14" ht="11.25" customHeight="1" x14ac:dyDescent="0.3">
      <c r="G5435" s="470"/>
      <c r="H5435" s="470">
        <v>5428</v>
      </c>
      <c r="I5435" s="455">
        <f t="shared" ca="1" si="208"/>
        <v>-1089276438085112.5</v>
      </c>
      <c r="J5435" s="455">
        <f t="array" ref="J5435">IFERROR(INDEX('Retirement Calculator'!J:J,MATCH('Isaac 401k'!N5435,'Retirement Calculator'!A:A,0),0),0)</f>
        <v>0</v>
      </c>
      <c r="K5435" s="455">
        <f t="shared" ca="1" si="206"/>
        <v>-4538651825354.6357</v>
      </c>
      <c r="L5435" s="455">
        <f t="shared" ca="1" si="207"/>
        <v>-1093815089910467.1</v>
      </c>
      <c r="M5435" s="471">
        <f t="shared" si="209"/>
        <v>0.05</v>
      </c>
      <c r="N5435" s="475">
        <f t="shared" si="210"/>
        <v>216470</v>
      </c>
    </row>
    <row r="5436" spans="7:14" ht="11.25" customHeight="1" x14ac:dyDescent="0.3">
      <c r="G5436" s="470"/>
      <c r="H5436" s="470">
        <v>5429</v>
      </c>
      <c r="I5436" s="455">
        <f t="shared" ca="1" si="208"/>
        <v>-1093815089910467.1</v>
      </c>
      <c r="J5436" s="455">
        <f t="array" ref="J5436">IFERROR(INDEX('Retirement Calculator'!J:J,MATCH('Isaac 401k'!N5436,'Retirement Calculator'!A:A,0),0),0)</f>
        <v>0</v>
      </c>
      <c r="K5436" s="455">
        <f t="shared" ca="1" si="206"/>
        <v>-4557562874626.9463</v>
      </c>
      <c r="L5436" s="455">
        <f t="shared" ca="1" si="207"/>
        <v>-1098372652785094.1</v>
      </c>
      <c r="M5436" s="471">
        <f t="shared" si="209"/>
        <v>0.05</v>
      </c>
      <c r="N5436" s="475">
        <f t="shared" si="210"/>
        <v>216500</v>
      </c>
    </row>
    <row r="5437" spans="7:14" ht="11.25" customHeight="1" x14ac:dyDescent="0.3">
      <c r="G5437" s="470"/>
      <c r="H5437" s="470">
        <v>5430</v>
      </c>
      <c r="I5437" s="455">
        <f t="shared" ca="1" si="208"/>
        <v>-1098372652785094.1</v>
      </c>
      <c r="J5437" s="455">
        <f t="array" ref="J5437">IFERROR(INDEX('Retirement Calculator'!J:J,MATCH('Isaac 401k'!N5437,'Retirement Calculator'!A:A,0),0),0)</f>
        <v>0</v>
      </c>
      <c r="K5437" s="455">
        <f t="shared" ca="1" si="206"/>
        <v>-4576552719937.8916</v>
      </c>
      <c r="L5437" s="455">
        <f t="shared" ca="1" si="207"/>
        <v>-1102949205505032</v>
      </c>
      <c r="M5437" s="471">
        <f t="shared" si="209"/>
        <v>0.05</v>
      </c>
      <c r="N5437" s="475">
        <f t="shared" si="210"/>
        <v>216531</v>
      </c>
    </row>
    <row r="5438" spans="7:14" ht="11.25" customHeight="1" x14ac:dyDescent="0.3">
      <c r="G5438" s="470"/>
      <c r="H5438" s="470">
        <v>5431</v>
      </c>
      <c r="I5438" s="455">
        <f t="shared" ca="1" si="208"/>
        <v>-1102949205505032</v>
      </c>
      <c r="J5438" s="455">
        <f t="array" ref="J5438">IFERROR(INDEX('Retirement Calculator'!J:J,MATCH('Isaac 401k'!N5438,'Retirement Calculator'!A:A,0),0),0)</f>
        <v>0</v>
      </c>
      <c r="K5438" s="455">
        <f t="shared" ca="1" si="206"/>
        <v>-4595621689604.2998</v>
      </c>
      <c r="L5438" s="455">
        <f t="shared" ca="1" si="207"/>
        <v>-1107544827194636.3</v>
      </c>
      <c r="M5438" s="471">
        <f t="shared" si="209"/>
        <v>0.05</v>
      </c>
      <c r="N5438" s="475">
        <f t="shared" si="210"/>
        <v>216561</v>
      </c>
    </row>
    <row r="5439" spans="7:14" ht="11.25" customHeight="1" x14ac:dyDescent="0.3">
      <c r="G5439" s="470"/>
      <c r="H5439" s="470">
        <v>5432</v>
      </c>
      <c r="I5439" s="455">
        <f t="shared" ca="1" si="208"/>
        <v>-1107544827194636.3</v>
      </c>
      <c r="J5439" s="455">
        <f t="array" ref="J5439">IFERROR(INDEX('Retirement Calculator'!J:J,MATCH('Isaac 401k'!N5439,'Retirement Calculator'!A:A,0),0),0)</f>
        <v>0</v>
      </c>
      <c r="K5439" s="455">
        <f t="shared" ca="1" si="206"/>
        <v>-4614770113310.9844</v>
      </c>
      <c r="L5439" s="455">
        <f t="shared" ca="1" si="207"/>
        <v>-1112159597307947.3</v>
      </c>
      <c r="M5439" s="471">
        <f t="shared" si="209"/>
        <v>0.05</v>
      </c>
      <c r="N5439" s="475">
        <f t="shared" si="210"/>
        <v>216592</v>
      </c>
    </row>
    <row r="5440" spans="7:14" ht="11.25" customHeight="1" x14ac:dyDescent="0.3">
      <c r="G5440" s="470"/>
      <c r="H5440" s="470">
        <v>5433</v>
      </c>
      <c r="I5440" s="455">
        <f t="shared" ca="1" si="208"/>
        <v>-1112159597307947.3</v>
      </c>
      <c r="J5440" s="455">
        <f t="array" ref="J5440">IFERROR(INDEX('Retirement Calculator'!J:J,MATCH('Isaac 401k'!N5440,'Retirement Calculator'!A:A,0),0),0)</f>
        <v>0</v>
      </c>
      <c r="K5440" s="455">
        <f t="shared" ca="1" si="206"/>
        <v>-4633998322116.4473</v>
      </c>
      <c r="L5440" s="455">
        <f t="shared" ca="1" si="207"/>
        <v>-1116793595630063.8</v>
      </c>
      <c r="M5440" s="471">
        <f t="shared" si="209"/>
        <v>0.05</v>
      </c>
      <c r="N5440" s="475">
        <f t="shared" si="210"/>
        <v>216623</v>
      </c>
    </row>
    <row r="5441" spans="7:14" ht="11.25" customHeight="1" x14ac:dyDescent="0.3">
      <c r="G5441" s="470"/>
      <c r="H5441" s="470">
        <v>5434</v>
      </c>
      <c r="I5441" s="455">
        <f t="shared" ca="1" si="208"/>
        <v>-1116793595630063.8</v>
      </c>
      <c r="J5441" s="455">
        <f t="array" ref="J5441">IFERROR(INDEX('Retirement Calculator'!J:J,MATCH('Isaac 401k'!N5441,'Retirement Calculator'!A:A,0),0),0)</f>
        <v>0</v>
      </c>
      <c r="K5441" s="455">
        <f t="shared" ca="1" si="206"/>
        <v>-4653306648458.5986</v>
      </c>
      <c r="L5441" s="455">
        <f t="shared" ca="1" si="207"/>
        <v>-1121446902278522.4</v>
      </c>
      <c r="M5441" s="471">
        <f t="shared" si="209"/>
        <v>0.05</v>
      </c>
      <c r="N5441" s="475">
        <f t="shared" si="210"/>
        <v>216651</v>
      </c>
    </row>
    <row r="5442" spans="7:14" ht="11.25" customHeight="1" x14ac:dyDescent="0.3">
      <c r="G5442" s="470"/>
      <c r="H5442" s="470">
        <v>5435</v>
      </c>
      <c r="I5442" s="455">
        <f t="shared" ca="1" si="208"/>
        <v>-1121446902278522.4</v>
      </c>
      <c r="J5442" s="455">
        <f t="array" ref="J5442">IFERROR(INDEX('Retirement Calculator'!J:J,MATCH('Isaac 401k'!N5442,'Retirement Calculator'!A:A,0),0),0)</f>
        <v>0</v>
      </c>
      <c r="K5442" s="455">
        <f t="shared" ca="1" si="206"/>
        <v>-4672695426160.5098</v>
      </c>
      <c r="L5442" s="455">
        <f t="shared" ca="1" si="207"/>
        <v>-1126119597704683</v>
      </c>
      <c r="M5442" s="471">
        <f t="shared" si="209"/>
        <v>0.05</v>
      </c>
      <c r="N5442" s="475">
        <f t="shared" si="210"/>
        <v>216682</v>
      </c>
    </row>
    <row r="5443" spans="7:14" ht="11.25" customHeight="1" x14ac:dyDescent="0.3">
      <c r="G5443" s="470"/>
      <c r="H5443" s="470">
        <v>5436</v>
      </c>
      <c r="I5443" s="455">
        <f t="shared" ca="1" si="208"/>
        <v>-1126119597704683</v>
      </c>
      <c r="J5443" s="455">
        <f t="array" ref="J5443">IFERROR(INDEX('Retirement Calculator'!J:J,MATCH('Isaac 401k'!N5443,'Retirement Calculator'!A:A,0),0),0)</f>
        <v>0</v>
      </c>
      <c r="K5443" s="455">
        <f t="shared" ca="1" si="206"/>
        <v>-4692164990436.1787</v>
      </c>
      <c r="L5443" s="455">
        <f t="shared" ca="1" si="207"/>
        <v>-1130811762695119.3</v>
      </c>
      <c r="M5443" s="471">
        <f t="shared" si="209"/>
        <v>0.05</v>
      </c>
      <c r="N5443" s="475">
        <f t="shared" si="210"/>
        <v>216712</v>
      </c>
    </row>
    <row r="5444" spans="7:14" ht="11.25" customHeight="1" x14ac:dyDescent="0.3">
      <c r="G5444" s="470"/>
      <c r="H5444" s="470">
        <v>5437</v>
      </c>
      <c r="I5444" s="455">
        <f t="shared" ca="1" si="208"/>
        <v>-1130811762695119.3</v>
      </c>
      <c r="J5444" s="455">
        <f t="array" ref="J5444">IFERROR(INDEX('Retirement Calculator'!J:J,MATCH('Isaac 401k'!N5444,'Retirement Calculator'!A:A,0),0),0)</f>
        <v>0</v>
      </c>
      <c r="K5444" s="455">
        <f t="shared" ca="1" si="206"/>
        <v>-4711715677896.3301</v>
      </c>
      <c r="L5444" s="455">
        <f t="shared" ca="1" si="207"/>
        <v>-1135523478373015.5</v>
      </c>
      <c r="M5444" s="471">
        <f t="shared" si="209"/>
        <v>0.05</v>
      </c>
      <c r="N5444" s="475">
        <f t="shared" si="210"/>
        <v>216743</v>
      </c>
    </row>
    <row r="5445" spans="7:14" ht="11.25" customHeight="1" x14ac:dyDescent="0.3">
      <c r="G5445" s="470"/>
      <c r="H5445" s="470">
        <v>5438</v>
      </c>
      <c r="I5445" s="455">
        <f t="shared" ca="1" si="208"/>
        <v>-1135523478373015.5</v>
      </c>
      <c r="J5445" s="455">
        <f t="array" ref="J5445">IFERROR(INDEX('Retirement Calculator'!J:J,MATCH('Isaac 401k'!N5445,'Retirement Calculator'!A:A,0),0),0)</f>
        <v>0</v>
      </c>
      <c r="K5445" s="455">
        <f t="shared" ca="1" si="206"/>
        <v>-4731347826554.2314</v>
      </c>
      <c r="L5445" s="455">
        <f t="shared" ca="1" si="207"/>
        <v>-1140254826199569.8</v>
      </c>
      <c r="M5445" s="471">
        <f t="shared" si="209"/>
        <v>0.05</v>
      </c>
      <c r="N5445" s="475">
        <f t="shared" si="210"/>
        <v>216773</v>
      </c>
    </row>
    <row r="5446" spans="7:14" ht="11.25" customHeight="1" x14ac:dyDescent="0.3">
      <c r="G5446" s="470"/>
      <c r="H5446" s="470">
        <v>5439</v>
      </c>
      <c r="I5446" s="455">
        <f t="shared" ca="1" si="208"/>
        <v>-1140254826199569.8</v>
      </c>
      <c r="J5446" s="455">
        <f t="array" ref="J5446">IFERROR(INDEX('Retirement Calculator'!J:J,MATCH('Isaac 401k'!N5446,'Retirement Calculator'!A:A,0),0),0)</f>
        <v>0</v>
      </c>
      <c r="K5446" s="455">
        <f t="shared" ca="1" si="206"/>
        <v>-4751061775831.541</v>
      </c>
      <c r="L5446" s="455">
        <f t="shared" ca="1" si="207"/>
        <v>-1145005887975401.3</v>
      </c>
      <c r="M5446" s="471">
        <f t="shared" si="209"/>
        <v>0.05</v>
      </c>
      <c r="N5446" s="475">
        <f t="shared" si="210"/>
        <v>216804</v>
      </c>
    </row>
    <row r="5447" spans="7:14" ht="11.25" customHeight="1" x14ac:dyDescent="0.3">
      <c r="G5447" s="470"/>
      <c r="H5447" s="470">
        <v>5440</v>
      </c>
      <c r="I5447" s="455">
        <f t="shared" ca="1" si="208"/>
        <v>-1145005887975401.3</v>
      </c>
      <c r="J5447" s="455">
        <f t="array" ref="J5447">IFERROR(INDEX('Retirement Calculator'!J:J,MATCH('Isaac 401k'!N5447,'Retirement Calculator'!A:A,0),0),0)</f>
        <v>0</v>
      </c>
      <c r="K5447" s="455">
        <f t="shared" ca="1" si="206"/>
        <v>-4770857866564.1719</v>
      </c>
      <c r="L5447" s="455">
        <f t="shared" ca="1" si="207"/>
        <v>-1149776745841965.5</v>
      </c>
      <c r="M5447" s="471">
        <f t="shared" si="209"/>
        <v>0.05</v>
      </c>
      <c r="N5447" s="475">
        <f t="shared" si="210"/>
        <v>216835</v>
      </c>
    </row>
    <row r="5448" spans="7:14" ht="11.25" customHeight="1" x14ac:dyDescent="0.3">
      <c r="G5448" s="470"/>
      <c r="H5448" s="470">
        <v>5441</v>
      </c>
      <c r="I5448" s="455">
        <f t="shared" ca="1" si="208"/>
        <v>-1149776745841965.5</v>
      </c>
      <c r="J5448" s="455">
        <f t="array" ref="J5448">IFERROR(INDEX('Retirement Calculator'!J:J,MATCH('Isaac 401k'!N5448,'Retirement Calculator'!A:A,0),0),0)</f>
        <v>0</v>
      </c>
      <c r="K5448" s="455">
        <f t="shared" ca="1" si="206"/>
        <v>-4790736441008.1895</v>
      </c>
      <c r="L5448" s="455">
        <f t="shared" ca="1" si="207"/>
        <v>-1154567482282973.8</v>
      </c>
      <c r="M5448" s="471">
        <f t="shared" si="209"/>
        <v>0.05</v>
      </c>
      <c r="N5448" s="475">
        <f t="shared" si="210"/>
        <v>216865</v>
      </c>
    </row>
    <row r="5449" spans="7:14" ht="11.25" customHeight="1" x14ac:dyDescent="0.3">
      <c r="G5449" s="470"/>
      <c r="H5449" s="470">
        <v>5442</v>
      </c>
      <c r="I5449" s="455">
        <f t="shared" ca="1" si="208"/>
        <v>-1154567482282973.8</v>
      </c>
      <c r="J5449" s="455">
        <f t="array" ref="J5449">IFERROR(INDEX('Retirement Calculator'!J:J,MATCH('Isaac 401k'!N5449,'Retirement Calculator'!A:A,0),0),0)</f>
        <v>0</v>
      </c>
      <c r="K5449" s="455">
        <f t="shared" ca="1" si="206"/>
        <v>-4810697842845.7236</v>
      </c>
      <c r="L5449" s="455">
        <f t="shared" ca="1" si="207"/>
        <v>-1159378180125819.5</v>
      </c>
      <c r="M5449" s="471">
        <f t="shared" si="209"/>
        <v>0.05</v>
      </c>
      <c r="N5449" s="475">
        <f t="shared" si="210"/>
        <v>216896</v>
      </c>
    </row>
    <row r="5450" spans="7:14" ht="11.25" customHeight="1" x14ac:dyDescent="0.3">
      <c r="G5450" s="470"/>
      <c r="H5450" s="470">
        <v>5443</v>
      </c>
      <c r="I5450" s="455">
        <f t="shared" ca="1" si="208"/>
        <v>-1159378180125819.5</v>
      </c>
      <c r="J5450" s="455">
        <f t="array" ref="J5450">IFERROR(INDEX('Retirement Calculator'!J:J,MATCH('Isaac 401k'!N5450,'Retirement Calculator'!A:A,0),0),0)</f>
        <v>0</v>
      </c>
      <c r="K5450" s="455">
        <f t="shared" ca="1" si="206"/>
        <v>-4830742417190.9141</v>
      </c>
      <c r="L5450" s="455">
        <f t="shared" ca="1" si="207"/>
        <v>-1164208922543010.5</v>
      </c>
      <c r="M5450" s="471">
        <f t="shared" si="209"/>
        <v>0.05</v>
      </c>
      <c r="N5450" s="475">
        <f t="shared" si="210"/>
        <v>216926</v>
      </c>
    </row>
    <row r="5451" spans="7:14" ht="11.25" customHeight="1" x14ac:dyDescent="0.3">
      <c r="G5451" s="470"/>
      <c r="H5451" s="470">
        <v>5444</v>
      </c>
      <c r="I5451" s="455">
        <f t="shared" ca="1" si="208"/>
        <v>-1164208922543010.5</v>
      </c>
      <c r="J5451" s="455">
        <f t="array" ref="J5451">IFERROR(INDEX('Retirement Calculator'!J:J,MATCH('Isaac 401k'!N5451,'Retirement Calculator'!A:A,0),0),0)</f>
        <v>0</v>
      </c>
      <c r="K5451" s="455">
        <f t="shared" ca="1" si="206"/>
        <v>-4850870510595.877</v>
      </c>
      <c r="L5451" s="455">
        <f t="shared" ca="1" si="207"/>
        <v>-1169059793053606.5</v>
      </c>
      <c r="M5451" s="471">
        <f t="shared" si="209"/>
        <v>0.05</v>
      </c>
      <c r="N5451" s="475">
        <f t="shared" si="210"/>
        <v>216957</v>
      </c>
    </row>
    <row r="5452" spans="7:14" ht="11.25" customHeight="1" x14ac:dyDescent="0.3">
      <c r="G5452" s="470"/>
      <c r="H5452" s="470">
        <v>5445</v>
      </c>
      <c r="I5452" s="455">
        <f t="shared" ca="1" si="208"/>
        <v>-1169059793053606.5</v>
      </c>
      <c r="J5452" s="455">
        <f t="array" ref="J5452">IFERROR(INDEX('Retirement Calculator'!J:J,MATCH('Isaac 401k'!N5452,'Retirement Calculator'!A:A,0),0),0)</f>
        <v>0</v>
      </c>
      <c r="K5452" s="455">
        <f t="shared" ca="1" si="206"/>
        <v>-4871082471056.6934</v>
      </c>
      <c r="L5452" s="455">
        <f t="shared" ca="1" si="207"/>
        <v>-1173930875524663.3</v>
      </c>
      <c r="M5452" s="471">
        <f t="shared" si="209"/>
        <v>0.05</v>
      </c>
      <c r="N5452" s="475">
        <f t="shared" si="210"/>
        <v>216988</v>
      </c>
    </row>
    <row r="5453" spans="7:14" ht="11.25" customHeight="1" x14ac:dyDescent="0.3">
      <c r="G5453" s="470"/>
      <c r="H5453" s="470">
        <v>5446</v>
      </c>
      <c r="I5453" s="455">
        <f t="shared" ca="1" si="208"/>
        <v>-1173930875524663.3</v>
      </c>
      <c r="J5453" s="455">
        <f t="array" ref="J5453">IFERROR(INDEX('Retirement Calculator'!J:J,MATCH('Isaac 401k'!N5453,'Retirement Calculator'!A:A,0),0),0)</f>
        <v>0</v>
      </c>
      <c r="K5453" s="455">
        <f t="shared" ca="1" si="206"/>
        <v>-4891378648019.4297</v>
      </c>
      <c r="L5453" s="455">
        <f t="shared" ca="1" si="207"/>
        <v>-1178822254172682.8</v>
      </c>
      <c r="M5453" s="471">
        <f t="shared" si="209"/>
        <v>0.05</v>
      </c>
      <c r="N5453" s="475">
        <f t="shared" si="210"/>
        <v>217016</v>
      </c>
    </row>
    <row r="5454" spans="7:14" ht="11.25" customHeight="1" x14ac:dyDescent="0.3">
      <c r="G5454" s="470"/>
      <c r="H5454" s="470">
        <v>5447</v>
      </c>
      <c r="I5454" s="455">
        <f t="shared" ca="1" si="208"/>
        <v>-1178822254172682.8</v>
      </c>
      <c r="J5454" s="455">
        <f t="array" ref="J5454">IFERROR(INDEX('Retirement Calculator'!J:J,MATCH('Isaac 401k'!N5454,'Retirement Calculator'!A:A,0),0),0)</f>
        <v>0</v>
      </c>
      <c r="K5454" s="455">
        <f t="shared" ca="1" si="206"/>
        <v>-4911759392386.1777</v>
      </c>
      <c r="L5454" s="455">
        <f t="shared" ca="1" si="207"/>
        <v>-1183734013565069</v>
      </c>
      <c r="M5454" s="471">
        <f t="shared" si="209"/>
        <v>0.05</v>
      </c>
      <c r="N5454" s="475">
        <f t="shared" si="210"/>
        <v>217047</v>
      </c>
    </row>
    <row r="5455" spans="7:14" ht="11.25" customHeight="1" x14ac:dyDescent="0.3">
      <c r="G5455" s="470"/>
      <c r="H5455" s="470">
        <v>5448</v>
      </c>
      <c r="I5455" s="455">
        <f t="shared" ca="1" si="208"/>
        <v>-1183734013565069</v>
      </c>
      <c r="J5455" s="455">
        <f t="array" ref="J5455">IFERROR(INDEX('Retirement Calculator'!J:J,MATCH('Isaac 401k'!N5455,'Retirement Calculator'!A:A,0),0),0)</f>
        <v>0</v>
      </c>
      <c r="K5455" s="455">
        <f t="shared" ca="1" si="206"/>
        <v>-4932225056521.1211</v>
      </c>
      <c r="L5455" s="455">
        <f t="shared" ca="1" si="207"/>
        <v>-1188666238621590</v>
      </c>
      <c r="M5455" s="471">
        <f t="shared" si="209"/>
        <v>0.05</v>
      </c>
      <c r="N5455" s="475">
        <f t="shared" si="210"/>
        <v>217077</v>
      </c>
    </row>
    <row r="5456" spans="7:14" ht="11.25" customHeight="1" x14ac:dyDescent="0.3">
      <c r="G5456" s="470"/>
      <c r="H5456" s="470">
        <v>5449</v>
      </c>
      <c r="I5456" s="455">
        <f t="shared" ca="1" si="208"/>
        <v>-1188666238621590</v>
      </c>
      <c r="J5456" s="455">
        <f t="array" ref="J5456">IFERROR(INDEX('Retirement Calculator'!J:J,MATCH('Isaac 401k'!N5456,'Retirement Calculator'!A:A,0),0),0)</f>
        <v>0</v>
      </c>
      <c r="K5456" s="455">
        <f t="shared" ca="1" si="206"/>
        <v>-4952775994256.625</v>
      </c>
      <c r="L5456" s="455">
        <f t="shared" ca="1" si="207"/>
        <v>-1193619014615846.5</v>
      </c>
      <c r="M5456" s="471">
        <f t="shared" si="209"/>
        <v>0.05</v>
      </c>
      <c r="N5456" s="475">
        <f t="shared" si="210"/>
        <v>217108</v>
      </c>
    </row>
    <row r="5457" spans="7:14" ht="11.25" customHeight="1" x14ac:dyDescent="0.3">
      <c r="G5457" s="470"/>
      <c r="H5457" s="470">
        <v>5450</v>
      </c>
      <c r="I5457" s="455">
        <f t="shared" ca="1" si="208"/>
        <v>-1193619014615846.5</v>
      </c>
      <c r="J5457" s="455">
        <f t="array" ref="J5457">IFERROR(INDEX('Retirement Calculator'!J:J,MATCH('Isaac 401k'!N5457,'Retirement Calculator'!A:A,0),0),0)</f>
        <v>0</v>
      </c>
      <c r="K5457" s="455">
        <f t="shared" ca="1" si="206"/>
        <v>-4973412560899.3604</v>
      </c>
      <c r="L5457" s="455">
        <f t="shared" ca="1" si="207"/>
        <v>-1198592427176745.8</v>
      </c>
      <c r="M5457" s="471">
        <f t="shared" si="209"/>
        <v>0.05</v>
      </c>
      <c r="N5457" s="475">
        <f t="shared" si="210"/>
        <v>217138</v>
      </c>
    </row>
    <row r="5458" spans="7:14" ht="11.25" customHeight="1" x14ac:dyDescent="0.3">
      <c r="G5458" s="470"/>
      <c r="H5458" s="470">
        <v>5451</v>
      </c>
      <c r="I5458" s="455">
        <f t="shared" ca="1" si="208"/>
        <v>-1198592427176745.8</v>
      </c>
      <c r="J5458" s="455">
        <f t="array" ref="J5458">IFERROR(INDEX('Retirement Calculator'!J:J,MATCH('Isaac 401k'!N5458,'Retirement Calculator'!A:A,0),0),0)</f>
        <v>0</v>
      </c>
      <c r="K5458" s="455">
        <f t="shared" ca="1" si="206"/>
        <v>-4994135113236.4404</v>
      </c>
      <c r="L5458" s="455">
        <f t="shared" ca="1" si="207"/>
        <v>-1203586562289982.3</v>
      </c>
      <c r="M5458" s="471">
        <f t="shared" si="209"/>
        <v>0.05</v>
      </c>
      <c r="N5458" s="475">
        <f t="shared" si="210"/>
        <v>217169</v>
      </c>
    </row>
    <row r="5459" spans="7:14" ht="11.25" customHeight="1" x14ac:dyDescent="0.3">
      <c r="G5459" s="470"/>
      <c r="H5459" s="470">
        <v>5452</v>
      </c>
      <c r="I5459" s="455">
        <f t="shared" ca="1" si="208"/>
        <v>-1203586562289982.3</v>
      </c>
      <c r="J5459" s="455">
        <f t="array" ref="J5459">IFERROR(INDEX('Retirement Calculator'!J:J,MATCH('Isaac 401k'!N5459,'Retirement Calculator'!A:A,0),0),0)</f>
        <v>0</v>
      </c>
      <c r="K5459" s="455">
        <f t="shared" ca="1" si="206"/>
        <v>-5014944009541.5928</v>
      </c>
      <c r="L5459" s="455">
        <f t="shared" ca="1" si="207"/>
        <v>-1208601506299523.8</v>
      </c>
      <c r="M5459" s="471">
        <f t="shared" si="209"/>
        <v>0.05</v>
      </c>
      <c r="N5459" s="475">
        <f t="shared" si="210"/>
        <v>217200</v>
      </c>
    </row>
    <row r="5460" spans="7:14" ht="11.25" customHeight="1" x14ac:dyDescent="0.3">
      <c r="G5460" s="470"/>
      <c r="H5460" s="470">
        <v>5453</v>
      </c>
      <c r="I5460" s="455">
        <f t="shared" ca="1" si="208"/>
        <v>-1208601506299523.8</v>
      </c>
      <c r="J5460" s="455">
        <f t="array" ref="J5460">IFERROR(INDEX('Retirement Calculator'!J:J,MATCH('Isaac 401k'!N5460,'Retirement Calculator'!A:A,0),0),0)</f>
        <v>0</v>
      </c>
      <c r="K5460" s="455">
        <f t="shared" ca="1" si="206"/>
        <v>-5035839609581.3486</v>
      </c>
      <c r="L5460" s="455">
        <f t="shared" ca="1" si="207"/>
        <v>-1213637345909105</v>
      </c>
      <c r="M5460" s="471">
        <f t="shared" si="209"/>
        <v>0.05</v>
      </c>
      <c r="N5460" s="475">
        <f t="shared" si="210"/>
        <v>217230</v>
      </c>
    </row>
    <row r="5461" spans="7:14" ht="11.25" customHeight="1" x14ac:dyDescent="0.3">
      <c r="G5461" s="470"/>
      <c r="H5461" s="470">
        <v>5454</v>
      </c>
      <c r="I5461" s="455">
        <f t="shared" ca="1" si="208"/>
        <v>-1213637345909105</v>
      </c>
      <c r="J5461" s="455">
        <f t="array" ref="J5461">IFERROR(INDEX('Retirement Calculator'!J:J,MATCH('Isaac 401k'!N5461,'Retirement Calculator'!A:A,0),0),0)</f>
        <v>0</v>
      </c>
      <c r="K5461" s="455">
        <f t="shared" ca="1" si="206"/>
        <v>-5056822274621.2705</v>
      </c>
      <c r="L5461" s="455">
        <f t="shared" ca="1" si="207"/>
        <v>-1218694168183726.3</v>
      </c>
      <c r="M5461" s="471">
        <f t="shared" si="209"/>
        <v>0.05</v>
      </c>
      <c r="N5461" s="475">
        <f t="shared" si="210"/>
        <v>217261</v>
      </c>
    </row>
    <row r="5462" spans="7:14" ht="11.25" customHeight="1" x14ac:dyDescent="0.3">
      <c r="G5462" s="470"/>
      <c r="H5462" s="470">
        <v>5455</v>
      </c>
      <c r="I5462" s="455">
        <f t="shared" ca="1" si="208"/>
        <v>-1218694168183726.3</v>
      </c>
      <c r="J5462" s="455">
        <f t="array" ref="J5462">IFERROR(INDEX('Retirement Calculator'!J:J,MATCH('Isaac 401k'!N5462,'Retirement Calculator'!A:A,0),0),0)</f>
        <v>0</v>
      </c>
      <c r="K5462" s="455">
        <f t="shared" ca="1" si="206"/>
        <v>-5077892367432.1924</v>
      </c>
      <c r="L5462" s="455">
        <f t="shared" ca="1" si="207"/>
        <v>-1223772060551158.5</v>
      </c>
      <c r="M5462" s="471">
        <f t="shared" si="209"/>
        <v>0.05</v>
      </c>
      <c r="N5462" s="475">
        <f t="shared" si="210"/>
        <v>217291</v>
      </c>
    </row>
    <row r="5463" spans="7:14" ht="11.25" customHeight="1" x14ac:dyDescent="0.3">
      <c r="G5463" s="470"/>
      <c r="H5463" s="470">
        <v>5456</v>
      </c>
      <c r="I5463" s="455">
        <f t="shared" ca="1" si="208"/>
        <v>-1223772060551158.5</v>
      </c>
      <c r="J5463" s="455">
        <f t="array" ref="J5463">IFERROR(INDEX('Retirement Calculator'!J:J,MATCH('Isaac 401k'!N5463,'Retirement Calculator'!A:A,0),0),0)</f>
        <v>0</v>
      </c>
      <c r="K5463" s="455">
        <f t="shared" ca="1" si="206"/>
        <v>-5099050252296.4941</v>
      </c>
      <c r="L5463" s="455">
        <f t="shared" ca="1" si="207"/>
        <v>-1228871110803455</v>
      </c>
      <c r="M5463" s="471">
        <f t="shared" si="209"/>
        <v>0.05</v>
      </c>
      <c r="N5463" s="475">
        <f t="shared" si="210"/>
        <v>217322</v>
      </c>
    </row>
    <row r="5464" spans="7:14" ht="11.25" customHeight="1" x14ac:dyDescent="0.3">
      <c r="G5464" s="470"/>
      <c r="H5464" s="470">
        <v>5457</v>
      </c>
      <c r="I5464" s="455">
        <f t="shared" ca="1" si="208"/>
        <v>-1228871110803455</v>
      </c>
      <c r="J5464" s="455">
        <f t="array" ref="J5464">IFERROR(INDEX('Retirement Calculator'!J:J,MATCH('Isaac 401k'!N5464,'Retirement Calculator'!A:A,0),0),0)</f>
        <v>0</v>
      </c>
      <c r="K5464" s="455">
        <f t="shared" ca="1" si="206"/>
        <v>-5120296295014.3955</v>
      </c>
      <c r="L5464" s="455">
        <f t="shared" ca="1" si="207"/>
        <v>-1233991407098469.5</v>
      </c>
      <c r="M5464" s="471">
        <f t="shared" si="209"/>
        <v>0.05</v>
      </c>
      <c r="N5464" s="475">
        <f t="shared" si="210"/>
        <v>217353</v>
      </c>
    </row>
    <row r="5465" spans="7:14" ht="11.25" customHeight="1" x14ac:dyDescent="0.3">
      <c r="G5465" s="470"/>
      <c r="H5465" s="470">
        <v>5458</v>
      </c>
      <c r="I5465" s="455">
        <f t="shared" ca="1" si="208"/>
        <v>-1233991407098469.5</v>
      </c>
      <c r="J5465" s="455">
        <f t="array" ref="J5465">IFERROR(INDEX('Retirement Calculator'!J:J,MATCH('Isaac 401k'!N5465,'Retirement Calculator'!A:A,0),0),0)</f>
        <v>0</v>
      </c>
      <c r="K5465" s="455">
        <f t="shared" ca="1" si="206"/>
        <v>-5141630862910.2891</v>
      </c>
      <c r="L5465" s="455">
        <f t="shared" ca="1" si="207"/>
        <v>-1239133037961379.8</v>
      </c>
      <c r="M5465" s="471">
        <f t="shared" si="209"/>
        <v>0.05</v>
      </c>
      <c r="N5465" s="475">
        <f t="shared" si="210"/>
        <v>217381</v>
      </c>
    </row>
    <row r="5466" spans="7:14" ht="11.25" customHeight="1" x14ac:dyDescent="0.3">
      <c r="G5466" s="470"/>
      <c r="H5466" s="470">
        <v>5459</v>
      </c>
      <c r="I5466" s="455">
        <f t="shared" ca="1" si="208"/>
        <v>-1239133037961379.8</v>
      </c>
      <c r="J5466" s="455">
        <f t="array" ref="J5466">IFERROR(INDEX('Retirement Calculator'!J:J,MATCH('Isaac 401k'!N5466,'Retirement Calculator'!A:A,0),0),0)</f>
        <v>0</v>
      </c>
      <c r="K5466" s="455">
        <f t="shared" ca="1" si="206"/>
        <v>-5163054324839.082</v>
      </c>
      <c r="L5466" s="455">
        <f t="shared" ca="1" si="207"/>
        <v>-1244296092286218.8</v>
      </c>
      <c r="M5466" s="471">
        <f t="shared" si="209"/>
        <v>0.05</v>
      </c>
      <c r="N5466" s="475">
        <f t="shared" si="210"/>
        <v>217412</v>
      </c>
    </row>
    <row r="5467" spans="7:14" ht="11.25" customHeight="1" x14ac:dyDescent="0.3">
      <c r="G5467" s="470"/>
      <c r="H5467" s="470">
        <v>5460</v>
      </c>
      <c r="I5467" s="455">
        <f t="shared" ca="1" si="208"/>
        <v>-1244296092286218.8</v>
      </c>
      <c r="J5467" s="455">
        <f t="array" ref="J5467">IFERROR(INDEX('Retirement Calculator'!J:J,MATCH('Isaac 401k'!N5467,'Retirement Calculator'!A:A,0),0),0)</f>
        <v>0</v>
      </c>
      <c r="K5467" s="455">
        <f t="shared" ca="1" si="206"/>
        <v>-5184567051192.5781</v>
      </c>
      <c r="L5467" s="455">
        <f t="shared" ca="1" si="207"/>
        <v>-1249480659337411.3</v>
      </c>
      <c r="M5467" s="471">
        <f t="shared" si="209"/>
        <v>0.05</v>
      </c>
      <c r="N5467" s="475">
        <f t="shared" si="210"/>
        <v>217442</v>
      </c>
    </row>
    <row r="5468" spans="7:14" ht="11.25" customHeight="1" x14ac:dyDescent="0.3">
      <c r="G5468" s="470"/>
      <c r="H5468" s="470">
        <v>5461</v>
      </c>
      <c r="I5468" s="455">
        <f t="shared" ca="1" si="208"/>
        <v>-1249480659337411.3</v>
      </c>
      <c r="J5468" s="455">
        <f t="array" ref="J5468">IFERROR(INDEX('Retirement Calculator'!J:J,MATCH('Isaac 401k'!N5468,'Retirement Calculator'!A:A,0),0),0)</f>
        <v>0</v>
      </c>
      <c r="K5468" s="455">
        <f t="shared" ca="1" si="206"/>
        <v>-5206169413905.8799</v>
      </c>
      <c r="L5468" s="455">
        <f t="shared" ca="1" si="207"/>
        <v>-1254686828751317.3</v>
      </c>
      <c r="M5468" s="471">
        <f t="shared" si="209"/>
        <v>0.05</v>
      </c>
      <c r="N5468" s="475">
        <f t="shared" si="210"/>
        <v>217473</v>
      </c>
    </row>
    <row r="5469" spans="7:14" ht="11.25" customHeight="1" x14ac:dyDescent="0.3">
      <c r="G5469" s="470"/>
      <c r="H5469" s="470">
        <v>5462</v>
      </c>
      <c r="I5469" s="455">
        <f t="shared" ca="1" si="208"/>
        <v>-1254686828751317.3</v>
      </c>
      <c r="J5469" s="455">
        <f t="array" ref="J5469">IFERROR(INDEX('Retirement Calculator'!J:J,MATCH('Isaac 401k'!N5469,'Retirement Calculator'!A:A,0),0),0)</f>
        <v>0</v>
      </c>
      <c r="K5469" s="455">
        <f t="shared" ca="1" si="206"/>
        <v>-5227861786463.8223</v>
      </c>
      <c r="L5469" s="455">
        <f t="shared" ca="1" si="207"/>
        <v>-1259914690537781</v>
      </c>
      <c r="M5469" s="471">
        <f t="shared" si="209"/>
        <v>0.05</v>
      </c>
      <c r="N5469" s="475">
        <f t="shared" si="210"/>
        <v>217503</v>
      </c>
    </row>
    <row r="5470" spans="7:14" ht="11.25" customHeight="1" x14ac:dyDescent="0.3">
      <c r="G5470" s="470"/>
      <c r="H5470" s="470">
        <v>5463</v>
      </c>
      <c r="I5470" s="455">
        <f t="shared" ca="1" si="208"/>
        <v>-1259914690537781</v>
      </c>
      <c r="J5470" s="455">
        <f t="array" ref="J5470">IFERROR(INDEX('Retirement Calculator'!J:J,MATCH('Isaac 401k'!N5470,'Retirement Calculator'!A:A,0),0),0)</f>
        <v>0</v>
      </c>
      <c r="K5470" s="455">
        <f t="shared" ca="1" si="206"/>
        <v>-5249644543907.4209</v>
      </c>
      <c r="L5470" s="455">
        <f t="shared" ca="1" si="207"/>
        <v>-1265164335081688.5</v>
      </c>
      <c r="M5470" s="471">
        <f t="shared" si="209"/>
        <v>0.05</v>
      </c>
      <c r="N5470" s="475">
        <f t="shared" si="210"/>
        <v>217534</v>
      </c>
    </row>
    <row r="5471" spans="7:14" ht="11.25" customHeight="1" x14ac:dyDescent="0.3">
      <c r="G5471" s="470"/>
      <c r="H5471" s="470">
        <v>5464</v>
      </c>
      <c r="I5471" s="455">
        <f t="shared" ca="1" si="208"/>
        <v>-1265164335081688.5</v>
      </c>
      <c r="J5471" s="455">
        <f t="array" ref="J5471">IFERROR(INDEX('Retirement Calculator'!J:J,MATCH('Isaac 401k'!N5471,'Retirement Calculator'!A:A,0),0),0)</f>
        <v>0</v>
      </c>
      <c r="K5471" s="455">
        <f t="shared" ca="1" si="206"/>
        <v>-5271518062840.3691</v>
      </c>
      <c r="L5471" s="455">
        <f t="shared" ca="1" si="207"/>
        <v>-1270435853144528.8</v>
      </c>
      <c r="M5471" s="471">
        <f t="shared" si="209"/>
        <v>0.05</v>
      </c>
      <c r="N5471" s="475">
        <f t="shared" si="210"/>
        <v>217565</v>
      </c>
    </row>
    <row r="5472" spans="7:14" ht="11.25" customHeight="1" x14ac:dyDescent="0.3">
      <c r="G5472" s="470"/>
      <c r="H5472" s="470">
        <v>5465</v>
      </c>
      <c r="I5472" s="455">
        <f t="shared" ca="1" si="208"/>
        <v>-1270435853144528.8</v>
      </c>
      <c r="J5472" s="455">
        <f t="array" ref="J5472">IFERROR(INDEX('Retirement Calculator'!J:J,MATCH('Isaac 401k'!N5472,'Retirement Calculator'!A:A,0),0),0)</f>
        <v>0</v>
      </c>
      <c r="K5472" s="455">
        <f t="shared" ca="1" si="206"/>
        <v>-5293482721435.5361</v>
      </c>
      <c r="L5472" s="455">
        <f t="shared" ca="1" si="207"/>
        <v>-1275729335865964.3</v>
      </c>
      <c r="M5472" s="471">
        <f t="shared" si="209"/>
        <v>0.05</v>
      </c>
      <c r="N5472" s="475">
        <f t="shared" si="210"/>
        <v>217595</v>
      </c>
    </row>
    <row r="5473" spans="7:14" ht="11.25" customHeight="1" x14ac:dyDescent="0.3">
      <c r="G5473" s="470"/>
      <c r="H5473" s="470">
        <v>5466</v>
      </c>
      <c r="I5473" s="455">
        <f t="shared" ca="1" si="208"/>
        <v>-1275729335865964.3</v>
      </c>
      <c r="J5473" s="455">
        <f t="array" ref="J5473">IFERROR(INDEX('Retirement Calculator'!J:J,MATCH('Isaac 401k'!N5473,'Retirement Calculator'!A:A,0),0),0)</f>
        <v>0</v>
      </c>
      <c r="K5473" s="455">
        <f t="shared" ca="1" si="206"/>
        <v>-5315538899441.5176</v>
      </c>
      <c r="L5473" s="455">
        <f t="shared" ca="1" si="207"/>
        <v>-1281044874765405.8</v>
      </c>
      <c r="M5473" s="471">
        <f t="shared" si="209"/>
        <v>0.05</v>
      </c>
      <c r="N5473" s="475">
        <f t="shared" si="210"/>
        <v>217626</v>
      </c>
    </row>
    <row r="5474" spans="7:14" ht="11.25" customHeight="1" x14ac:dyDescent="0.3">
      <c r="G5474" s="470"/>
      <c r="H5474" s="470">
        <v>5467</v>
      </c>
      <c r="I5474" s="455">
        <f t="shared" ca="1" si="208"/>
        <v>-1281044874765405.8</v>
      </c>
      <c r="J5474" s="455">
        <f t="array" ref="J5474">IFERROR(INDEX('Retirement Calculator'!J:J,MATCH('Isaac 401k'!N5474,'Retirement Calculator'!A:A,0),0),0)</f>
        <v>0</v>
      </c>
      <c r="K5474" s="455">
        <f t="shared" ca="1" si="206"/>
        <v>-5337686978189.1904</v>
      </c>
      <c r="L5474" s="455">
        <f t="shared" ca="1" si="207"/>
        <v>-1286382561743595</v>
      </c>
      <c r="M5474" s="471">
        <f t="shared" si="209"/>
        <v>0.05</v>
      </c>
      <c r="N5474" s="475">
        <f t="shared" si="210"/>
        <v>217656</v>
      </c>
    </row>
    <row r="5475" spans="7:14" ht="11.25" customHeight="1" x14ac:dyDescent="0.3">
      <c r="G5475" s="470"/>
      <c r="H5475" s="470">
        <v>5468</v>
      </c>
      <c r="I5475" s="455">
        <f t="shared" ca="1" si="208"/>
        <v>-1286382561743595</v>
      </c>
      <c r="J5475" s="455">
        <f t="array" ref="J5475">IFERROR(INDEX('Retirement Calculator'!J:J,MATCH('Isaac 401k'!N5475,'Retirement Calculator'!A:A,0),0),0)</f>
        <v>0</v>
      </c>
      <c r="K5475" s="455">
        <f t="shared" ca="1" si="206"/>
        <v>-5359927340598.3125</v>
      </c>
      <c r="L5475" s="455">
        <f t="shared" ca="1" si="207"/>
        <v>-1291742489084193.3</v>
      </c>
      <c r="M5475" s="471">
        <f t="shared" si="209"/>
        <v>0.05</v>
      </c>
      <c r="N5475" s="475">
        <f t="shared" si="210"/>
        <v>217687</v>
      </c>
    </row>
    <row r="5476" spans="7:14" ht="11.25" customHeight="1" x14ac:dyDescent="0.3">
      <c r="G5476" s="470"/>
      <c r="H5476" s="470">
        <v>5469</v>
      </c>
      <c r="I5476" s="455">
        <f t="shared" ca="1" si="208"/>
        <v>-1291742489084193.3</v>
      </c>
      <c r="J5476" s="455">
        <f t="array" ref="J5476">IFERROR(INDEX('Retirement Calculator'!J:J,MATCH('Isaac 401k'!N5476,'Retirement Calculator'!A:A,0),0),0)</f>
        <v>0</v>
      </c>
      <c r="K5476" s="455">
        <f t="shared" ca="1" si="206"/>
        <v>-5382260371184.1387</v>
      </c>
      <c r="L5476" s="455">
        <f t="shared" ca="1" si="207"/>
        <v>-1297124749455377.5</v>
      </c>
      <c r="M5476" s="471">
        <f t="shared" si="209"/>
        <v>0.05</v>
      </c>
      <c r="N5476" s="475">
        <f t="shared" si="210"/>
        <v>217718</v>
      </c>
    </row>
    <row r="5477" spans="7:14" ht="11.25" customHeight="1" x14ac:dyDescent="0.3">
      <c r="G5477" s="470"/>
      <c r="H5477" s="470">
        <v>5470</v>
      </c>
      <c r="I5477" s="455">
        <f t="shared" ca="1" si="208"/>
        <v>-1297124749455377.5</v>
      </c>
      <c r="J5477" s="455">
        <f t="array" ref="J5477">IFERROR(INDEX('Retirement Calculator'!J:J,MATCH('Isaac 401k'!N5477,'Retirement Calculator'!A:A,0),0),0)</f>
        <v>0</v>
      </c>
      <c r="K5477" s="455">
        <f t="shared" ca="1" si="206"/>
        <v>-5404686456064.0732</v>
      </c>
      <c r="L5477" s="455">
        <f t="shared" ca="1" si="207"/>
        <v>-1302529435911441.5</v>
      </c>
      <c r="M5477" s="471">
        <f t="shared" si="209"/>
        <v>0.05</v>
      </c>
      <c r="N5477" s="475">
        <f t="shared" si="210"/>
        <v>217747</v>
      </c>
    </row>
    <row r="5478" spans="7:14" ht="11.25" customHeight="1" x14ac:dyDescent="0.3">
      <c r="G5478" s="470"/>
      <c r="H5478" s="470">
        <v>5471</v>
      </c>
      <c r="I5478" s="455">
        <f t="shared" ca="1" si="208"/>
        <v>-1302529435911441.5</v>
      </c>
      <c r="J5478" s="455">
        <f t="array" ref="J5478">IFERROR(INDEX('Retirement Calculator'!J:J,MATCH('Isaac 401k'!N5478,'Retirement Calculator'!A:A,0),0),0)</f>
        <v>0</v>
      </c>
      <c r="K5478" s="455">
        <f t="shared" ca="1" si="206"/>
        <v>-5427205982964.3398</v>
      </c>
      <c r="L5478" s="455">
        <f t="shared" ca="1" si="207"/>
        <v>-1307956641894405.8</v>
      </c>
      <c r="M5478" s="471">
        <f t="shared" si="209"/>
        <v>0.05</v>
      </c>
      <c r="N5478" s="475">
        <f t="shared" si="210"/>
        <v>217778</v>
      </c>
    </row>
    <row r="5479" spans="7:14" ht="11.25" customHeight="1" x14ac:dyDescent="0.3">
      <c r="G5479" s="470"/>
      <c r="H5479" s="470">
        <v>5472</v>
      </c>
      <c r="I5479" s="455">
        <f t="shared" ca="1" si="208"/>
        <v>-1307956641894405.8</v>
      </c>
      <c r="J5479" s="455">
        <f t="array" ref="J5479">IFERROR(INDEX('Retirement Calculator'!J:J,MATCH('Isaac 401k'!N5479,'Retirement Calculator'!A:A,0),0),0)</f>
        <v>0</v>
      </c>
      <c r="K5479" s="455">
        <f t="shared" ca="1" si="206"/>
        <v>-5449819341226.6904</v>
      </c>
      <c r="L5479" s="455">
        <f t="shared" ca="1" si="207"/>
        <v>-1313406461235632.5</v>
      </c>
      <c r="M5479" s="471">
        <f t="shared" si="209"/>
        <v>0.05</v>
      </c>
      <c r="N5479" s="475">
        <f t="shared" si="210"/>
        <v>217808</v>
      </c>
    </row>
    <row r="5480" spans="7:14" ht="11.25" customHeight="1" x14ac:dyDescent="0.3">
      <c r="G5480" s="470"/>
      <c r="H5480" s="470">
        <v>5473</v>
      </c>
      <c r="I5480" s="455">
        <f t="shared" ca="1" si="208"/>
        <v>-1313406461235632.5</v>
      </c>
      <c r="J5480" s="455">
        <f t="array" ref="J5480">IFERROR(INDEX('Retirement Calculator'!J:J,MATCH('Isaac 401k'!N5480,'Retirement Calculator'!A:A,0),0),0)</f>
        <v>0</v>
      </c>
      <c r="K5480" s="455">
        <f t="shared" ca="1" si="206"/>
        <v>-5472526921815.1357</v>
      </c>
      <c r="L5480" s="455">
        <f t="shared" ca="1" si="207"/>
        <v>-1318878988157447.8</v>
      </c>
      <c r="M5480" s="471">
        <f t="shared" si="209"/>
        <v>0.05</v>
      </c>
      <c r="N5480" s="475">
        <f t="shared" si="210"/>
        <v>217839</v>
      </c>
    </row>
    <row r="5481" spans="7:14" ht="11.25" customHeight="1" x14ac:dyDescent="0.3">
      <c r="G5481" s="470"/>
      <c r="H5481" s="470">
        <v>5474</v>
      </c>
      <c r="I5481" s="455">
        <f t="shared" ca="1" si="208"/>
        <v>-1318878988157447.8</v>
      </c>
      <c r="J5481" s="455">
        <f t="array" ref="J5481">IFERROR(INDEX('Retirement Calculator'!J:J,MATCH('Isaac 401k'!N5481,'Retirement Calculator'!A:A,0),0),0)</f>
        <v>0</v>
      </c>
      <c r="K5481" s="455">
        <f t="shared" ca="1" si="206"/>
        <v>-5495329117322.6992</v>
      </c>
      <c r="L5481" s="455">
        <f t="shared" ca="1" si="207"/>
        <v>-1324374317274770.5</v>
      </c>
      <c r="M5481" s="471">
        <f t="shared" si="209"/>
        <v>0.05</v>
      </c>
      <c r="N5481" s="475">
        <f t="shared" si="210"/>
        <v>217869</v>
      </c>
    </row>
    <row r="5482" spans="7:14" ht="11.25" customHeight="1" x14ac:dyDescent="0.3">
      <c r="G5482" s="470"/>
      <c r="H5482" s="470">
        <v>5475</v>
      </c>
      <c r="I5482" s="455">
        <f t="shared" ca="1" si="208"/>
        <v>-1324374317274770.5</v>
      </c>
      <c r="J5482" s="455">
        <f t="array" ref="J5482">IFERROR(INDEX('Retirement Calculator'!J:J,MATCH('Isaac 401k'!N5482,'Retirement Calculator'!A:A,0),0),0)</f>
        <v>0</v>
      </c>
      <c r="K5482" s="455">
        <f t="shared" ca="1" si="206"/>
        <v>-5518226321978.21</v>
      </c>
      <c r="L5482" s="455">
        <f t="shared" ca="1" si="207"/>
        <v>-1329892543596748.8</v>
      </c>
      <c r="M5482" s="471">
        <f t="shared" si="209"/>
        <v>0.05</v>
      </c>
      <c r="N5482" s="475">
        <f t="shared" si="210"/>
        <v>217900</v>
      </c>
    </row>
    <row r="5483" spans="7:14" ht="11.25" customHeight="1" x14ac:dyDescent="0.3">
      <c r="G5483" s="470"/>
      <c r="H5483" s="470">
        <v>5476</v>
      </c>
      <c r="I5483" s="455">
        <f t="shared" ca="1" si="208"/>
        <v>-1329892543596748.8</v>
      </c>
      <c r="J5483" s="455">
        <f t="array" ref="J5483">IFERROR(INDEX('Retirement Calculator'!J:J,MATCH('Isaac 401k'!N5483,'Retirement Calculator'!A:A,0),0),0)</f>
        <v>0</v>
      </c>
      <c r="K5483" s="455">
        <f t="shared" ca="1" si="206"/>
        <v>-5541218931653.1201</v>
      </c>
      <c r="L5483" s="455">
        <f t="shared" ca="1" si="207"/>
        <v>-1335433762528401.8</v>
      </c>
      <c r="M5483" s="471">
        <f t="shared" si="209"/>
        <v>0.05</v>
      </c>
      <c r="N5483" s="475">
        <f t="shared" si="210"/>
        <v>217931</v>
      </c>
    </row>
    <row r="5484" spans="7:14" ht="11.25" customHeight="1" x14ac:dyDescent="0.3">
      <c r="G5484" s="470"/>
      <c r="H5484" s="470">
        <v>5477</v>
      </c>
      <c r="I5484" s="455">
        <f t="shared" ca="1" si="208"/>
        <v>-1335433762528401.8</v>
      </c>
      <c r="J5484" s="455">
        <f t="array" ref="J5484">IFERROR(INDEX('Retirement Calculator'!J:J,MATCH('Isaac 401k'!N5484,'Retirement Calculator'!A:A,0),0),0)</f>
        <v>0</v>
      </c>
      <c r="K5484" s="455">
        <f t="shared" ca="1" si="206"/>
        <v>-5564307343868.3408</v>
      </c>
      <c r="L5484" s="455">
        <f t="shared" ca="1" si="207"/>
        <v>-1340998069872270</v>
      </c>
      <c r="M5484" s="471">
        <f t="shared" si="209"/>
        <v>0.05</v>
      </c>
      <c r="N5484" s="475">
        <f t="shared" si="210"/>
        <v>217961</v>
      </c>
    </row>
    <row r="5485" spans="7:14" ht="11.25" customHeight="1" x14ac:dyDescent="0.3">
      <c r="G5485" s="470"/>
      <c r="H5485" s="470">
        <v>5478</v>
      </c>
      <c r="I5485" s="455">
        <f t="shared" ca="1" si="208"/>
        <v>-1340998069872270</v>
      </c>
      <c r="J5485" s="455">
        <f t="array" ref="J5485">IFERROR(INDEX('Retirement Calculator'!J:J,MATCH('Isaac 401k'!N5485,'Retirement Calculator'!A:A,0),0),0)</f>
        <v>0</v>
      </c>
      <c r="K5485" s="455">
        <f t="shared" ca="1" si="206"/>
        <v>-5587491957801.125</v>
      </c>
      <c r="L5485" s="455">
        <f t="shared" ca="1" si="207"/>
        <v>-1346585561830071</v>
      </c>
      <c r="M5485" s="471">
        <f t="shared" si="209"/>
        <v>0.05</v>
      </c>
      <c r="N5485" s="475">
        <f t="shared" si="210"/>
        <v>217992</v>
      </c>
    </row>
    <row r="5486" spans="7:14" ht="11.25" customHeight="1" x14ac:dyDescent="0.3">
      <c r="G5486" s="470"/>
      <c r="H5486" s="470">
        <v>5479</v>
      </c>
      <c r="I5486" s="455">
        <f t="shared" ca="1" si="208"/>
        <v>-1346585561830071</v>
      </c>
      <c r="J5486" s="455">
        <f t="array" ref="J5486">IFERROR(INDEX('Retirement Calculator'!J:J,MATCH('Isaac 401k'!N5486,'Retirement Calculator'!A:A,0),0),0)</f>
        <v>0</v>
      </c>
      <c r="K5486" s="455">
        <f t="shared" ca="1" si="206"/>
        <v>-5610773174291.9629</v>
      </c>
      <c r="L5486" s="455">
        <f t="shared" ca="1" si="207"/>
        <v>-1352196335004363</v>
      </c>
      <c r="M5486" s="471">
        <f t="shared" si="209"/>
        <v>0.05</v>
      </c>
      <c r="N5486" s="475">
        <f t="shared" si="210"/>
        <v>218022</v>
      </c>
    </row>
    <row r="5487" spans="7:14" ht="11.25" customHeight="1" x14ac:dyDescent="0.3">
      <c r="G5487" s="470"/>
      <c r="H5487" s="470">
        <v>5480</v>
      </c>
      <c r="I5487" s="455">
        <f t="shared" ca="1" si="208"/>
        <v>-1352196335004363</v>
      </c>
      <c r="J5487" s="455">
        <f t="array" ref="J5487">IFERROR(INDEX('Retirement Calculator'!J:J,MATCH('Isaac 401k'!N5487,'Retirement Calculator'!A:A,0),0),0)</f>
        <v>0</v>
      </c>
      <c r="K5487" s="455">
        <f t="shared" ca="1" si="206"/>
        <v>-5634151395851.5127</v>
      </c>
      <c r="L5487" s="455">
        <f t="shared" ca="1" si="207"/>
        <v>-1357830486400214.5</v>
      </c>
      <c r="M5487" s="471">
        <f t="shared" si="209"/>
        <v>0.05</v>
      </c>
      <c r="N5487" s="475">
        <f t="shared" si="210"/>
        <v>218053</v>
      </c>
    </row>
    <row r="5488" spans="7:14" ht="11.25" customHeight="1" x14ac:dyDescent="0.3">
      <c r="G5488" s="470"/>
      <c r="H5488" s="470">
        <v>5481</v>
      </c>
      <c r="I5488" s="455">
        <f t="shared" ca="1" si="208"/>
        <v>-1357830486400214.5</v>
      </c>
      <c r="J5488" s="455">
        <f t="array" ref="J5488">IFERROR(INDEX('Retirement Calculator'!J:J,MATCH('Isaac 401k'!N5488,'Retirement Calculator'!A:A,0),0),0)</f>
        <v>0</v>
      </c>
      <c r="K5488" s="455">
        <f t="shared" ca="1" si="206"/>
        <v>-5657627026667.5605</v>
      </c>
      <c r="L5488" s="455">
        <f t="shared" ca="1" si="207"/>
        <v>-1363488113426882</v>
      </c>
      <c r="M5488" s="471">
        <f t="shared" si="209"/>
        <v>0.05</v>
      </c>
      <c r="N5488" s="475">
        <f t="shared" si="210"/>
        <v>218084</v>
      </c>
    </row>
    <row r="5489" spans="7:14" ht="11.25" customHeight="1" x14ac:dyDescent="0.3">
      <c r="G5489" s="470"/>
      <c r="H5489" s="470">
        <v>5482</v>
      </c>
      <c r="I5489" s="455">
        <f t="shared" ca="1" si="208"/>
        <v>-1363488113426882</v>
      </c>
      <c r="J5489" s="455">
        <f t="array" ref="J5489">IFERROR(INDEX('Retirement Calculator'!J:J,MATCH('Isaac 401k'!N5489,'Retirement Calculator'!A:A,0),0),0)</f>
        <v>0</v>
      </c>
      <c r="K5489" s="455">
        <f t="shared" ca="1" si="206"/>
        <v>-5681200472612.0078</v>
      </c>
      <c r="L5489" s="455">
        <f t="shared" ca="1" si="207"/>
        <v>-1369169313899494</v>
      </c>
      <c r="M5489" s="471">
        <f t="shared" si="209"/>
        <v>0.05</v>
      </c>
      <c r="N5489" s="475">
        <f t="shared" si="210"/>
        <v>218112</v>
      </c>
    </row>
    <row r="5490" spans="7:14" ht="11.25" customHeight="1" x14ac:dyDescent="0.3">
      <c r="G5490" s="470"/>
      <c r="H5490" s="470">
        <v>5483</v>
      </c>
      <c r="I5490" s="455">
        <f t="shared" ca="1" si="208"/>
        <v>-1369169313899494</v>
      </c>
      <c r="J5490" s="455">
        <f t="array" ref="J5490">IFERROR(INDEX('Retirement Calculator'!J:J,MATCH('Isaac 401k'!N5490,'Retirement Calculator'!A:A,0),0),0)</f>
        <v>0</v>
      </c>
      <c r="K5490" s="455">
        <f t="shared" ca="1" si="206"/>
        <v>-5704872141247.8916</v>
      </c>
      <c r="L5490" s="455">
        <f t="shared" ca="1" si="207"/>
        <v>-1374874186040742</v>
      </c>
      <c r="M5490" s="471">
        <f t="shared" si="209"/>
        <v>0.05</v>
      </c>
      <c r="N5490" s="475">
        <f t="shared" si="210"/>
        <v>218143</v>
      </c>
    </row>
    <row r="5491" spans="7:14" ht="11.25" customHeight="1" x14ac:dyDescent="0.3">
      <c r="G5491" s="470"/>
      <c r="H5491" s="470">
        <v>5484</v>
      </c>
      <c r="I5491" s="455">
        <f t="shared" ca="1" si="208"/>
        <v>-1374874186040742</v>
      </c>
      <c r="J5491" s="455">
        <f t="array" ref="J5491">IFERROR(INDEX('Retirement Calculator'!J:J,MATCH('Isaac 401k'!N5491,'Retirement Calculator'!A:A,0),0),0)</f>
        <v>0</v>
      </c>
      <c r="K5491" s="455">
        <f t="shared" ca="1" si="206"/>
        <v>-5728642441836.4248</v>
      </c>
      <c r="L5491" s="455">
        <f t="shared" ca="1" si="207"/>
        <v>-1380602828482578.5</v>
      </c>
      <c r="M5491" s="471">
        <f t="shared" si="209"/>
        <v>0.05</v>
      </c>
      <c r="N5491" s="475">
        <f t="shared" si="210"/>
        <v>218173</v>
      </c>
    </row>
    <row r="5492" spans="7:14" ht="11.25" customHeight="1" x14ac:dyDescent="0.3">
      <c r="G5492" s="470"/>
      <c r="H5492" s="470">
        <v>5485</v>
      </c>
      <c r="I5492" s="455">
        <f t="shared" ca="1" si="208"/>
        <v>-1380602828482578.5</v>
      </c>
      <c r="J5492" s="455">
        <f t="array" ref="J5492">IFERROR(INDEX('Retirement Calculator'!J:J,MATCH('Isaac 401k'!N5492,'Retirement Calculator'!A:A,0),0),0)</f>
        <v>0</v>
      </c>
      <c r="K5492" s="455">
        <f t="shared" ca="1" si="206"/>
        <v>-5752511785344.0771</v>
      </c>
      <c r="L5492" s="455">
        <f t="shared" ca="1" si="207"/>
        <v>-1386355340267922.5</v>
      </c>
      <c r="M5492" s="471">
        <f t="shared" si="209"/>
        <v>0.05</v>
      </c>
      <c r="N5492" s="475">
        <f t="shared" si="210"/>
        <v>218204</v>
      </c>
    </row>
    <row r="5493" spans="7:14" ht="11.25" customHeight="1" x14ac:dyDescent="0.3">
      <c r="G5493" s="470"/>
      <c r="H5493" s="470">
        <v>5486</v>
      </c>
      <c r="I5493" s="455">
        <f t="shared" ca="1" si="208"/>
        <v>-1386355340267922.5</v>
      </c>
      <c r="J5493" s="455">
        <f t="array" ref="J5493">IFERROR(INDEX('Retirement Calculator'!J:J,MATCH('Isaac 401k'!N5493,'Retirement Calculator'!A:A,0),0),0)</f>
        <v>0</v>
      </c>
      <c r="K5493" s="455">
        <f t="shared" ca="1" si="206"/>
        <v>-5776480584449.6768</v>
      </c>
      <c r="L5493" s="455">
        <f t="shared" ca="1" si="207"/>
        <v>-1392131820852372.3</v>
      </c>
      <c r="M5493" s="471">
        <f t="shared" si="209"/>
        <v>0.05</v>
      </c>
      <c r="N5493" s="475">
        <f t="shared" si="210"/>
        <v>218234</v>
      </c>
    </row>
    <row r="5494" spans="7:14" ht="11.25" customHeight="1" x14ac:dyDescent="0.3">
      <c r="G5494" s="470"/>
      <c r="H5494" s="470">
        <v>5487</v>
      </c>
      <c r="I5494" s="455">
        <f t="shared" ca="1" si="208"/>
        <v>-1392131820852372.3</v>
      </c>
      <c r="J5494" s="455">
        <f t="array" ref="J5494">IFERROR(INDEX('Retirement Calculator'!J:J,MATCH('Isaac 401k'!N5494,'Retirement Calculator'!A:A,0),0),0)</f>
        <v>0</v>
      </c>
      <c r="K5494" s="455">
        <f t="shared" ca="1" si="206"/>
        <v>-5800549253551.5508</v>
      </c>
      <c r="L5494" s="455">
        <f t="shared" ca="1" si="207"/>
        <v>-1397932370105923.8</v>
      </c>
      <c r="M5494" s="471">
        <f t="shared" si="209"/>
        <v>0.05</v>
      </c>
      <c r="N5494" s="475">
        <f t="shared" si="210"/>
        <v>218265</v>
      </c>
    </row>
    <row r="5495" spans="7:14" ht="11.25" customHeight="1" x14ac:dyDescent="0.3">
      <c r="G5495" s="470"/>
      <c r="H5495" s="470">
        <v>5488</v>
      </c>
      <c r="I5495" s="455">
        <f t="shared" ca="1" si="208"/>
        <v>-1397932370105923.8</v>
      </c>
      <c r="J5495" s="455">
        <f t="array" ref="J5495">IFERROR(INDEX('Retirement Calculator'!J:J,MATCH('Isaac 401k'!N5495,'Retirement Calculator'!A:A,0),0),0)</f>
        <v>0</v>
      </c>
      <c r="K5495" s="455">
        <f t="shared" ca="1" si="206"/>
        <v>-5824718208774.6826</v>
      </c>
      <c r="L5495" s="455">
        <f t="shared" ca="1" si="207"/>
        <v>-1403757088314698.5</v>
      </c>
      <c r="M5495" s="471">
        <f t="shared" si="209"/>
        <v>0.05</v>
      </c>
      <c r="N5495" s="475">
        <f t="shared" si="210"/>
        <v>218296</v>
      </c>
    </row>
    <row r="5496" spans="7:14" ht="11.25" customHeight="1" x14ac:dyDescent="0.3">
      <c r="G5496" s="470"/>
      <c r="H5496" s="470">
        <v>5489</v>
      </c>
      <c r="I5496" s="455">
        <f t="shared" ca="1" si="208"/>
        <v>-1403757088314698.5</v>
      </c>
      <c r="J5496" s="455">
        <f t="array" ref="J5496">IFERROR(INDEX('Retirement Calculator'!J:J,MATCH('Isaac 401k'!N5496,'Retirement Calculator'!A:A,0),0),0)</f>
        <v>0</v>
      </c>
      <c r="K5496" s="455">
        <f t="shared" ca="1" si="206"/>
        <v>-5848987867977.9102</v>
      </c>
      <c r="L5496" s="455">
        <f t="shared" ca="1" si="207"/>
        <v>-1409606076182676.5</v>
      </c>
      <c r="M5496" s="471">
        <f t="shared" si="209"/>
        <v>0.05</v>
      </c>
      <c r="N5496" s="475">
        <f t="shared" si="210"/>
        <v>218326</v>
      </c>
    </row>
    <row r="5497" spans="7:14" ht="11.25" customHeight="1" x14ac:dyDescent="0.3">
      <c r="G5497" s="470"/>
      <c r="H5497" s="470">
        <v>5490</v>
      </c>
      <c r="I5497" s="455">
        <f t="shared" ca="1" si="208"/>
        <v>-1409606076182676.5</v>
      </c>
      <c r="J5497" s="455">
        <f t="array" ref="J5497">IFERROR(INDEX('Retirement Calculator'!J:J,MATCH('Isaac 401k'!N5497,'Retirement Calculator'!A:A,0),0),0)</f>
        <v>0</v>
      </c>
      <c r="K5497" s="455">
        <f t="shared" ca="1" si="206"/>
        <v>-5873358650761.1523</v>
      </c>
      <c r="L5497" s="455">
        <f t="shared" ca="1" si="207"/>
        <v>-1415479434833437.8</v>
      </c>
      <c r="M5497" s="471">
        <f t="shared" si="209"/>
        <v>0.05</v>
      </c>
      <c r="N5497" s="475">
        <f t="shared" si="210"/>
        <v>218357</v>
      </c>
    </row>
    <row r="5498" spans="7:14" ht="11.25" customHeight="1" x14ac:dyDescent="0.3">
      <c r="G5498" s="470"/>
      <c r="H5498" s="470">
        <v>5491</v>
      </c>
      <c r="I5498" s="455">
        <f t="shared" ca="1" si="208"/>
        <v>-1415479434833437.8</v>
      </c>
      <c r="J5498" s="455">
        <f t="array" ref="J5498">IFERROR(INDEX('Retirement Calculator'!J:J,MATCH('Isaac 401k'!N5498,'Retirement Calculator'!A:A,0),0),0)</f>
        <v>0</v>
      </c>
      <c r="K5498" s="455">
        <f t="shared" ca="1" si="206"/>
        <v>-5897830978472.6572</v>
      </c>
      <c r="L5498" s="455">
        <f t="shared" ca="1" si="207"/>
        <v>-1421377265811910.5</v>
      </c>
      <c r="M5498" s="471">
        <f t="shared" si="209"/>
        <v>0.05</v>
      </c>
      <c r="N5498" s="475">
        <f t="shared" si="210"/>
        <v>218387</v>
      </c>
    </row>
    <row r="5499" spans="7:14" ht="11.25" customHeight="1" x14ac:dyDescent="0.3">
      <c r="G5499" s="470"/>
      <c r="H5499" s="470">
        <v>5492</v>
      </c>
      <c r="I5499" s="455">
        <f t="shared" ca="1" si="208"/>
        <v>-1421377265811910.5</v>
      </c>
      <c r="J5499" s="455">
        <f t="array" ref="J5499">IFERROR(INDEX('Retirement Calculator'!J:J,MATCH('Isaac 401k'!N5499,'Retirement Calculator'!A:A,0),0),0)</f>
        <v>0</v>
      </c>
      <c r="K5499" s="455">
        <f t="shared" ca="1" si="206"/>
        <v>-5922405274216.2939</v>
      </c>
      <c r="L5499" s="455">
        <f t="shared" ca="1" si="207"/>
        <v>-1427299671086126.8</v>
      </c>
      <c r="M5499" s="471">
        <f t="shared" si="209"/>
        <v>0.05</v>
      </c>
      <c r="N5499" s="475">
        <f t="shared" si="210"/>
        <v>218418</v>
      </c>
    </row>
    <row r="5500" spans="7:14" ht="11.25" customHeight="1" x14ac:dyDescent="0.3">
      <c r="G5500" s="470"/>
      <c r="H5500" s="470">
        <v>5493</v>
      </c>
      <c r="I5500" s="455">
        <f t="shared" ca="1" si="208"/>
        <v>-1427299671086126.8</v>
      </c>
      <c r="J5500" s="455">
        <f t="array" ref="J5500">IFERROR(INDEX('Retirement Calculator'!J:J,MATCH('Isaac 401k'!N5500,'Retirement Calculator'!A:A,0),0),0)</f>
        <v>0</v>
      </c>
      <c r="K5500" s="455">
        <f t="shared" ca="1" si="206"/>
        <v>-5947081962858.8613</v>
      </c>
      <c r="L5500" s="455">
        <f t="shared" ca="1" si="207"/>
        <v>-1433246753048985.5</v>
      </c>
      <c r="M5500" s="471">
        <f t="shared" si="209"/>
        <v>0.05</v>
      </c>
      <c r="N5500" s="475">
        <f t="shared" si="210"/>
        <v>218449</v>
      </c>
    </row>
    <row r="5501" spans="7:14" ht="11.25" customHeight="1" x14ac:dyDescent="0.3">
      <c r="G5501" s="470"/>
      <c r="H5501" s="470">
        <v>5494</v>
      </c>
      <c r="I5501" s="455">
        <f t="shared" ca="1" si="208"/>
        <v>-1433246753048985.5</v>
      </c>
      <c r="J5501" s="455">
        <f t="array" ref="J5501">IFERROR(INDEX('Retirement Calculator'!J:J,MATCH('Isaac 401k'!N5501,'Retirement Calculator'!A:A,0),0),0)</f>
        <v>0</v>
      </c>
      <c r="K5501" s="455">
        <f t="shared" ca="1" si="206"/>
        <v>-5971861471037.4395</v>
      </c>
      <c r="L5501" s="455">
        <f t="shared" ca="1" si="207"/>
        <v>-1439218614520023</v>
      </c>
      <c r="M5501" s="471">
        <f t="shared" si="209"/>
        <v>0.05</v>
      </c>
      <c r="N5501" s="475">
        <f t="shared" si="210"/>
        <v>218477</v>
      </c>
    </row>
    <row r="5502" spans="7:14" ht="11.25" customHeight="1" x14ac:dyDescent="0.3">
      <c r="G5502" s="470"/>
      <c r="H5502" s="470">
        <v>5495</v>
      </c>
      <c r="I5502" s="455">
        <f t="shared" ca="1" si="208"/>
        <v>-1439218614520023</v>
      </c>
      <c r="J5502" s="455">
        <f t="array" ref="J5502">IFERROR(INDEX('Retirement Calculator'!J:J,MATCH('Isaac 401k'!N5502,'Retirement Calculator'!A:A,0),0),0)</f>
        <v>0</v>
      </c>
      <c r="K5502" s="455">
        <f t="shared" ca="1" si="206"/>
        <v>-5996744227166.7627</v>
      </c>
      <c r="L5502" s="455">
        <f t="shared" ca="1" si="207"/>
        <v>-1445215358747189.8</v>
      </c>
      <c r="M5502" s="471">
        <f t="shared" si="209"/>
        <v>0.05</v>
      </c>
      <c r="N5502" s="475">
        <f t="shared" si="210"/>
        <v>218508</v>
      </c>
    </row>
    <row r="5503" spans="7:14" ht="11.25" customHeight="1" x14ac:dyDescent="0.3">
      <c r="G5503" s="470"/>
      <c r="H5503" s="470">
        <v>5496</v>
      </c>
      <c r="I5503" s="455">
        <f t="shared" ca="1" si="208"/>
        <v>-1445215358747189.8</v>
      </c>
      <c r="J5503" s="455">
        <f t="array" ref="J5503">IFERROR(INDEX('Retirement Calculator'!J:J,MATCH('Isaac 401k'!N5503,'Retirement Calculator'!A:A,0),0),0)</f>
        <v>0</v>
      </c>
      <c r="K5503" s="455">
        <f t="shared" ca="1" si="206"/>
        <v>-6021730661446.624</v>
      </c>
      <c r="L5503" s="455">
        <f t="shared" ca="1" si="207"/>
        <v>-1451237089408636.3</v>
      </c>
      <c r="M5503" s="471">
        <f t="shared" si="209"/>
        <v>0.05</v>
      </c>
      <c r="N5503" s="475">
        <f t="shared" si="210"/>
        <v>218538</v>
      </c>
    </row>
    <row r="5504" spans="7:14" ht="11.25" customHeight="1" x14ac:dyDescent="0.3">
      <c r="G5504" s="470"/>
      <c r="H5504" s="470">
        <v>5497</v>
      </c>
      <c r="I5504" s="455">
        <f t="shared" ca="1" si="208"/>
        <v>-1451237089408636.3</v>
      </c>
      <c r="J5504" s="455">
        <f t="array" ref="J5504">IFERROR(INDEX('Retirement Calculator'!J:J,MATCH('Isaac 401k'!N5504,'Retirement Calculator'!A:A,0),0),0)</f>
        <v>0</v>
      </c>
      <c r="K5504" s="455">
        <f t="shared" ca="1" si="206"/>
        <v>-6046821205869.3174</v>
      </c>
      <c r="L5504" s="455">
        <f t="shared" ca="1" si="207"/>
        <v>-1457283910614505.5</v>
      </c>
      <c r="M5504" s="471">
        <f t="shared" si="209"/>
        <v>0.05</v>
      </c>
      <c r="N5504" s="475">
        <f t="shared" si="210"/>
        <v>218569</v>
      </c>
    </row>
    <row r="5505" spans="7:14" ht="11.25" customHeight="1" x14ac:dyDescent="0.3">
      <c r="G5505" s="470"/>
      <c r="H5505" s="470">
        <v>5498</v>
      </c>
      <c r="I5505" s="455">
        <f t="shared" ca="1" si="208"/>
        <v>-1457283910614505.5</v>
      </c>
      <c r="J5505" s="455">
        <f t="array" ref="J5505">IFERROR(INDEX('Retirement Calculator'!J:J,MATCH('Isaac 401k'!N5505,'Retirement Calculator'!A:A,0),0),0)</f>
        <v>0</v>
      </c>
      <c r="K5505" s="455">
        <f t="shared" ca="1" si="206"/>
        <v>-6072016294227.1064</v>
      </c>
      <c r="L5505" s="455">
        <f t="shared" ca="1" si="207"/>
        <v>-1463355926908732.5</v>
      </c>
      <c r="M5505" s="471">
        <f t="shared" si="209"/>
        <v>0.05</v>
      </c>
      <c r="N5505" s="475">
        <f t="shared" si="210"/>
        <v>218599</v>
      </c>
    </row>
    <row r="5506" spans="7:14" ht="11.25" customHeight="1" x14ac:dyDescent="0.3">
      <c r="G5506" s="470"/>
      <c r="H5506" s="470">
        <v>5499</v>
      </c>
      <c r="I5506" s="455">
        <f t="shared" ca="1" si="208"/>
        <v>-1463355926908732.5</v>
      </c>
      <c r="J5506" s="455">
        <f t="array" ref="J5506">IFERROR(INDEX('Retirement Calculator'!J:J,MATCH('Isaac 401k'!N5506,'Retirement Calculator'!A:A,0),0),0)</f>
        <v>0</v>
      </c>
      <c r="K5506" s="455">
        <f t="shared" ca="1" si="206"/>
        <v>-6097316362119.7188</v>
      </c>
      <c r="L5506" s="455">
        <f t="shared" ca="1" si="207"/>
        <v>-1469453243270852.3</v>
      </c>
      <c r="M5506" s="471">
        <f t="shared" si="209"/>
        <v>0.05</v>
      </c>
      <c r="N5506" s="475">
        <f t="shared" si="210"/>
        <v>218630</v>
      </c>
    </row>
    <row r="5507" spans="7:14" ht="11.25" customHeight="1" x14ac:dyDescent="0.3">
      <c r="G5507" s="470"/>
      <c r="H5507" s="470">
        <v>5500</v>
      </c>
      <c r="I5507" s="455">
        <f t="shared" ca="1" si="208"/>
        <v>-1469453243270852.3</v>
      </c>
      <c r="J5507" s="455">
        <f t="array" ref="J5507">IFERROR(INDEX('Retirement Calculator'!J:J,MATCH('Isaac 401k'!N5507,'Retirement Calculator'!A:A,0),0),0)</f>
        <v>0</v>
      </c>
      <c r="K5507" s="455">
        <f t="shared" ca="1" si="206"/>
        <v>-6122721846961.8848</v>
      </c>
      <c r="L5507" s="455">
        <f t="shared" ca="1" si="207"/>
        <v>-1475575965117814.3</v>
      </c>
      <c r="M5507" s="471">
        <f t="shared" si="209"/>
        <v>0.05</v>
      </c>
      <c r="N5507" s="475">
        <f t="shared" si="210"/>
        <v>218661</v>
      </c>
    </row>
    <row r="5508" spans="7:14" ht="11.25" customHeight="1" x14ac:dyDescent="0.3">
      <c r="G5508" s="470"/>
      <c r="H5508" s="470">
        <v>5501</v>
      </c>
      <c r="I5508" s="455">
        <f t="shared" ca="1" si="208"/>
        <v>-1475575965117814.3</v>
      </c>
      <c r="J5508" s="455">
        <f t="array" ref="J5508">IFERROR(INDEX('Retirement Calculator'!J:J,MATCH('Isaac 401k'!N5508,'Retirement Calculator'!A:A,0),0),0)</f>
        <v>0</v>
      </c>
      <c r="K5508" s="455">
        <f t="shared" ca="1" si="206"/>
        <v>-6148233187990.8926</v>
      </c>
      <c r="L5508" s="455">
        <f t="shared" ca="1" si="207"/>
        <v>-1481724198305805.3</v>
      </c>
      <c r="M5508" s="471">
        <f t="shared" si="209"/>
        <v>0.05</v>
      </c>
      <c r="N5508" s="475">
        <f t="shared" si="210"/>
        <v>218691</v>
      </c>
    </row>
    <row r="5509" spans="7:14" ht="11.25" customHeight="1" x14ac:dyDescent="0.3">
      <c r="G5509" s="470"/>
      <c r="H5509" s="470">
        <v>5502</v>
      </c>
      <c r="I5509" s="455">
        <f t="shared" ca="1" si="208"/>
        <v>-1481724198305805.3</v>
      </c>
      <c r="J5509" s="455">
        <f t="array" ref="J5509">IFERROR(INDEX('Retirement Calculator'!J:J,MATCH('Isaac 401k'!N5509,'Retirement Calculator'!A:A,0),0),0)</f>
        <v>0</v>
      </c>
      <c r="K5509" s="455">
        <f t="shared" ca="1" si="206"/>
        <v>-6173850826274.1885</v>
      </c>
      <c r="L5509" s="455">
        <f t="shared" ca="1" si="207"/>
        <v>-1487898049132079.5</v>
      </c>
      <c r="M5509" s="471">
        <f t="shared" si="209"/>
        <v>0.05</v>
      </c>
      <c r="N5509" s="475">
        <f t="shared" si="210"/>
        <v>218722</v>
      </c>
    </row>
    <row r="5510" spans="7:14" ht="11.25" customHeight="1" x14ac:dyDescent="0.3">
      <c r="G5510" s="470"/>
      <c r="H5510" s="470">
        <v>5503</v>
      </c>
      <c r="I5510" s="455">
        <f t="shared" ca="1" si="208"/>
        <v>-1487898049132079.5</v>
      </c>
      <c r="J5510" s="455">
        <f t="array" ref="J5510">IFERROR(INDEX('Retirement Calculator'!J:J,MATCH('Isaac 401k'!N5510,'Retirement Calculator'!A:A,0),0),0)</f>
        <v>0</v>
      </c>
      <c r="K5510" s="455">
        <f t="shared" ca="1" si="206"/>
        <v>-6199575204716.998</v>
      </c>
      <c r="L5510" s="455">
        <f t="shared" ca="1" si="207"/>
        <v>-1494097624336796.5</v>
      </c>
      <c r="M5510" s="471">
        <f t="shared" si="209"/>
        <v>0.05</v>
      </c>
      <c r="N5510" s="475">
        <f t="shared" si="210"/>
        <v>218752</v>
      </c>
    </row>
    <row r="5511" spans="7:14" ht="11.25" customHeight="1" x14ac:dyDescent="0.3">
      <c r="G5511" s="470"/>
      <c r="H5511" s="470">
        <v>5504</v>
      </c>
      <c r="I5511" s="455">
        <f t="shared" ca="1" si="208"/>
        <v>-1494097624336796.5</v>
      </c>
      <c r="J5511" s="455">
        <f t="array" ref="J5511">IFERROR(INDEX('Retirement Calculator'!J:J,MATCH('Isaac 401k'!N5511,'Retirement Calculator'!A:A,0),0),0)</f>
        <v>0</v>
      </c>
      <c r="K5511" s="455">
        <f t="shared" ca="1" si="206"/>
        <v>-6225406768069.9854</v>
      </c>
      <c r="L5511" s="455">
        <f t="shared" ca="1" si="207"/>
        <v>-1500323031104866.5</v>
      </c>
      <c r="M5511" s="471">
        <f t="shared" si="209"/>
        <v>0.05</v>
      </c>
      <c r="N5511" s="475">
        <f t="shared" si="210"/>
        <v>218783</v>
      </c>
    </row>
    <row r="5512" spans="7:14" ht="11.25" customHeight="1" x14ac:dyDescent="0.3">
      <c r="G5512" s="470"/>
      <c r="H5512" s="470">
        <v>5505</v>
      </c>
      <c r="I5512" s="455">
        <f t="shared" ca="1" si="208"/>
        <v>-1500323031104866.5</v>
      </c>
      <c r="J5512" s="455">
        <f t="array" ref="J5512">IFERROR(INDEX('Retirement Calculator'!J:J,MATCH('Isaac 401k'!N5512,'Retirement Calculator'!A:A,0),0),0)</f>
        <v>0</v>
      </c>
      <c r="K5512" s="455">
        <f t="shared" ca="1" si="206"/>
        <v>-6251345962936.9434</v>
      </c>
      <c r="L5512" s="455">
        <f t="shared" ca="1" si="207"/>
        <v>-1506574377067803.5</v>
      </c>
      <c r="M5512" s="471">
        <f t="shared" si="209"/>
        <v>0.05</v>
      </c>
      <c r="N5512" s="475">
        <f t="shared" si="210"/>
        <v>218814</v>
      </c>
    </row>
    <row r="5513" spans="7:14" ht="11.25" customHeight="1" x14ac:dyDescent="0.3">
      <c r="G5513" s="470"/>
      <c r="H5513" s="470">
        <v>5506</v>
      </c>
      <c r="I5513" s="455">
        <f t="shared" ca="1" si="208"/>
        <v>-1506574377067803.5</v>
      </c>
      <c r="J5513" s="455">
        <f t="array" ref="J5513">IFERROR(INDEX('Retirement Calculator'!J:J,MATCH('Isaac 401k'!N5513,'Retirement Calculator'!A:A,0),0),0)</f>
        <v>0</v>
      </c>
      <c r="K5513" s="455">
        <f t="shared" ca="1" si="206"/>
        <v>-6277393237782.5146</v>
      </c>
      <c r="L5513" s="455">
        <f t="shared" ca="1" si="207"/>
        <v>-1512851770305586</v>
      </c>
      <c r="M5513" s="471">
        <f t="shared" si="209"/>
        <v>0.05</v>
      </c>
      <c r="N5513" s="475">
        <f t="shared" si="210"/>
        <v>218842</v>
      </c>
    </row>
    <row r="5514" spans="7:14" ht="11.25" customHeight="1" x14ac:dyDescent="0.3">
      <c r="G5514" s="470"/>
      <c r="H5514" s="470">
        <v>5507</v>
      </c>
      <c r="I5514" s="455">
        <f t="shared" ca="1" si="208"/>
        <v>-1512851770305586</v>
      </c>
      <c r="J5514" s="455">
        <f t="array" ref="J5514">IFERROR(INDEX('Retirement Calculator'!J:J,MATCH('Isaac 401k'!N5514,'Retirement Calculator'!A:A,0),0),0)</f>
        <v>0</v>
      </c>
      <c r="K5514" s="455">
        <f t="shared" ca="1" si="206"/>
        <v>-6303549042939.9414</v>
      </c>
      <c r="L5514" s="455">
        <f t="shared" ca="1" si="207"/>
        <v>-1519155319348526</v>
      </c>
      <c r="M5514" s="471">
        <f t="shared" si="209"/>
        <v>0.05</v>
      </c>
      <c r="N5514" s="475">
        <f t="shared" si="210"/>
        <v>218873</v>
      </c>
    </row>
    <row r="5515" spans="7:14" ht="11.25" customHeight="1" x14ac:dyDescent="0.3">
      <c r="G5515" s="470"/>
      <c r="H5515" s="470">
        <v>5508</v>
      </c>
      <c r="I5515" s="455">
        <f t="shared" ca="1" si="208"/>
        <v>-1519155319348526</v>
      </c>
      <c r="J5515" s="455">
        <f t="array" ref="J5515">IFERROR(INDEX('Retirement Calculator'!J:J,MATCH('Isaac 401k'!N5515,'Retirement Calculator'!A:A,0),0),0)</f>
        <v>0</v>
      </c>
      <c r="K5515" s="455">
        <f t="shared" ca="1" si="206"/>
        <v>-6329813830618.8584</v>
      </c>
      <c r="L5515" s="455">
        <f t="shared" ca="1" si="207"/>
        <v>-1525485133179144.8</v>
      </c>
      <c r="M5515" s="471">
        <f t="shared" si="209"/>
        <v>0.05</v>
      </c>
      <c r="N5515" s="475">
        <f t="shared" si="210"/>
        <v>218903</v>
      </c>
    </row>
    <row r="5516" spans="7:14" ht="11.25" customHeight="1" x14ac:dyDescent="0.3">
      <c r="G5516" s="470"/>
      <c r="H5516" s="470">
        <v>5509</v>
      </c>
      <c r="I5516" s="455">
        <f t="shared" ca="1" si="208"/>
        <v>-1525485133179144.8</v>
      </c>
      <c r="J5516" s="455">
        <f t="array" ref="J5516">IFERROR(INDEX('Retirement Calculator'!J:J,MATCH('Isaac 401k'!N5516,'Retirement Calculator'!A:A,0),0),0)</f>
        <v>0</v>
      </c>
      <c r="K5516" s="455">
        <f t="shared" ca="1" si="206"/>
        <v>-6356188054913.1035</v>
      </c>
      <c r="L5516" s="455">
        <f t="shared" ca="1" si="207"/>
        <v>-1531841321234057.8</v>
      </c>
      <c r="M5516" s="471">
        <f t="shared" si="209"/>
        <v>0.05</v>
      </c>
      <c r="N5516" s="475">
        <f t="shared" si="210"/>
        <v>218934</v>
      </c>
    </row>
    <row r="5517" spans="7:14" ht="11.25" customHeight="1" x14ac:dyDescent="0.3">
      <c r="G5517" s="470"/>
      <c r="H5517" s="470">
        <v>5510</v>
      </c>
      <c r="I5517" s="455">
        <f t="shared" ca="1" si="208"/>
        <v>-1531841321234057.8</v>
      </c>
      <c r="J5517" s="455">
        <f t="array" ref="J5517">IFERROR(INDEX('Retirement Calculator'!J:J,MATCH('Isaac 401k'!N5517,'Retirement Calculator'!A:A,0),0),0)</f>
        <v>0</v>
      </c>
      <c r="K5517" s="455">
        <f t="shared" ca="1" si="206"/>
        <v>-6382672171808.5742</v>
      </c>
      <c r="L5517" s="455">
        <f t="shared" ca="1" si="207"/>
        <v>-1538223993405866.3</v>
      </c>
      <c r="M5517" s="471">
        <f t="shared" si="209"/>
        <v>0.05</v>
      </c>
      <c r="N5517" s="475">
        <f t="shared" si="210"/>
        <v>218964</v>
      </c>
    </row>
    <row r="5518" spans="7:14" ht="11.25" customHeight="1" x14ac:dyDescent="0.3">
      <c r="G5518" s="470"/>
      <c r="H5518" s="470">
        <v>5511</v>
      </c>
      <c r="I5518" s="455">
        <f t="shared" ca="1" si="208"/>
        <v>-1538223993405866.3</v>
      </c>
      <c r="J5518" s="455">
        <f t="array" ref="J5518">IFERROR(INDEX('Retirement Calculator'!J:J,MATCH('Isaac 401k'!N5518,'Retirement Calculator'!A:A,0),0),0)</f>
        <v>0</v>
      </c>
      <c r="K5518" s="455">
        <f t="shared" ca="1" si="206"/>
        <v>-6409266639191.1094</v>
      </c>
      <c r="L5518" s="455">
        <f t="shared" ca="1" si="207"/>
        <v>-1544633260045057.3</v>
      </c>
      <c r="M5518" s="471">
        <f t="shared" si="209"/>
        <v>0.05</v>
      </c>
      <c r="N5518" s="475">
        <f t="shared" si="210"/>
        <v>218995</v>
      </c>
    </row>
    <row r="5519" spans="7:14" ht="11.25" customHeight="1" x14ac:dyDescent="0.3">
      <c r="G5519" s="470"/>
      <c r="H5519" s="470">
        <v>5512</v>
      </c>
      <c r="I5519" s="455">
        <f t="shared" ca="1" si="208"/>
        <v>-1544633260045057.3</v>
      </c>
      <c r="J5519" s="455">
        <f t="array" ref="J5519">IFERROR(INDEX('Retirement Calculator'!J:J,MATCH('Isaac 401k'!N5519,'Retirement Calculator'!A:A,0),0),0)</f>
        <v>0</v>
      </c>
      <c r="K5519" s="455">
        <f t="shared" ca="1" si="206"/>
        <v>-6435971916854.4053</v>
      </c>
      <c r="L5519" s="455">
        <f t="shared" ca="1" si="207"/>
        <v>-1551069231961911.8</v>
      </c>
      <c r="M5519" s="471">
        <f t="shared" si="209"/>
        <v>0.05</v>
      </c>
      <c r="N5519" s="475">
        <f t="shared" si="210"/>
        <v>219026</v>
      </c>
    </row>
    <row r="5520" spans="7:14" ht="11.25" customHeight="1" x14ac:dyDescent="0.3">
      <c r="G5520" s="470"/>
      <c r="H5520" s="470">
        <v>5513</v>
      </c>
      <c r="I5520" s="455">
        <f t="shared" ca="1" si="208"/>
        <v>-1551069231961911.8</v>
      </c>
      <c r="J5520" s="455">
        <f t="array" ref="J5520">IFERROR(INDEX('Retirement Calculator'!J:J,MATCH('Isaac 401k'!N5520,'Retirement Calculator'!A:A,0),0),0)</f>
        <v>0</v>
      </c>
      <c r="K5520" s="455">
        <f t="shared" ca="1" si="206"/>
        <v>-6462788466507.9658</v>
      </c>
      <c r="L5520" s="455">
        <f t="shared" ca="1" si="207"/>
        <v>-1557532020428419.8</v>
      </c>
      <c r="M5520" s="471">
        <f t="shared" si="209"/>
        <v>0.05</v>
      </c>
      <c r="N5520" s="475">
        <f t="shared" si="210"/>
        <v>219056</v>
      </c>
    </row>
    <row r="5521" spans="7:14" ht="11.25" customHeight="1" x14ac:dyDescent="0.3">
      <c r="G5521" s="470"/>
      <c r="H5521" s="470">
        <v>5514</v>
      </c>
      <c r="I5521" s="455">
        <f t="shared" ca="1" si="208"/>
        <v>-1557532020428419.8</v>
      </c>
      <c r="J5521" s="455">
        <f t="array" ref="J5521">IFERROR(INDEX('Retirement Calculator'!J:J,MATCH('Isaac 401k'!N5521,'Retirement Calculator'!A:A,0),0),0)</f>
        <v>0</v>
      </c>
      <c r="K5521" s="455">
        <f t="shared" ca="1" si="206"/>
        <v>-6489716751785.082</v>
      </c>
      <c r="L5521" s="455">
        <f t="shared" ca="1" si="207"/>
        <v>-1564021737180204.8</v>
      </c>
      <c r="M5521" s="471">
        <f t="shared" si="209"/>
        <v>0.05</v>
      </c>
      <c r="N5521" s="475">
        <f t="shared" si="210"/>
        <v>219087</v>
      </c>
    </row>
    <row r="5522" spans="7:14" ht="11.25" customHeight="1" x14ac:dyDescent="0.3">
      <c r="G5522" s="470"/>
      <c r="H5522" s="470">
        <v>5515</v>
      </c>
      <c r="I5522" s="455">
        <f t="shared" ca="1" si="208"/>
        <v>-1564021737180204.8</v>
      </c>
      <c r="J5522" s="455">
        <f t="array" ref="J5522">IFERROR(INDEX('Retirement Calculator'!J:J,MATCH('Isaac 401k'!N5522,'Retirement Calculator'!A:A,0),0),0)</f>
        <v>0</v>
      </c>
      <c r="K5522" s="455">
        <f t="shared" ca="1" si="206"/>
        <v>-6516757238250.8535</v>
      </c>
      <c r="L5522" s="455">
        <f t="shared" ca="1" si="207"/>
        <v>-1570538494418455.5</v>
      </c>
      <c r="M5522" s="471">
        <f t="shared" si="209"/>
        <v>0.05</v>
      </c>
      <c r="N5522" s="475">
        <f t="shared" si="210"/>
        <v>219117</v>
      </c>
    </row>
    <row r="5523" spans="7:14" ht="11.25" customHeight="1" x14ac:dyDescent="0.3">
      <c r="G5523" s="470"/>
      <c r="H5523" s="470">
        <v>5516</v>
      </c>
      <c r="I5523" s="455">
        <f t="shared" ca="1" si="208"/>
        <v>-1570538494418455.5</v>
      </c>
      <c r="J5523" s="455">
        <f t="array" ref="J5523">IFERROR(INDEX('Retirement Calculator'!J:J,MATCH('Isaac 401k'!N5523,'Retirement Calculator'!A:A,0),0),0)</f>
        <v>0</v>
      </c>
      <c r="K5523" s="455">
        <f t="shared" ca="1" si="206"/>
        <v>-6543910393410.2314</v>
      </c>
      <c r="L5523" s="455">
        <f t="shared" ca="1" si="207"/>
        <v>-1577082404811865.8</v>
      </c>
      <c r="M5523" s="471">
        <f t="shared" si="209"/>
        <v>0.05</v>
      </c>
      <c r="N5523" s="475">
        <f t="shared" si="210"/>
        <v>219148</v>
      </c>
    </row>
    <row r="5524" spans="7:14" ht="11.25" customHeight="1" x14ac:dyDescent="0.3">
      <c r="G5524" s="470"/>
      <c r="H5524" s="470">
        <v>5517</v>
      </c>
      <c r="I5524" s="455">
        <f t="shared" ca="1" si="208"/>
        <v>-1577082404811865.8</v>
      </c>
      <c r="J5524" s="455">
        <f t="array" ref="J5524">IFERROR(INDEX('Retirement Calculator'!J:J,MATCH('Isaac 401k'!N5524,'Retirement Calculator'!A:A,0),0),0)</f>
        <v>0</v>
      </c>
      <c r="K5524" s="455">
        <f t="shared" ca="1" si="206"/>
        <v>-6571176686716.1074</v>
      </c>
      <c r="L5524" s="455">
        <f t="shared" ca="1" si="207"/>
        <v>-1583653581498581.8</v>
      </c>
      <c r="M5524" s="471">
        <f t="shared" si="209"/>
        <v>0.05</v>
      </c>
      <c r="N5524" s="475">
        <f t="shared" si="210"/>
        <v>219179</v>
      </c>
    </row>
    <row r="5525" spans="7:14" ht="11.25" customHeight="1" x14ac:dyDescent="0.3">
      <c r="G5525" s="470"/>
      <c r="H5525" s="470">
        <v>5518</v>
      </c>
      <c r="I5525" s="455">
        <f t="shared" ca="1" si="208"/>
        <v>-1583653581498581.8</v>
      </c>
      <c r="J5525" s="455">
        <f t="array" ref="J5525">IFERROR(INDEX('Retirement Calculator'!J:J,MATCH('Isaac 401k'!N5525,'Retirement Calculator'!A:A,0),0),0)</f>
        <v>0</v>
      </c>
      <c r="K5525" s="455">
        <f t="shared" ca="1" si="206"/>
        <v>-6598556589577.4238</v>
      </c>
      <c r="L5525" s="455">
        <f t="shared" ca="1" si="207"/>
        <v>-1590252138088159.3</v>
      </c>
      <c r="M5525" s="471">
        <f t="shared" si="209"/>
        <v>0.05</v>
      </c>
      <c r="N5525" s="475">
        <f t="shared" si="210"/>
        <v>219207</v>
      </c>
    </row>
    <row r="5526" spans="7:14" ht="11.25" customHeight="1" x14ac:dyDescent="0.3">
      <c r="G5526" s="470"/>
      <c r="H5526" s="470">
        <v>5519</v>
      </c>
      <c r="I5526" s="455">
        <f t="shared" ca="1" si="208"/>
        <v>-1590252138088159.3</v>
      </c>
      <c r="J5526" s="455">
        <f t="array" ref="J5526">IFERROR(INDEX('Retirement Calculator'!J:J,MATCH('Isaac 401k'!N5526,'Retirement Calculator'!A:A,0),0),0)</f>
        <v>0</v>
      </c>
      <c r="K5526" s="455">
        <f t="shared" ca="1" si="206"/>
        <v>-6626050575367.3301</v>
      </c>
      <c r="L5526" s="455">
        <f t="shared" ca="1" si="207"/>
        <v>-1596878188663526.5</v>
      </c>
      <c r="M5526" s="471">
        <f t="shared" si="209"/>
        <v>0.05</v>
      </c>
      <c r="N5526" s="475">
        <f t="shared" si="210"/>
        <v>219238</v>
      </c>
    </row>
    <row r="5527" spans="7:14" ht="11.25" customHeight="1" x14ac:dyDescent="0.3">
      <c r="G5527" s="470"/>
      <c r="H5527" s="470">
        <v>5520</v>
      </c>
      <c r="I5527" s="455">
        <f t="shared" ca="1" si="208"/>
        <v>-1596878188663526.5</v>
      </c>
      <c r="J5527" s="455">
        <f t="array" ref="J5527">IFERROR(INDEX('Retirement Calculator'!J:J,MATCH('Isaac 401k'!N5527,'Retirement Calculator'!A:A,0),0),0)</f>
        <v>0</v>
      </c>
      <c r="K5527" s="455">
        <f t="shared" ca="1" si="206"/>
        <v>-6653659119431.3604</v>
      </c>
      <c r="L5527" s="455">
        <f t="shared" ca="1" si="207"/>
        <v>-1603531847782957.8</v>
      </c>
      <c r="M5527" s="471">
        <f t="shared" si="209"/>
        <v>0.05</v>
      </c>
      <c r="N5527" s="475">
        <f t="shared" si="210"/>
        <v>219268</v>
      </c>
    </row>
    <row r="5528" spans="7:14" ht="11.25" customHeight="1" x14ac:dyDescent="0.3">
      <c r="G5528" s="470"/>
      <c r="H5528" s="470">
        <v>5521</v>
      </c>
      <c r="I5528" s="455">
        <f t="shared" ca="1" si="208"/>
        <v>-1603531847782957.8</v>
      </c>
      <c r="J5528" s="455">
        <f t="array" ref="J5528">IFERROR(INDEX('Retirement Calculator'!J:J,MATCH('Isaac 401k'!N5528,'Retirement Calculator'!A:A,0),0),0)</f>
        <v>0</v>
      </c>
      <c r="K5528" s="455">
        <f t="shared" ca="1" si="206"/>
        <v>-6681382699095.6572</v>
      </c>
      <c r="L5528" s="455">
        <f t="shared" ca="1" si="207"/>
        <v>-1610213230482053.5</v>
      </c>
      <c r="M5528" s="471">
        <f t="shared" si="209"/>
        <v>0.05</v>
      </c>
      <c r="N5528" s="475">
        <f t="shared" si="210"/>
        <v>219299</v>
      </c>
    </row>
    <row r="5529" spans="7:14" ht="11.25" customHeight="1" x14ac:dyDescent="0.3">
      <c r="G5529" s="470"/>
      <c r="H5529" s="470">
        <v>5522</v>
      </c>
      <c r="I5529" s="455">
        <f t="shared" ca="1" si="208"/>
        <v>-1610213230482053.5</v>
      </c>
      <c r="J5529" s="455">
        <f t="array" ref="J5529">IFERROR(INDEX('Retirement Calculator'!J:J,MATCH('Isaac 401k'!N5529,'Retirement Calculator'!A:A,0),0),0)</f>
        <v>0</v>
      </c>
      <c r="K5529" s="455">
        <f t="shared" ca="1" si="206"/>
        <v>-6709221793675.2227</v>
      </c>
      <c r="L5529" s="455">
        <f t="shared" ca="1" si="207"/>
        <v>-1616922452275728.8</v>
      </c>
      <c r="M5529" s="471">
        <f t="shared" si="209"/>
        <v>0.05</v>
      </c>
      <c r="N5529" s="475">
        <f t="shared" si="210"/>
        <v>219329</v>
      </c>
    </row>
    <row r="5530" spans="7:14" ht="11.25" customHeight="1" x14ac:dyDescent="0.3">
      <c r="G5530" s="470"/>
      <c r="H5530" s="470">
        <v>5523</v>
      </c>
      <c r="I5530" s="455">
        <f t="shared" ca="1" si="208"/>
        <v>-1616922452275728.8</v>
      </c>
      <c r="J5530" s="455">
        <f t="array" ref="J5530">IFERROR(INDEX('Retirement Calculator'!J:J,MATCH('Isaac 401k'!N5530,'Retirement Calculator'!A:A,0),0),0)</f>
        <v>0</v>
      </c>
      <c r="K5530" s="455">
        <f t="shared" ca="1" si="206"/>
        <v>-6737176884482.2031</v>
      </c>
      <c r="L5530" s="455">
        <f t="shared" ca="1" si="207"/>
        <v>-1623659629160211</v>
      </c>
      <c r="M5530" s="471">
        <f t="shared" si="209"/>
        <v>0.05</v>
      </c>
      <c r="N5530" s="475">
        <f t="shared" si="210"/>
        <v>219360</v>
      </c>
    </row>
    <row r="5531" spans="7:14" ht="11.25" customHeight="1" x14ac:dyDescent="0.3">
      <c r="G5531" s="470"/>
      <c r="H5531" s="470">
        <v>5524</v>
      </c>
      <c r="I5531" s="455">
        <f t="shared" ca="1" si="208"/>
        <v>-1623659629160211</v>
      </c>
      <c r="J5531" s="455">
        <f t="array" ref="J5531">IFERROR(INDEX('Retirement Calculator'!J:J,MATCH('Isaac 401k'!N5531,'Retirement Calculator'!A:A,0),0),0)</f>
        <v>0</v>
      </c>
      <c r="K5531" s="455">
        <f t="shared" ca="1" si="206"/>
        <v>-6765248454834.2129</v>
      </c>
      <c r="L5531" s="455">
        <f t="shared" ca="1" si="207"/>
        <v>-1630424877615045.3</v>
      </c>
      <c r="M5531" s="471">
        <f t="shared" si="209"/>
        <v>0.05</v>
      </c>
      <c r="N5531" s="475">
        <f t="shared" si="210"/>
        <v>219391</v>
      </c>
    </row>
    <row r="5532" spans="7:14" ht="11.25" customHeight="1" x14ac:dyDescent="0.3">
      <c r="G5532" s="470"/>
      <c r="H5532" s="470">
        <v>5525</v>
      </c>
      <c r="I5532" s="455">
        <f t="shared" ca="1" si="208"/>
        <v>-1630424877615045.3</v>
      </c>
      <c r="J5532" s="455">
        <f t="array" ref="J5532">IFERROR(INDEX('Retirement Calculator'!J:J,MATCH('Isaac 401k'!N5532,'Retirement Calculator'!A:A,0),0),0)</f>
        <v>0</v>
      </c>
      <c r="K5532" s="455">
        <f t="shared" ca="1" si="206"/>
        <v>-6793436990062.6885</v>
      </c>
      <c r="L5532" s="455">
        <f t="shared" ca="1" si="207"/>
        <v>-1637218314605108</v>
      </c>
      <c r="M5532" s="471">
        <f t="shared" si="209"/>
        <v>0.05</v>
      </c>
      <c r="N5532" s="475">
        <f t="shared" si="210"/>
        <v>219421</v>
      </c>
    </row>
    <row r="5533" spans="7:14" ht="11.25" customHeight="1" x14ac:dyDescent="0.3">
      <c r="G5533" s="470"/>
      <c r="H5533" s="470">
        <v>5526</v>
      </c>
      <c r="I5533" s="455">
        <f t="shared" ca="1" si="208"/>
        <v>-1637218314605108</v>
      </c>
      <c r="J5533" s="455">
        <f t="array" ref="J5533">IFERROR(INDEX('Retirement Calculator'!J:J,MATCH('Isaac 401k'!N5533,'Retirement Calculator'!A:A,0),0),0)</f>
        <v>0</v>
      </c>
      <c r="K5533" s="455">
        <f t="shared" ca="1" si="206"/>
        <v>-6821742977521.2832</v>
      </c>
      <c r="L5533" s="455">
        <f t="shared" ca="1" si="207"/>
        <v>-1644040057582629.3</v>
      </c>
      <c r="M5533" s="471">
        <f t="shared" si="209"/>
        <v>0.05</v>
      </c>
      <c r="N5533" s="475">
        <f t="shared" si="210"/>
        <v>219452</v>
      </c>
    </row>
    <row r="5534" spans="7:14" ht="11.25" customHeight="1" x14ac:dyDescent="0.3">
      <c r="G5534" s="470"/>
      <c r="H5534" s="470">
        <v>5527</v>
      </c>
      <c r="I5534" s="455">
        <f t="shared" ca="1" si="208"/>
        <v>-1644040057582629.3</v>
      </c>
      <c r="J5534" s="455">
        <f t="array" ref="J5534">IFERROR(INDEX('Retirement Calculator'!J:J,MATCH('Isaac 401k'!N5534,'Retirement Calculator'!A:A,0),0),0)</f>
        <v>0</v>
      </c>
      <c r="K5534" s="455">
        <f t="shared" ca="1" si="206"/>
        <v>-6850166906594.2881</v>
      </c>
      <c r="L5534" s="455">
        <f t="shared" ca="1" si="207"/>
        <v>-1650890224489223.5</v>
      </c>
      <c r="M5534" s="471">
        <f t="shared" si="209"/>
        <v>0.05</v>
      </c>
      <c r="N5534" s="475">
        <f t="shared" si="210"/>
        <v>219482</v>
      </c>
    </row>
    <row r="5535" spans="7:14" ht="11.25" customHeight="1" x14ac:dyDescent="0.3">
      <c r="G5535" s="470"/>
      <c r="H5535" s="470">
        <v>5528</v>
      </c>
      <c r="I5535" s="455">
        <f t="shared" ca="1" si="208"/>
        <v>-1650890224489223.5</v>
      </c>
      <c r="J5535" s="455">
        <f t="array" ref="J5535">IFERROR(INDEX('Retirement Calculator'!J:J,MATCH('Isaac 401k'!N5535,'Retirement Calculator'!A:A,0),0),0)</f>
        <v>0</v>
      </c>
      <c r="K5535" s="455">
        <f t="shared" ca="1" si="206"/>
        <v>-6878709268705.0977</v>
      </c>
      <c r="L5535" s="455">
        <f t="shared" ca="1" si="207"/>
        <v>-1657768933757928.5</v>
      </c>
      <c r="M5535" s="471">
        <f t="shared" si="209"/>
        <v>0.05</v>
      </c>
      <c r="N5535" s="475">
        <f t="shared" si="210"/>
        <v>219513</v>
      </c>
    </row>
    <row r="5536" spans="7:14" ht="11.25" customHeight="1" x14ac:dyDescent="0.3">
      <c r="G5536" s="470"/>
      <c r="H5536" s="470">
        <v>5529</v>
      </c>
      <c r="I5536" s="455">
        <f t="shared" ca="1" si="208"/>
        <v>-1657768933757928.5</v>
      </c>
      <c r="J5536" s="455">
        <f t="array" ref="J5536">IFERROR(INDEX('Retirement Calculator'!J:J,MATCH('Isaac 401k'!N5536,'Retirement Calculator'!A:A,0),0),0)</f>
        <v>0</v>
      </c>
      <c r="K5536" s="455">
        <f t="shared" ca="1" si="206"/>
        <v>-6907370557324.7021</v>
      </c>
      <c r="L5536" s="455">
        <f t="shared" ca="1" si="207"/>
        <v>-1664676304315253.3</v>
      </c>
      <c r="M5536" s="471">
        <f t="shared" si="209"/>
        <v>0.05</v>
      </c>
      <c r="N5536" s="475">
        <f t="shared" si="210"/>
        <v>219544</v>
      </c>
    </row>
    <row r="5537" spans="7:14" ht="11.25" customHeight="1" x14ac:dyDescent="0.3">
      <c r="G5537" s="470"/>
      <c r="H5537" s="470">
        <v>5530</v>
      </c>
      <c r="I5537" s="455">
        <f t="shared" ca="1" si="208"/>
        <v>-1664676304315253.3</v>
      </c>
      <c r="J5537" s="455">
        <f t="array" ref="J5537">IFERROR(INDEX('Retirement Calculator'!J:J,MATCH('Isaac 401k'!N5537,'Retirement Calculator'!A:A,0),0),0)</f>
        <v>0</v>
      </c>
      <c r="K5537" s="455">
        <f t="shared" ca="1" si="206"/>
        <v>-6936151267980.2217</v>
      </c>
      <c r="L5537" s="455">
        <f t="shared" ca="1" si="207"/>
        <v>-1671612455583233.5</v>
      </c>
      <c r="M5537" s="471">
        <f t="shared" si="209"/>
        <v>0.05</v>
      </c>
      <c r="N5537" s="475">
        <f t="shared" si="210"/>
        <v>219572</v>
      </c>
    </row>
    <row r="5538" spans="7:14" ht="11.25" customHeight="1" x14ac:dyDescent="0.3">
      <c r="G5538" s="470"/>
      <c r="H5538" s="470">
        <v>5531</v>
      </c>
      <c r="I5538" s="455">
        <f t="shared" ca="1" si="208"/>
        <v>-1671612455583233.5</v>
      </c>
      <c r="J5538" s="455">
        <f t="array" ref="J5538">IFERROR(INDEX('Retirement Calculator'!J:J,MATCH('Isaac 401k'!N5538,'Retirement Calculator'!A:A,0),0),0)</f>
        <v>0</v>
      </c>
      <c r="K5538" s="455">
        <f t="shared" ca="1" si="206"/>
        <v>-6965051898263.4727</v>
      </c>
      <c r="L5538" s="455">
        <f t="shared" ca="1" si="207"/>
        <v>-1678577507481497</v>
      </c>
      <c r="M5538" s="471">
        <f t="shared" si="209"/>
        <v>0.05</v>
      </c>
      <c r="N5538" s="475">
        <f t="shared" si="210"/>
        <v>219603</v>
      </c>
    </row>
    <row r="5539" spans="7:14" ht="11.25" customHeight="1" x14ac:dyDescent="0.3">
      <c r="G5539" s="470"/>
      <c r="H5539" s="470">
        <v>5532</v>
      </c>
      <c r="I5539" s="455">
        <f t="shared" ca="1" si="208"/>
        <v>-1678577507481497</v>
      </c>
      <c r="J5539" s="455">
        <f t="array" ref="J5539">IFERROR(INDEX('Retirement Calculator'!J:J,MATCH('Isaac 401k'!N5539,'Retirement Calculator'!A:A,0),0),0)</f>
        <v>0</v>
      </c>
      <c r="K5539" s="455">
        <f t="shared" ca="1" si="206"/>
        <v>-6994072947839.5703</v>
      </c>
      <c r="L5539" s="455">
        <f t="shared" ca="1" si="207"/>
        <v>-1685571580429336.5</v>
      </c>
      <c r="M5539" s="471">
        <f t="shared" si="209"/>
        <v>0.05</v>
      </c>
      <c r="N5539" s="475">
        <f t="shared" si="210"/>
        <v>219633</v>
      </c>
    </row>
    <row r="5540" spans="7:14" ht="11.25" customHeight="1" x14ac:dyDescent="0.3">
      <c r="G5540" s="470"/>
      <c r="H5540" s="470">
        <v>5533</v>
      </c>
      <c r="I5540" s="455">
        <f t="shared" ca="1" si="208"/>
        <v>-1685571580429336.5</v>
      </c>
      <c r="J5540" s="455">
        <f t="array" ref="J5540">IFERROR(INDEX('Retirement Calculator'!J:J,MATCH('Isaac 401k'!N5540,'Retirement Calculator'!A:A,0),0),0)</f>
        <v>0</v>
      </c>
      <c r="K5540" s="455">
        <f t="shared" ca="1" si="206"/>
        <v>-7023214918455.5684</v>
      </c>
      <c r="L5540" s="455">
        <f t="shared" ca="1" si="207"/>
        <v>-1692594795347792</v>
      </c>
      <c r="M5540" s="471">
        <f t="shared" si="209"/>
        <v>0.05</v>
      </c>
      <c r="N5540" s="475">
        <f t="shared" si="210"/>
        <v>219664</v>
      </c>
    </row>
    <row r="5541" spans="7:14" ht="11.25" customHeight="1" x14ac:dyDescent="0.3">
      <c r="G5541" s="470"/>
      <c r="H5541" s="470">
        <v>5534</v>
      </c>
      <c r="I5541" s="455">
        <f t="shared" ca="1" si="208"/>
        <v>-1692594795347792</v>
      </c>
      <c r="J5541" s="455">
        <f t="array" ref="J5541">IFERROR(INDEX('Retirement Calculator'!J:J,MATCH('Isaac 401k'!N5541,'Retirement Calculator'!A:A,0),0),0)</f>
        <v>0</v>
      </c>
      <c r="K5541" s="455">
        <f t="shared" ca="1" si="206"/>
        <v>-7052478313949.1328</v>
      </c>
      <c r="L5541" s="455">
        <f t="shared" ca="1" si="207"/>
        <v>-1699647273661741.3</v>
      </c>
      <c r="M5541" s="471">
        <f t="shared" si="209"/>
        <v>0.05</v>
      </c>
      <c r="N5541" s="475">
        <f t="shared" si="210"/>
        <v>219694</v>
      </c>
    </row>
    <row r="5542" spans="7:14" ht="11.25" customHeight="1" x14ac:dyDescent="0.3">
      <c r="G5542" s="470"/>
      <c r="H5542" s="470">
        <v>5535</v>
      </c>
      <c r="I5542" s="455">
        <f t="shared" ca="1" si="208"/>
        <v>-1699647273661741.3</v>
      </c>
      <c r="J5542" s="455">
        <f t="array" ref="J5542">IFERROR(INDEX('Retirement Calculator'!J:J,MATCH('Isaac 401k'!N5542,'Retirement Calculator'!A:A,0),0),0)</f>
        <v>0</v>
      </c>
      <c r="K5542" s="455">
        <f t="shared" ca="1" si="206"/>
        <v>-7081863640257.2549</v>
      </c>
      <c r="L5542" s="455">
        <f t="shared" ca="1" si="207"/>
        <v>-1706729137301998.5</v>
      </c>
      <c r="M5542" s="471">
        <f t="shared" si="209"/>
        <v>0.05</v>
      </c>
      <c r="N5542" s="475">
        <f t="shared" si="210"/>
        <v>219725</v>
      </c>
    </row>
    <row r="5543" spans="7:14" ht="11.25" customHeight="1" x14ac:dyDescent="0.3">
      <c r="G5543" s="470"/>
      <c r="H5543" s="470">
        <v>5536</v>
      </c>
      <c r="I5543" s="455">
        <f t="shared" ca="1" si="208"/>
        <v>-1706729137301998.5</v>
      </c>
      <c r="J5543" s="455">
        <f t="array" ref="J5543">IFERROR(INDEX('Retirement Calculator'!J:J,MATCH('Isaac 401k'!N5543,'Retirement Calculator'!A:A,0),0),0)</f>
        <v>0</v>
      </c>
      <c r="K5543" s="455">
        <f t="shared" ca="1" si="206"/>
        <v>-7111371405424.9932</v>
      </c>
      <c r="L5543" s="455">
        <f t="shared" ca="1" si="207"/>
        <v>-1713840508707423.5</v>
      </c>
      <c r="M5543" s="471">
        <f t="shared" si="209"/>
        <v>0.05</v>
      </c>
      <c r="N5543" s="475">
        <f t="shared" si="210"/>
        <v>219756</v>
      </c>
    </row>
    <row r="5544" spans="7:14" ht="11.25" customHeight="1" x14ac:dyDescent="0.3">
      <c r="G5544" s="470"/>
      <c r="H5544" s="470">
        <v>5537</v>
      </c>
      <c r="I5544" s="455">
        <f t="shared" ca="1" si="208"/>
        <v>-1713840508707423.5</v>
      </c>
      <c r="J5544" s="455">
        <f t="array" ref="J5544">IFERROR(INDEX('Retirement Calculator'!J:J,MATCH('Isaac 401k'!N5544,'Retirement Calculator'!A:A,0),0),0)</f>
        <v>0</v>
      </c>
      <c r="K5544" s="455">
        <f t="shared" ca="1" si="206"/>
        <v>-7141002119614.2646</v>
      </c>
      <c r="L5544" s="455">
        <f t="shared" ca="1" si="207"/>
        <v>-1720981510827037.8</v>
      </c>
      <c r="M5544" s="471">
        <f t="shared" si="209"/>
        <v>0.05</v>
      </c>
      <c r="N5544" s="475">
        <f t="shared" si="210"/>
        <v>219786</v>
      </c>
    </row>
    <row r="5545" spans="7:14" ht="11.25" customHeight="1" x14ac:dyDescent="0.3">
      <c r="G5545" s="470"/>
      <c r="H5545" s="470">
        <v>5538</v>
      </c>
      <c r="I5545" s="455">
        <f t="shared" ca="1" si="208"/>
        <v>-1720981510827037.8</v>
      </c>
      <c r="J5545" s="455">
        <f t="array" ref="J5545">IFERROR(INDEX('Retirement Calculator'!J:J,MATCH('Isaac 401k'!N5545,'Retirement Calculator'!A:A,0),0),0)</f>
        <v>0</v>
      </c>
      <c r="K5545" s="455">
        <f t="shared" ca="1" si="206"/>
        <v>-7170756295112.6572</v>
      </c>
      <c r="L5545" s="455">
        <f t="shared" ca="1" si="207"/>
        <v>-1728152267122150.5</v>
      </c>
      <c r="M5545" s="471">
        <f t="shared" si="209"/>
        <v>0.05</v>
      </c>
      <c r="N5545" s="475">
        <f t="shared" si="210"/>
        <v>219817</v>
      </c>
    </row>
    <row r="5546" spans="7:14" ht="11.25" customHeight="1" x14ac:dyDescent="0.3">
      <c r="G5546" s="470"/>
      <c r="H5546" s="470">
        <v>5539</v>
      </c>
      <c r="I5546" s="455">
        <f t="shared" ca="1" si="208"/>
        <v>-1728152267122150.5</v>
      </c>
      <c r="J5546" s="455">
        <f t="array" ref="J5546">IFERROR(INDEX('Retirement Calculator'!J:J,MATCH('Isaac 401k'!N5546,'Retirement Calculator'!A:A,0),0),0)</f>
        <v>0</v>
      </c>
      <c r="K5546" s="455">
        <f t="shared" ca="1" si="206"/>
        <v>-7200634446342.2939</v>
      </c>
      <c r="L5546" s="455">
        <f t="shared" ca="1" si="207"/>
        <v>-1735352901568492.8</v>
      </c>
      <c r="M5546" s="471">
        <f t="shared" si="209"/>
        <v>0.05</v>
      </c>
      <c r="N5546" s="475">
        <f t="shared" si="210"/>
        <v>219847</v>
      </c>
    </row>
    <row r="5547" spans="7:14" ht="11.25" customHeight="1" x14ac:dyDescent="0.3">
      <c r="G5547" s="470"/>
      <c r="H5547" s="470">
        <v>5540</v>
      </c>
      <c r="I5547" s="455">
        <f t="shared" ca="1" si="208"/>
        <v>-1735352901568492.8</v>
      </c>
      <c r="J5547" s="455">
        <f t="array" ref="J5547">IFERROR(INDEX('Retirement Calculator'!J:J,MATCH('Isaac 401k'!N5547,'Retirement Calculator'!A:A,0),0),0)</f>
        <v>0</v>
      </c>
      <c r="K5547" s="455">
        <f t="shared" ca="1" si="206"/>
        <v>-7230637089868.7197</v>
      </c>
      <c r="L5547" s="455">
        <f t="shared" ca="1" si="207"/>
        <v>-1742583538658361.5</v>
      </c>
      <c r="M5547" s="471">
        <f t="shared" si="209"/>
        <v>0.05</v>
      </c>
      <c r="N5547" s="475">
        <f t="shared" si="210"/>
        <v>219878</v>
      </c>
    </row>
    <row r="5548" spans="7:14" ht="11.25" customHeight="1" x14ac:dyDescent="0.3">
      <c r="G5548" s="470"/>
      <c r="H5548" s="470">
        <v>5541</v>
      </c>
      <c r="I5548" s="455">
        <f t="shared" ca="1" si="208"/>
        <v>-1742583538658361.5</v>
      </c>
      <c r="J5548" s="455">
        <f t="array" ref="J5548">IFERROR(INDEX('Retirement Calculator'!J:J,MATCH('Isaac 401k'!N5548,'Retirement Calculator'!A:A,0),0),0)</f>
        <v>0</v>
      </c>
      <c r="K5548" s="455">
        <f t="shared" ca="1" si="206"/>
        <v>-7260764744409.8398</v>
      </c>
      <c r="L5548" s="455">
        <f t="shared" ca="1" si="207"/>
        <v>-1749844303402771.3</v>
      </c>
      <c r="M5548" s="471">
        <f t="shared" si="209"/>
        <v>0.05</v>
      </c>
      <c r="N5548" s="475">
        <f t="shared" si="210"/>
        <v>219909</v>
      </c>
    </row>
    <row r="5549" spans="7:14" ht="11.25" customHeight="1" x14ac:dyDescent="0.3">
      <c r="G5549" s="470"/>
      <c r="H5549" s="470">
        <v>5542</v>
      </c>
      <c r="I5549" s="455">
        <f t="shared" ca="1" si="208"/>
        <v>-1749844303402771.3</v>
      </c>
      <c r="J5549" s="455">
        <f t="array" ref="J5549">IFERROR(INDEX('Retirement Calculator'!J:J,MATCH('Isaac 401k'!N5549,'Retirement Calculator'!A:A,0),0),0)</f>
        <v>0</v>
      </c>
      <c r="K5549" s="455">
        <f t="shared" ca="1" si="206"/>
        <v>-7291017930844.8799</v>
      </c>
      <c r="L5549" s="455">
        <f t="shared" ca="1" si="207"/>
        <v>-1757135321333616.3</v>
      </c>
      <c r="M5549" s="471">
        <f t="shared" si="209"/>
        <v>0.05</v>
      </c>
      <c r="N5549" s="475">
        <f t="shared" si="210"/>
        <v>219937</v>
      </c>
    </row>
    <row r="5550" spans="7:14" ht="11.25" customHeight="1" x14ac:dyDescent="0.3">
      <c r="G5550" s="470"/>
      <c r="H5550" s="470">
        <v>5543</v>
      </c>
      <c r="I5550" s="455">
        <f t="shared" ca="1" si="208"/>
        <v>-1757135321333616.3</v>
      </c>
      <c r="J5550" s="455">
        <f t="array" ref="J5550">IFERROR(INDEX('Retirement Calculator'!J:J,MATCH('Isaac 401k'!N5550,'Retirement Calculator'!A:A,0),0),0)</f>
        <v>0</v>
      </c>
      <c r="K5550" s="455">
        <f t="shared" ca="1" si="206"/>
        <v>-7321397172223.4014</v>
      </c>
      <c r="L5550" s="455">
        <f t="shared" ca="1" si="207"/>
        <v>-1764456718505839.8</v>
      </c>
      <c r="M5550" s="471">
        <f t="shared" si="209"/>
        <v>0.05</v>
      </c>
      <c r="N5550" s="475">
        <f t="shared" si="210"/>
        <v>219968</v>
      </c>
    </row>
    <row r="5551" spans="7:14" ht="11.25" customHeight="1" x14ac:dyDescent="0.3">
      <c r="G5551" s="470"/>
      <c r="H5551" s="470">
        <v>5544</v>
      </c>
      <c r="I5551" s="455">
        <f t="shared" ca="1" si="208"/>
        <v>-1764456718505839.8</v>
      </c>
      <c r="J5551" s="455">
        <f t="array" ref="J5551">IFERROR(INDEX('Retirement Calculator'!J:J,MATCH('Isaac 401k'!N5551,'Retirement Calculator'!A:A,0),0),0)</f>
        <v>0</v>
      </c>
      <c r="K5551" s="455">
        <f t="shared" ca="1" si="206"/>
        <v>-7351902993774.3311</v>
      </c>
      <c r="L5551" s="455">
        <f t="shared" ca="1" si="207"/>
        <v>-1771808621499614</v>
      </c>
      <c r="M5551" s="471">
        <f t="shared" si="209"/>
        <v>0.05</v>
      </c>
      <c r="N5551" s="475">
        <f t="shared" si="210"/>
        <v>219998</v>
      </c>
    </row>
    <row r="5552" spans="7:14" ht="11.25" customHeight="1" x14ac:dyDescent="0.3">
      <c r="G5552" s="470"/>
      <c r="H5552" s="470">
        <v>5545</v>
      </c>
      <c r="I5552" s="455">
        <f t="shared" ca="1" si="208"/>
        <v>-1771808621499614</v>
      </c>
      <c r="J5552" s="455">
        <f t="array" ref="J5552">IFERROR(INDEX('Retirement Calculator'!J:J,MATCH('Isaac 401k'!N5552,'Retirement Calculator'!A:A,0),0),0)</f>
        <v>0</v>
      </c>
      <c r="K5552" s="455">
        <f t="shared" ca="1" si="206"/>
        <v>-7382535922915.0596</v>
      </c>
      <c r="L5552" s="455">
        <f t="shared" ca="1" si="207"/>
        <v>-1779191157422529</v>
      </c>
      <c r="M5552" s="471">
        <f t="shared" si="209"/>
        <v>0.05</v>
      </c>
      <c r="N5552" s="475">
        <f t="shared" si="210"/>
        <v>220029</v>
      </c>
    </row>
    <row r="5553" spans="7:14" ht="11.25" customHeight="1" x14ac:dyDescent="0.3">
      <c r="G5553" s="470"/>
      <c r="H5553" s="470">
        <v>5546</v>
      </c>
      <c r="I5553" s="455">
        <f t="shared" ca="1" si="208"/>
        <v>-1779191157422529</v>
      </c>
      <c r="J5553" s="455">
        <f t="array" ref="J5553">IFERROR(INDEX('Retirement Calculator'!J:J,MATCH('Isaac 401k'!N5553,'Retirement Calculator'!A:A,0),0),0)</f>
        <v>0</v>
      </c>
      <c r="K5553" s="455">
        <f t="shared" ca="1" si="206"/>
        <v>-7413296489260.5371</v>
      </c>
      <c r="L5553" s="455">
        <f t="shared" ca="1" si="207"/>
        <v>-1786604453911789.5</v>
      </c>
      <c r="M5553" s="471">
        <f t="shared" si="209"/>
        <v>0.05</v>
      </c>
      <c r="N5553" s="475">
        <f t="shared" si="210"/>
        <v>220059</v>
      </c>
    </row>
    <row r="5554" spans="7:14" ht="11.25" customHeight="1" x14ac:dyDescent="0.3">
      <c r="G5554" s="470"/>
      <c r="H5554" s="470">
        <v>5547</v>
      </c>
      <c r="I5554" s="455">
        <f t="shared" ca="1" si="208"/>
        <v>-1786604453911789.5</v>
      </c>
      <c r="J5554" s="455">
        <f t="array" ref="J5554">IFERROR(INDEX('Retirement Calculator'!J:J,MATCH('Isaac 401k'!N5554,'Retirement Calculator'!A:A,0),0),0)</f>
        <v>0</v>
      </c>
      <c r="K5554" s="455">
        <f t="shared" ca="1" si="206"/>
        <v>-7444185224632.4551</v>
      </c>
      <c r="L5554" s="455">
        <f t="shared" ca="1" si="207"/>
        <v>-1794048639136422</v>
      </c>
      <c r="M5554" s="471">
        <f t="shared" si="209"/>
        <v>0.05</v>
      </c>
      <c r="N5554" s="475">
        <f t="shared" si="210"/>
        <v>220090</v>
      </c>
    </row>
    <row r="5555" spans="7:14" ht="11.25" customHeight="1" x14ac:dyDescent="0.3">
      <c r="G5555" s="470"/>
      <c r="H5555" s="470">
        <v>5548</v>
      </c>
      <c r="I5555" s="455">
        <f t="shared" ca="1" si="208"/>
        <v>-1794048639136422</v>
      </c>
      <c r="J5555" s="455">
        <f t="array" ref="J5555">IFERROR(INDEX('Retirement Calculator'!J:J,MATCH('Isaac 401k'!N5555,'Retirement Calculator'!A:A,0),0),0)</f>
        <v>0</v>
      </c>
      <c r="K5555" s="455">
        <f t="shared" ca="1" si="206"/>
        <v>-7475202663068.4238</v>
      </c>
      <c r="L5555" s="455">
        <f t="shared" ca="1" si="207"/>
        <v>-1801523841799490.5</v>
      </c>
      <c r="M5555" s="471">
        <f t="shared" si="209"/>
        <v>0.05</v>
      </c>
      <c r="N5555" s="475">
        <f t="shared" si="210"/>
        <v>220121</v>
      </c>
    </row>
    <row r="5556" spans="7:14" ht="11.25" customHeight="1" x14ac:dyDescent="0.3">
      <c r="G5556" s="470"/>
      <c r="H5556" s="470">
        <v>5549</v>
      </c>
      <c r="I5556" s="455">
        <f t="shared" ca="1" si="208"/>
        <v>-1801523841799490.5</v>
      </c>
      <c r="J5556" s="455">
        <f t="array" ref="J5556">IFERROR(INDEX('Retirement Calculator'!J:J,MATCH('Isaac 401k'!N5556,'Retirement Calculator'!A:A,0),0),0)</f>
        <v>0</v>
      </c>
      <c r="K5556" s="455">
        <f t="shared" ca="1" si="206"/>
        <v>-7506349340831.2109</v>
      </c>
      <c r="L5556" s="455">
        <f t="shared" ca="1" si="207"/>
        <v>-1809030191140321.8</v>
      </c>
      <c r="M5556" s="471">
        <f t="shared" si="209"/>
        <v>0.05</v>
      </c>
      <c r="N5556" s="475">
        <f t="shared" si="210"/>
        <v>220151</v>
      </c>
    </row>
    <row r="5557" spans="7:14" ht="11.25" customHeight="1" x14ac:dyDescent="0.3">
      <c r="G5557" s="470"/>
      <c r="H5557" s="470">
        <v>5550</v>
      </c>
      <c r="I5557" s="455">
        <f t="shared" ca="1" si="208"/>
        <v>-1809030191140321.8</v>
      </c>
      <c r="J5557" s="455">
        <f t="array" ref="J5557">IFERROR(INDEX('Retirement Calculator'!J:J,MATCH('Isaac 401k'!N5557,'Retirement Calculator'!A:A,0),0),0)</f>
        <v>0</v>
      </c>
      <c r="K5557" s="455">
        <f t="shared" ca="1" si="206"/>
        <v>-7537625796418.0068</v>
      </c>
      <c r="L5557" s="455">
        <f t="shared" ca="1" si="207"/>
        <v>-1816567816936739.8</v>
      </c>
      <c r="M5557" s="471">
        <f t="shared" si="209"/>
        <v>0.05</v>
      </c>
      <c r="N5557" s="475">
        <f t="shared" si="210"/>
        <v>220182</v>
      </c>
    </row>
    <row r="5558" spans="7:14" ht="11.25" customHeight="1" x14ac:dyDescent="0.3">
      <c r="G5558" s="470"/>
      <c r="H5558" s="470">
        <v>5551</v>
      </c>
      <c r="I5558" s="455">
        <f t="shared" ca="1" si="208"/>
        <v>-1816567816936739.8</v>
      </c>
      <c r="J5558" s="455">
        <f t="array" ref="J5558">IFERROR(INDEX('Retirement Calculator'!J:J,MATCH('Isaac 401k'!N5558,'Retirement Calculator'!A:A,0),0),0)</f>
        <v>0</v>
      </c>
      <c r="K5558" s="455">
        <f t="shared" ca="1" si="206"/>
        <v>-7569032570569.749</v>
      </c>
      <c r="L5558" s="455">
        <f t="shared" ca="1" si="207"/>
        <v>-1824136849507309.5</v>
      </c>
      <c r="M5558" s="471">
        <f t="shared" si="209"/>
        <v>0.05</v>
      </c>
      <c r="N5558" s="475">
        <f t="shared" si="210"/>
        <v>220212</v>
      </c>
    </row>
    <row r="5559" spans="7:14" ht="11.25" customHeight="1" x14ac:dyDescent="0.3">
      <c r="G5559" s="470"/>
      <c r="H5559" s="470">
        <v>5552</v>
      </c>
      <c r="I5559" s="455">
        <f t="shared" ca="1" si="208"/>
        <v>-1824136849507309.5</v>
      </c>
      <c r="J5559" s="455">
        <f t="array" ref="J5559">IFERROR(INDEX('Retirement Calculator'!J:J,MATCH('Isaac 401k'!N5559,'Retirement Calculator'!A:A,0),0),0)</f>
        <v>0</v>
      </c>
      <c r="K5559" s="455">
        <f t="shared" ca="1" si="206"/>
        <v>-7600570206280.4561</v>
      </c>
      <c r="L5559" s="455">
        <f t="shared" ca="1" si="207"/>
        <v>-1831737419713590</v>
      </c>
      <c r="M5559" s="471">
        <f t="shared" si="209"/>
        <v>0.05</v>
      </c>
      <c r="N5559" s="475">
        <f t="shared" si="210"/>
        <v>220243</v>
      </c>
    </row>
    <row r="5560" spans="7:14" ht="11.25" customHeight="1" x14ac:dyDescent="0.3">
      <c r="G5560" s="470"/>
      <c r="H5560" s="470">
        <v>5553</v>
      </c>
      <c r="I5560" s="455">
        <f t="shared" ca="1" si="208"/>
        <v>-1831737419713590</v>
      </c>
      <c r="J5560" s="455">
        <f t="array" ref="J5560">IFERROR(INDEX('Retirement Calculator'!J:J,MATCH('Isaac 401k'!N5560,'Retirement Calculator'!A:A,0),0),0)</f>
        <v>0</v>
      </c>
      <c r="K5560" s="455">
        <f t="shared" ca="1" si="206"/>
        <v>-7632239248806.625</v>
      </c>
      <c r="L5560" s="455">
        <f t="shared" ca="1" si="207"/>
        <v>-1839369658962396.5</v>
      </c>
      <c r="M5560" s="471">
        <f t="shared" si="209"/>
        <v>0.05</v>
      </c>
      <c r="N5560" s="475">
        <f t="shared" si="210"/>
        <v>220274</v>
      </c>
    </row>
    <row r="5561" spans="7:14" ht="11.25" customHeight="1" x14ac:dyDescent="0.3">
      <c r="G5561" s="470"/>
      <c r="H5561" s="470">
        <v>5554</v>
      </c>
      <c r="I5561" s="455">
        <f t="shared" ca="1" si="208"/>
        <v>-1839369658962396.5</v>
      </c>
      <c r="J5561" s="455">
        <f t="array" ref="J5561">IFERROR(INDEX('Retirement Calculator'!J:J,MATCH('Isaac 401k'!N5561,'Retirement Calculator'!A:A,0),0),0)</f>
        <v>0</v>
      </c>
      <c r="K5561" s="455">
        <f t="shared" ca="1" si="206"/>
        <v>-7664040245676.6533</v>
      </c>
      <c r="L5561" s="455">
        <f t="shared" ca="1" si="207"/>
        <v>-1847033699208073.3</v>
      </c>
      <c r="M5561" s="471">
        <f t="shared" si="209"/>
        <v>0.05</v>
      </c>
      <c r="N5561" s="475">
        <f t="shared" si="210"/>
        <v>220302</v>
      </c>
    </row>
    <row r="5562" spans="7:14" ht="11.25" customHeight="1" x14ac:dyDescent="0.3">
      <c r="G5562" s="470"/>
      <c r="H5562" s="470">
        <v>5555</v>
      </c>
      <c r="I5562" s="455">
        <f t="shared" ca="1" si="208"/>
        <v>-1847033699208073.3</v>
      </c>
      <c r="J5562" s="455">
        <f t="array" ref="J5562">IFERROR(INDEX('Retirement Calculator'!J:J,MATCH('Isaac 401k'!N5562,'Retirement Calculator'!A:A,0),0),0)</f>
        <v>0</v>
      </c>
      <c r="K5562" s="455">
        <f t="shared" ca="1" si="206"/>
        <v>-7695973746700.3047</v>
      </c>
      <c r="L5562" s="455">
        <f t="shared" ca="1" si="207"/>
        <v>-1854729672954773.5</v>
      </c>
      <c r="M5562" s="471">
        <f t="shared" si="209"/>
        <v>0.05</v>
      </c>
      <c r="N5562" s="475">
        <f t="shared" si="210"/>
        <v>220333</v>
      </c>
    </row>
    <row r="5563" spans="7:14" ht="11.25" customHeight="1" x14ac:dyDescent="0.3">
      <c r="G5563" s="470"/>
      <c r="H5563" s="470">
        <v>5556</v>
      </c>
      <c r="I5563" s="455">
        <f t="shared" ca="1" si="208"/>
        <v>-1854729672954773.5</v>
      </c>
      <c r="J5563" s="455">
        <f t="array" ref="J5563">IFERROR(INDEX('Retirement Calculator'!J:J,MATCH('Isaac 401k'!N5563,'Retirement Calculator'!A:A,0),0),0)</f>
        <v>0</v>
      </c>
      <c r="K5563" s="455">
        <f t="shared" ca="1" si="206"/>
        <v>-7728040303978.2227</v>
      </c>
      <c r="L5563" s="455">
        <f t="shared" ca="1" si="207"/>
        <v>-1862457713258751.8</v>
      </c>
      <c r="M5563" s="471">
        <f t="shared" si="209"/>
        <v>0.05</v>
      </c>
      <c r="N5563" s="475">
        <f t="shared" si="210"/>
        <v>220363</v>
      </c>
    </row>
    <row r="5564" spans="7:14" ht="11.25" customHeight="1" x14ac:dyDescent="0.3">
      <c r="G5564" s="470"/>
      <c r="H5564" s="470">
        <v>5557</v>
      </c>
      <c r="I5564" s="455">
        <f t="shared" ca="1" si="208"/>
        <v>-1862457713258751.8</v>
      </c>
      <c r="J5564" s="455">
        <f t="array" ref="J5564">IFERROR(INDEX('Retirement Calculator'!J:J,MATCH('Isaac 401k'!N5564,'Retirement Calculator'!A:A,0),0),0)</f>
        <v>0</v>
      </c>
      <c r="K5564" s="455">
        <f t="shared" ca="1" si="206"/>
        <v>-7760240471911.4658</v>
      </c>
      <c r="L5564" s="455">
        <f t="shared" ca="1" si="207"/>
        <v>-1870217953730663.3</v>
      </c>
      <c r="M5564" s="471">
        <f t="shared" si="209"/>
        <v>0.05</v>
      </c>
      <c r="N5564" s="475">
        <f t="shared" si="210"/>
        <v>220394</v>
      </c>
    </row>
    <row r="5565" spans="7:14" ht="11.25" customHeight="1" x14ac:dyDescent="0.3">
      <c r="G5565" s="470"/>
      <c r="H5565" s="470">
        <v>5558</v>
      </c>
      <c r="I5565" s="455">
        <f t="shared" ca="1" si="208"/>
        <v>-1870217953730663.3</v>
      </c>
      <c r="J5565" s="455">
        <f t="array" ref="J5565">IFERROR(INDEX('Retirement Calculator'!J:J,MATCH('Isaac 401k'!N5565,'Retirement Calculator'!A:A,0),0),0)</f>
        <v>0</v>
      </c>
      <c r="K5565" s="455">
        <f t="shared" ca="1" si="206"/>
        <v>-7792574807211.0957</v>
      </c>
      <c r="L5565" s="455">
        <f t="shared" ca="1" si="207"/>
        <v>-1878010528537874.3</v>
      </c>
      <c r="M5565" s="471">
        <f t="shared" si="209"/>
        <v>0.05</v>
      </c>
      <c r="N5565" s="475">
        <f t="shared" si="210"/>
        <v>220424</v>
      </c>
    </row>
    <row r="5566" spans="7:14" ht="11.25" customHeight="1" x14ac:dyDescent="0.3">
      <c r="G5566" s="470"/>
      <c r="H5566" s="470">
        <v>5559</v>
      </c>
      <c r="I5566" s="455">
        <f t="shared" ca="1" si="208"/>
        <v>-1878010528537874.3</v>
      </c>
      <c r="J5566" s="455">
        <f t="array" ref="J5566">IFERROR(INDEX('Retirement Calculator'!J:J,MATCH('Isaac 401k'!N5566,'Retirement Calculator'!A:A,0),0),0)</f>
        <v>0</v>
      </c>
      <c r="K5566" s="455">
        <f t="shared" ca="1" si="206"/>
        <v>-7825043868907.8096</v>
      </c>
      <c r="L5566" s="455">
        <f t="shared" ca="1" si="207"/>
        <v>-1885835572406782</v>
      </c>
      <c r="M5566" s="471">
        <f t="shared" si="209"/>
        <v>0.05</v>
      </c>
      <c r="N5566" s="475">
        <f t="shared" si="210"/>
        <v>220455</v>
      </c>
    </row>
    <row r="5567" spans="7:14" ht="11.25" customHeight="1" x14ac:dyDescent="0.3">
      <c r="G5567" s="470"/>
      <c r="H5567" s="470">
        <v>5560</v>
      </c>
      <c r="I5567" s="455">
        <f t="shared" ca="1" si="208"/>
        <v>-1885835572406782</v>
      </c>
      <c r="J5567" s="455">
        <f t="array" ref="J5567">IFERROR(INDEX('Retirement Calculator'!J:J,MATCH('Isaac 401k'!N5567,'Retirement Calculator'!A:A,0),0),0)</f>
        <v>0</v>
      </c>
      <c r="K5567" s="455">
        <f t="shared" ca="1" si="206"/>
        <v>-7857648218361.5918</v>
      </c>
      <c r="L5567" s="455">
        <f t="shared" ca="1" si="207"/>
        <v>-1893693220625143.5</v>
      </c>
      <c r="M5567" s="471">
        <f t="shared" si="209"/>
        <v>0.05</v>
      </c>
      <c r="N5567" s="475">
        <f t="shared" si="210"/>
        <v>220486</v>
      </c>
    </row>
    <row r="5568" spans="7:14" ht="11.25" customHeight="1" x14ac:dyDescent="0.3">
      <c r="G5568" s="470"/>
      <c r="H5568" s="470">
        <v>5561</v>
      </c>
      <c r="I5568" s="455">
        <f t="shared" ca="1" si="208"/>
        <v>-1893693220625143.5</v>
      </c>
      <c r="J5568" s="455">
        <f t="array" ref="J5568">IFERROR(INDEX('Retirement Calculator'!J:J,MATCH('Isaac 401k'!N5568,'Retirement Calculator'!A:A,0),0),0)</f>
        <v>0</v>
      </c>
      <c r="K5568" s="455">
        <f t="shared" ca="1" si="206"/>
        <v>-7890388419271.4307</v>
      </c>
      <c r="L5568" s="455">
        <f t="shared" ca="1" si="207"/>
        <v>-1901583609044415</v>
      </c>
      <c r="M5568" s="471">
        <f t="shared" si="209"/>
        <v>0.05</v>
      </c>
      <c r="N5568" s="475">
        <f t="shared" si="210"/>
        <v>220516</v>
      </c>
    </row>
    <row r="5569" spans="7:14" ht="11.25" customHeight="1" x14ac:dyDescent="0.3">
      <c r="G5569" s="470"/>
      <c r="H5569" s="470">
        <v>5562</v>
      </c>
      <c r="I5569" s="455">
        <f t="shared" ca="1" si="208"/>
        <v>-1901583609044415</v>
      </c>
      <c r="J5569" s="455">
        <f t="array" ref="J5569">IFERROR(INDEX('Retirement Calculator'!J:J,MATCH('Isaac 401k'!N5569,'Retirement Calculator'!A:A,0),0),0)</f>
        <v>0</v>
      </c>
      <c r="K5569" s="455">
        <f t="shared" ca="1" si="206"/>
        <v>-7923265037685.0635</v>
      </c>
      <c r="L5569" s="455">
        <f t="shared" ca="1" si="207"/>
        <v>-1909506874082100</v>
      </c>
      <c r="M5569" s="471">
        <f t="shared" si="209"/>
        <v>0.05</v>
      </c>
      <c r="N5569" s="475">
        <f t="shared" si="210"/>
        <v>220547</v>
      </c>
    </row>
    <row r="5570" spans="7:14" ht="11.25" customHeight="1" x14ac:dyDescent="0.3">
      <c r="G5570" s="470"/>
      <c r="H5570" s="470">
        <v>5563</v>
      </c>
      <c r="I5570" s="455">
        <f t="shared" ca="1" si="208"/>
        <v>-1909506874082100</v>
      </c>
      <c r="J5570" s="455">
        <f t="array" ref="J5570">IFERROR(INDEX('Retirement Calculator'!J:J,MATCH('Isaac 401k'!N5570,'Retirement Calculator'!A:A,0),0),0)</f>
        <v>0</v>
      </c>
      <c r="K5570" s="455">
        <f t="shared" ca="1" si="206"/>
        <v>-7956278642008.75</v>
      </c>
      <c r="L5570" s="455">
        <f t="shared" ca="1" si="207"/>
        <v>-1917463152724108.8</v>
      </c>
      <c r="M5570" s="471">
        <f t="shared" si="209"/>
        <v>0.05</v>
      </c>
      <c r="N5570" s="475">
        <f t="shared" si="210"/>
        <v>220577</v>
      </c>
    </row>
    <row r="5571" spans="7:14" ht="11.25" customHeight="1" x14ac:dyDescent="0.3">
      <c r="G5571" s="470"/>
      <c r="H5571" s="470">
        <v>5564</v>
      </c>
      <c r="I5571" s="455">
        <f t="shared" ca="1" si="208"/>
        <v>-1917463152724108.8</v>
      </c>
      <c r="J5571" s="455">
        <f t="array" ref="J5571">IFERROR(INDEX('Retirement Calculator'!J:J,MATCH('Isaac 401k'!N5571,'Retirement Calculator'!A:A,0),0),0)</f>
        <v>0</v>
      </c>
      <c r="K5571" s="455">
        <f t="shared" ca="1" si="206"/>
        <v>-7989429803017.1201</v>
      </c>
      <c r="L5571" s="455">
        <f t="shared" ca="1" si="207"/>
        <v>-1925452582527125.8</v>
      </c>
      <c r="M5571" s="471">
        <f t="shared" si="209"/>
        <v>0.05</v>
      </c>
      <c r="N5571" s="475">
        <f t="shared" si="210"/>
        <v>220608</v>
      </c>
    </row>
    <row r="5572" spans="7:14" ht="11.25" customHeight="1" x14ac:dyDescent="0.3">
      <c r="G5572" s="470"/>
      <c r="H5572" s="470">
        <v>5565</v>
      </c>
      <c r="I5572" s="455">
        <f t="shared" ca="1" si="208"/>
        <v>-1925452582527125.8</v>
      </c>
      <c r="J5572" s="455">
        <f t="array" ref="J5572">IFERROR(INDEX('Retirement Calculator'!J:J,MATCH('Isaac 401k'!N5572,'Retirement Calculator'!A:A,0),0),0)</f>
        <v>0</v>
      </c>
      <c r="K5572" s="455">
        <f t="shared" ca="1" si="206"/>
        <v>-8022719093863.0244</v>
      </c>
      <c r="L5572" s="455">
        <f t="shared" ca="1" si="207"/>
        <v>-1933475301620988.8</v>
      </c>
      <c r="M5572" s="471">
        <f t="shared" si="209"/>
        <v>0.05</v>
      </c>
      <c r="N5572" s="475">
        <f t="shared" si="210"/>
        <v>220639</v>
      </c>
    </row>
    <row r="5573" spans="7:14" ht="11.25" customHeight="1" x14ac:dyDescent="0.3">
      <c r="G5573" s="470"/>
      <c r="H5573" s="470">
        <v>5566</v>
      </c>
      <c r="I5573" s="455">
        <f t="shared" ca="1" si="208"/>
        <v>-1933475301620988.8</v>
      </c>
      <c r="J5573" s="455">
        <f t="array" ref="J5573">IFERROR(INDEX('Retirement Calculator'!J:J,MATCH('Isaac 401k'!N5573,'Retirement Calculator'!A:A,0),0),0)</f>
        <v>0</v>
      </c>
      <c r="K5573" s="455">
        <f t="shared" ca="1" si="206"/>
        <v>-8056147090087.4541</v>
      </c>
      <c r="L5573" s="455">
        <f t="shared" ca="1" si="207"/>
        <v>-1941531448711076.3</v>
      </c>
      <c r="M5573" s="471">
        <f t="shared" si="209"/>
        <v>0.05</v>
      </c>
      <c r="N5573" s="475">
        <f t="shared" si="210"/>
        <v>220668</v>
      </c>
    </row>
    <row r="5574" spans="7:14" ht="11.25" customHeight="1" x14ac:dyDescent="0.3">
      <c r="G5574" s="470"/>
      <c r="H5574" s="470">
        <v>5567</v>
      </c>
      <c r="I5574" s="455">
        <f t="shared" ca="1" si="208"/>
        <v>-1941531448711076.3</v>
      </c>
      <c r="J5574" s="455">
        <f t="array" ref="J5574">IFERROR(INDEX('Retirement Calculator'!J:J,MATCH('Isaac 401k'!N5574,'Retirement Calculator'!A:A,0),0),0)</f>
        <v>0</v>
      </c>
      <c r="K5574" s="455">
        <f t="shared" ca="1" si="206"/>
        <v>-8089714369629.4844</v>
      </c>
      <c r="L5574" s="455">
        <f t="shared" ca="1" si="207"/>
        <v>-1949621163080705.8</v>
      </c>
      <c r="M5574" s="471">
        <f t="shared" si="209"/>
        <v>0.05</v>
      </c>
      <c r="N5574" s="475">
        <f t="shared" si="210"/>
        <v>220699</v>
      </c>
    </row>
    <row r="5575" spans="7:14" ht="11.25" customHeight="1" x14ac:dyDescent="0.3">
      <c r="G5575" s="470"/>
      <c r="H5575" s="470">
        <v>5568</v>
      </c>
      <c r="I5575" s="455">
        <f t="shared" ca="1" si="208"/>
        <v>-1949621163080705.8</v>
      </c>
      <c r="J5575" s="455">
        <f t="array" ref="J5575">IFERROR(INDEX('Retirement Calculator'!J:J,MATCH('Isaac 401k'!N5575,'Retirement Calculator'!A:A,0),0),0)</f>
        <v>0</v>
      </c>
      <c r="K5575" s="455">
        <f t="shared" ca="1" si="206"/>
        <v>-8123421512836.2744</v>
      </c>
      <c r="L5575" s="455">
        <f t="shared" ca="1" si="207"/>
        <v>-1957744584593542</v>
      </c>
      <c r="M5575" s="471">
        <f t="shared" si="209"/>
        <v>0.05</v>
      </c>
      <c r="N5575" s="475">
        <f t="shared" si="210"/>
        <v>220729</v>
      </c>
    </row>
    <row r="5576" spans="7:14" ht="11.25" customHeight="1" x14ac:dyDescent="0.3">
      <c r="G5576" s="470"/>
      <c r="H5576" s="470">
        <v>5569</v>
      </c>
      <c r="I5576" s="455">
        <f t="shared" ca="1" si="208"/>
        <v>-1957744584593542</v>
      </c>
      <c r="J5576" s="455">
        <f t="array" ref="J5576">IFERROR(INDEX('Retirement Calculator'!J:J,MATCH('Isaac 401k'!N5576,'Retirement Calculator'!A:A,0),0),0)</f>
        <v>0</v>
      </c>
      <c r="K5576" s="455">
        <f t="shared" ca="1" si="206"/>
        <v>-8157269102473.0918</v>
      </c>
      <c r="L5576" s="455">
        <f t="shared" ca="1" si="207"/>
        <v>-1965901853696015</v>
      </c>
      <c r="M5576" s="471">
        <f t="shared" si="209"/>
        <v>0.05</v>
      </c>
      <c r="N5576" s="475">
        <f t="shared" si="210"/>
        <v>220760</v>
      </c>
    </row>
    <row r="5577" spans="7:14" ht="11.25" customHeight="1" x14ac:dyDescent="0.3">
      <c r="G5577" s="470"/>
      <c r="H5577" s="470">
        <v>5570</v>
      </c>
      <c r="I5577" s="455">
        <f t="shared" ca="1" si="208"/>
        <v>-1965901853696015</v>
      </c>
      <c r="J5577" s="455">
        <f t="array" ref="J5577">IFERROR(INDEX('Retirement Calculator'!J:J,MATCH('Isaac 401k'!N5577,'Retirement Calculator'!A:A,0),0),0)</f>
        <v>0</v>
      </c>
      <c r="K5577" s="455">
        <f t="shared" ca="1" si="206"/>
        <v>-8191257723733.3955</v>
      </c>
      <c r="L5577" s="455">
        <f t="shared" ca="1" si="207"/>
        <v>-1974093111419748.5</v>
      </c>
      <c r="M5577" s="471">
        <f t="shared" si="209"/>
        <v>0.05</v>
      </c>
      <c r="N5577" s="475">
        <f t="shared" si="210"/>
        <v>220790</v>
      </c>
    </row>
    <row r="5578" spans="7:14" ht="11.25" customHeight="1" x14ac:dyDescent="0.3">
      <c r="G5578" s="470"/>
      <c r="H5578" s="470">
        <v>5571</v>
      </c>
      <c r="I5578" s="455">
        <f t="shared" ca="1" si="208"/>
        <v>-1974093111419748.5</v>
      </c>
      <c r="J5578" s="455">
        <f t="array" ref="J5578">IFERROR(INDEX('Retirement Calculator'!J:J,MATCH('Isaac 401k'!N5578,'Retirement Calculator'!A:A,0),0),0)</f>
        <v>0</v>
      </c>
      <c r="K5578" s="455">
        <f t="shared" ca="1" si="206"/>
        <v>-8225387964248.9521</v>
      </c>
      <c r="L5578" s="455">
        <f t="shared" ca="1" si="207"/>
        <v>-1982318499383997.5</v>
      </c>
      <c r="M5578" s="471">
        <f t="shared" si="209"/>
        <v>0.05</v>
      </c>
      <c r="N5578" s="475">
        <f t="shared" si="210"/>
        <v>220821</v>
      </c>
    </row>
    <row r="5579" spans="7:14" ht="11.25" customHeight="1" x14ac:dyDescent="0.3">
      <c r="G5579" s="470"/>
      <c r="H5579" s="470">
        <v>5572</v>
      </c>
      <c r="I5579" s="455">
        <f t="shared" ca="1" si="208"/>
        <v>-1982318499383997.5</v>
      </c>
      <c r="J5579" s="455">
        <f t="array" ref="J5579">IFERROR(INDEX('Retirement Calculator'!J:J,MATCH('Isaac 401k'!N5579,'Retirement Calculator'!A:A,0),0),0)</f>
        <v>0</v>
      </c>
      <c r="K5579" s="455">
        <f t="shared" ca="1" si="206"/>
        <v>-8259660414099.9902</v>
      </c>
      <c r="L5579" s="455">
        <f t="shared" ca="1" si="207"/>
        <v>-1990578159798097.5</v>
      </c>
      <c r="M5579" s="471">
        <f t="shared" si="209"/>
        <v>0.05</v>
      </c>
      <c r="N5579" s="475">
        <f t="shared" si="210"/>
        <v>220852</v>
      </c>
    </row>
    <row r="5580" spans="7:14" ht="11.25" customHeight="1" x14ac:dyDescent="0.3">
      <c r="G5580" s="470"/>
      <c r="H5580" s="470">
        <v>5573</v>
      </c>
      <c r="I5580" s="455">
        <f t="shared" ca="1" si="208"/>
        <v>-1990578159798097.5</v>
      </c>
      <c r="J5580" s="455">
        <f t="array" ref="J5580">IFERROR(INDEX('Retirement Calculator'!J:J,MATCH('Isaac 401k'!N5580,'Retirement Calculator'!A:A,0),0),0)</f>
        <v>0</v>
      </c>
      <c r="K5580" s="455">
        <f t="shared" ca="1" si="206"/>
        <v>-8294075665825.4063</v>
      </c>
      <c r="L5580" s="455">
        <f t="shared" ca="1" si="207"/>
        <v>-1998872235463923</v>
      </c>
      <c r="M5580" s="471">
        <f t="shared" si="209"/>
        <v>0.05</v>
      </c>
      <c r="N5580" s="475">
        <f t="shared" si="210"/>
        <v>220882</v>
      </c>
    </row>
    <row r="5581" spans="7:14" ht="11.25" customHeight="1" x14ac:dyDescent="0.3">
      <c r="G5581" s="470"/>
      <c r="H5581" s="470">
        <v>5574</v>
      </c>
      <c r="I5581" s="455">
        <f t="shared" ca="1" si="208"/>
        <v>-1998872235463923</v>
      </c>
      <c r="J5581" s="455">
        <f t="array" ref="J5581">IFERROR(INDEX('Retirement Calculator'!J:J,MATCH('Isaac 401k'!N5581,'Retirement Calculator'!A:A,0),0),0)</f>
        <v>0</v>
      </c>
      <c r="K5581" s="455">
        <f t="shared" ca="1" si="206"/>
        <v>-8328634314433.0127</v>
      </c>
      <c r="L5581" s="455">
        <f t="shared" ca="1" si="207"/>
        <v>-2007200869778356</v>
      </c>
      <c r="M5581" s="471">
        <f t="shared" si="209"/>
        <v>0.05</v>
      </c>
      <c r="N5581" s="475">
        <f t="shared" si="210"/>
        <v>220913</v>
      </c>
    </row>
    <row r="5582" spans="7:14" ht="11.25" customHeight="1" x14ac:dyDescent="0.3">
      <c r="G5582" s="470"/>
      <c r="H5582" s="470">
        <v>5575</v>
      </c>
      <c r="I5582" s="455">
        <f t="shared" ca="1" si="208"/>
        <v>-2007200869778356</v>
      </c>
      <c r="J5582" s="455">
        <f t="array" ref="J5582">IFERROR(INDEX('Retirement Calculator'!J:J,MATCH('Isaac 401k'!N5582,'Retirement Calculator'!A:A,0),0),0)</f>
        <v>0</v>
      </c>
      <c r="K5582" s="455">
        <f t="shared" ca="1" si="206"/>
        <v>-8363336957409.8164</v>
      </c>
      <c r="L5582" s="455">
        <f t="shared" ca="1" si="207"/>
        <v>-2015564206735765.8</v>
      </c>
      <c r="M5582" s="471">
        <f t="shared" si="209"/>
        <v>0.05</v>
      </c>
      <c r="N5582" s="475">
        <f t="shared" si="210"/>
        <v>220943</v>
      </c>
    </row>
    <row r="5583" spans="7:14" ht="11.25" customHeight="1" x14ac:dyDescent="0.3">
      <c r="G5583" s="470"/>
      <c r="H5583" s="470">
        <v>5576</v>
      </c>
      <c r="I5583" s="455">
        <f t="shared" ca="1" si="208"/>
        <v>-2015564206735765.8</v>
      </c>
      <c r="J5583" s="455">
        <f t="array" ref="J5583">IFERROR(INDEX('Retirement Calculator'!J:J,MATCH('Isaac 401k'!N5583,'Retirement Calculator'!A:A,0),0),0)</f>
        <v>0</v>
      </c>
      <c r="K5583" s="455">
        <f t="shared" ca="1" si="206"/>
        <v>-8398184194732.3574</v>
      </c>
      <c r="L5583" s="455">
        <f t="shared" ca="1" si="207"/>
        <v>-2023962390930498</v>
      </c>
      <c r="M5583" s="471">
        <f t="shared" si="209"/>
        <v>0.05</v>
      </c>
      <c r="N5583" s="475">
        <f t="shared" si="210"/>
        <v>220974</v>
      </c>
    </row>
    <row r="5584" spans="7:14" ht="11.25" customHeight="1" x14ac:dyDescent="0.3">
      <c r="G5584" s="470"/>
      <c r="H5584" s="470">
        <v>5577</v>
      </c>
      <c r="I5584" s="455">
        <f t="shared" ca="1" si="208"/>
        <v>-2023962390930498</v>
      </c>
      <c r="J5584" s="455">
        <f t="array" ref="J5584">IFERROR(INDEX('Retirement Calculator'!J:J,MATCH('Isaac 401k'!N5584,'Retirement Calculator'!A:A,0),0),0)</f>
        <v>0</v>
      </c>
      <c r="K5584" s="455">
        <f t="shared" ca="1" si="206"/>
        <v>-8433176628877.0752</v>
      </c>
      <c r="L5584" s="455">
        <f t="shared" ca="1" si="207"/>
        <v>-2032395567559375</v>
      </c>
      <c r="M5584" s="471">
        <f t="shared" si="209"/>
        <v>0.05</v>
      </c>
      <c r="N5584" s="475">
        <f t="shared" si="210"/>
        <v>221005</v>
      </c>
    </row>
    <row r="5585" spans="7:14" ht="11.25" customHeight="1" x14ac:dyDescent="0.3">
      <c r="G5585" s="470"/>
      <c r="H5585" s="470">
        <v>5578</v>
      </c>
      <c r="I5585" s="455">
        <f t="shared" ca="1" si="208"/>
        <v>-2032395567559375</v>
      </c>
      <c r="J5585" s="455">
        <f t="array" ref="J5585">IFERROR(INDEX('Retirement Calculator'!J:J,MATCH('Isaac 401k'!N5585,'Retirement Calculator'!A:A,0),0),0)</f>
        <v>0</v>
      </c>
      <c r="K5585" s="455">
        <f t="shared" ca="1" si="206"/>
        <v>-8468314864830.7295</v>
      </c>
      <c r="L5585" s="455">
        <f t="shared" ca="1" si="207"/>
        <v>-2040863882424205.8</v>
      </c>
      <c r="M5585" s="471">
        <f t="shared" si="209"/>
        <v>0.05</v>
      </c>
      <c r="N5585" s="475">
        <f t="shared" si="210"/>
        <v>221033</v>
      </c>
    </row>
    <row r="5586" spans="7:14" ht="11.25" customHeight="1" x14ac:dyDescent="0.3">
      <c r="G5586" s="470"/>
      <c r="H5586" s="470">
        <v>5579</v>
      </c>
      <c r="I5586" s="455">
        <f t="shared" ca="1" si="208"/>
        <v>-2040863882424205.8</v>
      </c>
      <c r="J5586" s="455">
        <f t="array" ref="J5586">IFERROR(INDEX('Retirement Calculator'!J:J,MATCH('Isaac 401k'!N5586,'Retirement Calculator'!A:A,0),0),0)</f>
        <v>0</v>
      </c>
      <c r="K5586" s="455">
        <f t="shared" ca="1" si="206"/>
        <v>-8503599510100.8564</v>
      </c>
      <c r="L5586" s="455">
        <f t="shared" ca="1" si="207"/>
        <v>-2049367481934306.5</v>
      </c>
      <c r="M5586" s="471">
        <f t="shared" si="209"/>
        <v>0.05</v>
      </c>
      <c r="N5586" s="475">
        <f t="shared" si="210"/>
        <v>221064</v>
      </c>
    </row>
    <row r="5587" spans="7:14" ht="11.25" customHeight="1" x14ac:dyDescent="0.3">
      <c r="G5587" s="470"/>
      <c r="H5587" s="470">
        <v>5580</v>
      </c>
      <c r="I5587" s="455">
        <f t="shared" ca="1" si="208"/>
        <v>-2049367481934306.5</v>
      </c>
      <c r="J5587" s="455">
        <f t="array" ref="J5587">IFERROR(INDEX('Retirement Calculator'!J:J,MATCH('Isaac 401k'!N5587,'Retirement Calculator'!A:A,0),0),0)</f>
        <v>0</v>
      </c>
      <c r="K5587" s="455">
        <f t="shared" ca="1" si="206"/>
        <v>-8539031174726.2764</v>
      </c>
      <c r="L5587" s="455">
        <f t="shared" ca="1" si="207"/>
        <v>-2057906513109032.8</v>
      </c>
      <c r="M5587" s="471">
        <f t="shared" si="209"/>
        <v>0.05</v>
      </c>
      <c r="N5587" s="475">
        <f t="shared" si="210"/>
        <v>221094</v>
      </c>
    </row>
    <row r="5588" spans="7:14" ht="11.25" customHeight="1" x14ac:dyDescent="0.3">
      <c r="G5588" s="470"/>
      <c r="H5588" s="470">
        <v>5581</v>
      </c>
      <c r="I5588" s="455">
        <f t="shared" ca="1" si="208"/>
        <v>-2057906513109032.8</v>
      </c>
      <c r="J5588" s="455">
        <f t="array" ref="J5588">IFERROR(INDEX('Retirement Calculator'!J:J,MATCH('Isaac 401k'!N5588,'Retirement Calculator'!A:A,0),0),0)</f>
        <v>0</v>
      </c>
      <c r="K5588" s="455">
        <f t="shared" ca="1" si="206"/>
        <v>-8574610471287.6357</v>
      </c>
      <c r="L5588" s="455">
        <f t="shared" ca="1" si="207"/>
        <v>-2066481123580320.5</v>
      </c>
      <c r="M5588" s="471">
        <f t="shared" si="209"/>
        <v>0.05</v>
      </c>
      <c r="N5588" s="475">
        <f t="shared" si="210"/>
        <v>221125</v>
      </c>
    </row>
    <row r="5589" spans="7:14" ht="11.25" customHeight="1" x14ac:dyDescent="0.3">
      <c r="G5589" s="470"/>
      <c r="H5589" s="470">
        <v>5582</v>
      </c>
      <c r="I5589" s="455">
        <f t="shared" ca="1" si="208"/>
        <v>-2066481123580320.5</v>
      </c>
      <c r="J5589" s="455">
        <f t="array" ref="J5589">IFERROR(INDEX('Retirement Calculator'!J:J,MATCH('Isaac 401k'!N5589,'Retirement Calculator'!A:A,0),0),0)</f>
        <v>0</v>
      </c>
      <c r="K5589" s="455">
        <f t="shared" ca="1" si="206"/>
        <v>-8610338014918.001</v>
      </c>
      <c r="L5589" s="455">
        <f t="shared" ca="1" si="207"/>
        <v>-2075091461595238.5</v>
      </c>
      <c r="M5589" s="471">
        <f t="shared" si="209"/>
        <v>0.05</v>
      </c>
      <c r="N5589" s="475">
        <f t="shared" si="210"/>
        <v>221155</v>
      </c>
    </row>
    <row r="5590" spans="7:14" ht="11.25" customHeight="1" x14ac:dyDescent="0.3">
      <c r="G5590" s="470"/>
      <c r="H5590" s="470">
        <v>5583</v>
      </c>
      <c r="I5590" s="455">
        <f t="shared" ca="1" si="208"/>
        <v>-2075091461595238.5</v>
      </c>
      <c r="J5590" s="455">
        <f t="array" ref="J5590">IFERROR(INDEX('Retirement Calculator'!J:J,MATCH('Isaac 401k'!N5590,'Retirement Calculator'!A:A,0),0),0)</f>
        <v>0</v>
      </c>
      <c r="K5590" s="455">
        <f t="shared" ca="1" si="206"/>
        <v>-8646214423313.4951</v>
      </c>
      <c r="L5590" s="455">
        <f t="shared" ca="1" si="207"/>
        <v>-2083737676018552</v>
      </c>
      <c r="M5590" s="471">
        <f t="shared" si="209"/>
        <v>0.05</v>
      </c>
      <c r="N5590" s="475">
        <f t="shared" si="210"/>
        <v>221186</v>
      </c>
    </row>
    <row r="5591" spans="7:14" ht="11.25" customHeight="1" x14ac:dyDescent="0.3">
      <c r="G5591" s="470"/>
      <c r="H5591" s="470">
        <v>5584</v>
      </c>
      <c r="I5591" s="455">
        <f t="shared" ca="1" si="208"/>
        <v>-2083737676018552</v>
      </c>
      <c r="J5591" s="455">
        <f t="array" ref="J5591">IFERROR(INDEX('Retirement Calculator'!J:J,MATCH('Isaac 401k'!N5591,'Retirement Calculator'!A:A,0),0),0)</f>
        <v>0</v>
      </c>
      <c r="K5591" s="455">
        <f t="shared" ca="1" si="206"/>
        <v>-8682240316743.9668</v>
      </c>
      <c r="L5591" s="455">
        <f t="shared" ca="1" si="207"/>
        <v>-2092419916335296</v>
      </c>
      <c r="M5591" s="471">
        <f t="shared" si="209"/>
        <v>0.05</v>
      </c>
      <c r="N5591" s="475">
        <f t="shared" si="210"/>
        <v>221217</v>
      </c>
    </row>
    <row r="5592" spans="7:14" ht="11.25" customHeight="1" x14ac:dyDescent="0.3">
      <c r="G5592" s="470"/>
      <c r="H5592" s="470">
        <v>5585</v>
      </c>
      <c r="I5592" s="455">
        <f t="shared" ca="1" si="208"/>
        <v>-2092419916335296</v>
      </c>
      <c r="J5592" s="455">
        <f t="array" ref="J5592">IFERROR(INDEX('Retirement Calculator'!J:J,MATCH('Isaac 401k'!N5592,'Retirement Calculator'!A:A,0),0),0)</f>
        <v>0</v>
      </c>
      <c r="K5592" s="455">
        <f t="shared" ca="1" si="206"/>
        <v>-8718416318063.7334</v>
      </c>
      <c r="L5592" s="455">
        <f t="shared" ca="1" si="207"/>
        <v>-2101138332653359.8</v>
      </c>
      <c r="M5592" s="471">
        <f t="shared" si="209"/>
        <v>0.05</v>
      </c>
      <c r="N5592" s="475">
        <f t="shared" si="210"/>
        <v>221247</v>
      </c>
    </row>
    <row r="5593" spans="7:14" ht="11.25" customHeight="1" x14ac:dyDescent="0.3">
      <c r="G5593" s="470"/>
      <c r="H5593" s="470">
        <v>5586</v>
      </c>
      <c r="I5593" s="455">
        <f t="shared" ca="1" si="208"/>
        <v>-2101138332653359.8</v>
      </c>
      <c r="J5593" s="455">
        <f t="array" ref="J5593">IFERROR(INDEX('Retirement Calculator'!J:J,MATCH('Isaac 401k'!N5593,'Retirement Calculator'!A:A,0),0),0)</f>
        <v>0</v>
      </c>
      <c r="K5593" s="455">
        <f t="shared" ca="1" si="206"/>
        <v>-8754743052722.333</v>
      </c>
      <c r="L5593" s="455">
        <f t="shared" ca="1" si="207"/>
        <v>-2109893075706082</v>
      </c>
      <c r="M5593" s="471">
        <f t="shared" si="209"/>
        <v>0.05</v>
      </c>
      <c r="N5593" s="475">
        <f t="shared" si="210"/>
        <v>221278</v>
      </c>
    </row>
    <row r="5594" spans="7:14" ht="11.25" customHeight="1" x14ac:dyDescent="0.3">
      <c r="G5594" s="470"/>
      <c r="H5594" s="470">
        <v>5587</v>
      </c>
      <c r="I5594" s="455">
        <f t="shared" ca="1" si="208"/>
        <v>-2109893075706082</v>
      </c>
      <c r="J5594" s="455">
        <f t="array" ref="J5594">IFERROR(INDEX('Retirement Calculator'!J:J,MATCH('Isaac 401k'!N5594,'Retirement Calculator'!A:A,0),0),0)</f>
        <v>0</v>
      </c>
      <c r="K5594" s="455">
        <f t="shared" ca="1" si="206"/>
        <v>-8791221148775.3408</v>
      </c>
      <c r="L5594" s="455">
        <f t="shared" ca="1" si="207"/>
        <v>-2118684296854857.3</v>
      </c>
      <c r="M5594" s="471">
        <f t="shared" si="209"/>
        <v>0.05</v>
      </c>
      <c r="N5594" s="475">
        <f t="shared" si="210"/>
        <v>221308</v>
      </c>
    </row>
    <row r="5595" spans="7:14" ht="11.25" customHeight="1" x14ac:dyDescent="0.3">
      <c r="G5595" s="470"/>
      <c r="H5595" s="470">
        <v>5588</v>
      </c>
      <c r="I5595" s="455">
        <f t="shared" ca="1" si="208"/>
        <v>-2118684296854857.3</v>
      </c>
      <c r="J5595" s="455">
        <f t="array" ref="J5595">IFERROR(INDEX('Retirement Calculator'!J:J,MATCH('Isaac 401k'!N5595,'Retirement Calculator'!A:A,0),0),0)</f>
        <v>0</v>
      </c>
      <c r="K5595" s="455">
        <f t="shared" ca="1" si="206"/>
        <v>-8827851236895.2383</v>
      </c>
      <c r="L5595" s="455">
        <f t="shared" ca="1" si="207"/>
        <v>-2127512148091752.5</v>
      </c>
      <c r="M5595" s="471">
        <f t="shared" si="209"/>
        <v>0.05</v>
      </c>
      <c r="N5595" s="475">
        <f t="shared" si="210"/>
        <v>221339</v>
      </c>
    </row>
    <row r="5596" spans="7:14" ht="11.25" customHeight="1" x14ac:dyDescent="0.3">
      <c r="G5596" s="470"/>
      <c r="H5596" s="470">
        <v>5589</v>
      </c>
      <c r="I5596" s="455">
        <f t="shared" ca="1" si="208"/>
        <v>-2127512148091752.5</v>
      </c>
      <c r="J5596" s="455">
        <f t="array" ref="J5596">IFERROR(INDEX('Retirement Calculator'!J:J,MATCH('Isaac 401k'!N5596,'Retirement Calculator'!A:A,0),0),0)</f>
        <v>0</v>
      </c>
      <c r="K5596" s="455">
        <f t="shared" ca="1" si="206"/>
        <v>-8864633950382.3027</v>
      </c>
      <c r="L5596" s="455">
        <f t="shared" ca="1" si="207"/>
        <v>-2136376782042134.8</v>
      </c>
      <c r="M5596" s="471">
        <f t="shared" si="209"/>
        <v>0.05</v>
      </c>
      <c r="N5596" s="475">
        <f t="shared" si="210"/>
        <v>221370</v>
      </c>
    </row>
    <row r="5597" spans="7:14" ht="11.25" customHeight="1" x14ac:dyDescent="0.3">
      <c r="G5597" s="470"/>
      <c r="H5597" s="470">
        <v>5590</v>
      </c>
      <c r="I5597" s="455">
        <f t="shared" ca="1" si="208"/>
        <v>-2136376782042134.8</v>
      </c>
      <c r="J5597" s="455">
        <f t="array" ref="J5597">IFERROR(INDEX('Retirement Calculator'!J:J,MATCH('Isaac 401k'!N5597,'Retirement Calculator'!A:A,0),0),0)</f>
        <v>0</v>
      </c>
      <c r="K5597" s="455">
        <f t="shared" ca="1" si="206"/>
        <v>-8901569925175.5605</v>
      </c>
      <c r="L5597" s="455">
        <f t="shared" ca="1" si="207"/>
        <v>-2145278351967310.3</v>
      </c>
      <c r="M5597" s="471">
        <f t="shared" si="209"/>
        <v>0.05</v>
      </c>
      <c r="N5597" s="475">
        <f t="shared" si="210"/>
        <v>221398</v>
      </c>
    </row>
    <row r="5598" spans="7:14" ht="11.25" customHeight="1" x14ac:dyDescent="0.3">
      <c r="G5598" s="470"/>
      <c r="H5598" s="470">
        <v>5591</v>
      </c>
      <c r="I5598" s="455">
        <f t="shared" ca="1" si="208"/>
        <v>-2145278351967310.3</v>
      </c>
      <c r="J5598" s="455">
        <f t="array" ref="J5598">IFERROR(INDEX('Retirement Calculator'!J:J,MATCH('Isaac 401k'!N5598,'Retirement Calculator'!A:A,0),0),0)</f>
        <v>0</v>
      </c>
      <c r="K5598" s="455">
        <f t="shared" ca="1" si="206"/>
        <v>-8938659799863.793</v>
      </c>
      <c r="L5598" s="455">
        <f t="shared" ca="1" si="207"/>
        <v>-2154217011767174</v>
      </c>
      <c r="M5598" s="471">
        <f t="shared" si="209"/>
        <v>0.05</v>
      </c>
      <c r="N5598" s="475">
        <f t="shared" si="210"/>
        <v>221429</v>
      </c>
    </row>
    <row r="5599" spans="7:14" ht="11.25" customHeight="1" x14ac:dyDescent="0.3">
      <c r="G5599" s="470"/>
      <c r="H5599" s="470">
        <v>5592</v>
      </c>
      <c r="I5599" s="455">
        <f t="shared" ca="1" si="208"/>
        <v>-2154217011767174</v>
      </c>
      <c r="J5599" s="455">
        <f t="array" ref="J5599">IFERROR(INDEX('Retirement Calculator'!J:J,MATCH('Isaac 401k'!N5599,'Retirement Calculator'!A:A,0),0),0)</f>
        <v>0</v>
      </c>
      <c r="K5599" s="455">
        <f t="shared" ca="1" si="206"/>
        <v>-8975904215696.5586</v>
      </c>
      <c r="L5599" s="455">
        <f t="shared" ca="1" si="207"/>
        <v>-2163192915982870.5</v>
      </c>
      <c r="M5599" s="471">
        <f t="shared" si="209"/>
        <v>0.05</v>
      </c>
      <c r="N5599" s="475">
        <f t="shared" si="210"/>
        <v>221459</v>
      </c>
    </row>
    <row r="5600" spans="7:14" ht="11.25" customHeight="1" x14ac:dyDescent="0.3">
      <c r="G5600" s="470"/>
      <c r="H5600" s="470">
        <v>5593</v>
      </c>
      <c r="I5600" s="455">
        <f t="shared" ca="1" si="208"/>
        <v>-2163192915982870.5</v>
      </c>
      <c r="J5600" s="455">
        <f t="array" ref="J5600">IFERROR(INDEX('Retirement Calculator'!J:J,MATCH('Isaac 401k'!N5600,'Retirement Calculator'!A:A,0),0),0)</f>
        <v>0</v>
      </c>
      <c r="K5600" s="455">
        <f t="shared" ca="1" si="206"/>
        <v>-9013303816595.293</v>
      </c>
      <c r="L5600" s="455">
        <f t="shared" ca="1" si="207"/>
        <v>-2172206219799465.8</v>
      </c>
      <c r="M5600" s="471">
        <f t="shared" si="209"/>
        <v>0.05</v>
      </c>
      <c r="N5600" s="475">
        <f t="shared" si="210"/>
        <v>221490</v>
      </c>
    </row>
    <row r="5601" spans="7:14" ht="11.25" customHeight="1" x14ac:dyDescent="0.3">
      <c r="G5601" s="470"/>
      <c r="H5601" s="470">
        <v>5594</v>
      </c>
      <c r="I5601" s="455">
        <f t="shared" ca="1" si="208"/>
        <v>-2172206219799465.8</v>
      </c>
      <c r="J5601" s="455">
        <f t="array" ref="J5601">IFERROR(INDEX('Retirement Calculator'!J:J,MATCH('Isaac 401k'!N5601,'Retirement Calculator'!A:A,0),0),0)</f>
        <v>0</v>
      </c>
      <c r="K5601" s="455">
        <f t="shared" ca="1" si="206"/>
        <v>-9050859249164.4414</v>
      </c>
      <c r="L5601" s="455">
        <f t="shared" ca="1" si="207"/>
        <v>-2181257079048630.3</v>
      </c>
      <c r="M5601" s="471">
        <f t="shared" si="209"/>
        <v>0.05</v>
      </c>
      <c r="N5601" s="475">
        <f t="shared" si="210"/>
        <v>221520</v>
      </c>
    </row>
    <row r="5602" spans="7:14" ht="11.25" customHeight="1" x14ac:dyDescent="0.3">
      <c r="G5602" s="470"/>
      <c r="H5602" s="470">
        <v>5595</v>
      </c>
      <c r="I5602" s="455">
        <f t="shared" ca="1" si="208"/>
        <v>-2181257079048630.3</v>
      </c>
      <c r="J5602" s="455">
        <f t="array" ref="J5602">IFERROR(INDEX('Retirement Calculator'!J:J,MATCH('Isaac 401k'!N5602,'Retirement Calculator'!A:A,0),0),0)</f>
        <v>0</v>
      </c>
      <c r="K5602" s="455">
        <f t="shared" ca="1" si="206"/>
        <v>-9088571162702.627</v>
      </c>
      <c r="L5602" s="455">
        <f t="shared" ca="1" si="207"/>
        <v>-2190345650211333</v>
      </c>
      <c r="M5602" s="471">
        <f t="shared" si="209"/>
        <v>0.05</v>
      </c>
      <c r="N5602" s="475">
        <f t="shared" si="210"/>
        <v>221551</v>
      </c>
    </row>
    <row r="5603" spans="7:14" ht="11.25" customHeight="1" x14ac:dyDescent="0.3">
      <c r="G5603" s="470"/>
      <c r="H5603" s="470">
        <v>5596</v>
      </c>
      <c r="I5603" s="455">
        <f t="shared" ca="1" si="208"/>
        <v>-2190345650211333</v>
      </c>
      <c r="J5603" s="455">
        <f t="array" ref="J5603">IFERROR(INDEX('Retirement Calculator'!J:J,MATCH('Isaac 401k'!N5603,'Retirement Calculator'!A:A,0),0),0)</f>
        <v>0</v>
      </c>
      <c r="K5603" s="455">
        <f t="shared" ca="1" si="206"/>
        <v>-9126440209213.8867</v>
      </c>
      <c r="L5603" s="455">
        <f t="shared" ca="1" si="207"/>
        <v>-2199472090420547</v>
      </c>
      <c r="M5603" s="471">
        <f t="shared" si="209"/>
        <v>0.05</v>
      </c>
      <c r="N5603" s="475">
        <f t="shared" si="210"/>
        <v>221582</v>
      </c>
    </row>
    <row r="5604" spans="7:14" ht="11.25" customHeight="1" x14ac:dyDescent="0.3">
      <c r="G5604" s="470"/>
      <c r="H5604" s="470">
        <v>5597</v>
      </c>
      <c r="I5604" s="455">
        <f t="shared" ca="1" si="208"/>
        <v>-2199472090420547</v>
      </c>
      <c r="J5604" s="455">
        <f t="array" ref="J5604">IFERROR(INDEX('Retirement Calculator'!J:J,MATCH('Isaac 401k'!N5604,'Retirement Calculator'!A:A,0),0),0)</f>
        <v>0</v>
      </c>
      <c r="K5604" s="455">
        <f t="shared" ca="1" si="206"/>
        <v>-9164467043418.9453</v>
      </c>
      <c r="L5604" s="455">
        <f t="shared" ca="1" si="207"/>
        <v>-2208636557463966</v>
      </c>
      <c r="M5604" s="471">
        <f t="shared" si="209"/>
        <v>0.05</v>
      </c>
      <c r="N5604" s="475">
        <f t="shared" si="210"/>
        <v>221612</v>
      </c>
    </row>
    <row r="5605" spans="7:14" ht="11.25" customHeight="1" x14ac:dyDescent="0.3">
      <c r="G5605" s="470"/>
      <c r="H5605" s="470">
        <v>5598</v>
      </c>
      <c r="I5605" s="455">
        <f t="shared" ca="1" si="208"/>
        <v>-2208636557463966</v>
      </c>
      <c r="J5605" s="455">
        <f t="array" ref="J5605">IFERROR(INDEX('Retirement Calculator'!J:J,MATCH('Isaac 401k'!N5605,'Retirement Calculator'!A:A,0),0),0)</f>
        <v>0</v>
      </c>
      <c r="K5605" s="455">
        <f t="shared" ca="1" si="206"/>
        <v>-9202652322766.5254</v>
      </c>
      <c r="L5605" s="455">
        <f t="shared" ca="1" si="207"/>
        <v>-2217839209786732.5</v>
      </c>
      <c r="M5605" s="471">
        <f t="shared" si="209"/>
        <v>0.05</v>
      </c>
      <c r="N5605" s="475">
        <f t="shared" si="210"/>
        <v>221643</v>
      </c>
    </row>
    <row r="5606" spans="7:14" ht="11.25" customHeight="1" x14ac:dyDescent="0.3">
      <c r="G5606" s="470"/>
      <c r="H5606" s="470">
        <v>5599</v>
      </c>
      <c r="I5606" s="455">
        <f t="shared" ca="1" si="208"/>
        <v>-2217839209786732.5</v>
      </c>
      <c r="J5606" s="455">
        <f t="array" ref="J5606">IFERROR(INDEX('Retirement Calculator'!J:J,MATCH('Isaac 401k'!N5606,'Retirement Calculator'!A:A,0),0),0)</f>
        <v>0</v>
      </c>
      <c r="K5606" s="455">
        <f t="shared" ca="1" si="206"/>
        <v>-9240996707444.7188</v>
      </c>
      <c r="L5606" s="455">
        <f t="shared" ca="1" si="207"/>
        <v>-2227080206494177.3</v>
      </c>
      <c r="M5606" s="471">
        <f t="shared" si="209"/>
        <v>0.05</v>
      </c>
      <c r="N5606" s="475">
        <f t="shared" si="210"/>
        <v>221673</v>
      </c>
    </row>
    <row r="5607" spans="7:14" ht="11.25" customHeight="1" x14ac:dyDescent="0.3">
      <c r="G5607" s="470"/>
      <c r="H5607" s="470">
        <v>5600</v>
      </c>
      <c r="I5607" s="455">
        <f t="shared" ca="1" si="208"/>
        <v>-2227080206494177.3</v>
      </c>
      <c r="J5607" s="455">
        <f t="array" ref="J5607">IFERROR(INDEX('Retirement Calculator'!J:J,MATCH('Isaac 401k'!N5607,'Retirement Calculator'!A:A,0),0),0)</f>
        <v>0</v>
      </c>
      <c r="K5607" s="455">
        <f t="shared" ca="1" si="206"/>
        <v>-9279500860392.4043</v>
      </c>
      <c r="L5607" s="455">
        <f t="shared" ca="1" si="207"/>
        <v>-2236359707354569.8</v>
      </c>
      <c r="M5607" s="471">
        <f t="shared" si="209"/>
        <v>0.05</v>
      </c>
      <c r="N5607" s="475">
        <f t="shared" si="210"/>
        <v>221704</v>
      </c>
    </row>
    <row r="5608" spans="7:14" ht="11.25" customHeight="1" x14ac:dyDescent="0.3">
      <c r="G5608" s="470"/>
      <c r="H5608" s="470">
        <v>5601</v>
      </c>
      <c r="I5608" s="455">
        <f t="shared" ca="1" si="208"/>
        <v>-2236359707354569.8</v>
      </c>
      <c r="J5608" s="455">
        <f t="array" ref="J5608">IFERROR(INDEX('Retirement Calculator'!J:J,MATCH('Isaac 401k'!N5608,'Retirement Calculator'!A:A,0),0),0)</f>
        <v>0</v>
      </c>
      <c r="K5608" s="455">
        <f t="shared" ca="1" si="206"/>
        <v>-9318165447310.707</v>
      </c>
      <c r="L5608" s="455">
        <f t="shared" ca="1" si="207"/>
        <v>-2245677872801880.5</v>
      </c>
      <c r="M5608" s="471">
        <f t="shared" si="209"/>
        <v>0.05</v>
      </c>
      <c r="N5608" s="475">
        <f t="shared" si="210"/>
        <v>221735</v>
      </c>
    </row>
    <row r="5609" spans="7:14" ht="11.25" customHeight="1" x14ac:dyDescent="0.3">
      <c r="G5609" s="470"/>
      <c r="H5609" s="470">
        <v>5602</v>
      </c>
      <c r="I5609" s="455">
        <f t="shared" ca="1" si="208"/>
        <v>-2245677872801880.5</v>
      </c>
      <c r="J5609" s="455">
        <f t="array" ref="J5609">IFERROR(INDEX('Retirement Calculator'!J:J,MATCH('Isaac 401k'!N5609,'Retirement Calculator'!A:A,0),0),0)</f>
        <v>0</v>
      </c>
      <c r="K5609" s="455">
        <f t="shared" ca="1" si="206"/>
        <v>-9356991136674.5039</v>
      </c>
      <c r="L5609" s="455">
        <f t="shared" ca="1" si="207"/>
        <v>-2255034863938555</v>
      </c>
      <c r="M5609" s="471">
        <f t="shared" si="209"/>
        <v>0.05</v>
      </c>
      <c r="N5609" s="475">
        <f t="shared" si="210"/>
        <v>221763</v>
      </c>
    </row>
    <row r="5610" spans="7:14" ht="11.25" customHeight="1" x14ac:dyDescent="0.3">
      <c r="G5610" s="470"/>
      <c r="H5610" s="470">
        <v>5603</v>
      </c>
      <c r="I5610" s="455">
        <f t="shared" ca="1" si="208"/>
        <v>-2255034863938555</v>
      </c>
      <c r="J5610" s="455">
        <f t="array" ref="J5610">IFERROR(INDEX('Retirement Calculator'!J:J,MATCH('Isaac 401k'!N5610,'Retirement Calculator'!A:A,0),0),0)</f>
        <v>0</v>
      </c>
      <c r="K5610" s="455">
        <f t="shared" ca="1" si="206"/>
        <v>-9395978599743.9785</v>
      </c>
      <c r="L5610" s="455">
        <f t="shared" ca="1" si="207"/>
        <v>-2264430842538299</v>
      </c>
      <c r="M5610" s="471">
        <f t="shared" si="209"/>
        <v>0.05</v>
      </c>
      <c r="N5610" s="475">
        <f t="shared" si="210"/>
        <v>221794</v>
      </c>
    </row>
    <row r="5611" spans="7:14" ht="11.25" customHeight="1" x14ac:dyDescent="0.3">
      <c r="G5611" s="470"/>
      <c r="H5611" s="470">
        <v>5604</v>
      </c>
      <c r="I5611" s="455">
        <f t="shared" ca="1" si="208"/>
        <v>-2264430842538299</v>
      </c>
      <c r="J5611" s="455">
        <f t="array" ref="J5611">IFERROR(INDEX('Retirement Calculator'!J:J,MATCH('Isaac 401k'!N5611,'Retirement Calculator'!A:A,0),0),0)</f>
        <v>0</v>
      </c>
      <c r="K5611" s="455">
        <f t="shared" ca="1" si="206"/>
        <v>-9435128510576.2461</v>
      </c>
      <c r="L5611" s="455">
        <f t="shared" ca="1" si="207"/>
        <v>-2273865971048875</v>
      </c>
      <c r="M5611" s="471">
        <f t="shared" si="209"/>
        <v>0.05</v>
      </c>
      <c r="N5611" s="475">
        <f t="shared" si="210"/>
        <v>221824</v>
      </c>
    </row>
    <row r="5612" spans="7:14" ht="11.25" customHeight="1" x14ac:dyDescent="0.3">
      <c r="G5612" s="470"/>
      <c r="H5612" s="470">
        <v>5605</v>
      </c>
      <c r="I5612" s="455">
        <f t="shared" ca="1" si="208"/>
        <v>-2273865971048875</v>
      </c>
      <c r="J5612" s="455">
        <f t="array" ref="J5612">IFERROR(INDEX('Retirement Calculator'!J:J,MATCH('Isaac 401k'!N5612,'Retirement Calculator'!A:A,0),0),0)</f>
        <v>0</v>
      </c>
      <c r="K5612" s="455">
        <f t="shared" ca="1" si="206"/>
        <v>-9474441546036.9785</v>
      </c>
      <c r="L5612" s="455">
        <f t="shared" ca="1" si="207"/>
        <v>-2283340412594912</v>
      </c>
      <c r="M5612" s="471">
        <f t="shared" si="209"/>
        <v>0.05</v>
      </c>
      <c r="N5612" s="475">
        <f t="shared" si="210"/>
        <v>221855</v>
      </c>
    </row>
    <row r="5613" spans="7:14" ht="11.25" customHeight="1" x14ac:dyDescent="0.3">
      <c r="G5613" s="470"/>
      <c r="H5613" s="470">
        <v>5606</v>
      </c>
      <c r="I5613" s="455">
        <f t="shared" ca="1" si="208"/>
        <v>-2283340412594912</v>
      </c>
      <c r="J5613" s="455">
        <f t="array" ref="J5613">IFERROR(INDEX('Retirement Calculator'!J:J,MATCH('Isaac 401k'!N5613,'Retirement Calculator'!A:A,0),0),0)</f>
        <v>0</v>
      </c>
      <c r="K5613" s="455">
        <f t="shared" ca="1" si="206"/>
        <v>-9513918385812.1328</v>
      </c>
      <c r="L5613" s="455">
        <f t="shared" ca="1" si="207"/>
        <v>-2292854330980724</v>
      </c>
      <c r="M5613" s="471">
        <f t="shared" si="209"/>
        <v>0.05</v>
      </c>
      <c r="N5613" s="475">
        <f t="shared" si="210"/>
        <v>221885</v>
      </c>
    </row>
    <row r="5614" spans="7:14" ht="11.25" customHeight="1" x14ac:dyDescent="0.3">
      <c r="G5614" s="470"/>
      <c r="H5614" s="470">
        <v>5607</v>
      </c>
      <c r="I5614" s="455">
        <f t="shared" ca="1" si="208"/>
        <v>-2292854330980724</v>
      </c>
      <c r="J5614" s="455">
        <f t="array" ref="J5614">IFERROR(INDEX('Retirement Calculator'!J:J,MATCH('Isaac 401k'!N5614,'Retirement Calculator'!A:A,0),0),0)</f>
        <v>0</v>
      </c>
      <c r="K5614" s="455">
        <f t="shared" ca="1" si="206"/>
        <v>-9553559712419.6836</v>
      </c>
      <c r="L5614" s="455">
        <f t="shared" ca="1" si="207"/>
        <v>-2302407890693143.5</v>
      </c>
      <c r="M5614" s="471">
        <f t="shared" si="209"/>
        <v>0.05</v>
      </c>
      <c r="N5614" s="475">
        <f t="shared" si="210"/>
        <v>221916</v>
      </c>
    </row>
    <row r="5615" spans="7:14" ht="11.25" customHeight="1" x14ac:dyDescent="0.3">
      <c r="G5615" s="470"/>
      <c r="H5615" s="470">
        <v>5608</v>
      </c>
      <c r="I5615" s="455">
        <f t="shared" ca="1" si="208"/>
        <v>-2302407890693143.5</v>
      </c>
      <c r="J5615" s="455">
        <f t="array" ref="J5615">IFERROR(INDEX('Retirement Calculator'!J:J,MATCH('Isaac 401k'!N5615,'Retirement Calculator'!A:A,0),0),0)</f>
        <v>0</v>
      </c>
      <c r="K5615" s="455">
        <f t="shared" ca="1" si="206"/>
        <v>-9593366211221.4316</v>
      </c>
      <c r="L5615" s="455">
        <f t="shared" ca="1" si="207"/>
        <v>-2312001256904365</v>
      </c>
      <c r="M5615" s="471">
        <f t="shared" si="209"/>
        <v>0.05</v>
      </c>
      <c r="N5615" s="475">
        <f t="shared" si="210"/>
        <v>221947</v>
      </c>
    </row>
    <row r="5616" spans="7:14" ht="11.25" customHeight="1" x14ac:dyDescent="0.3">
      <c r="G5616" s="470"/>
      <c r="H5616" s="470">
        <v>5609</v>
      </c>
      <c r="I5616" s="455">
        <f t="shared" ca="1" si="208"/>
        <v>-2312001256904365</v>
      </c>
      <c r="J5616" s="455">
        <f t="array" ref="J5616">IFERROR(INDEX('Retirement Calculator'!J:J,MATCH('Isaac 401k'!N5616,'Retirement Calculator'!A:A,0),0),0)</f>
        <v>0</v>
      </c>
      <c r="K5616" s="455">
        <f t="shared" ca="1" si="206"/>
        <v>-9633338570434.8535</v>
      </c>
      <c r="L5616" s="455">
        <f t="shared" ca="1" si="207"/>
        <v>-2321634595474800</v>
      </c>
      <c r="M5616" s="471">
        <f t="shared" si="209"/>
        <v>0.05</v>
      </c>
      <c r="N5616" s="475">
        <f t="shared" si="210"/>
        <v>221977</v>
      </c>
    </row>
    <row r="5617" spans="7:14" ht="11.25" customHeight="1" x14ac:dyDescent="0.3">
      <c r="G5617" s="470"/>
      <c r="H5617" s="470">
        <v>5610</v>
      </c>
      <c r="I5617" s="455">
        <f t="shared" ca="1" si="208"/>
        <v>-2321634595474800</v>
      </c>
      <c r="J5617" s="455">
        <f t="array" ref="J5617">IFERROR(INDEX('Retirement Calculator'!J:J,MATCH('Isaac 401k'!N5617,'Retirement Calculator'!A:A,0),0),0)</f>
        <v>0</v>
      </c>
      <c r="K5617" s="455">
        <f t="shared" ca="1" si="206"/>
        <v>-9673477481145</v>
      </c>
      <c r="L5617" s="455">
        <f t="shared" ca="1" si="207"/>
        <v>-2331308072955945</v>
      </c>
      <c r="M5617" s="471">
        <f t="shared" si="209"/>
        <v>0.05</v>
      </c>
      <c r="N5617" s="475">
        <f t="shared" si="210"/>
        <v>222008</v>
      </c>
    </row>
    <row r="5618" spans="7:14" ht="11.25" customHeight="1" x14ac:dyDescent="0.3">
      <c r="G5618" s="470"/>
      <c r="H5618" s="470">
        <v>5611</v>
      </c>
      <c r="I5618" s="455">
        <f t="shared" ca="1" si="208"/>
        <v>-2331308072955945</v>
      </c>
      <c r="J5618" s="455">
        <f t="array" ref="J5618">IFERROR(INDEX('Retirement Calculator'!J:J,MATCH('Isaac 401k'!N5618,'Retirement Calculator'!A:A,0),0),0)</f>
        <v>0</v>
      </c>
      <c r="K5618" s="455">
        <f t="shared" ref="K5618:K5872" ca="1" si="211">IPMT(M5618/12,1,12,-I5618+J5618,,0)</f>
        <v>-9713783637316.4375</v>
      </c>
      <c r="L5618" s="455">
        <f t="shared" ref="L5618:L5872" ca="1" si="212">I5618-J5618+K5618</f>
        <v>-2341021856593261.5</v>
      </c>
      <c r="M5618" s="471">
        <f t="shared" si="209"/>
        <v>0.05</v>
      </c>
      <c r="N5618" s="475">
        <f t="shared" si="210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213">L5618</f>
        <v>-2341021856593261.5</v>
      </c>
      <c r="J5619" s="455">
        <f t="array" ref="J5619">IFERROR(INDEX('Retirement Calculator'!J:J,MATCH('Isaac 401k'!N5619,'Retirement Calculator'!A:A,0),0),0)</f>
        <v>0</v>
      </c>
      <c r="K5619" s="455">
        <f t="shared" ca="1" si="211"/>
        <v>-9754257735805.2559</v>
      </c>
      <c r="L5619" s="455">
        <f t="shared" ca="1" si="212"/>
        <v>-2350776114329067</v>
      </c>
      <c r="M5619" s="471">
        <f t="shared" ref="M5619:M5873" si="214">M5618</f>
        <v>0.05</v>
      </c>
      <c r="N5619" s="475">
        <f t="shared" ref="N5619:N5873" si="215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213"/>
        <v>-2350776114329067</v>
      </c>
      <c r="J5620" s="455">
        <f t="array" ref="J5620">IFERROR(INDEX('Retirement Calculator'!J:J,MATCH('Isaac 401k'!N5620,'Retirement Calculator'!A:A,0),0),0)</f>
        <v>0</v>
      </c>
      <c r="K5620" s="455">
        <f t="shared" ca="1" si="211"/>
        <v>-9794900476371.1133</v>
      </c>
      <c r="L5620" s="455">
        <f t="shared" ca="1" si="212"/>
        <v>-2360571014805438</v>
      </c>
      <c r="M5620" s="471">
        <f t="shared" si="214"/>
        <v>0.05</v>
      </c>
      <c r="N5620" s="475">
        <f t="shared" si="215"/>
        <v>222100</v>
      </c>
    </row>
    <row r="5621" spans="7:14" ht="11.25" customHeight="1" x14ac:dyDescent="0.3">
      <c r="G5621" s="470"/>
      <c r="H5621" s="470">
        <v>5614</v>
      </c>
      <c r="I5621" s="455">
        <f t="shared" ca="1" si="213"/>
        <v>-2360571014805438</v>
      </c>
      <c r="J5621" s="455">
        <f t="array" ref="J5621">IFERROR(INDEX('Retirement Calculator'!J:J,MATCH('Isaac 401k'!N5621,'Retirement Calculator'!A:A,0),0),0)</f>
        <v>0</v>
      </c>
      <c r="K5621" s="455">
        <f t="shared" ca="1" si="211"/>
        <v>-9835712561689.3242</v>
      </c>
      <c r="L5621" s="455">
        <f t="shared" ca="1" si="212"/>
        <v>-2370406727367127.5</v>
      </c>
      <c r="M5621" s="471">
        <f t="shared" si="214"/>
        <v>0.05</v>
      </c>
      <c r="N5621" s="475">
        <f t="shared" si="215"/>
        <v>222129</v>
      </c>
    </row>
    <row r="5622" spans="7:14" ht="11.25" customHeight="1" x14ac:dyDescent="0.3">
      <c r="G5622" s="470"/>
      <c r="H5622" s="470">
        <v>5615</v>
      </c>
      <c r="I5622" s="455">
        <f t="shared" ca="1" si="213"/>
        <v>-2370406727367127.5</v>
      </c>
      <c r="J5622" s="455">
        <f t="array" ref="J5622">IFERROR(INDEX('Retirement Calculator'!J:J,MATCH('Isaac 401k'!N5622,'Retirement Calculator'!A:A,0),0),0)</f>
        <v>0</v>
      </c>
      <c r="K5622" s="455">
        <f t="shared" ca="1" si="211"/>
        <v>-9876694697363.0313</v>
      </c>
      <c r="L5622" s="455">
        <f t="shared" ca="1" si="212"/>
        <v>-2380283422064490.5</v>
      </c>
      <c r="M5622" s="471">
        <f t="shared" si="214"/>
        <v>0.05</v>
      </c>
      <c r="N5622" s="475">
        <f t="shared" si="215"/>
        <v>222160</v>
      </c>
    </row>
    <row r="5623" spans="7:14" ht="11.25" customHeight="1" x14ac:dyDescent="0.3">
      <c r="G5623" s="470"/>
      <c r="H5623" s="470">
        <v>5616</v>
      </c>
      <c r="I5623" s="455">
        <f t="shared" ca="1" si="213"/>
        <v>-2380283422064490.5</v>
      </c>
      <c r="J5623" s="455">
        <f t="array" ref="J5623">IFERROR(INDEX('Retirement Calculator'!J:J,MATCH('Isaac 401k'!N5623,'Retirement Calculator'!A:A,0),0),0)</f>
        <v>0</v>
      </c>
      <c r="K5623" s="455">
        <f t="shared" ca="1" si="211"/>
        <v>-9917847591935.377</v>
      </c>
      <c r="L5623" s="455">
        <f t="shared" ca="1" si="212"/>
        <v>-2390201269656426</v>
      </c>
      <c r="M5623" s="471">
        <f t="shared" si="214"/>
        <v>0.05</v>
      </c>
      <c r="N5623" s="475">
        <f t="shared" si="215"/>
        <v>222190</v>
      </c>
    </row>
    <row r="5624" spans="7:14" ht="11.25" customHeight="1" x14ac:dyDescent="0.3">
      <c r="G5624" s="470"/>
      <c r="H5624" s="470">
        <v>5617</v>
      </c>
      <c r="I5624" s="455">
        <f t="shared" ca="1" si="213"/>
        <v>-2390201269656426</v>
      </c>
      <c r="J5624" s="455">
        <f t="array" ref="J5624">IFERROR(INDEX('Retirement Calculator'!J:J,MATCH('Isaac 401k'!N5624,'Retirement Calculator'!A:A,0),0),0)</f>
        <v>0</v>
      </c>
      <c r="K5624" s="455">
        <f t="shared" ca="1" si="211"/>
        <v>-9959171956901.7754</v>
      </c>
      <c r="L5624" s="455">
        <f t="shared" ca="1" si="212"/>
        <v>-2400160441613328</v>
      </c>
      <c r="M5624" s="471">
        <f t="shared" si="214"/>
        <v>0.05</v>
      </c>
      <c r="N5624" s="475">
        <f t="shared" si="215"/>
        <v>222221</v>
      </c>
    </row>
    <row r="5625" spans="7:14" ht="11.25" customHeight="1" x14ac:dyDescent="0.3">
      <c r="G5625" s="470"/>
      <c r="H5625" s="470">
        <v>5618</v>
      </c>
      <c r="I5625" s="455">
        <f t="shared" ca="1" si="213"/>
        <v>-2400160441613328</v>
      </c>
      <c r="J5625" s="455">
        <f t="array" ref="J5625">IFERROR(INDEX('Retirement Calculator'!J:J,MATCH('Isaac 401k'!N5625,'Retirement Calculator'!A:A,0),0),0)</f>
        <v>0</v>
      </c>
      <c r="K5625" s="455">
        <f t="shared" ca="1" si="211"/>
        <v>-10000668506722.199</v>
      </c>
      <c r="L5625" s="455">
        <f t="shared" ca="1" si="212"/>
        <v>-2410161110120050</v>
      </c>
      <c r="M5625" s="471">
        <f t="shared" si="214"/>
        <v>0.05</v>
      </c>
      <c r="N5625" s="475">
        <f t="shared" si="215"/>
        <v>222251</v>
      </c>
    </row>
    <row r="5626" spans="7:14" ht="11.25" customHeight="1" x14ac:dyDescent="0.3">
      <c r="G5626" s="470"/>
      <c r="H5626" s="470">
        <v>5619</v>
      </c>
      <c r="I5626" s="455">
        <f t="shared" ca="1" si="213"/>
        <v>-2410161110120050</v>
      </c>
      <c r="J5626" s="455">
        <f t="array" ref="J5626">IFERROR(INDEX('Retirement Calculator'!J:J,MATCH('Isaac 401k'!N5626,'Retirement Calculator'!A:A,0),0),0)</f>
        <v>0</v>
      </c>
      <c r="K5626" s="455">
        <f t="shared" ca="1" si="211"/>
        <v>-10042337958833.541</v>
      </c>
      <c r="L5626" s="455">
        <f t="shared" ca="1" si="212"/>
        <v>-2420203448078883.5</v>
      </c>
      <c r="M5626" s="471">
        <f t="shared" si="214"/>
        <v>0.05</v>
      </c>
      <c r="N5626" s="475">
        <f t="shared" si="215"/>
        <v>222282</v>
      </c>
    </row>
    <row r="5627" spans="7:14" ht="11.25" customHeight="1" x14ac:dyDescent="0.3">
      <c r="G5627" s="470"/>
      <c r="H5627" s="470">
        <v>5620</v>
      </c>
      <c r="I5627" s="455">
        <f t="shared" ca="1" si="213"/>
        <v>-2420203448078883.5</v>
      </c>
      <c r="J5627" s="455">
        <f t="array" ref="J5627">IFERROR(INDEX('Retirement Calculator'!J:J,MATCH('Isaac 401k'!N5627,'Retirement Calculator'!A:A,0),0),0)</f>
        <v>0</v>
      </c>
      <c r="K5627" s="455">
        <f t="shared" ca="1" si="211"/>
        <v>-10084181033662.014</v>
      </c>
      <c r="L5627" s="455">
        <f t="shared" ca="1" si="212"/>
        <v>-2430287629112545.5</v>
      </c>
      <c r="M5627" s="471">
        <f t="shared" si="214"/>
        <v>0.05</v>
      </c>
      <c r="N5627" s="475">
        <f t="shared" si="215"/>
        <v>222313</v>
      </c>
    </row>
    <row r="5628" spans="7:14" ht="11.25" customHeight="1" x14ac:dyDescent="0.3">
      <c r="G5628" s="470"/>
      <c r="H5628" s="470">
        <v>5621</v>
      </c>
      <c r="I5628" s="455">
        <f t="shared" ca="1" si="213"/>
        <v>-2430287629112545.5</v>
      </c>
      <c r="J5628" s="455">
        <f t="array" ref="J5628">IFERROR(INDEX('Retirement Calculator'!J:J,MATCH('Isaac 401k'!N5628,'Retirement Calculator'!A:A,0),0),0)</f>
        <v>0</v>
      </c>
      <c r="K5628" s="455">
        <f t="shared" ca="1" si="211"/>
        <v>-10126198454635.605</v>
      </c>
      <c r="L5628" s="455">
        <f t="shared" ca="1" si="212"/>
        <v>-2440413827567181</v>
      </c>
      <c r="M5628" s="471">
        <f t="shared" si="214"/>
        <v>0.05</v>
      </c>
      <c r="N5628" s="475">
        <f t="shared" si="215"/>
        <v>222343</v>
      </c>
    </row>
    <row r="5629" spans="7:14" ht="11.25" customHeight="1" x14ac:dyDescent="0.3">
      <c r="G5629" s="470"/>
      <c r="H5629" s="470">
        <v>5622</v>
      </c>
      <c r="I5629" s="455">
        <f t="shared" ca="1" si="213"/>
        <v>-2440413827567181</v>
      </c>
      <c r="J5629" s="455">
        <f t="array" ref="J5629">IFERROR(INDEX('Retirement Calculator'!J:J,MATCH('Isaac 401k'!N5629,'Retirement Calculator'!A:A,0),0),0)</f>
        <v>0</v>
      </c>
      <c r="K5629" s="455">
        <f t="shared" ca="1" si="211"/>
        <v>-10168390948196.588</v>
      </c>
      <c r="L5629" s="455">
        <f t="shared" ca="1" si="212"/>
        <v>-2450582218515377.5</v>
      </c>
      <c r="M5629" s="471">
        <f t="shared" si="214"/>
        <v>0.05</v>
      </c>
      <c r="N5629" s="475">
        <f t="shared" si="215"/>
        <v>222374</v>
      </c>
    </row>
    <row r="5630" spans="7:14" ht="11.25" customHeight="1" x14ac:dyDescent="0.3">
      <c r="G5630" s="470"/>
      <c r="H5630" s="470">
        <v>5623</v>
      </c>
      <c r="I5630" s="455">
        <f t="shared" ca="1" si="213"/>
        <v>-2450582218515377.5</v>
      </c>
      <c r="J5630" s="455">
        <f t="array" ref="J5630">IFERROR(INDEX('Retirement Calculator'!J:J,MATCH('Isaac 401k'!N5630,'Retirement Calculator'!A:A,0),0),0)</f>
        <v>0</v>
      </c>
      <c r="K5630" s="455">
        <f t="shared" ca="1" si="211"/>
        <v>-10210759243814.072</v>
      </c>
      <c r="L5630" s="455">
        <f t="shared" ca="1" si="212"/>
        <v>-2460792977759191.5</v>
      </c>
      <c r="M5630" s="471">
        <f t="shared" si="214"/>
        <v>0.05</v>
      </c>
      <c r="N5630" s="475">
        <f t="shared" si="215"/>
        <v>222404</v>
      </c>
    </row>
    <row r="5631" spans="7:14" ht="11.25" customHeight="1" x14ac:dyDescent="0.3">
      <c r="G5631" s="470"/>
      <c r="H5631" s="470">
        <v>5624</v>
      </c>
      <c r="I5631" s="455">
        <f t="shared" ca="1" si="213"/>
        <v>-2460792977759191.5</v>
      </c>
      <c r="J5631" s="455">
        <f t="array" ref="J5631">IFERROR(INDEX('Retirement Calculator'!J:J,MATCH('Isaac 401k'!N5631,'Retirement Calculator'!A:A,0),0),0)</f>
        <v>0</v>
      </c>
      <c r="K5631" s="455">
        <f t="shared" ca="1" si="211"/>
        <v>-10253304073996.631</v>
      </c>
      <c r="L5631" s="455">
        <f t="shared" ca="1" si="212"/>
        <v>-2471046281833188</v>
      </c>
      <c r="M5631" s="471">
        <f t="shared" si="214"/>
        <v>0.05</v>
      </c>
      <c r="N5631" s="475">
        <f t="shared" si="215"/>
        <v>222435</v>
      </c>
    </row>
    <row r="5632" spans="7:14" ht="11.25" customHeight="1" x14ac:dyDescent="0.3">
      <c r="G5632" s="470"/>
      <c r="H5632" s="470">
        <v>5625</v>
      </c>
      <c r="I5632" s="455">
        <f t="shared" ca="1" si="213"/>
        <v>-2471046281833188</v>
      </c>
      <c r="J5632" s="455">
        <f t="array" ref="J5632">IFERROR(INDEX('Retirement Calculator'!J:J,MATCH('Isaac 401k'!N5632,'Retirement Calculator'!A:A,0),0),0)</f>
        <v>0</v>
      </c>
      <c r="K5632" s="455">
        <f t="shared" ca="1" si="211"/>
        <v>-10296026174304.949</v>
      </c>
      <c r="L5632" s="455">
        <f t="shared" ca="1" si="212"/>
        <v>-2481342308007493</v>
      </c>
      <c r="M5632" s="471">
        <f t="shared" si="214"/>
        <v>0.05</v>
      </c>
      <c r="N5632" s="475">
        <f t="shared" si="215"/>
        <v>222466</v>
      </c>
    </row>
    <row r="5633" spans="7:14" ht="11.25" customHeight="1" x14ac:dyDescent="0.3">
      <c r="G5633" s="470"/>
      <c r="H5633" s="470">
        <v>5626</v>
      </c>
      <c r="I5633" s="455">
        <f t="shared" ca="1" si="213"/>
        <v>-2481342308007493</v>
      </c>
      <c r="J5633" s="455">
        <f t="array" ref="J5633">IFERROR(INDEX('Retirement Calculator'!J:J,MATCH('Isaac 401k'!N5633,'Retirement Calculator'!A:A,0),0),0)</f>
        <v>0</v>
      </c>
      <c r="K5633" s="455">
        <f t="shared" ca="1" si="211"/>
        <v>-10338926283364.555</v>
      </c>
      <c r="L5633" s="455">
        <f t="shared" ca="1" si="212"/>
        <v>-2491681234290857.5</v>
      </c>
      <c r="M5633" s="471">
        <f t="shared" si="214"/>
        <v>0.05</v>
      </c>
      <c r="N5633" s="475">
        <f t="shared" si="215"/>
        <v>222494</v>
      </c>
    </row>
    <row r="5634" spans="7:14" ht="11.25" customHeight="1" x14ac:dyDescent="0.3">
      <c r="G5634" s="470"/>
      <c r="H5634" s="470">
        <v>5627</v>
      </c>
      <c r="I5634" s="455">
        <f t="shared" ca="1" si="213"/>
        <v>-2491681234290857.5</v>
      </c>
      <c r="J5634" s="455">
        <f t="array" ref="J5634">IFERROR(INDEX('Retirement Calculator'!J:J,MATCH('Isaac 401k'!N5634,'Retirement Calculator'!A:A,0),0),0)</f>
        <v>0</v>
      </c>
      <c r="K5634" s="455">
        <f t="shared" ca="1" si="211"/>
        <v>-10382005142878.572</v>
      </c>
      <c r="L5634" s="455">
        <f t="shared" ca="1" si="212"/>
        <v>-2502063239433736</v>
      </c>
      <c r="M5634" s="471">
        <f t="shared" si="214"/>
        <v>0.05</v>
      </c>
      <c r="N5634" s="475">
        <f t="shared" si="215"/>
        <v>222525</v>
      </c>
    </row>
    <row r="5635" spans="7:14" ht="11.25" customHeight="1" x14ac:dyDescent="0.3">
      <c r="G5635" s="470"/>
      <c r="H5635" s="470">
        <v>5628</v>
      </c>
      <c r="I5635" s="455">
        <f t="shared" ca="1" si="213"/>
        <v>-2502063239433736</v>
      </c>
      <c r="J5635" s="455">
        <f t="array" ref="J5635">IFERROR(INDEX('Retirement Calculator'!J:J,MATCH('Isaac 401k'!N5635,'Retirement Calculator'!A:A,0),0),0)</f>
        <v>0</v>
      </c>
      <c r="K5635" s="455">
        <f t="shared" ca="1" si="211"/>
        <v>-10425263497640.566</v>
      </c>
      <c r="L5635" s="455">
        <f t="shared" ca="1" si="212"/>
        <v>-2512488502931376.5</v>
      </c>
      <c r="M5635" s="471">
        <f t="shared" si="214"/>
        <v>0.05</v>
      </c>
      <c r="N5635" s="475">
        <f t="shared" si="215"/>
        <v>222555</v>
      </c>
    </row>
    <row r="5636" spans="7:14" ht="11.25" customHeight="1" x14ac:dyDescent="0.3">
      <c r="G5636" s="470"/>
      <c r="H5636" s="470">
        <v>5629</v>
      </c>
      <c r="I5636" s="455">
        <f t="shared" ca="1" si="213"/>
        <v>-2512488502931376.5</v>
      </c>
      <c r="J5636" s="455">
        <f t="array" ref="J5636">IFERROR(INDEX('Retirement Calculator'!J:J,MATCH('Isaac 401k'!N5636,'Retirement Calculator'!A:A,0),0),0)</f>
        <v>0</v>
      </c>
      <c r="K5636" s="455">
        <f t="shared" ca="1" si="211"/>
        <v>-10468702095547.402</v>
      </c>
      <c r="L5636" s="455">
        <f t="shared" ca="1" si="212"/>
        <v>-2522957205026924</v>
      </c>
      <c r="M5636" s="471">
        <f t="shared" si="214"/>
        <v>0.05</v>
      </c>
      <c r="N5636" s="475">
        <f t="shared" si="215"/>
        <v>222586</v>
      </c>
    </row>
    <row r="5637" spans="7:14" ht="11.25" customHeight="1" x14ac:dyDescent="0.3">
      <c r="G5637" s="470"/>
      <c r="H5637" s="470">
        <v>5630</v>
      </c>
      <c r="I5637" s="455">
        <f t="shared" ca="1" si="213"/>
        <v>-2522957205026924</v>
      </c>
      <c r="J5637" s="455">
        <f t="array" ref="J5637">IFERROR(INDEX('Retirement Calculator'!J:J,MATCH('Isaac 401k'!N5637,'Retirement Calculator'!A:A,0),0),0)</f>
        <v>0</v>
      </c>
      <c r="K5637" s="455">
        <f t="shared" ca="1" si="211"/>
        <v>-10512321687612.184</v>
      </c>
      <c r="L5637" s="455">
        <f t="shared" ca="1" si="212"/>
        <v>-2533469526714536</v>
      </c>
      <c r="M5637" s="471">
        <f t="shared" si="214"/>
        <v>0.05</v>
      </c>
      <c r="N5637" s="475">
        <f t="shared" si="215"/>
        <v>222616</v>
      </c>
    </row>
    <row r="5638" spans="7:14" ht="11.25" customHeight="1" x14ac:dyDescent="0.3">
      <c r="G5638" s="470"/>
      <c r="H5638" s="470">
        <v>5631</v>
      </c>
      <c r="I5638" s="455">
        <f t="shared" ca="1" si="213"/>
        <v>-2533469526714536</v>
      </c>
      <c r="J5638" s="455">
        <f t="array" ref="J5638">IFERROR(INDEX('Retirement Calculator'!J:J,MATCH('Isaac 401k'!N5638,'Retirement Calculator'!A:A,0),0),0)</f>
        <v>0</v>
      </c>
      <c r="K5638" s="455">
        <f t="shared" ca="1" si="211"/>
        <v>-10556123027977.232</v>
      </c>
      <c r="L5638" s="455">
        <f t="shared" ca="1" si="212"/>
        <v>-2544025649742513</v>
      </c>
      <c r="M5638" s="471">
        <f t="shared" si="214"/>
        <v>0.05</v>
      </c>
      <c r="N5638" s="475">
        <f t="shared" si="215"/>
        <v>222647</v>
      </c>
    </row>
    <row r="5639" spans="7:14" ht="11.25" customHeight="1" x14ac:dyDescent="0.3">
      <c r="G5639" s="470"/>
      <c r="H5639" s="470">
        <v>5632</v>
      </c>
      <c r="I5639" s="455">
        <f t="shared" ca="1" si="213"/>
        <v>-2544025649742513</v>
      </c>
      <c r="J5639" s="455">
        <f t="array" ref="J5639">IFERROR(INDEX('Retirement Calculator'!J:J,MATCH('Isaac 401k'!N5639,'Retirement Calculator'!A:A,0),0),0)</f>
        <v>0</v>
      </c>
      <c r="K5639" s="455">
        <f t="shared" ca="1" si="211"/>
        <v>-10600106873927.137</v>
      </c>
      <c r="L5639" s="455">
        <f t="shared" ca="1" si="212"/>
        <v>-2554625756616440</v>
      </c>
      <c r="M5639" s="471">
        <f t="shared" si="214"/>
        <v>0.05</v>
      </c>
      <c r="N5639" s="475">
        <f t="shared" si="215"/>
        <v>222678</v>
      </c>
    </row>
    <row r="5640" spans="7:14" ht="11.25" customHeight="1" x14ac:dyDescent="0.3">
      <c r="G5640" s="470"/>
      <c r="H5640" s="470">
        <v>5633</v>
      </c>
      <c r="I5640" s="455">
        <f t="shared" ca="1" si="213"/>
        <v>-2554625756616440</v>
      </c>
      <c r="J5640" s="455">
        <f t="array" ref="J5640">IFERROR(INDEX('Retirement Calculator'!J:J,MATCH('Isaac 401k'!N5640,'Retirement Calculator'!A:A,0),0),0)</f>
        <v>0</v>
      </c>
      <c r="K5640" s="455">
        <f t="shared" ca="1" si="211"/>
        <v>-10644273985901.834</v>
      </c>
      <c r="L5640" s="455">
        <f t="shared" ca="1" si="212"/>
        <v>-2565270030602342</v>
      </c>
      <c r="M5640" s="471">
        <f t="shared" si="214"/>
        <v>0.05</v>
      </c>
      <c r="N5640" s="475">
        <f t="shared" si="215"/>
        <v>222708</v>
      </c>
    </row>
    <row r="5641" spans="7:14" ht="11.25" customHeight="1" x14ac:dyDescent="0.3">
      <c r="G5641" s="470"/>
      <c r="H5641" s="470">
        <v>5634</v>
      </c>
      <c r="I5641" s="455">
        <f t="shared" ca="1" si="213"/>
        <v>-2565270030602342</v>
      </c>
      <c r="J5641" s="455">
        <f t="array" ref="J5641">IFERROR(INDEX('Retirement Calculator'!J:J,MATCH('Isaac 401k'!N5641,'Retirement Calculator'!A:A,0),0),0)</f>
        <v>0</v>
      </c>
      <c r="K5641" s="455">
        <f t="shared" ca="1" si="211"/>
        <v>-10688625127509.758</v>
      </c>
      <c r="L5641" s="455">
        <f t="shared" ca="1" si="212"/>
        <v>-2575958655729852</v>
      </c>
      <c r="M5641" s="471">
        <f t="shared" si="214"/>
        <v>0.05</v>
      </c>
      <c r="N5641" s="475">
        <f t="shared" si="215"/>
        <v>222739</v>
      </c>
    </row>
    <row r="5642" spans="7:14" ht="11.25" customHeight="1" x14ac:dyDescent="0.3">
      <c r="G5642" s="470"/>
      <c r="H5642" s="470">
        <v>5635</v>
      </c>
      <c r="I5642" s="455">
        <f t="shared" ca="1" si="213"/>
        <v>-2575958655729852</v>
      </c>
      <c r="J5642" s="455">
        <f t="array" ref="J5642">IFERROR(INDEX('Retirement Calculator'!J:J,MATCH('Isaac 401k'!N5642,'Retirement Calculator'!A:A,0),0),0)</f>
        <v>0</v>
      </c>
      <c r="K5642" s="455">
        <f t="shared" ca="1" si="211"/>
        <v>-10733161065541.051</v>
      </c>
      <c r="L5642" s="455">
        <f t="shared" ca="1" si="212"/>
        <v>-2586691816795393</v>
      </c>
      <c r="M5642" s="471">
        <f t="shared" si="214"/>
        <v>0.05</v>
      </c>
      <c r="N5642" s="475">
        <f t="shared" si="215"/>
        <v>222769</v>
      </c>
    </row>
    <row r="5643" spans="7:14" ht="11.25" customHeight="1" x14ac:dyDescent="0.3">
      <c r="G5643" s="470"/>
      <c r="H5643" s="470">
        <v>5636</v>
      </c>
      <c r="I5643" s="455">
        <f t="shared" ca="1" si="213"/>
        <v>-2586691816795393</v>
      </c>
      <c r="J5643" s="455">
        <f t="array" ref="J5643">IFERROR(INDEX('Retirement Calculator'!J:J,MATCH('Isaac 401k'!N5643,'Retirement Calculator'!A:A,0),0),0)</f>
        <v>0</v>
      </c>
      <c r="K5643" s="455">
        <f t="shared" ca="1" si="211"/>
        <v>-10777882569980.805</v>
      </c>
      <c r="L5643" s="455">
        <f t="shared" ca="1" si="212"/>
        <v>-2597469699365374</v>
      </c>
      <c r="M5643" s="471">
        <f t="shared" si="214"/>
        <v>0.05</v>
      </c>
      <c r="N5643" s="475">
        <f t="shared" si="215"/>
        <v>222800</v>
      </c>
    </row>
    <row r="5644" spans="7:14" ht="11.25" customHeight="1" x14ac:dyDescent="0.3">
      <c r="G5644" s="470"/>
      <c r="H5644" s="470">
        <v>5637</v>
      </c>
      <c r="I5644" s="455">
        <f t="shared" ca="1" si="213"/>
        <v>-2597469699365374</v>
      </c>
      <c r="J5644" s="455">
        <f t="array" ref="J5644">IFERROR(INDEX('Retirement Calculator'!J:J,MATCH('Isaac 401k'!N5644,'Retirement Calculator'!A:A,0),0),0)</f>
        <v>0</v>
      </c>
      <c r="K5644" s="455">
        <f t="shared" ca="1" si="211"/>
        <v>-10822790414022.391</v>
      </c>
      <c r="L5644" s="455">
        <f t="shared" ca="1" si="212"/>
        <v>-2608292489779396.5</v>
      </c>
      <c r="M5644" s="471">
        <f t="shared" si="214"/>
        <v>0.05</v>
      </c>
      <c r="N5644" s="475">
        <f t="shared" si="215"/>
        <v>222831</v>
      </c>
    </row>
    <row r="5645" spans="7:14" ht="11.25" customHeight="1" x14ac:dyDescent="0.3">
      <c r="G5645" s="470"/>
      <c r="H5645" s="470">
        <v>5638</v>
      </c>
      <c r="I5645" s="455">
        <f t="shared" ca="1" si="213"/>
        <v>-2608292489779396.5</v>
      </c>
      <c r="J5645" s="455">
        <f t="array" ref="J5645">IFERROR(INDEX('Retirement Calculator'!J:J,MATCH('Isaac 401k'!N5645,'Retirement Calculator'!A:A,0),0),0)</f>
        <v>0</v>
      </c>
      <c r="K5645" s="455">
        <f t="shared" ca="1" si="211"/>
        <v>-10867885374080.818</v>
      </c>
      <c r="L5645" s="455">
        <f t="shared" ca="1" si="212"/>
        <v>-2619160375153477.5</v>
      </c>
      <c r="M5645" s="471">
        <f t="shared" si="214"/>
        <v>0.05</v>
      </c>
      <c r="N5645" s="475">
        <f t="shared" si="215"/>
        <v>222859</v>
      </c>
    </row>
    <row r="5646" spans="7:14" ht="11.25" customHeight="1" x14ac:dyDescent="0.3">
      <c r="G5646" s="470"/>
      <c r="H5646" s="470">
        <v>5639</v>
      </c>
      <c r="I5646" s="455">
        <f t="shared" ca="1" si="213"/>
        <v>-2619160375153477.5</v>
      </c>
      <c r="J5646" s="455">
        <f t="array" ref="J5646">IFERROR(INDEX('Retirement Calculator'!J:J,MATCH('Isaac 401k'!N5646,'Retirement Calculator'!A:A,0),0),0)</f>
        <v>0</v>
      </c>
      <c r="K5646" s="455">
        <f t="shared" ca="1" si="211"/>
        <v>-10913168229806.156</v>
      </c>
      <c r="L5646" s="455">
        <f t="shared" ca="1" si="212"/>
        <v>-2630073543383283.5</v>
      </c>
      <c r="M5646" s="471">
        <f t="shared" si="214"/>
        <v>0.05</v>
      </c>
      <c r="N5646" s="475">
        <f t="shared" si="215"/>
        <v>222890</v>
      </c>
    </row>
    <row r="5647" spans="7:14" ht="11.25" customHeight="1" x14ac:dyDescent="0.3">
      <c r="G5647" s="470"/>
      <c r="H5647" s="470">
        <v>5640</v>
      </c>
      <c r="I5647" s="455">
        <f t="shared" ca="1" si="213"/>
        <v>-2630073543383283.5</v>
      </c>
      <c r="J5647" s="455">
        <f t="array" ref="J5647">IFERROR(INDEX('Retirement Calculator'!J:J,MATCH('Isaac 401k'!N5647,'Retirement Calculator'!A:A,0),0),0)</f>
        <v>0</v>
      </c>
      <c r="K5647" s="455">
        <f t="shared" ca="1" si="211"/>
        <v>-10958639764097.014</v>
      </c>
      <c r="L5647" s="455">
        <f t="shared" ca="1" si="212"/>
        <v>-2641032183147380.5</v>
      </c>
      <c r="M5647" s="471">
        <f t="shared" si="214"/>
        <v>0.05</v>
      </c>
      <c r="N5647" s="475">
        <f t="shared" si="215"/>
        <v>222920</v>
      </c>
    </row>
    <row r="5648" spans="7:14" ht="11.25" customHeight="1" x14ac:dyDescent="0.3">
      <c r="G5648" s="470"/>
      <c r="H5648" s="470">
        <v>5641</v>
      </c>
      <c r="I5648" s="455">
        <f t="shared" ca="1" si="213"/>
        <v>-2641032183147380.5</v>
      </c>
      <c r="J5648" s="455">
        <f t="array" ref="J5648">IFERROR(INDEX('Retirement Calculator'!J:J,MATCH('Isaac 401k'!N5648,'Retirement Calculator'!A:A,0),0),0)</f>
        <v>0</v>
      </c>
      <c r="K5648" s="455">
        <f t="shared" ca="1" si="211"/>
        <v>-11004300763114.086</v>
      </c>
      <c r="L5648" s="455">
        <f t="shared" ca="1" si="212"/>
        <v>-2652036483910494.5</v>
      </c>
      <c r="M5648" s="471">
        <f t="shared" si="214"/>
        <v>0.05</v>
      </c>
      <c r="N5648" s="475">
        <f t="shared" si="215"/>
        <v>222951</v>
      </c>
    </row>
    <row r="5649" spans="7:14" ht="11.25" customHeight="1" x14ac:dyDescent="0.3">
      <c r="G5649" s="470"/>
      <c r="H5649" s="470">
        <v>5642</v>
      </c>
      <c r="I5649" s="455">
        <f t="shared" ca="1" si="213"/>
        <v>-2652036483910494.5</v>
      </c>
      <c r="J5649" s="455">
        <f t="array" ref="J5649">IFERROR(INDEX('Retirement Calculator'!J:J,MATCH('Isaac 401k'!N5649,'Retirement Calculator'!A:A,0),0),0)</f>
        <v>0</v>
      </c>
      <c r="K5649" s="455">
        <f t="shared" ca="1" si="211"/>
        <v>-11050152016293.727</v>
      </c>
      <c r="L5649" s="455">
        <f t="shared" ca="1" si="212"/>
        <v>-2663086635926788</v>
      </c>
      <c r="M5649" s="471">
        <f t="shared" si="214"/>
        <v>0.05</v>
      </c>
      <c r="N5649" s="475">
        <f t="shared" si="215"/>
        <v>222981</v>
      </c>
    </row>
    <row r="5650" spans="7:14" ht="11.25" customHeight="1" x14ac:dyDescent="0.3">
      <c r="G5650" s="470"/>
      <c r="H5650" s="470">
        <v>5643</v>
      </c>
      <c r="I5650" s="455">
        <f t="shared" ca="1" si="213"/>
        <v>-2663086635926788</v>
      </c>
      <c r="J5650" s="455">
        <f t="array" ref="J5650">IFERROR(INDEX('Retirement Calculator'!J:J,MATCH('Isaac 401k'!N5650,'Retirement Calculator'!A:A,0),0),0)</f>
        <v>0</v>
      </c>
      <c r="K5650" s="455">
        <f t="shared" ca="1" si="211"/>
        <v>-11096194316361.617</v>
      </c>
      <c r="L5650" s="455">
        <f t="shared" ca="1" si="212"/>
        <v>-2674182830243149.5</v>
      </c>
      <c r="M5650" s="471">
        <f t="shared" si="214"/>
        <v>0.05</v>
      </c>
      <c r="N5650" s="475">
        <f t="shared" si="215"/>
        <v>223012</v>
      </c>
    </row>
    <row r="5651" spans="7:14" ht="11.25" customHeight="1" x14ac:dyDescent="0.3">
      <c r="G5651" s="470"/>
      <c r="H5651" s="470">
        <v>5644</v>
      </c>
      <c r="I5651" s="455">
        <f t="shared" ca="1" si="213"/>
        <v>-2674182830243149.5</v>
      </c>
      <c r="J5651" s="455">
        <f t="array" ref="J5651">IFERROR(INDEX('Retirement Calculator'!J:J,MATCH('Isaac 401k'!N5651,'Retirement Calculator'!A:A,0),0),0)</f>
        <v>0</v>
      </c>
      <c r="K5651" s="455">
        <f t="shared" ca="1" si="211"/>
        <v>-11142428459346.457</v>
      </c>
      <c r="L5651" s="455">
        <f t="shared" ca="1" si="212"/>
        <v>-2685325258702496</v>
      </c>
      <c r="M5651" s="471">
        <f t="shared" si="214"/>
        <v>0.05</v>
      </c>
      <c r="N5651" s="475">
        <f t="shared" si="215"/>
        <v>223043</v>
      </c>
    </row>
    <row r="5652" spans="7:14" ht="11.25" customHeight="1" x14ac:dyDescent="0.3">
      <c r="G5652" s="470"/>
      <c r="H5652" s="470">
        <v>5645</v>
      </c>
      <c r="I5652" s="455">
        <f t="shared" ca="1" si="213"/>
        <v>-2685325258702496</v>
      </c>
      <c r="J5652" s="455">
        <f t="array" ref="J5652">IFERROR(INDEX('Retirement Calculator'!J:J,MATCH('Isaac 401k'!N5652,'Retirement Calculator'!A:A,0),0),0)</f>
        <v>0</v>
      </c>
      <c r="K5652" s="455">
        <f t="shared" ca="1" si="211"/>
        <v>-11188855244593.732</v>
      </c>
      <c r="L5652" s="455">
        <f t="shared" ca="1" si="212"/>
        <v>-2696514113947089.5</v>
      </c>
      <c r="M5652" s="471">
        <f t="shared" si="214"/>
        <v>0.05</v>
      </c>
      <c r="N5652" s="475">
        <f t="shared" si="215"/>
        <v>223073</v>
      </c>
    </row>
    <row r="5653" spans="7:14" ht="11.25" customHeight="1" x14ac:dyDescent="0.3">
      <c r="G5653" s="470"/>
      <c r="H5653" s="470">
        <v>5646</v>
      </c>
      <c r="I5653" s="455">
        <f t="shared" ca="1" si="213"/>
        <v>-2696514113947089.5</v>
      </c>
      <c r="J5653" s="455">
        <f t="array" ref="J5653">IFERROR(INDEX('Retirement Calculator'!J:J,MATCH('Isaac 401k'!N5653,'Retirement Calculator'!A:A,0),0),0)</f>
        <v>0</v>
      </c>
      <c r="K5653" s="455">
        <f t="shared" ca="1" si="211"/>
        <v>-11235475474779.539</v>
      </c>
      <c r="L5653" s="455">
        <f t="shared" ca="1" si="212"/>
        <v>-2707749589421869</v>
      </c>
      <c r="M5653" s="471">
        <f t="shared" si="214"/>
        <v>0.05</v>
      </c>
      <c r="N5653" s="475">
        <f t="shared" si="215"/>
        <v>223104</v>
      </c>
    </row>
    <row r="5654" spans="7:14" ht="11.25" customHeight="1" x14ac:dyDescent="0.3">
      <c r="G5654" s="470"/>
      <c r="H5654" s="470">
        <v>5647</v>
      </c>
      <c r="I5654" s="455">
        <f t="shared" ca="1" si="213"/>
        <v>-2707749589421869</v>
      </c>
      <c r="J5654" s="455">
        <f t="array" ref="J5654">IFERROR(INDEX('Retirement Calculator'!J:J,MATCH('Isaac 401k'!N5654,'Retirement Calculator'!A:A,0),0),0)</f>
        <v>0</v>
      </c>
      <c r="K5654" s="455">
        <f t="shared" ca="1" si="211"/>
        <v>-11282289955924.453</v>
      </c>
      <c r="L5654" s="455">
        <f t="shared" ca="1" si="212"/>
        <v>-2719031879377793.5</v>
      </c>
      <c r="M5654" s="471">
        <f t="shared" si="214"/>
        <v>0.05</v>
      </c>
      <c r="N5654" s="475">
        <f t="shared" si="215"/>
        <v>223134</v>
      </c>
    </row>
    <row r="5655" spans="7:14" ht="11.25" customHeight="1" x14ac:dyDescent="0.3">
      <c r="G5655" s="470"/>
      <c r="H5655" s="470">
        <v>5648</v>
      </c>
      <c r="I5655" s="455">
        <f t="shared" ca="1" si="213"/>
        <v>-2719031879377793.5</v>
      </c>
      <c r="J5655" s="455">
        <f t="array" ref="J5655">IFERROR(INDEX('Retirement Calculator'!J:J,MATCH('Isaac 401k'!N5655,'Retirement Calculator'!A:A,0),0),0)</f>
        <v>0</v>
      </c>
      <c r="K5655" s="455">
        <f t="shared" ca="1" si="211"/>
        <v>-11329299497407.473</v>
      </c>
      <c r="L5655" s="455">
        <f t="shared" ca="1" si="212"/>
        <v>-2730361178875201</v>
      </c>
      <c r="M5655" s="471">
        <f t="shared" si="214"/>
        <v>0.05</v>
      </c>
      <c r="N5655" s="475">
        <f t="shared" si="215"/>
        <v>223165</v>
      </c>
    </row>
    <row r="5656" spans="7:14" ht="11.25" customHeight="1" x14ac:dyDescent="0.3">
      <c r="G5656" s="470"/>
      <c r="H5656" s="470">
        <v>5649</v>
      </c>
      <c r="I5656" s="455">
        <f t="shared" ca="1" si="213"/>
        <v>-2730361178875201</v>
      </c>
      <c r="J5656" s="455">
        <f t="array" ref="J5656">IFERROR(INDEX('Retirement Calculator'!J:J,MATCH('Isaac 401k'!N5656,'Retirement Calculator'!A:A,0),0),0)</f>
        <v>0</v>
      </c>
      <c r="K5656" s="455">
        <f t="shared" ca="1" si="211"/>
        <v>-11376504911980.004</v>
      </c>
      <c r="L5656" s="455">
        <f t="shared" ca="1" si="212"/>
        <v>-2741737683787181</v>
      </c>
      <c r="M5656" s="471">
        <f t="shared" si="214"/>
        <v>0.05</v>
      </c>
      <c r="N5656" s="475">
        <f t="shared" si="215"/>
        <v>223196</v>
      </c>
    </row>
    <row r="5657" spans="7:14" ht="11.25" customHeight="1" x14ac:dyDescent="0.3">
      <c r="G5657" s="470"/>
      <c r="H5657" s="470">
        <v>5650</v>
      </c>
      <c r="I5657" s="455">
        <f t="shared" ca="1" si="213"/>
        <v>-2741737683787181</v>
      </c>
      <c r="J5657" s="455">
        <f t="array" ref="J5657">IFERROR(INDEX('Retirement Calculator'!J:J,MATCH('Isaac 401k'!N5657,'Retirement Calculator'!A:A,0),0),0)</f>
        <v>0</v>
      </c>
      <c r="K5657" s="455">
        <f t="shared" ca="1" si="211"/>
        <v>-11423907015779.92</v>
      </c>
      <c r="L5657" s="455">
        <f t="shared" ca="1" si="212"/>
        <v>-2753161590802961</v>
      </c>
      <c r="M5657" s="471">
        <f t="shared" si="214"/>
        <v>0.05</v>
      </c>
      <c r="N5657" s="475">
        <f t="shared" si="215"/>
        <v>223224</v>
      </c>
    </row>
    <row r="5658" spans="7:14" ht="11.25" customHeight="1" x14ac:dyDescent="0.3">
      <c r="G5658" s="470"/>
      <c r="H5658" s="470">
        <v>5651</v>
      </c>
      <c r="I5658" s="455">
        <f t="shared" ca="1" si="213"/>
        <v>-2753161590802961</v>
      </c>
      <c r="J5658" s="455">
        <f t="array" ref="J5658">IFERROR(INDEX('Retirement Calculator'!J:J,MATCH('Isaac 401k'!N5658,'Retirement Calculator'!A:A,0),0),0)</f>
        <v>0</v>
      </c>
      <c r="K5658" s="455">
        <f t="shared" ca="1" si="211"/>
        <v>-11471506628345.67</v>
      </c>
      <c r="L5658" s="455">
        <f t="shared" ca="1" si="212"/>
        <v>-2764633097431306.5</v>
      </c>
      <c r="M5658" s="471">
        <f t="shared" si="214"/>
        <v>0.05</v>
      </c>
      <c r="N5658" s="475">
        <f t="shared" si="215"/>
        <v>223255</v>
      </c>
    </row>
    <row r="5659" spans="7:14" ht="11.25" customHeight="1" x14ac:dyDescent="0.3">
      <c r="G5659" s="470"/>
      <c r="H5659" s="470">
        <v>5652</v>
      </c>
      <c r="I5659" s="455">
        <f t="shared" ca="1" si="213"/>
        <v>-2764633097431306.5</v>
      </c>
      <c r="J5659" s="455">
        <f t="array" ref="J5659">IFERROR(INDEX('Retirement Calculator'!J:J,MATCH('Isaac 401k'!N5659,'Retirement Calculator'!A:A,0),0),0)</f>
        <v>0</v>
      </c>
      <c r="K5659" s="455">
        <f t="shared" ca="1" si="211"/>
        <v>-11519304572630.443</v>
      </c>
      <c r="L5659" s="455">
        <f t="shared" ca="1" si="212"/>
        <v>-2776152402003937</v>
      </c>
      <c r="M5659" s="471">
        <f t="shared" si="214"/>
        <v>0.05</v>
      </c>
      <c r="N5659" s="475">
        <f t="shared" si="215"/>
        <v>223285</v>
      </c>
    </row>
    <row r="5660" spans="7:14" ht="11.25" customHeight="1" x14ac:dyDescent="0.3">
      <c r="G5660" s="470"/>
      <c r="H5660" s="470">
        <v>5653</v>
      </c>
      <c r="I5660" s="455">
        <f t="shared" ca="1" si="213"/>
        <v>-2776152402003937</v>
      </c>
      <c r="J5660" s="455">
        <f t="array" ref="J5660">IFERROR(INDEX('Retirement Calculator'!J:J,MATCH('Isaac 401k'!N5660,'Retirement Calculator'!A:A,0),0),0)</f>
        <v>0</v>
      </c>
      <c r="K5660" s="455">
        <f t="shared" ca="1" si="211"/>
        <v>-11567301675016.404</v>
      </c>
      <c r="L5660" s="455">
        <f t="shared" ca="1" si="212"/>
        <v>-2787719703678953.5</v>
      </c>
      <c r="M5660" s="471">
        <f t="shared" si="214"/>
        <v>0.05</v>
      </c>
      <c r="N5660" s="475">
        <f t="shared" si="215"/>
        <v>223316</v>
      </c>
    </row>
    <row r="5661" spans="7:14" ht="11.25" customHeight="1" x14ac:dyDescent="0.3">
      <c r="G5661" s="470"/>
      <c r="H5661" s="470">
        <v>5654</v>
      </c>
      <c r="I5661" s="455">
        <f t="shared" ca="1" si="213"/>
        <v>-2787719703678953.5</v>
      </c>
      <c r="J5661" s="455">
        <f t="array" ref="J5661">IFERROR(INDEX('Retirement Calculator'!J:J,MATCH('Isaac 401k'!N5661,'Retirement Calculator'!A:A,0),0),0)</f>
        <v>0</v>
      </c>
      <c r="K5661" s="455">
        <f t="shared" ca="1" si="211"/>
        <v>-11615498765328.973</v>
      </c>
      <c r="L5661" s="455">
        <f t="shared" ca="1" si="212"/>
        <v>-2799335202444282.5</v>
      </c>
      <c r="M5661" s="471">
        <f t="shared" si="214"/>
        <v>0.05</v>
      </c>
      <c r="N5661" s="475">
        <f t="shared" si="215"/>
        <v>223346</v>
      </c>
    </row>
    <row r="5662" spans="7:14" ht="11.25" customHeight="1" x14ac:dyDescent="0.3">
      <c r="G5662" s="470"/>
      <c r="H5662" s="470">
        <v>5655</v>
      </c>
      <c r="I5662" s="455">
        <f t="shared" ca="1" si="213"/>
        <v>-2799335202444282.5</v>
      </c>
      <c r="J5662" s="455">
        <f t="array" ref="J5662">IFERROR(INDEX('Retirement Calculator'!J:J,MATCH('Isaac 401k'!N5662,'Retirement Calculator'!A:A,0),0),0)</f>
        <v>0</v>
      </c>
      <c r="K5662" s="455">
        <f t="shared" ca="1" si="211"/>
        <v>-11663896676851.178</v>
      </c>
      <c r="L5662" s="455">
        <f t="shared" ca="1" si="212"/>
        <v>-2810999099121133.5</v>
      </c>
      <c r="M5662" s="471">
        <f t="shared" si="214"/>
        <v>0.05</v>
      </c>
      <c r="N5662" s="475">
        <f t="shared" si="215"/>
        <v>223377</v>
      </c>
    </row>
    <row r="5663" spans="7:14" ht="11.25" customHeight="1" x14ac:dyDescent="0.3">
      <c r="G5663" s="470"/>
      <c r="H5663" s="470">
        <v>5656</v>
      </c>
      <c r="I5663" s="455">
        <f t="shared" ca="1" si="213"/>
        <v>-2810999099121133.5</v>
      </c>
      <c r="J5663" s="455">
        <f t="array" ref="J5663">IFERROR(INDEX('Retirement Calculator'!J:J,MATCH('Isaac 401k'!N5663,'Retirement Calculator'!A:A,0),0),0)</f>
        <v>0</v>
      </c>
      <c r="K5663" s="455">
        <f t="shared" ca="1" si="211"/>
        <v>-11712496246338.057</v>
      </c>
      <c r="L5663" s="455">
        <f t="shared" ca="1" si="212"/>
        <v>-2822711595367471.5</v>
      </c>
      <c r="M5663" s="471">
        <f t="shared" si="214"/>
        <v>0.05</v>
      </c>
      <c r="N5663" s="475">
        <f t="shared" si="215"/>
        <v>223408</v>
      </c>
    </row>
    <row r="5664" spans="7:14" ht="11.25" customHeight="1" x14ac:dyDescent="0.3">
      <c r="G5664" s="470"/>
      <c r="H5664" s="470">
        <v>5657</v>
      </c>
      <c r="I5664" s="455">
        <f t="shared" ca="1" si="213"/>
        <v>-2822711595367471.5</v>
      </c>
      <c r="J5664" s="455">
        <f t="array" ref="J5664">IFERROR(INDEX('Retirement Calculator'!J:J,MATCH('Isaac 401k'!N5664,'Retirement Calculator'!A:A,0),0),0)</f>
        <v>0</v>
      </c>
      <c r="K5664" s="455">
        <f t="shared" ca="1" si="211"/>
        <v>-11761298314031.131</v>
      </c>
      <c r="L5664" s="455">
        <f t="shared" ca="1" si="212"/>
        <v>-2834472893681502.5</v>
      </c>
      <c r="M5664" s="471">
        <f t="shared" si="214"/>
        <v>0.05</v>
      </c>
      <c r="N5664" s="475">
        <f t="shared" si="215"/>
        <v>223438</v>
      </c>
    </row>
    <row r="5665" spans="7:14" ht="11.25" customHeight="1" x14ac:dyDescent="0.3">
      <c r="G5665" s="470"/>
      <c r="H5665" s="470">
        <v>5658</v>
      </c>
      <c r="I5665" s="455">
        <f t="shared" ca="1" si="213"/>
        <v>-2834472893681502.5</v>
      </c>
      <c r="J5665" s="455">
        <f t="array" ref="J5665">IFERROR(INDEX('Retirement Calculator'!J:J,MATCH('Isaac 401k'!N5665,'Retirement Calculator'!A:A,0),0),0)</f>
        <v>0</v>
      </c>
      <c r="K5665" s="455">
        <f t="shared" ca="1" si="211"/>
        <v>-11810303723672.928</v>
      </c>
      <c r="L5665" s="455">
        <f t="shared" ca="1" si="212"/>
        <v>-2846283197405175.5</v>
      </c>
      <c r="M5665" s="471">
        <f t="shared" si="214"/>
        <v>0.05</v>
      </c>
      <c r="N5665" s="475">
        <f t="shared" si="215"/>
        <v>223469</v>
      </c>
    </row>
    <row r="5666" spans="7:14" ht="11.25" customHeight="1" x14ac:dyDescent="0.3">
      <c r="G5666" s="470"/>
      <c r="H5666" s="470">
        <v>5659</v>
      </c>
      <c r="I5666" s="455">
        <f t="shared" ca="1" si="213"/>
        <v>-2846283197405175.5</v>
      </c>
      <c r="J5666" s="455">
        <f t="array" ref="J5666">IFERROR(INDEX('Retirement Calculator'!J:J,MATCH('Isaac 401k'!N5666,'Retirement Calculator'!A:A,0),0),0)</f>
        <v>0</v>
      </c>
      <c r="K5666" s="455">
        <f t="shared" ca="1" si="211"/>
        <v>-11859513322521.564</v>
      </c>
      <c r="L5666" s="455">
        <f t="shared" ca="1" si="212"/>
        <v>-2858142710727697</v>
      </c>
      <c r="M5666" s="471">
        <f t="shared" si="214"/>
        <v>0.05</v>
      </c>
      <c r="N5666" s="475">
        <f t="shared" si="215"/>
        <v>223499</v>
      </c>
    </row>
    <row r="5667" spans="7:14" ht="11.25" customHeight="1" x14ac:dyDescent="0.3">
      <c r="G5667" s="470"/>
      <c r="H5667" s="470">
        <v>5660</v>
      </c>
      <c r="I5667" s="455">
        <f t="shared" ca="1" si="213"/>
        <v>-2858142710727697</v>
      </c>
      <c r="J5667" s="455">
        <f t="array" ref="J5667">IFERROR(INDEX('Retirement Calculator'!J:J,MATCH('Isaac 401k'!N5667,'Retirement Calculator'!A:A,0),0),0)</f>
        <v>0</v>
      </c>
      <c r="K5667" s="455">
        <f t="shared" ca="1" si="211"/>
        <v>-11908927961365.404</v>
      </c>
      <c r="L5667" s="455">
        <f t="shared" ca="1" si="212"/>
        <v>-2870051638689062.5</v>
      </c>
      <c r="M5667" s="471">
        <f t="shared" si="214"/>
        <v>0.05</v>
      </c>
      <c r="N5667" s="475">
        <f t="shared" si="215"/>
        <v>223530</v>
      </c>
    </row>
    <row r="5668" spans="7:14" ht="11.25" customHeight="1" x14ac:dyDescent="0.3">
      <c r="G5668" s="470"/>
      <c r="H5668" s="470">
        <v>5661</v>
      </c>
      <c r="I5668" s="455">
        <f t="shared" ca="1" si="213"/>
        <v>-2870051638689062.5</v>
      </c>
      <c r="J5668" s="455">
        <f t="array" ref="J5668">IFERROR(INDEX('Retirement Calculator'!J:J,MATCH('Isaac 401k'!N5668,'Retirement Calculator'!A:A,0),0),0)</f>
        <v>0</v>
      </c>
      <c r="K5668" s="455">
        <f t="shared" ca="1" si="211"/>
        <v>-11958548494537.76</v>
      </c>
      <c r="L5668" s="455">
        <f t="shared" ca="1" si="212"/>
        <v>-2882010187183600.5</v>
      </c>
      <c r="M5668" s="471">
        <f t="shared" si="214"/>
        <v>0.05</v>
      </c>
      <c r="N5668" s="475">
        <f t="shared" si="215"/>
        <v>223561</v>
      </c>
    </row>
    <row r="5669" spans="7:14" ht="11.25" customHeight="1" x14ac:dyDescent="0.3">
      <c r="G5669" s="470"/>
      <c r="H5669" s="470">
        <v>5662</v>
      </c>
      <c r="I5669" s="455">
        <f t="shared" ca="1" si="213"/>
        <v>-2882010187183600.5</v>
      </c>
      <c r="J5669" s="455">
        <f t="array" ref="J5669">IFERROR(INDEX('Retirement Calculator'!J:J,MATCH('Isaac 401k'!N5669,'Retirement Calculator'!A:A,0),0),0)</f>
        <v>0</v>
      </c>
      <c r="K5669" s="455">
        <f t="shared" ca="1" si="211"/>
        <v>-12008375779931.668</v>
      </c>
      <c r="L5669" s="455">
        <f t="shared" ca="1" si="212"/>
        <v>-2894018562963532</v>
      </c>
      <c r="M5669" s="471">
        <f t="shared" si="214"/>
        <v>0.05</v>
      </c>
      <c r="N5669" s="475">
        <f t="shared" si="215"/>
        <v>223590</v>
      </c>
    </row>
    <row r="5670" spans="7:14" ht="11.25" customHeight="1" x14ac:dyDescent="0.3">
      <c r="G5670" s="470"/>
      <c r="H5670" s="470">
        <v>5663</v>
      </c>
      <c r="I5670" s="455">
        <f t="shared" ca="1" si="213"/>
        <v>-2894018562963532</v>
      </c>
      <c r="J5670" s="455">
        <f t="array" ref="J5670">IFERROR(INDEX('Retirement Calculator'!J:J,MATCH('Isaac 401k'!N5670,'Retirement Calculator'!A:A,0),0),0)</f>
        <v>0</v>
      </c>
      <c r="K5670" s="455">
        <f t="shared" ca="1" si="211"/>
        <v>-12058410679014.717</v>
      </c>
      <c r="L5670" s="455">
        <f t="shared" ca="1" si="212"/>
        <v>-2906076973642546.5</v>
      </c>
      <c r="M5670" s="471">
        <f t="shared" si="214"/>
        <v>0.05</v>
      </c>
      <c r="N5670" s="475">
        <f t="shared" si="215"/>
        <v>223621</v>
      </c>
    </row>
    <row r="5671" spans="7:14" ht="11.25" customHeight="1" x14ac:dyDescent="0.3">
      <c r="G5671" s="470"/>
      <c r="H5671" s="470">
        <v>5664</v>
      </c>
      <c r="I5671" s="455">
        <f t="shared" ca="1" si="213"/>
        <v>-2906076973642546.5</v>
      </c>
      <c r="J5671" s="455">
        <f t="array" ref="J5671">IFERROR(INDEX('Retirement Calculator'!J:J,MATCH('Isaac 401k'!N5671,'Retirement Calculator'!A:A,0),0),0)</f>
        <v>0</v>
      </c>
      <c r="K5671" s="455">
        <f t="shared" ca="1" si="211"/>
        <v>-12108654056843.943</v>
      </c>
      <c r="L5671" s="455">
        <f t="shared" ca="1" si="212"/>
        <v>-2918185627699390.5</v>
      </c>
      <c r="M5671" s="471">
        <f t="shared" si="214"/>
        <v>0.05</v>
      </c>
      <c r="N5671" s="475">
        <f t="shared" si="215"/>
        <v>223651</v>
      </c>
    </row>
    <row r="5672" spans="7:14" ht="11.25" customHeight="1" x14ac:dyDescent="0.3">
      <c r="G5672" s="470"/>
      <c r="H5672" s="470">
        <v>5665</v>
      </c>
      <c r="I5672" s="455">
        <f t="shared" ca="1" si="213"/>
        <v>-2918185627699390.5</v>
      </c>
      <c r="J5672" s="455">
        <f t="array" ref="J5672">IFERROR(INDEX('Retirement Calculator'!J:J,MATCH('Isaac 401k'!N5672,'Retirement Calculator'!A:A,0),0),0)</f>
        <v>0</v>
      </c>
      <c r="K5672" s="455">
        <f t="shared" ca="1" si="211"/>
        <v>-12159106782080.793</v>
      </c>
      <c r="L5672" s="455">
        <f t="shared" ca="1" si="212"/>
        <v>-2930344734481471.5</v>
      </c>
      <c r="M5672" s="471">
        <f t="shared" si="214"/>
        <v>0.05</v>
      </c>
      <c r="N5672" s="475">
        <f t="shared" si="215"/>
        <v>223682</v>
      </c>
    </row>
    <row r="5673" spans="7:14" ht="11.25" customHeight="1" x14ac:dyDescent="0.3">
      <c r="G5673" s="470"/>
      <c r="H5673" s="470">
        <v>5666</v>
      </c>
      <c r="I5673" s="455">
        <f t="shared" ca="1" si="213"/>
        <v>-2930344734481471.5</v>
      </c>
      <c r="J5673" s="455">
        <f t="array" ref="J5673">IFERROR(INDEX('Retirement Calculator'!J:J,MATCH('Isaac 401k'!N5673,'Retirement Calculator'!A:A,0),0),0)</f>
        <v>0</v>
      </c>
      <c r="K5673" s="455">
        <f t="shared" ca="1" si="211"/>
        <v>-12209769727006.131</v>
      </c>
      <c r="L5673" s="455">
        <f t="shared" ca="1" si="212"/>
        <v>-2942554504208477.5</v>
      </c>
      <c r="M5673" s="471">
        <f t="shared" si="214"/>
        <v>0.05</v>
      </c>
      <c r="N5673" s="475">
        <f t="shared" si="215"/>
        <v>223712</v>
      </c>
    </row>
    <row r="5674" spans="7:14" ht="11.25" customHeight="1" x14ac:dyDescent="0.3">
      <c r="G5674" s="470"/>
      <c r="H5674" s="470">
        <v>5667</v>
      </c>
      <c r="I5674" s="455">
        <f t="shared" ca="1" si="213"/>
        <v>-2942554504208477.5</v>
      </c>
      <c r="J5674" s="455">
        <f t="array" ref="J5674">IFERROR(INDEX('Retirement Calculator'!J:J,MATCH('Isaac 401k'!N5674,'Retirement Calculator'!A:A,0),0),0)</f>
        <v>0</v>
      </c>
      <c r="K5674" s="455">
        <f t="shared" ca="1" si="211"/>
        <v>-12260643767535.322</v>
      </c>
      <c r="L5674" s="455">
        <f t="shared" ca="1" si="212"/>
        <v>-2954815147976013</v>
      </c>
      <c r="M5674" s="471">
        <f t="shared" si="214"/>
        <v>0.05</v>
      </c>
      <c r="N5674" s="475">
        <f t="shared" si="215"/>
        <v>223743</v>
      </c>
    </row>
    <row r="5675" spans="7:14" ht="11.25" customHeight="1" x14ac:dyDescent="0.3">
      <c r="G5675" s="470"/>
      <c r="H5675" s="470">
        <v>5668</v>
      </c>
      <c r="I5675" s="455">
        <f t="shared" ca="1" si="213"/>
        <v>-2954815147976013</v>
      </c>
      <c r="J5675" s="455">
        <f t="array" ref="J5675">IFERROR(INDEX('Retirement Calculator'!J:J,MATCH('Isaac 401k'!N5675,'Retirement Calculator'!A:A,0),0),0)</f>
        <v>0</v>
      </c>
      <c r="K5675" s="455">
        <f t="shared" ca="1" si="211"/>
        <v>-12311729783233.387</v>
      </c>
      <c r="L5675" s="455">
        <f t="shared" ca="1" si="212"/>
        <v>-2967126877759246.5</v>
      </c>
      <c r="M5675" s="471">
        <f t="shared" si="214"/>
        <v>0.05</v>
      </c>
      <c r="N5675" s="475">
        <f t="shared" si="215"/>
        <v>223774</v>
      </c>
    </row>
    <row r="5676" spans="7:14" ht="11.25" customHeight="1" x14ac:dyDescent="0.3">
      <c r="G5676" s="470"/>
      <c r="H5676" s="470">
        <v>5669</v>
      </c>
      <c r="I5676" s="455">
        <f t="shared" ca="1" si="213"/>
        <v>-2967126877759246.5</v>
      </c>
      <c r="J5676" s="455">
        <f t="array" ref="J5676">IFERROR(INDEX('Retirement Calculator'!J:J,MATCH('Isaac 401k'!N5676,'Retirement Calculator'!A:A,0),0),0)</f>
        <v>0</v>
      </c>
      <c r="K5676" s="455">
        <f t="shared" ca="1" si="211"/>
        <v>-12363028657330.193</v>
      </c>
      <c r="L5676" s="455">
        <f t="shared" ca="1" si="212"/>
        <v>-2979489906416576.5</v>
      </c>
      <c r="M5676" s="471">
        <f t="shared" si="214"/>
        <v>0.05</v>
      </c>
      <c r="N5676" s="475">
        <f t="shared" si="215"/>
        <v>223804</v>
      </c>
    </row>
    <row r="5677" spans="7:14" ht="11.25" customHeight="1" x14ac:dyDescent="0.3">
      <c r="G5677" s="470"/>
      <c r="H5677" s="470">
        <v>5670</v>
      </c>
      <c r="I5677" s="455">
        <f t="shared" ca="1" si="213"/>
        <v>-2979489906416576.5</v>
      </c>
      <c r="J5677" s="455">
        <f t="array" ref="J5677">IFERROR(INDEX('Retirement Calculator'!J:J,MATCH('Isaac 401k'!N5677,'Retirement Calculator'!A:A,0),0),0)</f>
        <v>0</v>
      </c>
      <c r="K5677" s="455">
        <f t="shared" ca="1" si="211"/>
        <v>-12414541276735.734</v>
      </c>
      <c r="L5677" s="455">
        <f t="shared" ca="1" si="212"/>
        <v>-2991904447693312</v>
      </c>
      <c r="M5677" s="471">
        <f t="shared" si="214"/>
        <v>0.05</v>
      </c>
      <c r="N5677" s="475">
        <f t="shared" si="215"/>
        <v>223835</v>
      </c>
    </row>
    <row r="5678" spans="7:14" ht="11.25" customHeight="1" x14ac:dyDescent="0.3">
      <c r="G5678" s="470"/>
      <c r="H5678" s="470">
        <v>5671</v>
      </c>
      <c r="I5678" s="455">
        <f t="shared" ca="1" si="213"/>
        <v>-2991904447693312</v>
      </c>
      <c r="J5678" s="455">
        <f t="array" ref="J5678">IFERROR(INDEX('Retirement Calculator'!J:J,MATCH('Isaac 401k'!N5678,'Retirement Calculator'!A:A,0),0),0)</f>
        <v>0</v>
      </c>
      <c r="K5678" s="455">
        <f t="shared" ca="1" si="211"/>
        <v>-12466268532055.467</v>
      </c>
      <c r="L5678" s="455">
        <f t="shared" ca="1" si="212"/>
        <v>-3004370716225367.5</v>
      </c>
      <c r="M5678" s="471">
        <f t="shared" si="214"/>
        <v>0.05</v>
      </c>
      <c r="N5678" s="475">
        <f t="shared" si="215"/>
        <v>223865</v>
      </c>
    </row>
    <row r="5679" spans="7:14" ht="11.25" customHeight="1" x14ac:dyDescent="0.3">
      <c r="G5679" s="470"/>
      <c r="H5679" s="470">
        <v>5672</v>
      </c>
      <c r="I5679" s="455">
        <f t="shared" ca="1" si="213"/>
        <v>-3004370716225367.5</v>
      </c>
      <c r="J5679" s="455">
        <f t="array" ref="J5679">IFERROR(INDEX('Retirement Calculator'!J:J,MATCH('Isaac 401k'!N5679,'Retirement Calculator'!A:A,0),0),0)</f>
        <v>0</v>
      </c>
      <c r="K5679" s="455">
        <f t="shared" ca="1" si="211"/>
        <v>-12518211317605.697</v>
      </c>
      <c r="L5679" s="455">
        <f t="shared" ca="1" si="212"/>
        <v>-3016888927542973</v>
      </c>
      <c r="M5679" s="471">
        <f t="shared" si="214"/>
        <v>0.05</v>
      </c>
      <c r="N5679" s="475">
        <f t="shared" si="215"/>
        <v>223896</v>
      </c>
    </row>
    <row r="5680" spans="7:14" ht="11.25" customHeight="1" x14ac:dyDescent="0.3">
      <c r="G5680" s="470"/>
      <c r="H5680" s="470">
        <v>5673</v>
      </c>
      <c r="I5680" s="455">
        <f t="shared" ca="1" si="213"/>
        <v>-3016888927542973</v>
      </c>
      <c r="J5680" s="455">
        <f t="array" ref="J5680">IFERROR(INDEX('Retirement Calculator'!J:J,MATCH('Isaac 401k'!N5680,'Retirement Calculator'!A:A,0),0),0)</f>
        <v>0</v>
      </c>
      <c r="K5680" s="455">
        <f t="shared" ca="1" si="211"/>
        <v>-12570370531429.055</v>
      </c>
      <c r="L5680" s="455">
        <f t="shared" ca="1" si="212"/>
        <v>-3029459298074402</v>
      </c>
      <c r="M5680" s="471">
        <f t="shared" si="214"/>
        <v>0.05</v>
      </c>
      <c r="N5680" s="475">
        <f t="shared" si="215"/>
        <v>223927</v>
      </c>
    </row>
    <row r="5681" spans="7:14" ht="11.25" customHeight="1" x14ac:dyDescent="0.3">
      <c r="G5681" s="470"/>
      <c r="H5681" s="470">
        <v>5674</v>
      </c>
      <c r="I5681" s="455">
        <f t="shared" ca="1" si="213"/>
        <v>-3029459298074402</v>
      </c>
      <c r="J5681" s="455">
        <f t="array" ref="J5681">IFERROR(INDEX('Retirement Calculator'!J:J,MATCH('Isaac 401k'!N5681,'Retirement Calculator'!A:A,0),0),0)</f>
        <v>0</v>
      </c>
      <c r="K5681" s="455">
        <f t="shared" ca="1" si="211"/>
        <v>-12622747075310.008</v>
      </c>
      <c r="L5681" s="455">
        <f t="shared" ca="1" si="212"/>
        <v>-3042082045149712</v>
      </c>
      <c r="M5681" s="471">
        <f t="shared" si="214"/>
        <v>0.05</v>
      </c>
      <c r="N5681" s="475">
        <f t="shared" si="215"/>
        <v>223955</v>
      </c>
    </row>
    <row r="5682" spans="7:14" ht="11.25" customHeight="1" x14ac:dyDescent="0.3">
      <c r="G5682" s="470"/>
      <c r="H5682" s="470">
        <v>5675</v>
      </c>
      <c r="I5682" s="455">
        <f t="shared" ca="1" si="213"/>
        <v>-3042082045149712</v>
      </c>
      <c r="J5682" s="455">
        <f t="array" ref="J5682">IFERROR(INDEX('Retirement Calculator'!J:J,MATCH('Isaac 401k'!N5682,'Retirement Calculator'!A:A,0),0),0)</f>
        <v>0</v>
      </c>
      <c r="K5682" s="455">
        <f t="shared" ca="1" si="211"/>
        <v>-12675341854790.467</v>
      </c>
      <c r="L5682" s="455">
        <f t="shared" ca="1" si="212"/>
        <v>-3054757387004502.5</v>
      </c>
      <c r="M5682" s="471">
        <f t="shared" si="214"/>
        <v>0.05</v>
      </c>
      <c r="N5682" s="475">
        <f t="shared" si="215"/>
        <v>223986</v>
      </c>
    </row>
    <row r="5683" spans="7:14" ht="11.25" customHeight="1" x14ac:dyDescent="0.3">
      <c r="G5683" s="470"/>
      <c r="H5683" s="470">
        <v>5676</v>
      </c>
      <c r="I5683" s="455">
        <f t="shared" ca="1" si="213"/>
        <v>-3054757387004502.5</v>
      </c>
      <c r="J5683" s="455">
        <f t="array" ref="J5683">IFERROR(INDEX('Retirement Calculator'!J:J,MATCH('Isaac 401k'!N5683,'Retirement Calculator'!A:A,0),0),0)</f>
        <v>0</v>
      </c>
      <c r="K5683" s="455">
        <f t="shared" ca="1" si="211"/>
        <v>-12728155779185.428</v>
      </c>
      <c r="L5683" s="455">
        <f t="shared" ca="1" si="212"/>
        <v>-3067485542783688</v>
      </c>
      <c r="M5683" s="471">
        <f t="shared" si="214"/>
        <v>0.05</v>
      </c>
      <c r="N5683" s="475">
        <f t="shared" si="215"/>
        <v>224016</v>
      </c>
    </row>
    <row r="5684" spans="7:14" ht="11.25" customHeight="1" x14ac:dyDescent="0.3">
      <c r="G5684" s="470"/>
      <c r="H5684" s="470">
        <v>5677</v>
      </c>
      <c r="I5684" s="455">
        <f t="shared" ca="1" si="213"/>
        <v>-3067485542783688</v>
      </c>
      <c r="J5684" s="455">
        <f t="array" ref="J5684">IFERROR(INDEX('Retirement Calculator'!J:J,MATCH('Isaac 401k'!N5684,'Retirement Calculator'!A:A,0),0),0)</f>
        <v>0</v>
      </c>
      <c r="K5684" s="455">
        <f t="shared" ca="1" si="211"/>
        <v>-12781189761598.699</v>
      </c>
      <c r="L5684" s="455">
        <f t="shared" ca="1" si="212"/>
        <v>-3080266732545286.5</v>
      </c>
      <c r="M5684" s="471">
        <f t="shared" si="214"/>
        <v>0.05</v>
      </c>
      <c r="N5684" s="475">
        <f t="shared" si="215"/>
        <v>224047</v>
      </c>
    </row>
    <row r="5685" spans="7:14" ht="11.25" customHeight="1" x14ac:dyDescent="0.3">
      <c r="G5685" s="470"/>
      <c r="H5685" s="470">
        <v>5678</v>
      </c>
      <c r="I5685" s="455">
        <f t="shared" ca="1" si="213"/>
        <v>-3080266732545286.5</v>
      </c>
      <c r="J5685" s="455">
        <f t="array" ref="J5685">IFERROR(INDEX('Retirement Calculator'!J:J,MATCH('Isaac 401k'!N5685,'Retirement Calculator'!A:A,0),0),0)</f>
        <v>0</v>
      </c>
      <c r="K5685" s="455">
        <f t="shared" ca="1" si="211"/>
        <v>-12834444718938.693</v>
      </c>
      <c r="L5685" s="455">
        <f t="shared" ca="1" si="212"/>
        <v>-3093101177264225</v>
      </c>
      <c r="M5685" s="471">
        <f t="shared" si="214"/>
        <v>0.05</v>
      </c>
      <c r="N5685" s="475">
        <f t="shared" si="215"/>
        <v>224077</v>
      </c>
    </row>
    <row r="5686" spans="7:14" ht="11.25" customHeight="1" x14ac:dyDescent="0.3">
      <c r="G5686" s="470"/>
      <c r="H5686" s="470">
        <v>5679</v>
      </c>
      <c r="I5686" s="455">
        <f t="shared" ca="1" si="213"/>
        <v>-3093101177264225</v>
      </c>
      <c r="J5686" s="455">
        <f t="array" ref="J5686">IFERROR(INDEX('Retirement Calculator'!J:J,MATCH('Isaac 401k'!N5686,'Retirement Calculator'!A:A,0),0),0)</f>
        <v>0</v>
      </c>
      <c r="K5686" s="455">
        <f t="shared" ca="1" si="211"/>
        <v>-12887921571934.271</v>
      </c>
      <c r="L5686" s="455">
        <f t="shared" ca="1" si="212"/>
        <v>-3105989098836159.5</v>
      </c>
      <c r="M5686" s="471">
        <f t="shared" si="214"/>
        <v>0.05</v>
      </c>
      <c r="N5686" s="475">
        <f t="shared" si="215"/>
        <v>224108</v>
      </c>
    </row>
    <row r="5687" spans="7:14" ht="11.25" customHeight="1" x14ac:dyDescent="0.3">
      <c r="G5687" s="470"/>
      <c r="H5687" s="470">
        <v>5680</v>
      </c>
      <c r="I5687" s="455">
        <f t="shared" ca="1" si="213"/>
        <v>-3105989098836159.5</v>
      </c>
      <c r="J5687" s="455">
        <f t="array" ref="J5687">IFERROR(INDEX('Retirement Calculator'!J:J,MATCH('Isaac 401k'!N5687,'Retirement Calculator'!A:A,0),0),0)</f>
        <v>0</v>
      </c>
      <c r="K5687" s="455">
        <f t="shared" ca="1" si="211"/>
        <v>-12941621245150.664</v>
      </c>
      <c r="L5687" s="455">
        <f t="shared" ca="1" si="212"/>
        <v>-3118930720081310</v>
      </c>
      <c r="M5687" s="471">
        <f t="shared" si="214"/>
        <v>0.05</v>
      </c>
      <c r="N5687" s="475">
        <f t="shared" si="215"/>
        <v>224139</v>
      </c>
    </row>
    <row r="5688" spans="7:14" ht="11.25" customHeight="1" x14ac:dyDescent="0.3">
      <c r="G5688" s="470"/>
      <c r="H5688" s="470">
        <v>5681</v>
      </c>
      <c r="I5688" s="455">
        <f t="shared" ca="1" si="213"/>
        <v>-3118930720081310</v>
      </c>
      <c r="J5688" s="455">
        <f t="array" ref="J5688">IFERROR(INDEX('Retirement Calculator'!J:J,MATCH('Isaac 401k'!N5688,'Retirement Calculator'!A:A,0),0),0)</f>
        <v>0</v>
      </c>
      <c r="K5688" s="455">
        <f t="shared" ca="1" si="211"/>
        <v>-12995544667005.459</v>
      </c>
      <c r="L5688" s="455">
        <f t="shared" ca="1" si="212"/>
        <v>-3131926264748315.5</v>
      </c>
      <c r="M5688" s="471">
        <f t="shared" si="214"/>
        <v>0.05</v>
      </c>
      <c r="N5688" s="475">
        <f t="shared" si="215"/>
        <v>224169</v>
      </c>
    </row>
    <row r="5689" spans="7:14" ht="11.25" customHeight="1" x14ac:dyDescent="0.3">
      <c r="G5689" s="470"/>
      <c r="H5689" s="470">
        <v>5682</v>
      </c>
      <c r="I5689" s="455">
        <f t="shared" ca="1" si="213"/>
        <v>-3131926264748315.5</v>
      </c>
      <c r="J5689" s="455">
        <f t="array" ref="J5689">IFERROR(INDEX('Retirement Calculator'!J:J,MATCH('Isaac 401k'!N5689,'Retirement Calculator'!A:A,0),0),0)</f>
        <v>0</v>
      </c>
      <c r="K5689" s="455">
        <f t="shared" ca="1" si="211"/>
        <v>-13049692769784.648</v>
      </c>
      <c r="L5689" s="455">
        <f t="shared" ca="1" si="212"/>
        <v>-3144975957518100</v>
      </c>
      <c r="M5689" s="471">
        <f t="shared" si="214"/>
        <v>0.05</v>
      </c>
      <c r="N5689" s="475">
        <f t="shared" si="215"/>
        <v>224200</v>
      </c>
    </row>
    <row r="5690" spans="7:14" ht="11.25" customHeight="1" x14ac:dyDescent="0.3">
      <c r="G5690" s="470"/>
      <c r="H5690" s="470">
        <v>5683</v>
      </c>
      <c r="I5690" s="455">
        <f t="shared" ca="1" si="213"/>
        <v>-3144975957518100</v>
      </c>
      <c r="J5690" s="455">
        <f t="array" ref="J5690">IFERROR(INDEX('Retirement Calculator'!J:J,MATCH('Isaac 401k'!N5690,'Retirement Calculator'!A:A,0),0),0)</f>
        <v>0</v>
      </c>
      <c r="K5690" s="455">
        <f t="shared" ca="1" si="211"/>
        <v>-13104066489658.75</v>
      </c>
      <c r="L5690" s="455">
        <f t="shared" ca="1" si="212"/>
        <v>-3158080024007759</v>
      </c>
      <c r="M5690" s="471">
        <f t="shared" si="214"/>
        <v>0.05</v>
      </c>
      <c r="N5690" s="475">
        <f t="shared" si="215"/>
        <v>224230</v>
      </c>
    </row>
    <row r="5691" spans="7:14" ht="11.25" customHeight="1" x14ac:dyDescent="0.3">
      <c r="G5691" s="470"/>
      <c r="H5691" s="470">
        <v>5684</v>
      </c>
      <c r="I5691" s="455">
        <f t="shared" ca="1" si="213"/>
        <v>-3158080024007759</v>
      </c>
      <c r="J5691" s="455">
        <f t="array" ref="J5691">IFERROR(INDEX('Retirement Calculator'!J:J,MATCH('Isaac 401k'!N5691,'Retirement Calculator'!A:A,0),0),0)</f>
        <v>0</v>
      </c>
      <c r="K5691" s="455">
        <f t="shared" ca="1" si="211"/>
        <v>-13158666766698.996</v>
      </c>
      <c r="L5691" s="455">
        <f t="shared" ca="1" si="212"/>
        <v>-3171238690774458</v>
      </c>
      <c r="M5691" s="471">
        <f t="shared" si="214"/>
        <v>0.05</v>
      </c>
      <c r="N5691" s="475">
        <f t="shared" si="215"/>
        <v>224261</v>
      </c>
    </row>
    <row r="5692" spans="7:14" ht="11.25" customHeight="1" x14ac:dyDescent="0.3">
      <c r="G5692" s="470"/>
      <c r="H5692" s="470">
        <v>5685</v>
      </c>
      <c r="I5692" s="455">
        <f t="shared" ca="1" si="213"/>
        <v>-3171238690774458</v>
      </c>
      <c r="J5692" s="455">
        <f t="array" ref="J5692">IFERROR(INDEX('Retirement Calculator'!J:J,MATCH('Isaac 401k'!N5692,'Retirement Calculator'!A:A,0),0),0)</f>
        <v>0</v>
      </c>
      <c r="K5692" s="455">
        <f t="shared" ca="1" si="211"/>
        <v>-13213494544893.574</v>
      </c>
      <c r="L5692" s="455">
        <f t="shared" ca="1" si="212"/>
        <v>-3184452185319351.5</v>
      </c>
      <c r="M5692" s="471">
        <f t="shared" si="214"/>
        <v>0.05</v>
      </c>
      <c r="N5692" s="475">
        <f t="shared" si="215"/>
        <v>224292</v>
      </c>
    </row>
    <row r="5693" spans="7:14" ht="11.25" customHeight="1" x14ac:dyDescent="0.3">
      <c r="G5693" s="470"/>
      <c r="H5693" s="470">
        <v>5686</v>
      </c>
      <c r="I5693" s="455">
        <f t="shared" ca="1" si="213"/>
        <v>-3184452185319351.5</v>
      </c>
      <c r="J5693" s="455">
        <f t="array" ref="J5693">IFERROR(INDEX('Retirement Calculator'!J:J,MATCH('Isaac 401k'!N5693,'Retirement Calculator'!A:A,0),0),0)</f>
        <v>0</v>
      </c>
      <c r="K5693" s="455">
        <f t="shared" ca="1" si="211"/>
        <v>-13268550772163.965</v>
      </c>
      <c r="L5693" s="455">
        <f t="shared" ca="1" si="212"/>
        <v>-3197720736091515.5</v>
      </c>
      <c r="M5693" s="471">
        <f t="shared" si="214"/>
        <v>0.05</v>
      </c>
      <c r="N5693" s="475">
        <f t="shared" si="215"/>
        <v>224320</v>
      </c>
    </row>
    <row r="5694" spans="7:14" ht="11.25" customHeight="1" x14ac:dyDescent="0.3">
      <c r="G5694" s="470"/>
      <c r="H5694" s="470">
        <v>5687</v>
      </c>
      <c r="I5694" s="455">
        <f t="shared" ca="1" si="213"/>
        <v>-3197720736091515.5</v>
      </c>
      <c r="J5694" s="455">
        <f t="array" ref="J5694">IFERROR(INDEX('Retirement Calculator'!J:J,MATCH('Isaac 401k'!N5694,'Retirement Calculator'!A:A,0),0),0)</f>
        <v>0</v>
      </c>
      <c r="K5694" s="455">
        <f t="shared" ca="1" si="211"/>
        <v>-13323836400381.314</v>
      </c>
      <c r="L5694" s="455">
        <f t="shared" ca="1" si="212"/>
        <v>-3211044572491897</v>
      </c>
      <c r="M5694" s="471">
        <f t="shared" si="214"/>
        <v>0.05</v>
      </c>
      <c r="N5694" s="475">
        <f t="shared" si="215"/>
        <v>224351</v>
      </c>
    </row>
    <row r="5695" spans="7:14" ht="11.25" customHeight="1" x14ac:dyDescent="0.3">
      <c r="G5695" s="470"/>
      <c r="H5695" s="470">
        <v>5688</v>
      </c>
      <c r="I5695" s="455">
        <f t="shared" ca="1" si="213"/>
        <v>-3211044572491897</v>
      </c>
      <c r="J5695" s="455">
        <f t="array" ref="J5695">IFERROR(INDEX('Retirement Calculator'!J:J,MATCH('Isaac 401k'!N5695,'Retirement Calculator'!A:A,0),0),0)</f>
        <v>0</v>
      </c>
      <c r="K5695" s="455">
        <f t="shared" ca="1" si="211"/>
        <v>-13379352385382.904</v>
      </c>
      <c r="L5695" s="455">
        <f t="shared" ca="1" si="212"/>
        <v>-3224423924877280</v>
      </c>
      <c r="M5695" s="471">
        <f t="shared" si="214"/>
        <v>0.05</v>
      </c>
      <c r="N5695" s="475">
        <f t="shared" si="215"/>
        <v>224381</v>
      </c>
    </row>
    <row r="5696" spans="7:14" ht="11.25" customHeight="1" x14ac:dyDescent="0.3">
      <c r="G5696" s="470"/>
      <c r="H5696" s="470">
        <v>5689</v>
      </c>
      <c r="I5696" s="455">
        <f t="shared" ca="1" si="213"/>
        <v>-3224423924877280</v>
      </c>
      <c r="J5696" s="455">
        <f t="array" ref="J5696">IFERROR(INDEX('Retirement Calculator'!J:J,MATCH('Isaac 401k'!N5696,'Retirement Calculator'!A:A,0),0),0)</f>
        <v>0</v>
      </c>
      <c r="K5696" s="455">
        <f t="shared" ca="1" si="211"/>
        <v>-13435099686988.666</v>
      </c>
      <c r="L5696" s="455">
        <f t="shared" ca="1" si="212"/>
        <v>-3237859024564268.5</v>
      </c>
      <c r="M5696" s="471">
        <f t="shared" si="214"/>
        <v>0.05</v>
      </c>
      <c r="N5696" s="475">
        <f t="shared" si="215"/>
        <v>224412</v>
      </c>
    </row>
    <row r="5697" spans="7:14" ht="11.25" customHeight="1" x14ac:dyDescent="0.3">
      <c r="G5697" s="470"/>
      <c r="H5697" s="470">
        <v>5690</v>
      </c>
      <c r="I5697" s="455">
        <f t="shared" ca="1" si="213"/>
        <v>-3237859024564268.5</v>
      </c>
      <c r="J5697" s="455">
        <f t="array" ref="J5697">IFERROR(INDEX('Retirement Calculator'!J:J,MATCH('Isaac 401k'!N5697,'Retirement Calculator'!A:A,0),0),0)</f>
        <v>0</v>
      </c>
      <c r="K5697" s="455">
        <f t="shared" ca="1" si="211"/>
        <v>-13491079269017.785</v>
      </c>
      <c r="L5697" s="455">
        <f t="shared" ca="1" si="212"/>
        <v>-3251350103833286.5</v>
      </c>
      <c r="M5697" s="471">
        <f t="shared" si="214"/>
        <v>0.05</v>
      </c>
      <c r="N5697" s="475">
        <f t="shared" si="215"/>
        <v>224442</v>
      </c>
    </row>
    <row r="5698" spans="7:14" ht="11.25" customHeight="1" x14ac:dyDescent="0.3">
      <c r="G5698" s="470"/>
      <c r="H5698" s="470">
        <v>5691</v>
      </c>
      <c r="I5698" s="455">
        <f t="shared" ca="1" si="213"/>
        <v>-3251350103833286.5</v>
      </c>
      <c r="J5698" s="455">
        <f t="array" ref="J5698">IFERROR(INDEX('Retirement Calculator'!J:J,MATCH('Isaac 401k'!N5698,'Retirement Calculator'!A:A,0),0),0)</f>
        <v>0</v>
      </c>
      <c r="K5698" s="455">
        <f t="shared" ca="1" si="211"/>
        <v>-13547292099305.359</v>
      </c>
      <c r="L5698" s="455">
        <f t="shared" ca="1" si="212"/>
        <v>-3264897395932592</v>
      </c>
      <c r="M5698" s="471">
        <f t="shared" si="214"/>
        <v>0.05</v>
      </c>
      <c r="N5698" s="475">
        <f t="shared" si="215"/>
        <v>224473</v>
      </c>
    </row>
    <row r="5699" spans="7:14" ht="11.25" customHeight="1" x14ac:dyDescent="0.3">
      <c r="G5699" s="470"/>
      <c r="H5699" s="470">
        <v>5692</v>
      </c>
      <c r="I5699" s="455">
        <f t="shared" ca="1" si="213"/>
        <v>-3264897395932592</v>
      </c>
      <c r="J5699" s="455">
        <f t="array" ref="J5699">IFERROR(INDEX('Retirement Calculator'!J:J,MATCH('Isaac 401k'!N5699,'Retirement Calculator'!A:A,0),0),0)</f>
        <v>0</v>
      </c>
      <c r="K5699" s="455">
        <f t="shared" ca="1" si="211"/>
        <v>-13603739149719.133</v>
      </c>
      <c r="L5699" s="455">
        <f t="shared" ca="1" si="212"/>
        <v>-3278501135082311</v>
      </c>
      <c r="M5699" s="471">
        <f t="shared" si="214"/>
        <v>0.05</v>
      </c>
      <c r="N5699" s="475">
        <f t="shared" si="215"/>
        <v>224504</v>
      </c>
    </row>
    <row r="5700" spans="7:14" ht="11.25" customHeight="1" x14ac:dyDescent="0.3">
      <c r="G5700" s="470"/>
      <c r="H5700" s="470">
        <v>5693</v>
      </c>
      <c r="I5700" s="455">
        <f t="shared" ca="1" si="213"/>
        <v>-3278501135082311</v>
      </c>
      <c r="J5700" s="455">
        <f t="array" ref="J5700">IFERROR(INDEX('Retirement Calculator'!J:J,MATCH('Isaac 401k'!N5700,'Retirement Calculator'!A:A,0),0),0)</f>
        <v>0</v>
      </c>
      <c r="K5700" s="455">
        <f t="shared" ca="1" si="211"/>
        <v>-13660421396176.295</v>
      </c>
      <c r="L5700" s="455">
        <f t="shared" ca="1" si="212"/>
        <v>-3292161556478487.5</v>
      </c>
      <c r="M5700" s="471">
        <f t="shared" si="214"/>
        <v>0.05</v>
      </c>
      <c r="N5700" s="475">
        <f t="shared" si="215"/>
        <v>224534</v>
      </c>
    </row>
    <row r="5701" spans="7:14" ht="11.25" customHeight="1" x14ac:dyDescent="0.3">
      <c r="G5701" s="470"/>
      <c r="H5701" s="470">
        <v>5694</v>
      </c>
      <c r="I5701" s="455">
        <f t="shared" ca="1" si="213"/>
        <v>-3292161556478487.5</v>
      </c>
      <c r="J5701" s="455">
        <f t="array" ref="J5701">IFERROR(INDEX('Retirement Calculator'!J:J,MATCH('Isaac 401k'!N5701,'Retirement Calculator'!A:A,0),0),0)</f>
        <v>0</v>
      </c>
      <c r="K5701" s="455">
        <f t="shared" ca="1" si="211"/>
        <v>-13717339818660.365</v>
      </c>
      <c r="L5701" s="455">
        <f t="shared" ca="1" si="212"/>
        <v>-3305878896297148</v>
      </c>
      <c r="M5701" s="471">
        <f t="shared" si="214"/>
        <v>0.05</v>
      </c>
      <c r="N5701" s="475">
        <f t="shared" si="215"/>
        <v>224565</v>
      </c>
    </row>
    <row r="5702" spans="7:14" ht="11.25" customHeight="1" x14ac:dyDescent="0.3">
      <c r="G5702" s="470"/>
      <c r="H5702" s="470">
        <v>5695</v>
      </c>
      <c r="I5702" s="455">
        <f t="shared" ca="1" si="213"/>
        <v>-3305878896297148</v>
      </c>
      <c r="J5702" s="455">
        <f t="array" ref="J5702">IFERROR(INDEX('Retirement Calculator'!J:J,MATCH('Isaac 401k'!N5702,'Retirement Calculator'!A:A,0),0),0)</f>
        <v>0</v>
      </c>
      <c r="K5702" s="455">
        <f t="shared" ca="1" si="211"/>
        <v>-13774495401238.117</v>
      </c>
      <c r="L5702" s="455">
        <f t="shared" ca="1" si="212"/>
        <v>-3319653391698386</v>
      </c>
      <c r="M5702" s="471">
        <f t="shared" si="214"/>
        <v>0.05</v>
      </c>
      <c r="N5702" s="475">
        <f t="shared" si="215"/>
        <v>224595</v>
      </c>
    </row>
    <row r="5703" spans="7:14" ht="11.25" customHeight="1" x14ac:dyDescent="0.3">
      <c r="G5703" s="470"/>
      <c r="H5703" s="470">
        <v>5696</v>
      </c>
      <c r="I5703" s="455">
        <f t="shared" ca="1" si="213"/>
        <v>-3319653391698386</v>
      </c>
      <c r="J5703" s="455">
        <f t="array" ref="J5703">IFERROR(INDEX('Retirement Calculator'!J:J,MATCH('Isaac 401k'!N5703,'Retirement Calculator'!A:A,0),0),0)</f>
        <v>0</v>
      </c>
      <c r="K5703" s="455">
        <f t="shared" ca="1" si="211"/>
        <v>-13831889132076.607</v>
      </c>
      <c r="L5703" s="455">
        <f t="shared" ca="1" si="212"/>
        <v>-3333485280830462.5</v>
      </c>
      <c r="M5703" s="471">
        <f t="shared" si="214"/>
        <v>0.05</v>
      </c>
      <c r="N5703" s="475">
        <f t="shared" si="215"/>
        <v>224626</v>
      </c>
    </row>
    <row r="5704" spans="7:14" ht="11.25" customHeight="1" x14ac:dyDescent="0.3">
      <c r="G5704" s="470"/>
      <c r="H5704" s="470">
        <v>5697</v>
      </c>
      <c r="I5704" s="455">
        <f t="shared" ca="1" si="213"/>
        <v>-3333485280830462.5</v>
      </c>
      <c r="J5704" s="455">
        <f t="array" ref="J5704">IFERROR(INDEX('Retirement Calculator'!J:J,MATCH('Isaac 401k'!N5704,'Retirement Calculator'!A:A,0),0),0)</f>
        <v>0</v>
      </c>
      <c r="K5704" s="455">
        <f t="shared" ca="1" si="211"/>
        <v>-13889522003460.26</v>
      </c>
      <c r="L5704" s="455">
        <f t="shared" ca="1" si="212"/>
        <v>-3347374802833923</v>
      </c>
      <c r="M5704" s="471">
        <f t="shared" si="214"/>
        <v>0.05</v>
      </c>
      <c r="N5704" s="475">
        <f t="shared" si="215"/>
        <v>224657</v>
      </c>
    </row>
    <row r="5705" spans="7:14" ht="11.25" customHeight="1" x14ac:dyDescent="0.3">
      <c r="G5705" s="470"/>
      <c r="H5705" s="470">
        <v>5698</v>
      </c>
      <c r="I5705" s="455">
        <f t="shared" ca="1" si="213"/>
        <v>-3347374802833923</v>
      </c>
      <c r="J5705" s="455">
        <f t="array" ref="J5705">IFERROR(INDEX('Retirement Calculator'!J:J,MATCH('Isaac 401k'!N5705,'Retirement Calculator'!A:A,0),0),0)</f>
        <v>0</v>
      </c>
      <c r="K5705" s="455">
        <f t="shared" ca="1" si="211"/>
        <v>-13947395011808.012</v>
      </c>
      <c r="L5705" s="455">
        <f t="shared" ca="1" si="212"/>
        <v>-3361322197845731</v>
      </c>
      <c r="M5705" s="471">
        <f t="shared" si="214"/>
        <v>0.05</v>
      </c>
      <c r="N5705" s="475">
        <f t="shared" si="215"/>
        <v>224685</v>
      </c>
    </row>
    <row r="5706" spans="7:14" ht="11.25" customHeight="1" x14ac:dyDescent="0.3">
      <c r="G5706" s="470"/>
      <c r="H5706" s="470">
        <v>5699</v>
      </c>
      <c r="I5706" s="455">
        <f t="shared" ca="1" si="213"/>
        <v>-3361322197845731</v>
      </c>
      <c r="J5706" s="455">
        <f t="array" ref="J5706">IFERROR(INDEX('Retirement Calculator'!J:J,MATCH('Isaac 401k'!N5706,'Retirement Calculator'!A:A,0),0),0)</f>
        <v>0</v>
      </c>
      <c r="K5706" s="455">
        <f t="shared" ca="1" si="211"/>
        <v>-14005509157690.545</v>
      </c>
      <c r="L5706" s="455">
        <f t="shared" ca="1" si="212"/>
        <v>-3375327707003421.5</v>
      </c>
      <c r="M5706" s="471">
        <f t="shared" si="214"/>
        <v>0.05</v>
      </c>
      <c r="N5706" s="475">
        <f t="shared" si="215"/>
        <v>224716</v>
      </c>
    </row>
    <row r="5707" spans="7:14" ht="11.25" customHeight="1" x14ac:dyDescent="0.3">
      <c r="G5707" s="470"/>
      <c r="H5707" s="470">
        <v>5700</v>
      </c>
      <c r="I5707" s="455">
        <f t="shared" ca="1" si="213"/>
        <v>-3375327707003421.5</v>
      </c>
      <c r="J5707" s="455">
        <f t="array" ref="J5707">IFERROR(INDEX('Retirement Calculator'!J:J,MATCH('Isaac 401k'!N5707,'Retirement Calculator'!A:A,0),0),0)</f>
        <v>0</v>
      </c>
      <c r="K5707" s="455">
        <f t="shared" ca="1" si="211"/>
        <v>-14063865445847.59</v>
      </c>
      <c r="L5707" s="455">
        <f t="shared" ca="1" si="212"/>
        <v>-3389391572449269</v>
      </c>
      <c r="M5707" s="471">
        <f t="shared" si="214"/>
        <v>0.05</v>
      </c>
      <c r="N5707" s="475">
        <f t="shared" si="215"/>
        <v>224746</v>
      </c>
    </row>
    <row r="5708" spans="7:14" ht="11.25" customHeight="1" x14ac:dyDescent="0.3">
      <c r="G5708" s="470"/>
      <c r="H5708" s="470">
        <v>5701</v>
      </c>
      <c r="I5708" s="455">
        <f t="shared" ca="1" si="213"/>
        <v>-3389391572449269</v>
      </c>
      <c r="J5708" s="455">
        <f t="array" ref="J5708">IFERROR(INDEX('Retirement Calculator'!J:J,MATCH('Isaac 401k'!N5708,'Retirement Calculator'!A:A,0),0),0)</f>
        <v>0</v>
      </c>
      <c r="K5708" s="455">
        <f t="shared" ca="1" si="211"/>
        <v>-14122464885205.287</v>
      </c>
      <c r="L5708" s="455">
        <f t="shared" ca="1" si="212"/>
        <v>-3403514037334474.5</v>
      </c>
      <c r="M5708" s="471">
        <f t="shared" si="214"/>
        <v>0.05</v>
      </c>
      <c r="N5708" s="475">
        <f t="shared" si="215"/>
        <v>224777</v>
      </c>
    </row>
    <row r="5709" spans="7:14" ht="11.25" customHeight="1" x14ac:dyDescent="0.3">
      <c r="G5709" s="470"/>
      <c r="H5709" s="470">
        <v>5702</v>
      </c>
      <c r="I5709" s="455">
        <f t="shared" ca="1" si="213"/>
        <v>-3403514037334474.5</v>
      </c>
      <c r="J5709" s="455">
        <f t="array" ref="J5709">IFERROR(INDEX('Retirement Calculator'!J:J,MATCH('Isaac 401k'!N5709,'Retirement Calculator'!A:A,0),0),0)</f>
        <v>0</v>
      </c>
      <c r="K5709" s="455">
        <f t="shared" ca="1" si="211"/>
        <v>-14181308488893.643</v>
      </c>
      <c r="L5709" s="455">
        <f t="shared" ca="1" si="212"/>
        <v>-3417695345823368</v>
      </c>
      <c r="M5709" s="471">
        <f t="shared" si="214"/>
        <v>0.05</v>
      </c>
      <c r="N5709" s="475">
        <f t="shared" si="215"/>
        <v>224807</v>
      </c>
    </row>
    <row r="5710" spans="7:14" ht="11.25" customHeight="1" x14ac:dyDescent="0.3">
      <c r="G5710" s="470"/>
      <c r="H5710" s="470">
        <v>5703</v>
      </c>
      <c r="I5710" s="455">
        <f t="shared" ca="1" si="213"/>
        <v>-3417695345823368</v>
      </c>
      <c r="J5710" s="455">
        <f t="array" ref="J5710">IFERROR(INDEX('Retirement Calculator'!J:J,MATCH('Isaac 401k'!N5710,'Retirement Calculator'!A:A,0),0),0)</f>
        <v>0</v>
      </c>
      <c r="K5710" s="455">
        <f t="shared" ca="1" si="211"/>
        <v>-14240397274264.033</v>
      </c>
      <c r="L5710" s="455">
        <f t="shared" ca="1" si="212"/>
        <v>-3431935743097632</v>
      </c>
      <c r="M5710" s="471">
        <f t="shared" si="214"/>
        <v>0.05</v>
      </c>
      <c r="N5710" s="475">
        <f t="shared" si="215"/>
        <v>224838</v>
      </c>
    </row>
    <row r="5711" spans="7:14" ht="11.25" customHeight="1" x14ac:dyDescent="0.3">
      <c r="G5711" s="470"/>
      <c r="H5711" s="470">
        <v>5704</v>
      </c>
      <c r="I5711" s="455">
        <f t="shared" ca="1" si="213"/>
        <v>-3431935743097632</v>
      </c>
      <c r="J5711" s="455">
        <f t="array" ref="J5711">IFERROR(INDEX('Retirement Calculator'!J:J,MATCH('Isaac 401k'!N5711,'Retirement Calculator'!A:A,0),0),0)</f>
        <v>0</v>
      </c>
      <c r="K5711" s="455">
        <f t="shared" ca="1" si="211"/>
        <v>-14299732262906.799</v>
      </c>
      <c r="L5711" s="455">
        <f t="shared" ca="1" si="212"/>
        <v>-3446235475360539</v>
      </c>
      <c r="M5711" s="471">
        <f t="shared" si="214"/>
        <v>0.05</v>
      </c>
      <c r="N5711" s="475">
        <f t="shared" si="215"/>
        <v>224869</v>
      </c>
    </row>
    <row r="5712" spans="7:14" ht="11.25" customHeight="1" x14ac:dyDescent="0.3">
      <c r="G5712" s="470"/>
      <c r="H5712" s="470">
        <v>5705</v>
      </c>
      <c r="I5712" s="455">
        <f t="shared" ca="1" si="213"/>
        <v>-3446235475360539</v>
      </c>
      <c r="J5712" s="455">
        <f t="array" ref="J5712">IFERROR(INDEX('Retirement Calculator'!J:J,MATCH('Isaac 401k'!N5712,'Retirement Calculator'!A:A,0),0),0)</f>
        <v>0</v>
      </c>
      <c r="K5712" s="455">
        <f t="shared" ca="1" si="211"/>
        <v>-14359314480668.912</v>
      </c>
      <c r="L5712" s="455">
        <f t="shared" ca="1" si="212"/>
        <v>-3460594789841208</v>
      </c>
      <c r="M5712" s="471">
        <f t="shared" si="214"/>
        <v>0.05</v>
      </c>
      <c r="N5712" s="475">
        <f t="shared" si="215"/>
        <v>224899</v>
      </c>
    </row>
    <row r="5713" spans="7:14" ht="11.25" customHeight="1" x14ac:dyDescent="0.3">
      <c r="G5713" s="470"/>
      <c r="H5713" s="470">
        <v>5706</v>
      </c>
      <c r="I5713" s="455">
        <f t="shared" ca="1" si="213"/>
        <v>-3460594789841208</v>
      </c>
      <c r="J5713" s="455">
        <f t="array" ref="J5713">IFERROR(INDEX('Retirement Calculator'!J:J,MATCH('Isaac 401k'!N5713,'Retirement Calculator'!A:A,0),0),0)</f>
        <v>0</v>
      </c>
      <c r="K5713" s="455">
        <f t="shared" ca="1" si="211"/>
        <v>-14419144957671.699</v>
      </c>
      <c r="L5713" s="455">
        <f t="shared" ca="1" si="212"/>
        <v>-3475013934798879.5</v>
      </c>
      <c r="M5713" s="471">
        <f t="shared" si="214"/>
        <v>0.05</v>
      </c>
      <c r="N5713" s="475">
        <f t="shared" si="215"/>
        <v>224930</v>
      </c>
    </row>
    <row r="5714" spans="7:14" ht="11.25" customHeight="1" x14ac:dyDescent="0.3">
      <c r="G5714" s="470"/>
      <c r="H5714" s="470">
        <v>5707</v>
      </c>
      <c r="I5714" s="455">
        <f t="shared" ca="1" si="213"/>
        <v>-3475013934798879.5</v>
      </c>
      <c r="J5714" s="455">
        <f t="array" ref="J5714">IFERROR(INDEX('Retirement Calculator'!J:J,MATCH('Isaac 401k'!N5714,'Retirement Calculator'!A:A,0),0),0)</f>
        <v>0</v>
      </c>
      <c r="K5714" s="455">
        <f t="shared" ca="1" si="211"/>
        <v>-14479224728328.664</v>
      </c>
      <c r="L5714" s="455">
        <f t="shared" ca="1" si="212"/>
        <v>-3489493159527208</v>
      </c>
      <c r="M5714" s="471">
        <f t="shared" si="214"/>
        <v>0.05</v>
      </c>
      <c r="N5714" s="475">
        <f t="shared" si="215"/>
        <v>224960</v>
      </c>
    </row>
    <row r="5715" spans="7:14" ht="11.25" customHeight="1" x14ac:dyDescent="0.3">
      <c r="G5715" s="470"/>
      <c r="H5715" s="470">
        <v>5708</v>
      </c>
      <c r="I5715" s="455">
        <f t="shared" ca="1" si="213"/>
        <v>-3489493159527208</v>
      </c>
      <c r="J5715" s="455">
        <f t="array" ref="J5715">IFERROR(INDEX('Retirement Calculator'!J:J,MATCH('Isaac 401k'!N5715,'Retirement Calculator'!A:A,0),0),0)</f>
        <v>0</v>
      </c>
      <c r="K5715" s="455">
        <f t="shared" ca="1" si="211"/>
        <v>-14539554831363.367</v>
      </c>
      <c r="L5715" s="455">
        <f t="shared" ca="1" si="212"/>
        <v>-3504032714358571.5</v>
      </c>
      <c r="M5715" s="471">
        <f t="shared" si="214"/>
        <v>0.05</v>
      </c>
      <c r="N5715" s="475">
        <f t="shared" si="215"/>
        <v>224991</v>
      </c>
    </row>
    <row r="5716" spans="7:14" ht="11.25" customHeight="1" x14ac:dyDescent="0.3">
      <c r="G5716" s="470"/>
      <c r="H5716" s="470">
        <v>5709</v>
      </c>
      <c r="I5716" s="455">
        <f t="shared" ca="1" si="213"/>
        <v>-3504032714358571.5</v>
      </c>
      <c r="J5716" s="455">
        <f t="array" ref="J5716">IFERROR(INDEX('Retirement Calculator'!J:J,MATCH('Isaac 401k'!N5716,'Retirement Calculator'!A:A,0),0),0)</f>
        <v>0</v>
      </c>
      <c r="K5716" s="455">
        <f t="shared" ca="1" si="211"/>
        <v>-14600136309827.381</v>
      </c>
      <c r="L5716" s="455">
        <f t="shared" ca="1" si="212"/>
        <v>-3518632850668399</v>
      </c>
      <c r="M5716" s="471">
        <f t="shared" si="214"/>
        <v>0.05</v>
      </c>
      <c r="N5716" s="475">
        <f t="shared" si="215"/>
        <v>225022</v>
      </c>
    </row>
    <row r="5717" spans="7:14" ht="11.25" customHeight="1" x14ac:dyDescent="0.3">
      <c r="G5717" s="470"/>
      <c r="H5717" s="470">
        <v>5710</v>
      </c>
      <c r="I5717" s="455">
        <f t="shared" ca="1" si="213"/>
        <v>-3518632850668399</v>
      </c>
      <c r="J5717" s="455">
        <f t="array" ref="J5717">IFERROR(INDEX('Retirement Calculator'!J:J,MATCH('Isaac 401k'!N5717,'Retirement Calculator'!A:A,0),0),0)</f>
        <v>0</v>
      </c>
      <c r="K5717" s="455">
        <f t="shared" ca="1" si="211"/>
        <v>-14660970211118.328</v>
      </c>
      <c r="L5717" s="455">
        <f t="shared" ca="1" si="212"/>
        <v>-3533293820879517.5</v>
      </c>
      <c r="M5717" s="471">
        <f t="shared" si="214"/>
        <v>0.05</v>
      </c>
      <c r="N5717" s="475">
        <f t="shared" si="215"/>
        <v>225051</v>
      </c>
    </row>
    <row r="5718" spans="7:14" ht="11.25" customHeight="1" x14ac:dyDescent="0.3">
      <c r="G5718" s="470"/>
      <c r="H5718" s="470">
        <v>5711</v>
      </c>
      <c r="I5718" s="455">
        <f t="shared" ca="1" si="213"/>
        <v>-3533293820879517.5</v>
      </c>
      <c r="J5718" s="455">
        <f t="array" ref="J5718">IFERROR(INDEX('Retirement Calculator'!J:J,MATCH('Isaac 401k'!N5718,'Retirement Calculator'!A:A,0),0),0)</f>
        <v>0</v>
      </c>
      <c r="K5718" s="455">
        <f t="shared" ca="1" si="211"/>
        <v>-14722057586997.99</v>
      </c>
      <c r="L5718" s="455">
        <f t="shared" ca="1" si="212"/>
        <v>-3548015878466515.5</v>
      </c>
      <c r="M5718" s="471">
        <f t="shared" si="214"/>
        <v>0.05</v>
      </c>
      <c r="N5718" s="475">
        <f t="shared" si="215"/>
        <v>225082</v>
      </c>
    </row>
    <row r="5719" spans="7:14" ht="11.25" customHeight="1" x14ac:dyDescent="0.3">
      <c r="G5719" s="470"/>
      <c r="H5719" s="470">
        <v>5712</v>
      </c>
      <c r="I5719" s="455">
        <f t="shared" ca="1" si="213"/>
        <v>-3548015878466515.5</v>
      </c>
      <c r="J5719" s="455">
        <f t="array" ref="J5719">IFERROR(INDEX('Retirement Calculator'!J:J,MATCH('Isaac 401k'!N5719,'Retirement Calculator'!A:A,0),0),0)</f>
        <v>0</v>
      </c>
      <c r="K5719" s="455">
        <f t="shared" ca="1" si="211"/>
        <v>-14783399493610.479</v>
      </c>
      <c r="L5719" s="455">
        <f t="shared" ca="1" si="212"/>
        <v>-3562799277960126</v>
      </c>
      <c r="M5719" s="471">
        <f t="shared" si="214"/>
        <v>0.05</v>
      </c>
      <c r="N5719" s="475">
        <f t="shared" si="215"/>
        <v>225112</v>
      </c>
    </row>
    <row r="5720" spans="7:14" ht="11.25" customHeight="1" x14ac:dyDescent="0.3">
      <c r="G5720" s="470"/>
      <c r="H5720" s="470">
        <v>5713</v>
      </c>
      <c r="I5720" s="455">
        <f t="shared" ca="1" si="213"/>
        <v>-3562799277960126</v>
      </c>
      <c r="J5720" s="455">
        <f t="array" ref="J5720">IFERROR(INDEX('Retirement Calculator'!J:J,MATCH('Isaac 401k'!N5720,'Retirement Calculator'!A:A,0),0),0)</f>
        <v>0</v>
      </c>
      <c r="K5720" s="455">
        <f t="shared" ca="1" si="211"/>
        <v>-14844996991500.525</v>
      </c>
      <c r="L5720" s="455">
        <f t="shared" ca="1" si="212"/>
        <v>-3577644274951626.5</v>
      </c>
      <c r="M5720" s="471">
        <f t="shared" si="214"/>
        <v>0.05</v>
      </c>
      <c r="N5720" s="475">
        <f t="shared" si="215"/>
        <v>225143</v>
      </c>
    </row>
    <row r="5721" spans="7:14" ht="11.25" customHeight="1" x14ac:dyDescent="0.3">
      <c r="G5721" s="470"/>
      <c r="H5721" s="470">
        <v>5714</v>
      </c>
      <c r="I5721" s="455">
        <f t="shared" ca="1" si="213"/>
        <v>-3577644274951626.5</v>
      </c>
      <c r="J5721" s="455">
        <f t="array" ref="J5721">IFERROR(INDEX('Retirement Calculator'!J:J,MATCH('Isaac 401k'!N5721,'Retirement Calculator'!A:A,0),0),0)</f>
        <v>0</v>
      </c>
      <c r="K5721" s="455">
        <f t="shared" ca="1" si="211"/>
        <v>-14906851145631.777</v>
      </c>
      <c r="L5721" s="455">
        <f t="shared" ca="1" si="212"/>
        <v>-3592551126097258.5</v>
      </c>
      <c r="M5721" s="471">
        <f t="shared" si="214"/>
        <v>0.05</v>
      </c>
      <c r="N5721" s="475">
        <f t="shared" si="215"/>
        <v>225173</v>
      </c>
    </row>
    <row r="5722" spans="7:14" ht="11.25" customHeight="1" x14ac:dyDescent="0.3">
      <c r="G5722" s="470"/>
      <c r="H5722" s="470">
        <v>5715</v>
      </c>
      <c r="I5722" s="455">
        <f t="shared" ca="1" si="213"/>
        <v>-3592551126097258.5</v>
      </c>
      <c r="J5722" s="455">
        <f t="array" ref="J5722">IFERROR(INDEX('Retirement Calculator'!J:J,MATCH('Isaac 401k'!N5722,'Retirement Calculator'!A:A,0),0),0)</f>
        <v>0</v>
      </c>
      <c r="K5722" s="455">
        <f t="shared" ca="1" si="211"/>
        <v>-14968963025405.244</v>
      </c>
      <c r="L5722" s="455">
        <f t="shared" ca="1" si="212"/>
        <v>-3607520089122663.5</v>
      </c>
      <c r="M5722" s="471">
        <f t="shared" si="214"/>
        <v>0.05</v>
      </c>
      <c r="N5722" s="475">
        <f t="shared" si="215"/>
        <v>225204</v>
      </c>
    </row>
    <row r="5723" spans="7:14" ht="11.25" customHeight="1" x14ac:dyDescent="0.3">
      <c r="G5723" s="470"/>
      <c r="H5723" s="470">
        <v>5716</v>
      </c>
      <c r="I5723" s="455">
        <f t="shared" ca="1" si="213"/>
        <v>-3607520089122663.5</v>
      </c>
      <c r="J5723" s="455">
        <f t="array" ref="J5723">IFERROR(INDEX('Retirement Calculator'!J:J,MATCH('Isaac 401k'!N5723,'Retirement Calculator'!A:A,0),0),0)</f>
        <v>0</v>
      </c>
      <c r="K5723" s="455">
        <f t="shared" ca="1" si="211"/>
        <v>-15031333704677.764</v>
      </c>
      <c r="L5723" s="455">
        <f t="shared" ca="1" si="212"/>
        <v>-3622551422827341.5</v>
      </c>
      <c r="M5723" s="471">
        <f t="shared" si="214"/>
        <v>0.05</v>
      </c>
      <c r="N5723" s="475">
        <f t="shared" si="215"/>
        <v>225235</v>
      </c>
    </row>
    <row r="5724" spans="7:14" ht="11.25" customHeight="1" x14ac:dyDescent="0.3">
      <c r="G5724" s="470"/>
      <c r="H5724" s="470">
        <v>5717</v>
      </c>
      <c r="I5724" s="455">
        <f t="shared" ca="1" si="213"/>
        <v>-3622551422827341.5</v>
      </c>
      <c r="J5724" s="455">
        <f t="array" ref="J5724">IFERROR(INDEX('Retirement Calculator'!J:J,MATCH('Isaac 401k'!N5724,'Retirement Calculator'!A:A,0),0),0)</f>
        <v>0</v>
      </c>
      <c r="K5724" s="455">
        <f t="shared" ca="1" si="211"/>
        <v>-15093964261780.59</v>
      </c>
      <c r="L5724" s="455">
        <f t="shared" ca="1" si="212"/>
        <v>-3637645387089122</v>
      </c>
      <c r="M5724" s="471">
        <f t="shared" si="214"/>
        <v>0.05</v>
      </c>
      <c r="N5724" s="475">
        <f t="shared" si="215"/>
        <v>225265</v>
      </c>
    </row>
    <row r="5725" spans="7:14" ht="11.25" customHeight="1" x14ac:dyDescent="0.3">
      <c r="G5725" s="470"/>
      <c r="H5725" s="470">
        <v>5718</v>
      </c>
      <c r="I5725" s="455">
        <f t="shared" ca="1" si="213"/>
        <v>-3637645387089122</v>
      </c>
      <c r="J5725" s="455">
        <f t="array" ref="J5725">IFERROR(INDEX('Retirement Calculator'!J:J,MATCH('Isaac 401k'!N5725,'Retirement Calculator'!A:A,0),0),0)</f>
        <v>0</v>
      </c>
      <c r="K5725" s="455">
        <f t="shared" ca="1" si="211"/>
        <v>-15156855779538.008</v>
      </c>
      <c r="L5725" s="455">
        <f t="shared" ca="1" si="212"/>
        <v>-3652802242868660</v>
      </c>
      <c r="M5725" s="471">
        <f t="shared" si="214"/>
        <v>0.05</v>
      </c>
      <c r="N5725" s="475">
        <f t="shared" si="215"/>
        <v>225296</v>
      </c>
    </row>
    <row r="5726" spans="7:14" ht="11.25" customHeight="1" x14ac:dyDescent="0.3">
      <c r="G5726" s="470"/>
      <c r="H5726" s="470">
        <v>5719</v>
      </c>
      <c r="I5726" s="455">
        <f t="shared" ca="1" si="213"/>
        <v>-3652802242868660</v>
      </c>
      <c r="J5726" s="455">
        <f t="array" ref="J5726">IFERROR(INDEX('Retirement Calculator'!J:J,MATCH('Isaac 401k'!N5726,'Retirement Calculator'!A:A,0),0),0)</f>
        <v>0</v>
      </c>
      <c r="K5726" s="455">
        <f t="shared" ca="1" si="211"/>
        <v>-15220009345286.08</v>
      </c>
      <c r="L5726" s="455">
        <f t="shared" ca="1" si="212"/>
        <v>-3668022252213946</v>
      </c>
      <c r="M5726" s="471">
        <f t="shared" si="214"/>
        <v>0.05</v>
      </c>
      <c r="N5726" s="475">
        <f t="shared" si="215"/>
        <v>225326</v>
      </c>
    </row>
    <row r="5727" spans="7:14" ht="11.25" customHeight="1" x14ac:dyDescent="0.3">
      <c r="G5727" s="470"/>
      <c r="H5727" s="470">
        <v>5720</v>
      </c>
      <c r="I5727" s="455">
        <f t="shared" ca="1" si="213"/>
        <v>-3668022252213946</v>
      </c>
      <c r="J5727" s="455">
        <f t="array" ref="J5727">IFERROR(INDEX('Retirement Calculator'!J:J,MATCH('Isaac 401k'!N5727,'Retirement Calculator'!A:A,0),0),0)</f>
        <v>0</v>
      </c>
      <c r="K5727" s="455">
        <f t="shared" ca="1" si="211"/>
        <v>-15283426050891.439</v>
      </c>
      <c r="L5727" s="455">
        <f t="shared" ca="1" si="212"/>
        <v>-3683305678264837.5</v>
      </c>
      <c r="M5727" s="471">
        <f t="shared" si="214"/>
        <v>0.05</v>
      </c>
      <c r="N5727" s="475">
        <f t="shared" si="215"/>
        <v>225357</v>
      </c>
    </row>
    <row r="5728" spans="7:14" ht="11.25" customHeight="1" x14ac:dyDescent="0.3">
      <c r="G5728" s="470"/>
      <c r="H5728" s="470">
        <v>5721</v>
      </c>
      <c r="I5728" s="455">
        <f t="shared" ca="1" si="213"/>
        <v>-3683305678264837.5</v>
      </c>
      <c r="J5728" s="455">
        <f t="array" ref="J5728">IFERROR(INDEX('Retirement Calculator'!J:J,MATCH('Isaac 401k'!N5728,'Retirement Calculator'!A:A,0),0),0)</f>
        <v>0</v>
      </c>
      <c r="K5728" s="455">
        <f t="shared" ca="1" si="211"/>
        <v>-15347106992770.158</v>
      </c>
      <c r="L5728" s="455">
        <f t="shared" ca="1" si="212"/>
        <v>-3698652785257607.5</v>
      </c>
      <c r="M5728" s="471">
        <f t="shared" si="214"/>
        <v>0.05</v>
      </c>
      <c r="N5728" s="475">
        <f t="shared" si="215"/>
        <v>225388</v>
      </c>
    </row>
    <row r="5729" spans="7:14" ht="11.25" customHeight="1" x14ac:dyDescent="0.3">
      <c r="G5729" s="470"/>
      <c r="H5729" s="470">
        <v>5722</v>
      </c>
      <c r="I5729" s="455">
        <f t="shared" ca="1" si="213"/>
        <v>-3698652785257607.5</v>
      </c>
      <c r="J5729" s="455">
        <f t="array" ref="J5729">IFERROR(INDEX('Retirement Calculator'!J:J,MATCH('Isaac 401k'!N5729,'Retirement Calculator'!A:A,0),0),0)</f>
        <v>0</v>
      </c>
      <c r="K5729" s="455">
        <f t="shared" ca="1" si="211"/>
        <v>-15411053271906.697</v>
      </c>
      <c r="L5729" s="455">
        <f t="shared" ca="1" si="212"/>
        <v>-3714063838529514</v>
      </c>
      <c r="M5729" s="471">
        <f t="shared" si="214"/>
        <v>0.05</v>
      </c>
      <c r="N5729" s="475">
        <f t="shared" si="215"/>
        <v>225416</v>
      </c>
    </row>
    <row r="5730" spans="7:14" ht="11.25" customHeight="1" x14ac:dyDescent="0.3">
      <c r="G5730" s="470"/>
      <c r="H5730" s="470">
        <v>5723</v>
      </c>
      <c r="I5730" s="455">
        <f t="shared" ca="1" si="213"/>
        <v>-3714063838529514</v>
      </c>
      <c r="J5730" s="455">
        <f t="array" ref="J5730">IFERROR(INDEX('Retirement Calculator'!J:J,MATCH('Isaac 401k'!N5730,'Retirement Calculator'!A:A,0),0),0)</f>
        <v>0</v>
      </c>
      <c r="K5730" s="455">
        <f t="shared" ca="1" si="211"/>
        <v>-15475265993872.973</v>
      </c>
      <c r="L5730" s="455">
        <f t="shared" ca="1" si="212"/>
        <v>-3729539104523387</v>
      </c>
      <c r="M5730" s="471">
        <f t="shared" si="214"/>
        <v>0.05</v>
      </c>
      <c r="N5730" s="475">
        <f t="shared" si="215"/>
        <v>225447</v>
      </c>
    </row>
    <row r="5731" spans="7:14" ht="11.25" customHeight="1" x14ac:dyDescent="0.3">
      <c r="G5731" s="470"/>
      <c r="H5731" s="470">
        <v>5724</v>
      </c>
      <c r="I5731" s="455">
        <f t="shared" ca="1" si="213"/>
        <v>-3729539104523387</v>
      </c>
      <c r="J5731" s="455">
        <f t="array" ref="J5731">IFERROR(INDEX('Retirement Calculator'!J:J,MATCH('Isaac 401k'!N5731,'Retirement Calculator'!A:A,0),0),0)</f>
        <v>0</v>
      </c>
      <c r="K5731" s="455">
        <f t="shared" ca="1" si="211"/>
        <v>-15539746268847.445</v>
      </c>
      <c r="L5731" s="455">
        <f t="shared" ca="1" si="212"/>
        <v>-3745078850792234.5</v>
      </c>
      <c r="M5731" s="471">
        <f t="shared" si="214"/>
        <v>0.05</v>
      </c>
      <c r="N5731" s="475">
        <f t="shared" si="215"/>
        <v>225477</v>
      </c>
    </row>
    <row r="5732" spans="7:14" ht="11.25" customHeight="1" x14ac:dyDescent="0.3">
      <c r="G5732" s="470"/>
      <c r="H5732" s="470">
        <v>5725</v>
      </c>
      <c r="I5732" s="455">
        <f t="shared" ca="1" si="213"/>
        <v>-3745078850792234.5</v>
      </c>
      <c r="J5732" s="455">
        <f t="array" ref="J5732">IFERROR(INDEX('Retirement Calculator'!J:J,MATCH('Isaac 401k'!N5732,'Retirement Calculator'!A:A,0),0),0)</f>
        <v>0</v>
      </c>
      <c r="K5732" s="455">
        <f t="shared" ca="1" si="211"/>
        <v>-15604495211634.311</v>
      </c>
      <c r="L5732" s="455">
        <f t="shared" ca="1" si="212"/>
        <v>-3760683346003869</v>
      </c>
      <c r="M5732" s="471">
        <f t="shared" si="214"/>
        <v>0.05</v>
      </c>
      <c r="N5732" s="475">
        <f t="shared" si="215"/>
        <v>225508</v>
      </c>
    </row>
    <row r="5733" spans="7:14" ht="11.25" customHeight="1" x14ac:dyDescent="0.3">
      <c r="G5733" s="470"/>
      <c r="H5733" s="470">
        <v>5726</v>
      </c>
      <c r="I5733" s="455">
        <f t="shared" ca="1" si="213"/>
        <v>-3760683346003869</v>
      </c>
      <c r="J5733" s="455">
        <f t="array" ref="J5733">IFERROR(INDEX('Retirement Calculator'!J:J,MATCH('Isaac 401k'!N5733,'Retirement Calculator'!A:A,0),0),0)</f>
        <v>0</v>
      </c>
      <c r="K5733" s="455">
        <f t="shared" ca="1" si="211"/>
        <v>-15669513941682.789</v>
      </c>
      <c r="L5733" s="455">
        <f t="shared" ca="1" si="212"/>
        <v>-3776352859945552</v>
      </c>
      <c r="M5733" s="471">
        <f t="shared" si="214"/>
        <v>0.05</v>
      </c>
      <c r="N5733" s="475">
        <f t="shared" si="215"/>
        <v>225538</v>
      </c>
    </row>
    <row r="5734" spans="7:14" ht="11.25" customHeight="1" x14ac:dyDescent="0.3">
      <c r="G5734" s="470"/>
      <c r="H5734" s="470">
        <v>5727</v>
      </c>
      <c r="I5734" s="455">
        <f t="shared" ca="1" si="213"/>
        <v>-3776352859945552</v>
      </c>
      <c r="J5734" s="455">
        <f t="array" ref="J5734">IFERROR(INDEX('Retirement Calculator'!J:J,MATCH('Isaac 401k'!N5734,'Retirement Calculator'!A:A,0),0),0)</f>
        <v>0</v>
      </c>
      <c r="K5734" s="455">
        <f t="shared" ca="1" si="211"/>
        <v>-15734803583106.467</v>
      </c>
      <c r="L5734" s="455">
        <f t="shared" ca="1" si="212"/>
        <v>-3792087663528658.5</v>
      </c>
      <c r="M5734" s="471">
        <f t="shared" si="214"/>
        <v>0.05</v>
      </c>
      <c r="N5734" s="475">
        <f t="shared" si="215"/>
        <v>225569</v>
      </c>
    </row>
    <row r="5735" spans="7:14" ht="11.25" customHeight="1" x14ac:dyDescent="0.3">
      <c r="G5735" s="470"/>
      <c r="H5735" s="470">
        <v>5728</v>
      </c>
      <c r="I5735" s="455">
        <f t="shared" ca="1" si="213"/>
        <v>-3792087663528658.5</v>
      </c>
      <c r="J5735" s="455">
        <f t="array" ref="J5735">IFERROR(INDEX('Retirement Calculator'!J:J,MATCH('Isaac 401k'!N5735,'Retirement Calculator'!A:A,0),0),0)</f>
        <v>0</v>
      </c>
      <c r="K5735" s="455">
        <f t="shared" ca="1" si="211"/>
        <v>-15800365264702.746</v>
      </c>
      <c r="L5735" s="455">
        <f t="shared" ca="1" si="212"/>
        <v>-3807888028793361</v>
      </c>
      <c r="M5735" s="471">
        <f t="shared" si="214"/>
        <v>0.05</v>
      </c>
      <c r="N5735" s="475">
        <f t="shared" si="215"/>
        <v>225600</v>
      </c>
    </row>
    <row r="5736" spans="7:14" ht="11.25" customHeight="1" x14ac:dyDescent="0.3">
      <c r="G5736" s="470"/>
      <c r="H5736" s="470">
        <v>5729</v>
      </c>
      <c r="I5736" s="455">
        <f t="shared" ca="1" si="213"/>
        <v>-3807888028793361</v>
      </c>
      <c r="J5736" s="455">
        <f t="array" ref="J5736">IFERROR(INDEX('Retirement Calculator'!J:J,MATCH('Isaac 401k'!N5736,'Retirement Calculator'!A:A,0),0),0)</f>
        <v>0</v>
      </c>
      <c r="K5736" s="455">
        <f t="shared" ca="1" si="211"/>
        <v>-15866200119972.338</v>
      </c>
      <c r="L5736" s="455">
        <f t="shared" ca="1" si="212"/>
        <v>-3823754228913333.5</v>
      </c>
      <c r="M5736" s="471">
        <f t="shared" si="214"/>
        <v>0.05</v>
      </c>
      <c r="N5736" s="475">
        <f t="shared" si="215"/>
        <v>225630</v>
      </c>
    </row>
    <row r="5737" spans="7:14" ht="11.25" customHeight="1" x14ac:dyDescent="0.3">
      <c r="G5737" s="470"/>
      <c r="H5737" s="470">
        <v>5730</v>
      </c>
      <c r="I5737" s="455">
        <f t="shared" ca="1" si="213"/>
        <v>-3823754228913333.5</v>
      </c>
      <c r="J5737" s="455">
        <f t="array" ref="J5737">IFERROR(INDEX('Retirement Calculator'!J:J,MATCH('Isaac 401k'!N5737,'Retirement Calculator'!A:A,0),0),0)</f>
        <v>0</v>
      </c>
      <c r="K5737" s="455">
        <f t="shared" ca="1" si="211"/>
        <v>-15932309287138.891</v>
      </c>
      <c r="L5737" s="455">
        <f t="shared" ca="1" si="212"/>
        <v>-3839686538200472.5</v>
      </c>
      <c r="M5737" s="471">
        <f t="shared" si="214"/>
        <v>0.05</v>
      </c>
      <c r="N5737" s="475">
        <f t="shared" si="215"/>
        <v>225661</v>
      </c>
    </row>
    <row r="5738" spans="7:14" ht="11.25" customHeight="1" x14ac:dyDescent="0.3">
      <c r="G5738" s="470"/>
      <c r="H5738" s="470">
        <v>5731</v>
      </c>
      <c r="I5738" s="455">
        <f t="shared" ca="1" si="213"/>
        <v>-3839686538200472.5</v>
      </c>
      <c r="J5738" s="455">
        <f t="array" ref="J5738">IFERROR(INDEX('Retirement Calculator'!J:J,MATCH('Isaac 401k'!N5738,'Retirement Calculator'!A:A,0),0),0)</f>
        <v>0</v>
      </c>
      <c r="K5738" s="455">
        <f t="shared" ca="1" si="211"/>
        <v>-15998693909168.635</v>
      </c>
      <c r="L5738" s="455">
        <f t="shared" ca="1" si="212"/>
        <v>-3855685232109641</v>
      </c>
      <c r="M5738" s="471">
        <f t="shared" si="214"/>
        <v>0.05</v>
      </c>
      <c r="N5738" s="475">
        <f t="shared" si="215"/>
        <v>225691</v>
      </c>
    </row>
    <row r="5739" spans="7:14" ht="11.25" customHeight="1" x14ac:dyDescent="0.3">
      <c r="G5739" s="470"/>
      <c r="H5739" s="470">
        <v>5732</v>
      </c>
      <c r="I5739" s="455">
        <f t="shared" ca="1" si="213"/>
        <v>-3855685232109641</v>
      </c>
      <c r="J5739" s="455">
        <f t="array" ref="J5739">IFERROR(INDEX('Retirement Calculator'!J:J,MATCH('Isaac 401k'!N5739,'Retirement Calculator'!A:A,0),0),0)</f>
        <v>0</v>
      </c>
      <c r="K5739" s="455">
        <f t="shared" ca="1" si="211"/>
        <v>-16065355133790.17</v>
      </c>
      <c r="L5739" s="455">
        <f t="shared" ca="1" si="212"/>
        <v>-3871750587243431</v>
      </c>
      <c r="M5739" s="471">
        <f t="shared" si="214"/>
        <v>0.05</v>
      </c>
      <c r="N5739" s="475">
        <f t="shared" si="215"/>
        <v>225722</v>
      </c>
    </row>
    <row r="5740" spans="7:14" ht="11.25" customHeight="1" x14ac:dyDescent="0.3">
      <c r="G5740" s="470"/>
      <c r="H5740" s="470">
        <v>5733</v>
      </c>
      <c r="I5740" s="455">
        <f t="shared" ca="1" si="213"/>
        <v>-3871750587243431</v>
      </c>
      <c r="J5740" s="455">
        <f t="array" ref="J5740">IFERROR(INDEX('Retirement Calculator'!J:J,MATCH('Isaac 401k'!N5740,'Retirement Calculator'!A:A,0),0),0)</f>
        <v>0</v>
      </c>
      <c r="K5740" s="455">
        <f t="shared" ca="1" si="211"/>
        <v>-16132294113514.295</v>
      </c>
      <c r="L5740" s="455">
        <f t="shared" ca="1" si="212"/>
        <v>-3887882881356945.5</v>
      </c>
      <c r="M5740" s="471">
        <f t="shared" si="214"/>
        <v>0.05</v>
      </c>
      <c r="N5740" s="475">
        <f t="shared" si="215"/>
        <v>225753</v>
      </c>
    </row>
    <row r="5741" spans="7:14" ht="11.25" customHeight="1" x14ac:dyDescent="0.3">
      <c r="G5741" s="470"/>
      <c r="H5741" s="470">
        <v>5734</v>
      </c>
      <c r="I5741" s="455">
        <f t="shared" ca="1" si="213"/>
        <v>-3887882881356945.5</v>
      </c>
      <c r="J5741" s="455">
        <f t="array" ref="J5741">IFERROR(INDEX('Retirement Calculator'!J:J,MATCH('Isaac 401k'!N5741,'Retirement Calculator'!A:A,0),0),0)</f>
        <v>0</v>
      </c>
      <c r="K5741" s="455">
        <f t="shared" ca="1" si="211"/>
        <v>-16199512005653.939</v>
      </c>
      <c r="L5741" s="455">
        <f t="shared" ca="1" si="212"/>
        <v>-3904082393362599.5</v>
      </c>
      <c r="M5741" s="471">
        <f t="shared" si="214"/>
        <v>0.05</v>
      </c>
      <c r="N5741" s="475">
        <f t="shared" si="215"/>
        <v>225781</v>
      </c>
    </row>
    <row r="5742" spans="7:14" ht="11.25" customHeight="1" x14ac:dyDescent="0.3">
      <c r="G5742" s="470"/>
      <c r="H5742" s="470">
        <v>5735</v>
      </c>
      <c r="I5742" s="455">
        <f t="shared" ca="1" si="213"/>
        <v>-3904082393362599.5</v>
      </c>
      <c r="J5742" s="455">
        <f t="array" ref="J5742">IFERROR(INDEX('Retirement Calculator'!J:J,MATCH('Isaac 401k'!N5742,'Retirement Calculator'!A:A,0),0),0)</f>
        <v>0</v>
      </c>
      <c r="K5742" s="455">
        <f t="shared" ca="1" si="211"/>
        <v>-16267009972344.166</v>
      </c>
      <c r="L5742" s="455">
        <f t="shared" ca="1" si="212"/>
        <v>-3920349403334943.5</v>
      </c>
      <c r="M5742" s="471">
        <f t="shared" si="214"/>
        <v>0.05</v>
      </c>
      <c r="N5742" s="475">
        <f t="shared" si="215"/>
        <v>225812</v>
      </c>
    </row>
    <row r="5743" spans="7:14" ht="11.25" customHeight="1" x14ac:dyDescent="0.3">
      <c r="G5743" s="470"/>
      <c r="H5743" s="470">
        <v>5736</v>
      </c>
      <c r="I5743" s="455">
        <f t="shared" ca="1" si="213"/>
        <v>-3920349403334943.5</v>
      </c>
      <c r="J5743" s="455">
        <f t="array" ref="J5743">IFERROR(INDEX('Retirement Calculator'!J:J,MATCH('Isaac 401k'!N5743,'Retirement Calculator'!A:A,0),0),0)</f>
        <v>0</v>
      </c>
      <c r="K5743" s="455">
        <f t="shared" ca="1" si="211"/>
        <v>-16334789180562.264</v>
      </c>
      <c r="L5743" s="455">
        <f t="shared" ca="1" si="212"/>
        <v>-3936684192515506</v>
      </c>
      <c r="M5743" s="471">
        <f t="shared" si="214"/>
        <v>0.05</v>
      </c>
      <c r="N5743" s="475">
        <f t="shared" si="215"/>
        <v>225842</v>
      </c>
    </row>
    <row r="5744" spans="7:14" ht="11.25" customHeight="1" x14ac:dyDescent="0.3">
      <c r="G5744" s="470"/>
      <c r="H5744" s="470">
        <v>5737</v>
      </c>
      <c r="I5744" s="455">
        <f t="shared" ca="1" si="213"/>
        <v>-3936684192515506</v>
      </c>
      <c r="J5744" s="455">
        <f t="array" ref="J5744">IFERROR(INDEX('Retirement Calculator'!J:J,MATCH('Isaac 401k'!N5744,'Retirement Calculator'!A:A,0),0),0)</f>
        <v>0</v>
      </c>
      <c r="K5744" s="455">
        <f t="shared" ca="1" si="211"/>
        <v>-16402850802147.941</v>
      </c>
      <c r="L5744" s="455">
        <f t="shared" ca="1" si="212"/>
        <v>-3953087043317654</v>
      </c>
      <c r="M5744" s="471">
        <f t="shared" si="214"/>
        <v>0.05</v>
      </c>
      <c r="N5744" s="475">
        <f t="shared" si="215"/>
        <v>225873</v>
      </c>
    </row>
    <row r="5745" spans="7:14" ht="11.25" customHeight="1" x14ac:dyDescent="0.3">
      <c r="G5745" s="470"/>
      <c r="H5745" s="470">
        <v>5738</v>
      </c>
      <c r="I5745" s="455">
        <f t="shared" ca="1" si="213"/>
        <v>-3953087043317654</v>
      </c>
      <c r="J5745" s="455">
        <f t="array" ref="J5745">IFERROR(INDEX('Retirement Calculator'!J:J,MATCH('Isaac 401k'!N5745,'Retirement Calculator'!A:A,0),0),0)</f>
        <v>0</v>
      </c>
      <c r="K5745" s="455">
        <f t="shared" ca="1" si="211"/>
        <v>-16471196013823.561</v>
      </c>
      <c r="L5745" s="455">
        <f t="shared" ca="1" si="212"/>
        <v>-3969558239331477.5</v>
      </c>
      <c r="M5745" s="471">
        <f t="shared" si="214"/>
        <v>0.05</v>
      </c>
      <c r="N5745" s="475">
        <f t="shared" si="215"/>
        <v>225903</v>
      </c>
    </row>
    <row r="5746" spans="7:14" ht="11.25" customHeight="1" x14ac:dyDescent="0.3">
      <c r="G5746" s="470"/>
      <c r="H5746" s="470">
        <v>5739</v>
      </c>
      <c r="I5746" s="455">
        <f t="shared" ca="1" si="213"/>
        <v>-3969558239331477.5</v>
      </c>
      <c r="J5746" s="455">
        <f t="array" ref="J5746">IFERROR(INDEX('Retirement Calculator'!J:J,MATCH('Isaac 401k'!N5746,'Retirement Calculator'!A:A,0),0),0)</f>
        <v>0</v>
      </c>
      <c r="K5746" s="455">
        <f t="shared" ca="1" si="211"/>
        <v>-16539825997214.492</v>
      </c>
      <c r="L5746" s="455">
        <f t="shared" ca="1" si="212"/>
        <v>-3986098065328692</v>
      </c>
      <c r="M5746" s="471">
        <f t="shared" si="214"/>
        <v>0.05</v>
      </c>
      <c r="N5746" s="475">
        <f t="shared" si="215"/>
        <v>225934</v>
      </c>
    </row>
    <row r="5747" spans="7:14" ht="11.25" customHeight="1" x14ac:dyDescent="0.3">
      <c r="G5747" s="470"/>
      <c r="H5747" s="470">
        <v>5740</v>
      </c>
      <c r="I5747" s="455">
        <f t="shared" ca="1" si="213"/>
        <v>-3986098065328692</v>
      </c>
      <c r="J5747" s="455">
        <f t="array" ref="J5747">IFERROR(INDEX('Retirement Calculator'!J:J,MATCH('Isaac 401k'!N5747,'Retirement Calculator'!A:A,0),0),0)</f>
        <v>0</v>
      </c>
      <c r="K5747" s="455">
        <f t="shared" ca="1" si="211"/>
        <v>-16608741938869.549</v>
      </c>
      <c r="L5747" s="455">
        <f t="shared" ca="1" si="212"/>
        <v>-4002706807267561.5</v>
      </c>
      <c r="M5747" s="471">
        <f t="shared" si="214"/>
        <v>0.05</v>
      </c>
      <c r="N5747" s="475">
        <f t="shared" si="215"/>
        <v>225965</v>
      </c>
    </row>
    <row r="5748" spans="7:14" ht="11.25" customHeight="1" x14ac:dyDescent="0.3">
      <c r="G5748" s="470"/>
      <c r="H5748" s="470">
        <v>5741</v>
      </c>
      <c r="I5748" s="455">
        <f t="shared" ca="1" si="213"/>
        <v>-4002706807267561.5</v>
      </c>
      <c r="J5748" s="455">
        <f t="array" ref="J5748">IFERROR(INDEX('Retirement Calculator'!J:J,MATCH('Isaac 401k'!N5748,'Retirement Calculator'!A:A,0),0),0)</f>
        <v>0</v>
      </c>
      <c r="K5748" s="455">
        <f t="shared" ca="1" si="211"/>
        <v>-16677945030281.506</v>
      </c>
      <c r="L5748" s="455">
        <f t="shared" ca="1" si="212"/>
        <v>-4019384752297843</v>
      </c>
      <c r="M5748" s="471">
        <f t="shared" si="214"/>
        <v>0.05</v>
      </c>
      <c r="N5748" s="475">
        <f t="shared" si="215"/>
        <v>225995</v>
      </c>
    </row>
    <row r="5749" spans="7:14" ht="11.25" customHeight="1" x14ac:dyDescent="0.3">
      <c r="G5749" s="470"/>
      <c r="H5749" s="470">
        <v>5742</v>
      </c>
      <c r="I5749" s="455">
        <f t="shared" ca="1" si="213"/>
        <v>-4019384752297843</v>
      </c>
      <c r="J5749" s="455">
        <f t="array" ref="J5749">IFERROR(INDEX('Retirement Calculator'!J:J,MATCH('Isaac 401k'!N5749,'Retirement Calculator'!A:A,0),0),0)</f>
        <v>0</v>
      </c>
      <c r="K5749" s="455">
        <f t="shared" ca="1" si="211"/>
        <v>-16747436467907.68</v>
      </c>
      <c r="L5749" s="455">
        <f t="shared" ca="1" si="212"/>
        <v>-4036132188765750.5</v>
      </c>
      <c r="M5749" s="471">
        <f t="shared" si="214"/>
        <v>0.05</v>
      </c>
      <c r="N5749" s="475">
        <f t="shared" si="215"/>
        <v>226026</v>
      </c>
    </row>
    <row r="5750" spans="7:14" ht="11.25" customHeight="1" x14ac:dyDescent="0.3">
      <c r="G5750" s="470"/>
      <c r="H5750" s="470">
        <v>5743</v>
      </c>
      <c r="I5750" s="455">
        <f t="shared" ca="1" si="213"/>
        <v>-4036132188765750.5</v>
      </c>
      <c r="J5750" s="455">
        <f t="array" ref="J5750">IFERROR(INDEX('Retirement Calculator'!J:J,MATCH('Isaac 401k'!N5750,'Retirement Calculator'!A:A,0),0),0)</f>
        <v>0</v>
      </c>
      <c r="K5750" s="455">
        <f t="shared" ca="1" si="211"/>
        <v>-16817217453190.625</v>
      </c>
      <c r="L5750" s="455">
        <f t="shared" ca="1" si="212"/>
        <v>-4052949406218941</v>
      </c>
      <c r="M5750" s="471">
        <f t="shared" si="214"/>
        <v>0.05</v>
      </c>
      <c r="N5750" s="475">
        <f t="shared" si="215"/>
        <v>226056</v>
      </c>
    </row>
    <row r="5751" spans="7:14" ht="11.25" customHeight="1" x14ac:dyDescent="0.3">
      <c r="G5751" s="470"/>
      <c r="H5751" s="470">
        <v>5744</v>
      </c>
      <c r="I5751" s="455">
        <f t="shared" ca="1" si="213"/>
        <v>-4052949406218941</v>
      </c>
      <c r="J5751" s="455">
        <f t="array" ref="J5751">IFERROR(INDEX('Retirement Calculator'!J:J,MATCH('Isaac 401k'!N5751,'Retirement Calculator'!A:A,0),0),0)</f>
        <v>0</v>
      </c>
      <c r="K5751" s="455">
        <f t="shared" ca="1" si="211"/>
        <v>-16887289192578.92</v>
      </c>
      <c r="L5751" s="455">
        <f t="shared" ca="1" si="212"/>
        <v>-4069836695411520</v>
      </c>
      <c r="M5751" s="471">
        <f t="shared" si="214"/>
        <v>0.05</v>
      </c>
      <c r="N5751" s="475">
        <f t="shared" si="215"/>
        <v>226087</v>
      </c>
    </row>
    <row r="5752" spans="7:14" ht="11.25" customHeight="1" x14ac:dyDescent="0.3">
      <c r="G5752" s="470"/>
      <c r="H5752" s="470">
        <v>5745</v>
      </c>
      <c r="I5752" s="455">
        <f t="shared" ca="1" si="213"/>
        <v>-4069836695411520</v>
      </c>
      <c r="J5752" s="455">
        <f t="array" ref="J5752">IFERROR(INDEX('Retirement Calculator'!J:J,MATCH('Isaac 401k'!N5752,'Retirement Calculator'!A:A,0),0),0)</f>
        <v>0</v>
      </c>
      <c r="K5752" s="455">
        <f t="shared" ca="1" si="211"/>
        <v>-16957652897548</v>
      </c>
      <c r="L5752" s="455">
        <f t="shared" ca="1" si="212"/>
        <v>-4086794348309068</v>
      </c>
      <c r="M5752" s="471">
        <f t="shared" si="214"/>
        <v>0.05</v>
      </c>
      <c r="N5752" s="475">
        <f t="shared" si="215"/>
        <v>226118</v>
      </c>
    </row>
    <row r="5753" spans="7:14" ht="11.25" customHeight="1" x14ac:dyDescent="0.3">
      <c r="G5753" s="470"/>
      <c r="H5753" s="470">
        <v>5746</v>
      </c>
      <c r="I5753" s="455">
        <f t="shared" ca="1" si="213"/>
        <v>-4086794348309068</v>
      </c>
      <c r="J5753" s="455">
        <f t="array" ref="J5753">IFERROR(INDEX('Retirement Calculator'!J:J,MATCH('Isaac 401k'!N5753,'Retirement Calculator'!A:A,0),0),0)</f>
        <v>0</v>
      </c>
      <c r="K5753" s="455">
        <f t="shared" ca="1" si="211"/>
        <v>-17028309784621.117</v>
      </c>
      <c r="L5753" s="455">
        <f t="shared" ca="1" si="212"/>
        <v>-4103822658093689</v>
      </c>
      <c r="M5753" s="471">
        <f t="shared" si="214"/>
        <v>0.05</v>
      </c>
      <c r="N5753" s="475">
        <f t="shared" si="215"/>
        <v>226146</v>
      </c>
    </row>
    <row r="5754" spans="7:14" ht="11.25" customHeight="1" x14ac:dyDescent="0.3">
      <c r="G5754" s="470"/>
      <c r="H5754" s="470">
        <v>5747</v>
      </c>
      <c r="I5754" s="455">
        <f t="shared" ca="1" si="213"/>
        <v>-4103822658093689</v>
      </c>
      <c r="J5754" s="455">
        <f t="array" ref="J5754">IFERROR(INDEX('Retirement Calculator'!J:J,MATCH('Isaac 401k'!N5754,'Retirement Calculator'!A:A,0),0),0)</f>
        <v>0</v>
      </c>
      <c r="K5754" s="455">
        <f t="shared" ca="1" si="211"/>
        <v>-17099261075390.371</v>
      </c>
      <c r="L5754" s="455">
        <f t="shared" ca="1" si="212"/>
        <v>-4120921919169079.5</v>
      </c>
      <c r="M5754" s="471">
        <f t="shared" si="214"/>
        <v>0.05</v>
      </c>
      <c r="N5754" s="475">
        <f t="shared" si="215"/>
        <v>226177</v>
      </c>
    </row>
    <row r="5755" spans="7:14" ht="11.25" customHeight="1" x14ac:dyDescent="0.3">
      <c r="G5755" s="470"/>
      <c r="H5755" s="470">
        <v>5748</v>
      </c>
      <c r="I5755" s="455">
        <f t="shared" ca="1" si="213"/>
        <v>-4120921919169079.5</v>
      </c>
      <c r="J5755" s="455">
        <f t="array" ref="J5755">IFERROR(INDEX('Retirement Calculator'!J:J,MATCH('Isaac 401k'!N5755,'Retirement Calculator'!A:A,0),0),0)</f>
        <v>0</v>
      </c>
      <c r="K5755" s="455">
        <f t="shared" ca="1" si="211"/>
        <v>-17170507996537.83</v>
      </c>
      <c r="L5755" s="455">
        <f t="shared" ca="1" si="212"/>
        <v>-4138092427165617.5</v>
      </c>
      <c r="M5755" s="471">
        <f t="shared" si="214"/>
        <v>0.05</v>
      </c>
      <c r="N5755" s="475">
        <f t="shared" si="215"/>
        <v>226207</v>
      </c>
    </row>
    <row r="5756" spans="7:14" ht="11.25" customHeight="1" x14ac:dyDescent="0.3">
      <c r="G5756" s="470"/>
      <c r="H5756" s="470">
        <v>5749</v>
      </c>
      <c r="I5756" s="455">
        <f t="shared" ca="1" si="213"/>
        <v>-4138092427165617.5</v>
      </c>
      <c r="J5756" s="455">
        <f t="array" ref="J5756">IFERROR(INDEX('Retirement Calculator'!J:J,MATCH('Isaac 401k'!N5756,'Retirement Calculator'!A:A,0),0),0)</f>
        <v>0</v>
      </c>
      <c r="K5756" s="455">
        <f t="shared" ca="1" si="211"/>
        <v>-17242051779856.74</v>
      </c>
      <c r="L5756" s="455">
        <f t="shared" ca="1" si="212"/>
        <v>-4155334478945474</v>
      </c>
      <c r="M5756" s="471">
        <f t="shared" si="214"/>
        <v>0.05</v>
      </c>
      <c r="N5756" s="475">
        <f t="shared" si="215"/>
        <v>226238</v>
      </c>
    </row>
    <row r="5757" spans="7:14" ht="11.25" customHeight="1" x14ac:dyDescent="0.3">
      <c r="G5757" s="470"/>
      <c r="H5757" s="470">
        <v>5750</v>
      </c>
      <c r="I5757" s="455">
        <f t="shared" ca="1" si="213"/>
        <v>-4155334478945474</v>
      </c>
      <c r="J5757" s="455">
        <f t="array" ref="J5757">IFERROR(INDEX('Retirement Calculator'!J:J,MATCH('Isaac 401k'!N5757,'Retirement Calculator'!A:A,0),0),0)</f>
        <v>0</v>
      </c>
      <c r="K5757" s="455">
        <f t="shared" ca="1" si="211"/>
        <v>-17313893662272.809</v>
      </c>
      <c r="L5757" s="455">
        <f t="shared" ca="1" si="212"/>
        <v>-4172648372607747</v>
      </c>
      <c r="M5757" s="471">
        <f t="shared" si="214"/>
        <v>0.05</v>
      </c>
      <c r="N5757" s="475">
        <f t="shared" si="215"/>
        <v>226268</v>
      </c>
    </row>
    <row r="5758" spans="7:14" ht="11.25" customHeight="1" x14ac:dyDescent="0.3">
      <c r="G5758" s="470"/>
      <c r="H5758" s="470">
        <v>5751</v>
      </c>
      <c r="I5758" s="455">
        <f t="shared" ca="1" si="213"/>
        <v>-4172648372607747</v>
      </c>
      <c r="J5758" s="455">
        <f t="array" ref="J5758">IFERROR(INDEX('Retirement Calculator'!J:J,MATCH('Isaac 401k'!N5758,'Retirement Calculator'!A:A,0),0),0)</f>
        <v>0</v>
      </c>
      <c r="K5758" s="455">
        <f t="shared" ca="1" si="211"/>
        <v>-17386034885865.615</v>
      </c>
      <c r="L5758" s="455">
        <f t="shared" ca="1" si="212"/>
        <v>-4190034407493612.5</v>
      </c>
      <c r="M5758" s="471">
        <f t="shared" si="214"/>
        <v>0.05</v>
      </c>
      <c r="N5758" s="475">
        <f t="shared" si="215"/>
        <v>226299</v>
      </c>
    </row>
    <row r="5759" spans="7:14" ht="11.25" customHeight="1" x14ac:dyDescent="0.3">
      <c r="G5759" s="470"/>
      <c r="H5759" s="470">
        <v>5752</v>
      </c>
      <c r="I5759" s="455">
        <f t="shared" ca="1" si="213"/>
        <v>-4190034407493612.5</v>
      </c>
      <c r="J5759" s="455">
        <f t="array" ref="J5759">IFERROR(INDEX('Retirement Calculator'!J:J,MATCH('Isaac 401k'!N5759,'Retirement Calculator'!A:A,0),0),0)</f>
        <v>0</v>
      </c>
      <c r="K5759" s="455">
        <f t="shared" ca="1" si="211"/>
        <v>-17458476697890.049</v>
      </c>
      <c r="L5759" s="455">
        <f t="shared" ca="1" si="212"/>
        <v>-4207492884191502.5</v>
      </c>
      <c r="M5759" s="471">
        <f t="shared" si="214"/>
        <v>0.05</v>
      </c>
      <c r="N5759" s="475">
        <f t="shared" si="215"/>
        <v>226330</v>
      </c>
    </row>
    <row r="5760" spans="7:14" ht="11.25" customHeight="1" x14ac:dyDescent="0.3">
      <c r="G5760" s="470"/>
      <c r="H5760" s="470">
        <v>5753</v>
      </c>
      <c r="I5760" s="455">
        <f t="shared" ca="1" si="213"/>
        <v>-4207492884191502.5</v>
      </c>
      <c r="J5760" s="455">
        <f t="array" ref="J5760">IFERROR(INDEX('Retirement Calculator'!J:J,MATCH('Isaac 401k'!N5760,'Retirement Calculator'!A:A,0),0),0)</f>
        <v>0</v>
      </c>
      <c r="K5760" s="455">
        <f t="shared" ca="1" si="211"/>
        <v>-17531220350797.928</v>
      </c>
      <c r="L5760" s="455">
        <f t="shared" ca="1" si="212"/>
        <v>-4225024104542300.5</v>
      </c>
      <c r="M5760" s="471">
        <f t="shared" si="214"/>
        <v>0.05</v>
      </c>
      <c r="N5760" s="475">
        <f t="shared" si="215"/>
        <v>226360</v>
      </c>
    </row>
    <row r="5761" spans="7:14" ht="11.25" customHeight="1" x14ac:dyDescent="0.3">
      <c r="G5761" s="470"/>
      <c r="H5761" s="470">
        <v>5754</v>
      </c>
      <c r="I5761" s="455">
        <f t="shared" ca="1" si="213"/>
        <v>-4225024104542300.5</v>
      </c>
      <c r="J5761" s="455">
        <f t="array" ref="J5761">IFERROR(INDEX('Retirement Calculator'!J:J,MATCH('Isaac 401k'!N5761,'Retirement Calculator'!A:A,0),0),0)</f>
        <v>0</v>
      </c>
      <c r="K5761" s="455">
        <f t="shared" ca="1" si="211"/>
        <v>-17604267102259.582</v>
      </c>
      <c r="L5761" s="455">
        <f t="shared" ca="1" si="212"/>
        <v>-4242628371644560</v>
      </c>
      <c r="M5761" s="471">
        <f t="shared" si="214"/>
        <v>0.05</v>
      </c>
      <c r="N5761" s="475">
        <f t="shared" si="215"/>
        <v>226391</v>
      </c>
    </row>
    <row r="5762" spans="7:14" ht="11.25" customHeight="1" x14ac:dyDescent="0.3">
      <c r="G5762" s="470"/>
      <c r="H5762" s="470">
        <v>5755</v>
      </c>
      <c r="I5762" s="455">
        <f t="shared" ca="1" si="213"/>
        <v>-4242628371644560</v>
      </c>
      <c r="J5762" s="455">
        <f t="array" ref="J5762">IFERROR(INDEX('Retirement Calculator'!J:J,MATCH('Isaac 401k'!N5762,'Retirement Calculator'!A:A,0),0),0)</f>
        <v>0</v>
      </c>
      <c r="K5762" s="455">
        <f t="shared" ca="1" si="211"/>
        <v>-17677618215185.664</v>
      </c>
      <c r="L5762" s="455">
        <f t="shared" ca="1" si="212"/>
        <v>-4260305989859745.5</v>
      </c>
      <c r="M5762" s="471">
        <f t="shared" si="214"/>
        <v>0.05</v>
      </c>
      <c r="N5762" s="475">
        <f t="shared" si="215"/>
        <v>226421</v>
      </c>
    </row>
    <row r="5763" spans="7:14" ht="11.25" customHeight="1" x14ac:dyDescent="0.3">
      <c r="G5763" s="470"/>
      <c r="H5763" s="470">
        <v>5756</v>
      </c>
      <c r="I5763" s="455">
        <f t="shared" ca="1" si="213"/>
        <v>-4260305989859745.5</v>
      </c>
      <c r="J5763" s="455">
        <f t="array" ref="J5763">IFERROR(INDEX('Retirement Calculator'!J:J,MATCH('Isaac 401k'!N5763,'Retirement Calculator'!A:A,0),0),0)</f>
        <v>0</v>
      </c>
      <c r="K5763" s="455">
        <f t="shared" ca="1" si="211"/>
        <v>-17751274957748.938</v>
      </c>
      <c r="L5763" s="455">
        <f t="shared" ca="1" si="212"/>
        <v>-4278057264817494.5</v>
      </c>
      <c r="M5763" s="471">
        <f t="shared" si="214"/>
        <v>0.05</v>
      </c>
      <c r="N5763" s="475">
        <f t="shared" si="215"/>
        <v>226452</v>
      </c>
    </row>
    <row r="5764" spans="7:14" ht="11.25" customHeight="1" x14ac:dyDescent="0.3">
      <c r="G5764" s="470"/>
      <c r="H5764" s="470">
        <v>5757</v>
      </c>
      <c r="I5764" s="455">
        <f t="shared" ca="1" si="213"/>
        <v>-4278057264817494.5</v>
      </c>
      <c r="J5764" s="455">
        <f t="array" ref="J5764">IFERROR(INDEX('Retirement Calculator'!J:J,MATCH('Isaac 401k'!N5764,'Retirement Calculator'!A:A,0),0),0)</f>
        <v>0</v>
      </c>
      <c r="K5764" s="455">
        <f t="shared" ca="1" si="211"/>
        <v>-17825238603406.227</v>
      </c>
      <c r="L5764" s="455">
        <f t="shared" ca="1" si="212"/>
        <v>-4295882503420900.5</v>
      </c>
      <c r="M5764" s="471">
        <f t="shared" si="214"/>
        <v>0.05</v>
      </c>
      <c r="N5764" s="475">
        <f t="shared" si="215"/>
        <v>226483</v>
      </c>
    </row>
    <row r="5765" spans="7:14" ht="11.25" customHeight="1" x14ac:dyDescent="0.3">
      <c r="G5765" s="470"/>
      <c r="H5765" s="470">
        <v>5758</v>
      </c>
      <c r="I5765" s="455">
        <f t="shared" ca="1" si="213"/>
        <v>-4295882503420900.5</v>
      </c>
      <c r="J5765" s="455">
        <f t="array" ref="J5765">IFERROR(INDEX('Retirement Calculator'!J:J,MATCH('Isaac 401k'!N5765,'Retirement Calculator'!A:A,0),0),0)</f>
        <v>0</v>
      </c>
      <c r="K5765" s="455">
        <f t="shared" ca="1" si="211"/>
        <v>-17899510430920.418</v>
      </c>
      <c r="L5765" s="455">
        <f t="shared" ca="1" si="212"/>
        <v>-4313782013851821</v>
      </c>
      <c r="M5765" s="471">
        <f t="shared" si="214"/>
        <v>0.05</v>
      </c>
      <c r="N5765" s="475">
        <f t="shared" si="215"/>
        <v>226512</v>
      </c>
    </row>
    <row r="5766" spans="7:14" ht="11.25" customHeight="1" x14ac:dyDescent="0.3">
      <c r="G5766" s="470"/>
      <c r="H5766" s="470">
        <v>5759</v>
      </c>
      <c r="I5766" s="455">
        <f t="shared" ca="1" si="213"/>
        <v>-4313782013851821</v>
      </c>
      <c r="J5766" s="455">
        <f t="array" ref="J5766">IFERROR(INDEX('Retirement Calculator'!J:J,MATCH('Isaac 401k'!N5766,'Retirement Calculator'!A:A,0),0),0)</f>
        <v>0</v>
      </c>
      <c r="K5766" s="455">
        <f t="shared" ca="1" si="211"/>
        <v>-17974091724382.586</v>
      </c>
      <c r="L5766" s="455">
        <f t="shared" ca="1" si="212"/>
        <v>-4331756105576203.5</v>
      </c>
      <c r="M5766" s="471">
        <f t="shared" si="214"/>
        <v>0.05</v>
      </c>
      <c r="N5766" s="475">
        <f t="shared" si="215"/>
        <v>226543</v>
      </c>
    </row>
    <row r="5767" spans="7:14" ht="11.25" customHeight="1" x14ac:dyDescent="0.3">
      <c r="G5767" s="470"/>
      <c r="H5767" s="470">
        <v>5760</v>
      </c>
      <c r="I5767" s="455">
        <f t="shared" ca="1" si="213"/>
        <v>-4331756105576203.5</v>
      </c>
      <c r="J5767" s="455">
        <f t="array" ref="J5767">IFERROR(INDEX('Retirement Calculator'!J:J,MATCH('Isaac 401k'!N5767,'Retirement Calculator'!A:A,0),0),0)</f>
        <v>0</v>
      </c>
      <c r="K5767" s="455">
        <f t="shared" ca="1" si="211"/>
        <v>-18048983773234.18</v>
      </c>
      <c r="L5767" s="455">
        <f t="shared" ca="1" si="212"/>
        <v>-4349805089349437.5</v>
      </c>
      <c r="M5767" s="471">
        <f t="shared" si="214"/>
        <v>0.05</v>
      </c>
      <c r="N5767" s="475">
        <f t="shared" si="215"/>
        <v>226573</v>
      </c>
    </row>
    <row r="5768" spans="7:14" ht="11.25" customHeight="1" x14ac:dyDescent="0.3">
      <c r="G5768" s="470"/>
      <c r="H5768" s="470">
        <v>5761</v>
      </c>
      <c r="I5768" s="455">
        <f t="shared" ca="1" si="213"/>
        <v>-4349805089349437.5</v>
      </c>
      <c r="J5768" s="455">
        <f t="array" ref="J5768">IFERROR(INDEX('Retirement Calculator'!J:J,MATCH('Isaac 401k'!N5768,'Retirement Calculator'!A:A,0),0),0)</f>
        <v>0</v>
      </c>
      <c r="K5768" s="455">
        <f t="shared" ca="1" si="211"/>
        <v>-18124187872289.324</v>
      </c>
      <c r="L5768" s="455">
        <f t="shared" ca="1" si="212"/>
        <v>-4367929277221727</v>
      </c>
      <c r="M5768" s="471">
        <f t="shared" si="214"/>
        <v>0.05</v>
      </c>
      <c r="N5768" s="475">
        <f t="shared" si="215"/>
        <v>226604</v>
      </c>
    </row>
    <row r="5769" spans="7:14" ht="11.25" customHeight="1" x14ac:dyDescent="0.3">
      <c r="G5769" s="470"/>
      <c r="H5769" s="470">
        <v>5762</v>
      </c>
      <c r="I5769" s="455">
        <f t="shared" ca="1" si="213"/>
        <v>-4367929277221727</v>
      </c>
      <c r="J5769" s="455">
        <f t="array" ref="J5769">IFERROR(INDEX('Retirement Calculator'!J:J,MATCH('Isaac 401k'!N5769,'Retirement Calculator'!A:A,0),0),0)</f>
        <v>0</v>
      </c>
      <c r="K5769" s="455">
        <f t="shared" ca="1" si="211"/>
        <v>-18199705321757.195</v>
      </c>
      <c r="L5769" s="455">
        <f t="shared" ca="1" si="212"/>
        <v>-4386128982543484</v>
      </c>
      <c r="M5769" s="471">
        <f t="shared" si="214"/>
        <v>0.05</v>
      </c>
      <c r="N5769" s="475">
        <f t="shared" si="215"/>
        <v>226634</v>
      </c>
    </row>
    <row r="5770" spans="7:14" ht="11.25" customHeight="1" x14ac:dyDescent="0.3">
      <c r="G5770" s="470"/>
      <c r="H5770" s="470">
        <v>5763</v>
      </c>
      <c r="I5770" s="455">
        <f t="shared" ca="1" si="213"/>
        <v>-4386128982543484</v>
      </c>
      <c r="J5770" s="455">
        <f t="array" ref="J5770">IFERROR(INDEX('Retirement Calculator'!J:J,MATCH('Isaac 401k'!N5770,'Retirement Calculator'!A:A,0),0),0)</f>
        <v>0</v>
      </c>
      <c r="K5770" s="455">
        <f t="shared" ca="1" si="211"/>
        <v>-18275537427264.516</v>
      </c>
      <c r="L5770" s="455">
        <f t="shared" ca="1" si="212"/>
        <v>-4404404519970748.5</v>
      </c>
      <c r="M5770" s="471">
        <f t="shared" si="214"/>
        <v>0.05</v>
      </c>
      <c r="N5770" s="475">
        <f t="shared" si="215"/>
        <v>226665</v>
      </c>
    </row>
    <row r="5771" spans="7:14" ht="11.25" customHeight="1" x14ac:dyDescent="0.3">
      <c r="G5771" s="470"/>
      <c r="H5771" s="470">
        <v>5764</v>
      </c>
      <c r="I5771" s="455">
        <f t="shared" ca="1" si="213"/>
        <v>-4404404519970748.5</v>
      </c>
      <c r="J5771" s="455">
        <f t="array" ref="J5771">IFERROR(INDEX('Retirement Calculator'!J:J,MATCH('Isaac 401k'!N5771,'Retirement Calculator'!A:A,0),0),0)</f>
        <v>0</v>
      </c>
      <c r="K5771" s="455">
        <f t="shared" ca="1" si="211"/>
        <v>-18351685499878.117</v>
      </c>
      <c r="L5771" s="455">
        <f t="shared" ca="1" si="212"/>
        <v>-4422756205470626.5</v>
      </c>
      <c r="M5771" s="471">
        <f t="shared" si="214"/>
        <v>0.05</v>
      </c>
      <c r="N5771" s="475">
        <f t="shared" si="215"/>
        <v>226696</v>
      </c>
    </row>
    <row r="5772" spans="7:14" ht="11.25" customHeight="1" x14ac:dyDescent="0.3">
      <c r="G5772" s="470"/>
      <c r="H5772" s="470">
        <v>5765</v>
      </c>
      <c r="I5772" s="455">
        <f t="shared" ca="1" si="213"/>
        <v>-4422756205470626.5</v>
      </c>
      <c r="J5772" s="455">
        <f t="array" ref="J5772">IFERROR(INDEX('Retirement Calculator'!J:J,MATCH('Isaac 401k'!N5772,'Retirement Calculator'!A:A,0),0),0)</f>
        <v>0</v>
      </c>
      <c r="K5772" s="455">
        <f t="shared" ca="1" si="211"/>
        <v>-18428150856127.613</v>
      </c>
      <c r="L5772" s="455">
        <f t="shared" ca="1" si="212"/>
        <v>-4441184356326754</v>
      </c>
      <c r="M5772" s="471">
        <f t="shared" si="214"/>
        <v>0.05</v>
      </c>
      <c r="N5772" s="475">
        <f t="shared" si="215"/>
        <v>226726</v>
      </c>
    </row>
    <row r="5773" spans="7:14" ht="11.25" customHeight="1" x14ac:dyDescent="0.3">
      <c r="G5773" s="470"/>
      <c r="H5773" s="470">
        <v>5766</v>
      </c>
      <c r="I5773" s="455">
        <f t="shared" ca="1" si="213"/>
        <v>-4441184356326754</v>
      </c>
      <c r="J5773" s="455">
        <f t="array" ref="J5773">IFERROR(INDEX('Retirement Calculator'!J:J,MATCH('Isaac 401k'!N5773,'Retirement Calculator'!A:A,0),0),0)</f>
        <v>0</v>
      </c>
      <c r="K5773" s="455">
        <f t="shared" ca="1" si="211"/>
        <v>-18504934818028.145</v>
      </c>
      <c r="L5773" s="455">
        <f t="shared" ca="1" si="212"/>
        <v>-4459689291144782</v>
      </c>
      <c r="M5773" s="471">
        <f t="shared" si="214"/>
        <v>0.05</v>
      </c>
      <c r="N5773" s="475">
        <f t="shared" si="215"/>
        <v>226757</v>
      </c>
    </row>
    <row r="5774" spans="7:14" ht="11.25" customHeight="1" x14ac:dyDescent="0.3">
      <c r="G5774" s="470"/>
      <c r="H5774" s="470">
        <v>5767</v>
      </c>
      <c r="I5774" s="455">
        <f t="shared" ca="1" si="213"/>
        <v>-4459689291144782</v>
      </c>
      <c r="J5774" s="455">
        <f t="array" ref="J5774">IFERROR(INDEX('Retirement Calculator'!J:J,MATCH('Isaac 401k'!N5774,'Retirement Calculator'!A:A,0),0),0)</f>
        <v>0</v>
      </c>
      <c r="K5774" s="455">
        <f t="shared" ca="1" si="211"/>
        <v>-18582038713103.258</v>
      </c>
      <c r="L5774" s="455">
        <f t="shared" ca="1" si="212"/>
        <v>-4478271329857885.5</v>
      </c>
      <c r="M5774" s="471">
        <f t="shared" si="214"/>
        <v>0.05</v>
      </c>
      <c r="N5774" s="475">
        <f t="shared" si="215"/>
        <v>226787</v>
      </c>
    </row>
    <row r="5775" spans="7:14" ht="11.25" customHeight="1" x14ac:dyDescent="0.3">
      <c r="G5775" s="470"/>
      <c r="H5775" s="470">
        <v>5768</v>
      </c>
      <c r="I5775" s="455">
        <f t="shared" ca="1" si="213"/>
        <v>-4478271329857885.5</v>
      </c>
      <c r="J5775" s="455">
        <f t="array" ref="J5775">IFERROR(INDEX('Retirement Calculator'!J:J,MATCH('Isaac 401k'!N5775,'Retirement Calculator'!A:A,0),0),0)</f>
        <v>0</v>
      </c>
      <c r="K5775" s="455">
        <f t="shared" ca="1" si="211"/>
        <v>-18659463874407.855</v>
      </c>
      <c r="L5775" s="455">
        <f t="shared" ca="1" si="212"/>
        <v>-4496930793732293.5</v>
      </c>
      <c r="M5775" s="471">
        <f t="shared" si="214"/>
        <v>0.05</v>
      </c>
      <c r="N5775" s="475">
        <f t="shared" si="215"/>
        <v>226818</v>
      </c>
    </row>
    <row r="5776" spans="7:14" ht="11.25" customHeight="1" x14ac:dyDescent="0.3">
      <c r="G5776" s="470"/>
      <c r="H5776" s="470">
        <v>5769</v>
      </c>
      <c r="I5776" s="455">
        <f t="shared" ca="1" si="213"/>
        <v>-4496930793732293.5</v>
      </c>
      <c r="J5776" s="455">
        <f t="array" ref="J5776">IFERROR(INDEX('Retirement Calculator'!J:J,MATCH('Isaac 401k'!N5776,'Retirement Calculator'!A:A,0),0),0)</f>
        <v>0</v>
      </c>
      <c r="K5776" s="455">
        <f t="shared" ca="1" si="211"/>
        <v>-18737211640551.223</v>
      </c>
      <c r="L5776" s="455">
        <f t="shared" ca="1" si="212"/>
        <v>-4515668005372845</v>
      </c>
      <c r="M5776" s="471">
        <f t="shared" si="214"/>
        <v>0.05</v>
      </c>
      <c r="N5776" s="475">
        <f t="shared" si="215"/>
        <v>226849</v>
      </c>
    </row>
    <row r="5777" spans="7:14" ht="11.25" customHeight="1" x14ac:dyDescent="0.3">
      <c r="G5777" s="470"/>
      <c r="H5777" s="470">
        <v>5770</v>
      </c>
      <c r="I5777" s="455">
        <f t="shared" ca="1" si="213"/>
        <v>-4515668005372845</v>
      </c>
      <c r="J5777" s="455">
        <f t="array" ref="J5777">IFERROR(INDEX('Retirement Calculator'!J:J,MATCH('Isaac 401k'!N5777,'Retirement Calculator'!A:A,0),0),0)</f>
        <v>0</v>
      </c>
      <c r="K5777" s="455">
        <f t="shared" ca="1" si="211"/>
        <v>-18815283355720.188</v>
      </c>
      <c r="L5777" s="455">
        <f t="shared" ca="1" si="212"/>
        <v>-4534483288728565</v>
      </c>
      <c r="M5777" s="471">
        <f t="shared" si="214"/>
        <v>0.05</v>
      </c>
      <c r="N5777" s="475">
        <f t="shared" si="215"/>
        <v>226877</v>
      </c>
    </row>
    <row r="5778" spans="7:14" ht="11.25" customHeight="1" x14ac:dyDescent="0.3">
      <c r="G5778" s="470"/>
      <c r="H5778" s="470">
        <v>5771</v>
      </c>
      <c r="I5778" s="455">
        <f t="shared" ca="1" si="213"/>
        <v>-4534483288728565</v>
      </c>
      <c r="J5778" s="455">
        <f t="array" ref="J5778">IFERROR(INDEX('Retirement Calculator'!J:J,MATCH('Isaac 401k'!N5778,'Retirement Calculator'!A:A,0),0),0)</f>
        <v>0</v>
      </c>
      <c r="K5778" s="455">
        <f t="shared" ca="1" si="211"/>
        <v>-18893680369702.355</v>
      </c>
      <c r="L5778" s="455">
        <f t="shared" ca="1" si="212"/>
        <v>-4553376969098267</v>
      </c>
      <c r="M5778" s="471">
        <f t="shared" si="214"/>
        <v>0.05</v>
      </c>
      <c r="N5778" s="475">
        <f t="shared" si="215"/>
        <v>226908</v>
      </c>
    </row>
    <row r="5779" spans="7:14" ht="11.25" customHeight="1" x14ac:dyDescent="0.3">
      <c r="G5779" s="470"/>
      <c r="H5779" s="470">
        <v>5772</v>
      </c>
      <c r="I5779" s="455">
        <f t="shared" ca="1" si="213"/>
        <v>-4553376969098267</v>
      </c>
      <c r="J5779" s="455">
        <f t="array" ref="J5779">IFERROR(INDEX('Retirement Calculator'!J:J,MATCH('Isaac 401k'!N5779,'Retirement Calculator'!A:A,0),0),0)</f>
        <v>0</v>
      </c>
      <c r="K5779" s="455">
        <f t="shared" ca="1" si="211"/>
        <v>-18972404037909.445</v>
      </c>
      <c r="L5779" s="455">
        <f t="shared" ca="1" si="212"/>
        <v>-4572349373136176</v>
      </c>
      <c r="M5779" s="471">
        <f t="shared" si="214"/>
        <v>0.05</v>
      </c>
      <c r="N5779" s="475">
        <f t="shared" si="215"/>
        <v>226938</v>
      </c>
    </row>
    <row r="5780" spans="7:14" ht="11.25" customHeight="1" x14ac:dyDescent="0.3">
      <c r="G5780" s="470"/>
      <c r="H5780" s="470">
        <v>5773</v>
      </c>
      <c r="I5780" s="455">
        <f t="shared" ca="1" si="213"/>
        <v>-4572349373136176</v>
      </c>
      <c r="J5780" s="455">
        <f t="array" ref="J5780">IFERROR(INDEX('Retirement Calculator'!J:J,MATCH('Isaac 401k'!N5780,'Retirement Calculator'!A:A,0),0),0)</f>
        <v>0</v>
      </c>
      <c r="K5780" s="455">
        <f t="shared" ca="1" si="211"/>
        <v>-19051455721400.734</v>
      </c>
      <c r="L5780" s="455">
        <f t="shared" ca="1" si="212"/>
        <v>-4591400828857577</v>
      </c>
      <c r="M5780" s="471">
        <f t="shared" si="214"/>
        <v>0.05</v>
      </c>
      <c r="N5780" s="475">
        <f t="shared" si="215"/>
        <v>226969</v>
      </c>
    </row>
    <row r="5781" spans="7:14" ht="11.25" customHeight="1" x14ac:dyDescent="0.3">
      <c r="G5781" s="470"/>
      <c r="H5781" s="470">
        <v>5774</v>
      </c>
      <c r="I5781" s="455">
        <f t="shared" ca="1" si="213"/>
        <v>-4591400828857577</v>
      </c>
      <c r="J5781" s="455">
        <f t="array" ref="J5781">IFERROR(INDEX('Retirement Calculator'!J:J,MATCH('Isaac 401k'!N5781,'Retirement Calculator'!A:A,0),0),0)</f>
        <v>0</v>
      </c>
      <c r="K5781" s="455">
        <f t="shared" ca="1" si="211"/>
        <v>-19130836786906.57</v>
      </c>
      <c r="L5781" s="455">
        <f t="shared" ca="1" si="212"/>
        <v>-4610531665644484</v>
      </c>
      <c r="M5781" s="471">
        <f t="shared" si="214"/>
        <v>0.05</v>
      </c>
      <c r="N5781" s="475">
        <f t="shared" si="215"/>
        <v>226999</v>
      </c>
    </row>
    <row r="5782" spans="7:14" ht="11.25" customHeight="1" x14ac:dyDescent="0.3">
      <c r="G5782" s="470"/>
      <c r="H5782" s="470">
        <v>5775</v>
      </c>
      <c r="I5782" s="455">
        <f t="shared" ca="1" si="213"/>
        <v>-4610531665644484</v>
      </c>
      <c r="J5782" s="455">
        <f t="array" ref="J5782">IFERROR(INDEX('Retirement Calculator'!J:J,MATCH('Isaac 401k'!N5782,'Retirement Calculator'!A:A,0),0),0)</f>
        <v>0</v>
      </c>
      <c r="K5782" s="455">
        <f t="shared" ca="1" si="211"/>
        <v>-19210548606852.016</v>
      </c>
      <c r="L5782" s="455">
        <f t="shared" ca="1" si="212"/>
        <v>-4629742214251336</v>
      </c>
      <c r="M5782" s="471">
        <f t="shared" si="214"/>
        <v>0.05</v>
      </c>
      <c r="N5782" s="475">
        <f t="shared" si="215"/>
        <v>227030</v>
      </c>
    </row>
    <row r="5783" spans="7:14" ht="11.25" customHeight="1" x14ac:dyDescent="0.3">
      <c r="G5783" s="470"/>
      <c r="H5783" s="470">
        <v>5776</v>
      </c>
      <c r="I5783" s="455">
        <f t="shared" ca="1" si="213"/>
        <v>-4629742214251336</v>
      </c>
      <c r="J5783" s="455">
        <f t="array" ref="J5783">IFERROR(INDEX('Retirement Calculator'!J:J,MATCH('Isaac 401k'!N5783,'Retirement Calculator'!A:A,0),0),0)</f>
        <v>0</v>
      </c>
      <c r="K5783" s="455">
        <f t="shared" ca="1" si="211"/>
        <v>-19290592559380.566</v>
      </c>
      <c r="L5783" s="455">
        <f t="shared" ca="1" si="212"/>
        <v>-4649032806810717</v>
      </c>
      <c r="M5783" s="471">
        <f t="shared" si="214"/>
        <v>0.05</v>
      </c>
      <c r="N5783" s="475">
        <f t="shared" si="215"/>
        <v>227061</v>
      </c>
    </row>
    <row r="5784" spans="7:14" ht="11.25" customHeight="1" x14ac:dyDescent="0.3">
      <c r="G5784" s="470"/>
      <c r="H5784" s="470">
        <v>5777</v>
      </c>
      <c r="I5784" s="455">
        <f t="shared" ca="1" si="213"/>
        <v>-4649032806810717</v>
      </c>
      <c r="J5784" s="455">
        <f t="array" ref="J5784">IFERROR(INDEX('Retirement Calculator'!J:J,MATCH('Isaac 401k'!N5784,'Retirement Calculator'!A:A,0),0),0)</f>
        <v>0</v>
      </c>
      <c r="K5784" s="455">
        <f t="shared" ca="1" si="211"/>
        <v>-19370970028377.988</v>
      </c>
      <c r="L5784" s="455">
        <f t="shared" ca="1" si="212"/>
        <v>-4668403776839095</v>
      </c>
      <c r="M5784" s="471">
        <f t="shared" si="214"/>
        <v>0.05</v>
      </c>
      <c r="N5784" s="475">
        <f t="shared" si="215"/>
        <v>227091</v>
      </c>
    </row>
    <row r="5785" spans="7:14" ht="11.25" customHeight="1" x14ac:dyDescent="0.3">
      <c r="G5785" s="470"/>
      <c r="H5785" s="470">
        <v>5778</v>
      </c>
      <c r="I5785" s="455">
        <f t="shared" ca="1" si="213"/>
        <v>-4668403776839095</v>
      </c>
      <c r="J5785" s="455">
        <f t="array" ref="J5785">IFERROR(INDEX('Retirement Calculator'!J:J,MATCH('Isaac 401k'!N5785,'Retirement Calculator'!A:A,0),0),0)</f>
        <v>0</v>
      </c>
      <c r="K5785" s="455">
        <f t="shared" ca="1" si="211"/>
        <v>-19451682403496.23</v>
      </c>
      <c r="L5785" s="455">
        <f t="shared" ca="1" si="212"/>
        <v>-4687855459242591</v>
      </c>
      <c r="M5785" s="471">
        <f t="shared" si="214"/>
        <v>0.05</v>
      </c>
      <c r="N5785" s="475">
        <f t="shared" si="215"/>
        <v>227122</v>
      </c>
    </row>
    <row r="5786" spans="7:14" ht="11.25" customHeight="1" x14ac:dyDescent="0.3">
      <c r="G5786" s="470"/>
      <c r="H5786" s="470">
        <v>5779</v>
      </c>
      <c r="I5786" s="455">
        <f t="shared" ca="1" si="213"/>
        <v>-4687855459242591</v>
      </c>
      <c r="J5786" s="455">
        <f t="array" ref="J5786">IFERROR(INDEX('Retirement Calculator'!J:J,MATCH('Isaac 401k'!N5786,'Retirement Calculator'!A:A,0),0),0)</f>
        <v>0</v>
      </c>
      <c r="K5786" s="455">
        <f t="shared" ca="1" si="211"/>
        <v>-19532731080177.461</v>
      </c>
      <c r="L5786" s="455">
        <f t="shared" ca="1" si="212"/>
        <v>-4707388190322768</v>
      </c>
      <c r="M5786" s="471">
        <f t="shared" si="214"/>
        <v>0.05</v>
      </c>
      <c r="N5786" s="475">
        <f t="shared" si="215"/>
        <v>227152</v>
      </c>
    </row>
    <row r="5787" spans="7:14" ht="11.25" customHeight="1" x14ac:dyDescent="0.3">
      <c r="G5787" s="470"/>
      <c r="H5787" s="470">
        <v>5780</v>
      </c>
      <c r="I5787" s="455">
        <f t="shared" ca="1" si="213"/>
        <v>-4707388190322768</v>
      </c>
      <c r="J5787" s="455">
        <f t="array" ref="J5787">IFERROR(INDEX('Retirement Calculator'!J:J,MATCH('Isaac 401k'!N5787,'Retirement Calculator'!A:A,0),0),0)</f>
        <v>0</v>
      </c>
      <c r="K5787" s="455">
        <f t="shared" ca="1" si="211"/>
        <v>-19614117459678.199</v>
      </c>
      <c r="L5787" s="455">
        <f t="shared" ca="1" si="212"/>
        <v>-4727002307782446</v>
      </c>
      <c r="M5787" s="471">
        <f t="shared" si="214"/>
        <v>0.05</v>
      </c>
      <c r="N5787" s="475">
        <f t="shared" si="215"/>
        <v>227183</v>
      </c>
    </row>
    <row r="5788" spans="7:14" ht="11.25" customHeight="1" x14ac:dyDescent="0.3">
      <c r="G5788" s="470"/>
      <c r="H5788" s="470">
        <v>5781</v>
      </c>
      <c r="I5788" s="455">
        <f t="shared" ca="1" si="213"/>
        <v>-4727002307782446</v>
      </c>
      <c r="J5788" s="455">
        <f t="array" ref="J5788">IFERROR(INDEX('Retirement Calculator'!J:J,MATCH('Isaac 401k'!N5788,'Retirement Calculator'!A:A,0),0),0)</f>
        <v>0</v>
      </c>
      <c r="K5788" s="455">
        <f t="shared" ca="1" si="211"/>
        <v>-19695842949093.523</v>
      </c>
      <c r="L5788" s="455">
        <f t="shared" ca="1" si="212"/>
        <v>-4746698150731540</v>
      </c>
      <c r="M5788" s="471">
        <f t="shared" si="214"/>
        <v>0.05</v>
      </c>
      <c r="N5788" s="475">
        <f t="shared" si="215"/>
        <v>227214</v>
      </c>
    </row>
    <row r="5789" spans="7:14" ht="11.25" customHeight="1" x14ac:dyDescent="0.3">
      <c r="G5789" s="470"/>
      <c r="H5789" s="470">
        <v>5782</v>
      </c>
      <c r="I5789" s="455">
        <f t="shared" ca="1" si="213"/>
        <v>-4746698150731540</v>
      </c>
      <c r="J5789" s="455">
        <f t="array" ref="J5789">IFERROR(INDEX('Retirement Calculator'!J:J,MATCH('Isaac 401k'!N5789,'Retirement Calculator'!A:A,0),0),0)</f>
        <v>0</v>
      </c>
      <c r="K5789" s="455">
        <f t="shared" ca="1" si="211"/>
        <v>-19777908961381.418</v>
      </c>
      <c r="L5789" s="455">
        <f t="shared" ca="1" si="212"/>
        <v>-4766476059692921</v>
      </c>
      <c r="M5789" s="471">
        <f t="shared" si="214"/>
        <v>0.05</v>
      </c>
      <c r="N5789" s="475">
        <f t="shared" si="215"/>
        <v>227242</v>
      </c>
    </row>
    <row r="5790" spans="7:14" ht="11.25" customHeight="1" x14ac:dyDescent="0.3">
      <c r="G5790" s="470"/>
      <c r="H5790" s="470">
        <v>5783</v>
      </c>
      <c r="I5790" s="455">
        <f t="shared" ca="1" si="213"/>
        <v>-4766476059692921</v>
      </c>
      <c r="J5790" s="455">
        <f t="array" ref="J5790">IFERROR(INDEX('Retirement Calculator'!J:J,MATCH('Isaac 401k'!N5790,'Retirement Calculator'!A:A,0),0),0)</f>
        <v>0</v>
      </c>
      <c r="K5790" s="455">
        <f t="shared" ca="1" si="211"/>
        <v>-19860316915387.172</v>
      </c>
      <c r="L5790" s="455">
        <f t="shared" ca="1" si="212"/>
        <v>-4786336376608308</v>
      </c>
      <c r="M5790" s="471">
        <f t="shared" si="214"/>
        <v>0.05</v>
      </c>
      <c r="N5790" s="475">
        <f t="shared" si="215"/>
        <v>227273</v>
      </c>
    </row>
    <row r="5791" spans="7:14" ht="11.25" customHeight="1" x14ac:dyDescent="0.3">
      <c r="G5791" s="470"/>
      <c r="H5791" s="470">
        <v>5784</v>
      </c>
      <c r="I5791" s="455">
        <f t="shared" ca="1" si="213"/>
        <v>-4786336376608308</v>
      </c>
      <c r="J5791" s="455">
        <f t="array" ref="J5791">IFERROR(INDEX('Retirement Calculator'!J:J,MATCH('Isaac 401k'!N5791,'Retirement Calculator'!A:A,0),0),0)</f>
        <v>0</v>
      </c>
      <c r="K5791" s="455">
        <f t="shared" ca="1" si="211"/>
        <v>-19943068235867.949</v>
      </c>
      <c r="L5791" s="455">
        <f t="shared" ca="1" si="212"/>
        <v>-4806279444844176</v>
      </c>
      <c r="M5791" s="471">
        <f t="shared" si="214"/>
        <v>0.05</v>
      </c>
      <c r="N5791" s="475">
        <f t="shared" si="215"/>
        <v>227303</v>
      </c>
    </row>
    <row r="5792" spans="7:14" ht="11.25" customHeight="1" x14ac:dyDescent="0.3">
      <c r="G5792" s="470"/>
      <c r="H5792" s="470">
        <v>5785</v>
      </c>
      <c r="I5792" s="455">
        <f t="shared" ca="1" si="213"/>
        <v>-4806279444844176</v>
      </c>
      <c r="J5792" s="455">
        <f t="array" ref="J5792">IFERROR(INDEX('Retirement Calculator'!J:J,MATCH('Isaac 401k'!N5792,'Retirement Calculator'!A:A,0),0),0)</f>
        <v>0</v>
      </c>
      <c r="K5792" s="455">
        <f t="shared" ca="1" si="211"/>
        <v>-20026164353517.398</v>
      </c>
      <c r="L5792" s="455">
        <f t="shared" ca="1" si="212"/>
        <v>-4826305609197693</v>
      </c>
      <c r="M5792" s="471">
        <f t="shared" si="214"/>
        <v>0.05</v>
      </c>
      <c r="N5792" s="475">
        <f t="shared" si="215"/>
        <v>227334</v>
      </c>
    </row>
    <row r="5793" spans="7:14" ht="11.25" customHeight="1" x14ac:dyDescent="0.3">
      <c r="G5793" s="470"/>
      <c r="H5793" s="470">
        <v>5786</v>
      </c>
      <c r="I5793" s="455">
        <f t="shared" ca="1" si="213"/>
        <v>-4826305609197693</v>
      </c>
      <c r="J5793" s="455">
        <f t="array" ref="J5793">IFERROR(INDEX('Retirement Calculator'!J:J,MATCH('Isaac 401k'!N5793,'Retirement Calculator'!A:A,0),0),0)</f>
        <v>0</v>
      </c>
      <c r="K5793" s="455">
        <f t="shared" ca="1" si="211"/>
        <v>-20109606704990.387</v>
      </c>
      <c r="L5793" s="455">
        <f t="shared" ca="1" si="212"/>
        <v>-4846415215902683</v>
      </c>
      <c r="M5793" s="471">
        <f t="shared" si="214"/>
        <v>0.05</v>
      </c>
      <c r="N5793" s="475">
        <f t="shared" si="215"/>
        <v>227364</v>
      </c>
    </row>
    <row r="5794" spans="7:14" ht="11.25" customHeight="1" x14ac:dyDescent="0.3">
      <c r="G5794" s="470"/>
      <c r="H5794" s="470">
        <v>5787</v>
      </c>
      <c r="I5794" s="455">
        <f t="shared" ca="1" si="213"/>
        <v>-4846415215902683</v>
      </c>
      <c r="J5794" s="455">
        <f t="array" ref="J5794">IFERROR(INDEX('Retirement Calculator'!J:J,MATCH('Isaac 401k'!N5794,'Retirement Calculator'!A:A,0),0),0)</f>
        <v>0</v>
      </c>
      <c r="K5794" s="455">
        <f t="shared" ca="1" si="211"/>
        <v>-20193396732927.844</v>
      </c>
      <c r="L5794" s="455">
        <f t="shared" ca="1" si="212"/>
        <v>-4866608612635611</v>
      </c>
      <c r="M5794" s="471">
        <f t="shared" si="214"/>
        <v>0.05</v>
      </c>
      <c r="N5794" s="475">
        <f t="shared" si="215"/>
        <v>227395</v>
      </c>
    </row>
    <row r="5795" spans="7:14" ht="11.25" customHeight="1" x14ac:dyDescent="0.3">
      <c r="G5795" s="470"/>
      <c r="H5795" s="470">
        <v>5788</v>
      </c>
      <c r="I5795" s="455">
        <f t="shared" ca="1" si="213"/>
        <v>-4866608612635611</v>
      </c>
      <c r="J5795" s="455">
        <f t="array" ref="J5795">IFERROR(INDEX('Retirement Calculator'!J:J,MATCH('Isaac 401k'!N5795,'Retirement Calculator'!A:A,0),0),0)</f>
        <v>0</v>
      </c>
      <c r="K5795" s="455">
        <f t="shared" ca="1" si="211"/>
        <v>-20277535885981.711</v>
      </c>
      <c r="L5795" s="455">
        <f t="shared" ca="1" si="212"/>
        <v>-4886886148521593</v>
      </c>
      <c r="M5795" s="471">
        <f t="shared" si="214"/>
        <v>0.05</v>
      </c>
      <c r="N5795" s="475">
        <f t="shared" si="215"/>
        <v>227426</v>
      </c>
    </row>
    <row r="5796" spans="7:14" ht="11.25" customHeight="1" x14ac:dyDescent="0.3">
      <c r="G5796" s="470"/>
      <c r="H5796" s="470">
        <v>5789</v>
      </c>
      <c r="I5796" s="455">
        <f t="shared" ca="1" si="213"/>
        <v>-4886886148521593</v>
      </c>
      <c r="J5796" s="455">
        <f t="array" ref="J5796">IFERROR(INDEX('Retirement Calculator'!J:J,MATCH('Isaac 401k'!N5796,'Retirement Calculator'!A:A,0),0),0)</f>
        <v>0</v>
      </c>
      <c r="K5796" s="455">
        <f t="shared" ca="1" si="211"/>
        <v>-20362025618839.969</v>
      </c>
      <c r="L5796" s="455">
        <f t="shared" ca="1" si="212"/>
        <v>-4907248174140433</v>
      </c>
      <c r="M5796" s="471">
        <f t="shared" si="214"/>
        <v>0.05</v>
      </c>
      <c r="N5796" s="475">
        <f t="shared" si="215"/>
        <v>227456</v>
      </c>
    </row>
    <row r="5797" spans="7:14" ht="11.25" customHeight="1" x14ac:dyDescent="0.3">
      <c r="G5797" s="470"/>
      <c r="H5797" s="470">
        <v>5790</v>
      </c>
      <c r="I5797" s="455">
        <f t="shared" ca="1" si="213"/>
        <v>-4907248174140433</v>
      </c>
      <c r="J5797" s="455">
        <f t="array" ref="J5797">IFERROR(INDEX('Retirement Calculator'!J:J,MATCH('Isaac 401k'!N5797,'Retirement Calculator'!A:A,0),0),0)</f>
        <v>0</v>
      </c>
      <c r="K5797" s="455">
        <f t="shared" ca="1" si="211"/>
        <v>-20446867392251.805</v>
      </c>
      <c r="L5797" s="455">
        <f t="shared" ca="1" si="212"/>
        <v>-4927695041532685</v>
      </c>
      <c r="M5797" s="471">
        <f t="shared" si="214"/>
        <v>0.05</v>
      </c>
      <c r="N5797" s="475">
        <f t="shared" si="215"/>
        <v>227487</v>
      </c>
    </row>
    <row r="5798" spans="7:14" ht="11.25" customHeight="1" x14ac:dyDescent="0.3">
      <c r="G5798" s="470"/>
      <c r="H5798" s="470">
        <v>5791</v>
      </c>
      <c r="I5798" s="455">
        <f t="shared" ca="1" si="213"/>
        <v>-4927695041532685</v>
      </c>
      <c r="J5798" s="455">
        <f t="array" ref="J5798">IFERROR(INDEX('Retirement Calculator'!J:J,MATCH('Isaac 401k'!N5798,'Retirement Calculator'!A:A,0),0),0)</f>
        <v>0</v>
      </c>
      <c r="K5798" s="455">
        <f t="shared" ca="1" si="211"/>
        <v>-20532062673052.855</v>
      </c>
      <c r="L5798" s="455">
        <f t="shared" ca="1" si="212"/>
        <v>-4948227104205738</v>
      </c>
      <c r="M5798" s="471">
        <f t="shared" si="214"/>
        <v>0.05</v>
      </c>
      <c r="N5798" s="475">
        <f t="shared" si="215"/>
        <v>227517</v>
      </c>
    </row>
    <row r="5799" spans="7:14" ht="11.25" customHeight="1" x14ac:dyDescent="0.3">
      <c r="G5799" s="470"/>
      <c r="H5799" s="470">
        <v>5792</v>
      </c>
      <c r="I5799" s="455">
        <f t="shared" ca="1" si="213"/>
        <v>-4948227104205738</v>
      </c>
      <c r="J5799" s="455">
        <f t="array" ref="J5799">IFERROR(INDEX('Retirement Calculator'!J:J,MATCH('Isaac 401k'!N5799,'Retirement Calculator'!A:A,0),0),0)</f>
        <v>0</v>
      </c>
      <c r="K5799" s="455">
        <f t="shared" ca="1" si="211"/>
        <v>-20617612934190.574</v>
      </c>
      <c r="L5799" s="455">
        <f t="shared" ca="1" si="212"/>
        <v>-4968844717139929</v>
      </c>
      <c r="M5799" s="471">
        <f t="shared" si="214"/>
        <v>0.05</v>
      </c>
      <c r="N5799" s="475">
        <f t="shared" si="215"/>
        <v>227548</v>
      </c>
    </row>
    <row r="5800" spans="7:14" ht="11.25" customHeight="1" x14ac:dyDescent="0.3">
      <c r="G5800" s="470"/>
      <c r="H5800" s="470">
        <v>5793</v>
      </c>
      <c r="I5800" s="455">
        <f t="shared" ca="1" si="213"/>
        <v>-4968844717139929</v>
      </c>
      <c r="J5800" s="455">
        <f t="array" ref="J5800">IFERROR(INDEX('Retirement Calculator'!J:J,MATCH('Isaac 401k'!N5800,'Retirement Calculator'!A:A,0),0),0)</f>
        <v>0</v>
      </c>
      <c r="K5800" s="455">
        <f t="shared" ca="1" si="211"/>
        <v>-20703519654749.703</v>
      </c>
      <c r="L5800" s="455">
        <f t="shared" ca="1" si="212"/>
        <v>-4989548236794679</v>
      </c>
      <c r="M5800" s="471">
        <f t="shared" si="214"/>
        <v>0.05</v>
      </c>
      <c r="N5800" s="475">
        <f t="shared" si="215"/>
        <v>227579</v>
      </c>
    </row>
    <row r="5801" spans="7:14" ht="11.25" customHeight="1" x14ac:dyDescent="0.3">
      <c r="G5801" s="470"/>
      <c r="H5801" s="470">
        <v>5794</v>
      </c>
      <c r="I5801" s="455">
        <f t="shared" ca="1" si="213"/>
        <v>-4989548236794679</v>
      </c>
      <c r="J5801" s="455">
        <f t="array" ref="J5801">IFERROR(INDEX('Retirement Calculator'!J:J,MATCH('Isaac 401k'!N5801,'Retirement Calculator'!A:A,0),0),0)</f>
        <v>0</v>
      </c>
      <c r="K5801" s="455">
        <f t="shared" ca="1" si="211"/>
        <v>-20789784319977.828</v>
      </c>
      <c r="L5801" s="455">
        <f t="shared" ca="1" si="212"/>
        <v>-5010338021114657</v>
      </c>
      <c r="M5801" s="471">
        <f t="shared" si="214"/>
        <v>0.05</v>
      </c>
      <c r="N5801" s="475">
        <f t="shared" si="215"/>
        <v>227607</v>
      </c>
    </row>
    <row r="5802" spans="7:14" ht="11.25" customHeight="1" x14ac:dyDescent="0.3">
      <c r="G5802" s="470"/>
      <c r="H5802" s="470">
        <v>5795</v>
      </c>
      <c r="I5802" s="455">
        <f t="shared" ca="1" si="213"/>
        <v>-5010338021114657</v>
      </c>
      <c r="J5802" s="455">
        <f t="array" ref="J5802">IFERROR(INDEX('Retirement Calculator'!J:J,MATCH('Isaac 401k'!N5802,'Retirement Calculator'!A:A,0),0),0)</f>
        <v>0</v>
      </c>
      <c r="K5802" s="455">
        <f t="shared" ca="1" si="211"/>
        <v>-20876408421311.07</v>
      </c>
      <c r="L5802" s="455">
        <f t="shared" ca="1" si="212"/>
        <v>-5031214429535968</v>
      </c>
      <c r="M5802" s="471">
        <f t="shared" si="214"/>
        <v>0.05</v>
      </c>
      <c r="N5802" s="475">
        <f t="shared" si="215"/>
        <v>227638</v>
      </c>
    </row>
    <row r="5803" spans="7:14" ht="11.25" customHeight="1" x14ac:dyDescent="0.3">
      <c r="G5803" s="470"/>
      <c r="H5803" s="470">
        <v>5796</v>
      </c>
      <c r="I5803" s="455">
        <f t="shared" ca="1" si="213"/>
        <v>-5031214429535968</v>
      </c>
      <c r="J5803" s="455">
        <f t="array" ref="J5803">IFERROR(INDEX('Retirement Calculator'!J:J,MATCH('Isaac 401k'!N5803,'Retirement Calculator'!A:A,0),0),0)</f>
        <v>0</v>
      </c>
      <c r="K5803" s="455">
        <f t="shared" ca="1" si="211"/>
        <v>-20963393456399.867</v>
      </c>
      <c r="L5803" s="455">
        <f t="shared" ca="1" si="212"/>
        <v>-5052177822992368</v>
      </c>
      <c r="M5803" s="471">
        <f t="shared" si="214"/>
        <v>0.05</v>
      </c>
      <c r="N5803" s="475">
        <f t="shared" si="215"/>
        <v>227668</v>
      </c>
    </row>
    <row r="5804" spans="7:14" ht="11.25" customHeight="1" x14ac:dyDescent="0.3">
      <c r="G5804" s="470"/>
      <c r="H5804" s="470">
        <v>5797</v>
      </c>
      <c r="I5804" s="455">
        <f t="shared" ca="1" si="213"/>
        <v>-5052177822992368</v>
      </c>
      <c r="J5804" s="455">
        <f t="array" ref="J5804">IFERROR(INDEX('Retirement Calculator'!J:J,MATCH('Isaac 401k'!N5804,'Retirement Calculator'!A:A,0),0),0)</f>
        <v>0</v>
      </c>
      <c r="K5804" s="455">
        <f t="shared" ca="1" si="211"/>
        <v>-21050740929134.867</v>
      </c>
      <c r="L5804" s="455">
        <f t="shared" ca="1" si="212"/>
        <v>-5073228563921503</v>
      </c>
      <c r="M5804" s="471">
        <f t="shared" si="214"/>
        <v>0.05</v>
      </c>
      <c r="N5804" s="475">
        <f t="shared" si="215"/>
        <v>227699</v>
      </c>
    </row>
    <row r="5805" spans="7:14" ht="11.25" customHeight="1" x14ac:dyDescent="0.3">
      <c r="G5805" s="470"/>
      <c r="H5805" s="470">
        <v>5798</v>
      </c>
      <c r="I5805" s="455">
        <f t="shared" ca="1" si="213"/>
        <v>-5073228563921503</v>
      </c>
      <c r="J5805" s="455">
        <f t="array" ref="J5805">IFERROR(INDEX('Retirement Calculator'!J:J,MATCH('Isaac 401k'!N5805,'Retirement Calculator'!A:A,0),0),0)</f>
        <v>0</v>
      </c>
      <c r="K5805" s="455">
        <f t="shared" ca="1" si="211"/>
        <v>-21138452349672.93</v>
      </c>
      <c r="L5805" s="455">
        <f t="shared" ca="1" si="212"/>
        <v>-5094367016271176</v>
      </c>
      <c r="M5805" s="471">
        <f t="shared" si="214"/>
        <v>0.05</v>
      </c>
      <c r="N5805" s="475">
        <f t="shared" si="215"/>
        <v>227729</v>
      </c>
    </row>
    <row r="5806" spans="7:14" ht="11.25" customHeight="1" x14ac:dyDescent="0.3">
      <c r="G5806" s="470"/>
      <c r="H5806" s="470">
        <v>5799</v>
      </c>
      <c r="I5806" s="455">
        <f t="shared" ca="1" si="213"/>
        <v>-5094367016271176</v>
      </c>
      <c r="J5806" s="455">
        <f t="array" ref="J5806">IFERROR(INDEX('Retirement Calculator'!J:J,MATCH('Isaac 401k'!N5806,'Retirement Calculator'!A:A,0),0),0)</f>
        <v>0</v>
      </c>
      <c r="K5806" s="455">
        <f t="shared" ca="1" si="211"/>
        <v>-21226529234463.234</v>
      </c>
      <c r="L5806" s="455">
        <f t="shared" ca="1" si="212"/>
        <v>-5115593545505639</v>
      </c>
      <c r="M5806" s="471">
        <f t="shared" si="214"/>
        <v>0.05</v>
      </c>
      <c r="N5806" s="475">
        <f t="shared" si="215"/>
        <v>227760</v>
      </c>
    </row>
    <row r="5807" spans="7:14" ht="11.25" customHeight="1" x14ac:dyDescent="0.3">
      <c r="G5807" s="470"/>
      <c r="H5807" s="470">
        <v>5800</v>
      </c>
      <c r="I5807" s="455">
        <f t="shared" ca="1" si="213"/>
        <v>-5115593545505639</v>
      </c>
      <c r="J5807" s="455">
        <f t="array" ref="J5807">IFERROR(INDEX('Retirement Calculator'!J:J,MATCH('Isaac 401k'!N5807,'Retirement Calculator'!A:A,0),0),0)</f>
        <v>0</v>
      </c>
      <c r="K5807" s="455">
        <f t="shared" ca="1" si="211"/>
        <v>-21314973106273.496</v>
      </c>
      <c r="L5807" s="455">
        <f t="shared" ca="1" si="212"/>
        <v>-5136908518611912</v>
      </c>
      <c r="M5807" s="471">
        <f t="shared" si="214"/>
        <v>0.05</v>
      </c>
      <c r="N5807" s="475">
        <f t="shared" si="215"/>
        <v>227791</v>
      </c>
    </row>
    <row r="5808" spans="7:14" ht="11.25" customHeight="1" x14ac:dyDescent="0.3">
      <c r="G5808" s="470"/>
      <c r="H5808" s="470">
        <v>5801</v>
      </c>
      <c r="I5808" s="455">
        <f t="shared" ca="1" si="213"/>
        <v>-5136908518611912</v>
      </c>
      <c r="J5808" s="455">
        <f t="array" ref="J5808">IFERROR(INDEX('Retirement Calculator'!J:J,MATCH('Isaac 401k'!N5808,'Retirement Calculator'!A:A,0),0),0)</f>
        <v>0</v>
      </c>
      <c r="K5808" s="455">
        <f t="shared" ca="1" si="211"/>
        <v>-21403785494216.301</v>
      </c>
      <c r="L5808" s="455">
        <f t="shared" ca="1" si="212"/>
        <v>-5158312304106128</v>
      </c>
      <c r="M5808" s="471">
        <f t="shared" si="214"/>
        <v>0.05</v>
      </c>
      <c r="N5808" s="475">
        <f t="shared" si="215"/>
        <v>227821</v>
      </c>
    </row>
    <row r="5809" spans="7:14" ht="11.25" customHeight="1" x14ac:dyDescent="0.3">
      <c r="G5809" s="470"/>
      <c r="H5809" s="470">
        <v>5802</v>
      </c>
      <c r="I5809" s="455">
        <f t="shared" ca="1" si="213"/>
        <v>-5158312304106128</v>
      </c>
      <c r="J5809" s="455">
        <f t="array" ref="J5809">IFERROR(INDEX('Retirement Calculator'!J:J,MATCH('Isaac 401k'!N5809,'Retirement Calculator'!A:A,0),0),0)</f>
        <v>0</v>
      </c>
      <c r="K5809" s="455">
        <f t="shared" ca="1" si="211"/>
        <v>-21492967933775.531</v>
      </c>
      <c r="L5809" s="455">
        <f t="shared" ca="1" si="212"/>
        <v>-5179805272039904</v>
      </c>
      <c r="M5809" s="471">
        <f t="shared" si="214"/>
        <v>0.05</v>
      </c>
      <c r="N5809" s="475">
        <f t="shared" si="215"/>
        <v>227852</v>
      </c>
    </row>
    <row r="5810" spans="7:14" ht="11.25" customHeight="1" x14ac:dyDescent="0.3">
      <c r="G5810" s="470"/>
      <c r="H5810" s="470">
        <v>5803</v>
      </c>
      <c r="I5810" s="455">
        <f t="shared" ca="1" si="213"/>
        <v>-5179805272039904</v>
      </c>
      <c r="J5810" s="455">
        <f t="array" ref="J5810">IFERROR(INDEX('Retirement Calculator'!J:J,MATCH('Isaac 401k'!N5810,'Retirement Calculator'!A:A,0),0),0)</f>
        <v>0</v>
      </c>
      <c r="K5810" s="455">
        <f t="shared" ca="1" si="211"/>
        <v>-21582521966832.934</v>
      </c>
      <c r="L5810" s="455">
        <f t="shared" ca="1" si="212"/>
        <v>-5201387794006737</v>
      </c>
      <c r="M5810" s="471">
        <f t="shared" si="214"/>
        <v>0.05</v>
      </c>
      <c r="N5810" s="475">
        <f t="shared" si="215"/>
        <v>227882</v>
      </c>
    </row>
    <row r="5811" spans="7:14" ht="11.25" customHeight="1" x14ac:dyDescent="0.3">
      <c r="G5811" s="470"/>
      <c r="H5811" s="470">
        <v>5804</v>
      </c>
      <c r="I5811" s="455">
        <f t="shared" ca="1" si="213"/>
        <v>-5201387794006737</v>
      </c>
      <c r="J5811" s="455">
        <f t="array" ref="J5811">IFERROR(INDEX('Retirement Calculator'!J:J,MATCH('Isaac 401k'!N5811,'Retirement Calculator'!A:A,0),0),0)</f>
        <v>0</v>
      </c>
      <c r="K5811" s="455">
        <f t="shared" ca="1" si="211"/>
        <v>-21672449141694.738</v>
      </c>
      <c r="L5811" s="455">
        <f t="shared" ca="1" si="212"/>
        <v>-5223060243148432</v>
      </c>
      <c r="M5811" s="471">
        <f t="shared" si="214"/>
        <v>0.05</v>
      </c>
      <c r="N5811" s="475">
        <f t="shared" si="215"/>
        <v>227913</v>
      </c>
    </row>
    <row r="5812" spans="7:14" ht="11.25" customHeight="1" x14ac:dyDescent="0.3">
      <c r="G5812" s="470"/>
      <c r="H5812" s="470">
        <v>5805</v>
      </c>
      <c r="I5812" s="455">
        <f t="shared" ca="1" si="213"/>
        <v>-5223060243148432</v>
      </c>
      <c r="J5812" s="455">
        <f t="array" ref="J5812">IFERROR(INDEX('Retirement Calculator'!J:J,MATCH('Isaac 401k'!N5812,'Retirement Calculator'!A:A,0),0),0)</f>
        <v>0</v>
      </c>
      <c r="K5812" s="455">
        <f t="shared" ca="1" si="211"/>
        <v>-21762751013118.465</v>
      </c>
      <c r="L5812" s="455">
        <f t="shared" ca="1" si="212"/>
        <v>-5244822994161550</v>
      </c>
      <c r="M5812" s="471">
        <f t="shared" si="214"/>
        <v>0.05</v>
      </c>
      <c r="N5812" s="475">
        <f t="shared" si="215"/>
        <v>227944</v>
      </c>
    </row>
    <row r="5813" spans="7:14" ht="11.25" customHeight="1" x14ac:dyDescent="0.3">
      <c r="G5813" s="470"/>
      <c r="H5813" s="470">
        <v>5806</v>
      </c>
      <c r="I5813" s="455">
        <f t="shared" ca="1" si="213"/>
        <v>-5244822994161550</v>
      </c>
      <c r="J5813" s="455">
        <f t="array" ref="J5813">IFERROR(INDEX('Retirement Calculator'!J:J,MATCH('Isaac 401k'!N5813,'Retirement Calculator'!A:A,0),0),0)</f>
        <v>0</v>
      </c>
      <c r="K5813" s="455">
        <f t="shared" ca="1" si="211"/>
        <v>-21853429142339.793</v>
      </c>
      <c r="L5813" s="455">
        <f t="shared" ca="1" si="212"/>
        <v>-5266676423303890</v>
      </c>
      <c r="M5813" s="471">
        <f t="shared" si="214"/>
        <v>0.05</v>
      </c>
      <c r="N5813" s="475">
        <f t="shared" si="215"/>
        <v>227973</v>
      </c>
    </row>
    <row r="5814" spans="7:14" ht="11.25" customHeight="1" x14ac:dyDescent="0.3">
      <c r="G5814" s="470"/>
      <c r="H5814" s="470">
        <v>5807</v>
      </c>
      <c r="I5814" s="455">
        <f t="shared" ca="1" si="213"/>
        <v>-5266676423303890</v>
      </c>
      <c r="J5814" s="455">
        <f t="array" ref="J5814">IFERROR(INDEX('Retirement Calculator'!J:J,MATCH('Isaac 401k'!N5814,'Retirement Calculator'!A:A,0),0),0)</f>
        <v>0</v>
      </c>
      <c r="K5814" s="455">
        <f t="shared" ca="1" si="211"/>
        <v>-21944485097099.543</v>
      </c>
      <c r="L5814" s="455">
        <f t="shared" ca="1" si="212"/>
        <v>-5288620908400990</v>
      </c>
      <c r="M5814" s="471">
        <f t="shared" si="214"/>
        <v>0.05</v>
      </c>
      <c r="N5814" s="475">
        <f t="shared" si="215"/>
        <v>228004</v>
      </c>
    </row>
    <row r="5815" spans="7:14" ht="11.25" customHeight="1" x14ac:dyDescent="0.3">
      <c r="G5815" s="470"/>
      <c r="H5815" s="470">
        <v>5808</v>
      </c>
      <c r="I5815" s="455">
        <f t="shared" ca="1" si="213"/>
        <v>-5288620908400990</v>
      </c>
      <c r="J5815" s="455">
        <f t="array" ref="J5815">IFERROR(INDEX('Retirement Calculator'!J:J,MATCH('Isaac 401k'!N5815,'Retirement Calculator'!A:A,0),0),0)</f>
        <v>0</v>
      </c>
      <c r="K5815" s="455">
        <f t="shared" ca="1" si="211"/>
        <v>-22035920451670.793</v>
      </c>
      <c r="L5815" s="455">
        <f t="shared" ca="1" si="212"/>
        <v>-5310656828852661</v>
      </c>
      <c r="M5815" s="471">
        <f t="shared" si="214"/>
        <v>0.05</v>
      </c>
      <c r="N5815" s="475">
        <f t="shared" si="215"/>
        <v>228034</v>
      </c>
    </row>
    <row r="5816" spans="7:14" ht="11.25" customHeight="1" x14ac:dyDescent="0.3">
      <c r="G5816" s="470"/>
      <c r="H5816" s="470">
        <v>5809</v>
      </c>
      <c r="I5816" s="455">
        <f t="shared" ca="1" si="213"/>
        <v>-5310656828852661</v>
      </c>
      <c r="J5816" s="455">
        <f t="array" ref="J5816">IFERROR(INDEX('Retirement Calculator'!J:J,MATCH('Isaac 401k'!N5816,'Retirement Calculator'!A:A,0),0),0)</f>
        <v>0</v>
      </c>
      <c r="K5816" s="455">
        <f t="shared" ca="1" si="211"/>
        <v>-22127736786886.086</v>
      </c>
      <c r="L5816" s="455">
        <f t="shared" ca="1" si="212"/>
        <v>-5332784565639547</v>
      </c>
      <c r="M5816" s="471">
        <f t="shared" si="214"/>
        <v>0.05</v>
      </c>
      <c r="N5816" s="475">
        <f t="shared" si="215"/>
        <v>228065</v>
      </c>
    </row>
    <row r="5817" spans="7:14" ht="11.25" customHeight="1" x14ac:dyDescent="0.3">
      <c r="G5817" s="470"/>
      <c r="H5817" s="470">
        <v>5810</v>
      </c>
      <c r="I5817" s="455">
        <f t="shared" ca="1" si="213"/>
        <v>-5332784565639547</v>
      </c>
      <c r="J5817" s="455">
        <f t="array" ref="J5817">IFERROR(INDEX('Retirement Calculator'!J:J,MATCH('Isaac 401k'!N5817,'Retirement Calculator'!A:A,0),0),0)</f>
        <v>0</v>
      </c>
      <c r="K5817" s="455">
        <f t="shared" ca="1" si="211"/>
        <v>-22219935690164.777</v>
      </c>
      <c r="L5817" s="455">
        <f t="shared" ca="1" si="212"/>
        <v>-5355004501329712</v>
      </c>
      <c r="M5817" s="471">
        <f t="shared" si="214"/>
        <v>0.05</v>
      </c>
      <c r="N5817" s="475">
        <f t="shared" si="215"/>
        <v>228095</v>
      </c>
    </row>
    <row r="5818" spans="7:14" ht="11.25" customHeight="1" x14ac:dyDescent="0.3">
      <c r="G5818" s="470"/>
      <c r="H5818" s="470">
        <v>5811</v>
      </c>
      <c r="I5818" s="455">
        <f t="shared" ca="1" si="213"/>
        <v>-5355004501329712</v>
      </c>
      <c r="J5818" s="455">
        <f t="array" ref="J5818">IFERROR(INDEX('Retirement Calculator'!J:J,MATCH('Isaac 401k'!N5818,'Retirement Calculator'!A:A,0),0),0)</f>
        <v>0</v>
      </c>
      <c r="K5818" s="455">
        <f t="shared" ca="1" si="211"/>
        <v>-22312518755540.465</v>
      </c>
      <c r="L5818" s="455">
        <f t="shared" ca="1" si="212"/>
        <v>-5377317020085252</v>
      </c>
      <c r="M5818" s="471">
        <f t="shared" si="214"/>
        <v>0.05</v>
      </c>
      <c r="N5818" s="475">
        <f t="shared" si="215"/>
        <v>228126</v>
      </c>
    </row>
    <row r="5819" spans="7:14" ht="11.25" customHeight="1" x14ac:dyDescent="0.3">
      <c r="G5819" s="470"/>
      <c r="H5819" s="470">
        <v>5812</v>
      </c>
      <c r="I5819" s="455">
        <f t="shared" ca="1" si="213"/>
        <v>-5377317020085252</v>
      </c>
      <c r="J5819" s="455">
        <f t="array" ref="J5819">IFERROR(INDEX('Retirement Calculator'!J:J,MATCH('Isaac 401k'!N5819,'Retirement Calculator'!A:A,0),0),0)</f>
        <v>0</v>
      </c>
      <c r="K5819" s="455">
        <f t="shared" ca="1" si="211"/>
        <v>-22405487583688.551</v>
      </c>
      <c r="L5819" s="455">
        <f t="shared" ca="1" si="212"/>
        <v>-5399722507668941</v>
      </c>
      <c r="M5819" s="471">
        <f t="shared" si="214"/>
        <v>0.05</v>
      </c>
      <c r="N5819" s="475">
        <f t="shared" si="215"/>
        <v>228157</v>
      </c>
    </row>
    <row r="5820" spans="7:14" ht="11.25" customHeight="1" x14ac:dyDescent="0.3">
      <c r="G5820" s="470"/>
      <c r="H5820" s="470">
        <v>5813</v>
      </c>
      <c r="I5820" s="455">
        <f t="shared" ca="1" si="213"/>
        <v>-5399722507668941</v>
      </c>
      <c r="J5820" s="455">
        <f t="array" ref="J5820">IFERROR(INDEX('Retirement Calculator'!J:J,MATCH('Isaac 401k'!N5820,'Retirement Calculator'!A:A,0),0),0)</f>
        <v>0</v>
      </c>
      <c r="K5820" s="455">
        <f t="shared" ca="1" si="211"/>
        <v>-22498843781953.922</v>
      </c>
      <c r="L5820" s="455">
        <f t="shared" ca="1" si="212"/>
        <v>-5422221351450895</v>
      </c>
      <c r="M5820" s="471">
        <f t="shared" si="214"/>
        <v>0.05</v>
      </c>
      <c r="N5820" s="475">
        <f t="shared" si="215"/>
        <v>228187</v>
      </c>
    </row>
    <row r="5821" spans="7:14" ht="11.25" customHeight="1" x14ac:dyDescent="0.3">
      <c r="G5821" s="470"/>
      <c r="H5821" s="470">
        <v>5814</v>
      </c>
      <c r="I5821" s="455">
        <f t="shared" ca="1" si="213"/>
        <v>-5422221351450895</v>
      </c>
      <c r="J5821" s="455">
        <f t="array" ref="J5821">IFERROR(INDEX('Retirement Calculator'!J:J,MATCH('Isaac 401k'!N5821,'Retirement Calculator'!A:A,0),0),0)</f>
        <v>0</v>
      </c>
      <c r="K5821" s="455">
        <f t="shared" ca="1" si="211"/>
        <v>-22592588964378.73</v>
      </c>
      <c r="L5821" s="455">
        <f t="shared" ca="1" si="212"/>
        <v>-5444813940415274</v>
      </c>
      <c r="M5821" s="471">
        <f t="shared" si="214"/>
        <v>0.05</v>
      </c>
      <c r="N5821" s="475">
        <f t="shared" si="215"/>
        <v>228218</v>
      </c>
    </row>
    <row r="5822" spans="7:14" ht="11.25" customHeight="1" x14ac:dyDescent="0.3">
      <c r="G5822" s="470"/>
      <c r="H5822" s="470">
        <v>5815</v>
      </c>
      <c r="I5822" s="455">
        <f t="shared" ca="1" si="213"/>
        <v>-5444813940415274</v>
      </c>
      <c r="J5822" s="455">
        <f t="array" ref="J5822">IFERROR(INDEX('Retirement Calculator'!J:J,MATCH('Isaac 401k'!N5822,'Retirement Calculator'!A:A,0),0),0)</f>
        <v>0</v>
      </c>
      <c r="K5822" s="455">
        <f t="shared" ca="1" si="211"/>
        <v>-22686724751730.309</v>
      </c>
      <c r="L5822" s="455">
        <f t="shared" ca="1" si="212"/>
        <v>-5467500665167004</v>
      </c>
      <c r="M5822" s="471">
        <f t="shared" si="214"/>
        <v>0.05</v>
      </c>
      <c r="N5822" s="475">
        <f t="shared" si="215"/>
        <v>228248</v>
      </c>
    </row>
    <row r="5823" spans="7:14" ht="11.25" customHeight="1" x14ac:dyDescent="0.3">
      <c r="G5823" s="470"/>
      <c r="H5823" s="470">
        <v>5816</v>
      </c>
      <c r="I5823" s="455">
        <f t="shared" ca="1" si="213"/>
        <v>-5467500665167004</v>
      </c>
      <c r="J5823" s="455">
        <f t="array" ref="J5823">IFERROR(INDEX('Retirement Calculator'!J:J,MATCH('Isaac 401k'!N5823,'Retirement Calculator'!A:A,0),0),0)</f>
        <v>0</v>
      </c>
      <c r="K5823" s="455">
        <f t="shared" ca="1" si="211"/>
        <v>-22781252771529.184</v>
      </c>
      <c r="L5823" s="455">
        <f t="shared" ca="1" si="212"/>
        <v>-5490281917938533</v>
      </c>
      <c r="M5823" s="471">
        <f t="shared" si="214"/>
        <v>0.05</v>
      </c>
      <c r="N5823" s="475">
        <f t="shared" si="215"/>
        <v>228279</v>
      </c>
    </row>
    <row r="5824" spans="7:14" ht="11.25" customHeight="1" x14ac:dyDescent="0.3">
      <c r="G5824" s="470"/>
      <c r="H5824" s="470">
        <v>5817</v>
      </c>
      <c r="I5824" s="455">
        <f t="shared" ca="1" si="213"/>
        <v>-5490281917938533</v>
      </c>
      <c r="J5824" s="455">
        <f t="array" ref="J5824">IFERROR(INDEX('Retirement Calculator'!J:J,MATCH('Isaac 401k'!N5824,'Retirement Calculator'!A:A,0),0),0)</f>
        <v>0</v>
      </c>
      <c r="K5824" s="455">
        <f t="shared" ca="1" si="211"/>
        <v>-22876174658077.219</v>
      </c>
      <c r="L5824" s="455">
        <f t="shared" ca="1" si="212"/>
        <v>-5513158092596610</v>
      </c>
      <c r="M5824" s="471">
        <f t="shared" si="214"/>
        <v>0.05</v>
      </c>
      <c r="N5824" s="475">
        <f t="shared" si="215"/>
        <v>228310</v>
      </c>
    </row>
    <row r="5825" spans="7:14" ht="11.25" customHeight="1" x14ac:dyDescent="0.3">
      <c r="G5825" s="470"/>
      <c r="H5825" s="470">
        <v>5818</v>
      </c>
      <c r="I5825" s="455">
        <f t="shared" ca="1" si="213"/>
        <v>-5513158092596610</v>
      </c>
      <c r="J5825" s="455">
        <f t="array" ref="J5825">IFERROR(INDEX('Retirement Calculator'!J:J,MATCH('Isaac 401k'!N5825,'Retirement Calculator'!A:A,0),0),0)</f>
        <v>0</v>
      </c>
      <c r="K5825" s="455">
        <f t="shared" ca="1" si="211"/>
        <v>-22971492052485.875</v>
      </c>
      <c r="L5825" s="455">
        <f t="shared" ca="1" si="212"/>
        <v>-5536129584649096</v>
      </c>
      <c r="M5825" s="471">
        <f t="shared" si="214"/>
        <v>0.05</v>
      </c>
      <c r="N5825" s="475">
        <f t="shared" si="215"/>
        <v>228338</v>
      </c>
    </row>
    <row r="5826" spans="7:14" ht="11.25" customHeight="1" x14ac:dyDescent="0.3">
      <c r="G5826" s="470"/>
      <c r="H5826" s="470">
        <v>5819</v>
      </c>
      <c r="I5826" s="455">
        <f t="shared" ca="1" si="213"/>
        <v>-5536129584649096</v>
      </c>
      <c r="J5826" s="455">
        <f t="array" ref="J5826">IFERROR(INDEX('Retirement Calculator'!J:J,MATCH('Isaac 401k'!N5826,'Retirement Calculator'!A:A,0),0),0)</f>
        <v>0</v>
      </c>
      <c r="K5826" s="455">
        <f t="shared" ca="1" si="211"/>
        <v>-23067206602704.566</v>
      </c>
      <c r="L5826" s="455">
        <f t="shared" ca="1" si="212"/>
        <v>-5559196791251801</v>
      </c>
      <c r="M5826" s="471">
        <f t="shared" si="214"/>
        <v>0.05</v>
      </c>
      <c r="N5826" s="475">
        <f t="shared" si="215"/>
        <v>228369</v>
      </c>
    </row>
    <row r="5827" spans="7:14" ht="11.25" customHeight="1" x14ac:dyDescent="0.3">
      <c r="G5827" s="470"/>
      <c r="H5827" s="470">
        <v>5820</v>
      </c>
      <c r="I5827" s="455">
        <f t="shared" ca="1" si="213"/>
        <v>-5559196791251801</v>
      </c>
      <c r="J5827" s="455">
        <f t="array" ref="J5827">IFERROR(INDEX('Retirement Calculator'!J:J,MATCH('Isaac 401k'!N5827,'Retirement Calculator'!A:A,0),0),0)</f>
        <v>0</v>
      </c>
      <c r="K5827" s="455">
        <f t="shared" ca="1" si="211"/>
        <v>-23163319963549.172</v>
      </c>
      <c r="L5827" s="455">
        <f t="shared" ca="1" si="212"/>
        <v>-5582360111215350</v>
      </c>
      <c r="M5827" s="471">
        <f t="shared" si="214"/>
        <v>0.05</v>
      </c>
      <c r="N5827" s="475">
        <f t="shared" si="215"/>
        <v>228399</v>
      </c>
    </row>
    <row r="5828" spans="7:14" ht="11.25" customHeight="1" x14ac:dyDescent="0.3">
      <c r="G5828" s="470"/>
      <c r="H5828" s="470">
        <v>5821</v>
      </c>
      <c r="I5828" s="455">
        <f t="shared" ca="1" si="213"/>
        <v>-5582360111215350</v>
      </c>
      <c r="J5828" s="455">
        <f t="array" ref="J5828">IFERROR(INDEX('Retirement Calculator'!J:J,MATCH('Isaac 401k'!N5828,'Retirement Calculator'!A:A,0),0),0)</f>
        <v>0</v>
      </c>
      <c r="K5828" s="455">
        <f t="shared" ca="1" si="211"/>
        <v>-23259833796730.625</v>
      </c>
      <c r="L5828" s="455">
        <f t="shared" ca="1" si="212"/>
        <v>-5605619945012081</v>
      </c>
      <c r="M5828" s="471">
        <f t="shared" si="214"/>
        <v>0.05</v>
      </c>
      <c r="N5828" s="475">
        <f t="shared" si="215"/>
        <v>228430</v>
      </c>
    </row>
    <row r="5829" spans="7:14" ht="11.25" customHeight="1" x14ac:dyDescent="0.3">
      <c r="G5829" s="470"/>
      <c r="H5829" s="470">
        <v>5822</v>
      </c>
      <c r="I5829" s="455">
        <f t="shared" ca="1" si="213"/>
        <v>-5605619945012081</v>
      </c>
      <c r="J5829" s="455">
        <f t="array" ref="J5829">IFERROR(INDEX('Retirement Calculator'!J:J,MATCH('Isaac 401k'!N5829,'Retirement Calculator'!A:A,0),0),0)</f>
        <v>0</v>
      </c>
      <c r="K5829" s="455">
        <f t="shared" ca="1" si="211"/>
        <v>-23356749770883.672</v>
      </c>
      <c r="L5829" s="455">
        <f t="shared" ca="1" si="212"/>
        <v>-5628976694782965</v>
      </c>
      <c r="M5829" s="471">
        <f t="shared" si="214"/>
        <v>0.05</v>
      </c>
      <c r="N5829" s="475">
        <f t="shared" si="215"/>
        <v>228460</v>
      </c>
    </row>
    <row r="5830" spans="7:14" ht="11.25" customHeight="1" x14ac:dyDescent="0.3">
      <c r="G5830" s="470"/>
      <c r="H5830" s="470">
        <v>5823</v>
      </c>
      <c r="I5830" s="455">
        <f t="shared" ca="1" si="213"/>
        <v>-5628976694782965</v>
      </c>
      <c r="J5830" s="455">
        <f t="array" ref="J5830">IFERROR(INDEX('Retirement Calculator'!J:J,MATCH('Isaac 401k'!N5830,'Retirement Calculator'!A:A,0),0),0)</f>
        <v>0</v>
      </c>
      <c r="K5830" s="455">
        <f t="shared" ca="1" si="211"/>
        <v>-23454069561595.688</v>
      </c>
      <c r="L5830" s="455">
        <f t="shared" ca="1" si="212"/>
        <v>-5652430764344561</v>
      </c>
      <c r="M5830" s="471">
        <f t="shared" si="214"/>
        <v>0.05</v>
      </c>
      <c r="N5830" s="475">
        <f t="shared" si="215"/>
        <v>228491</v>
      </c>
    </row>
    <row r="5831" spans="7:14" ht="11.25" customHeight="1" x14ac:dyDescent="0.3">
      <c r="G5831" s="470"/>
      <c r="H5831" s="470">
        <v>5824</v>
      </c>
      <c r="I5831" s="455">
        <f t="shared" ca="1" si="213"/>
        <v>-5652430764344561</v>
      </c>
      <c r="J5831" s="455">
        <f t="array" ref="J5831">IFERROR(INDEX('Retirement Calculator'!J:J,MATCH('Isaac 401k'!N5831,'Retirement Calculator'!A:A,0),0),0)</f>
        <v>0</v>
      </c>
      <c r="K5831" s="455">
        <f t="shared" ca="1" si="211"/>
        <v>-23551794851435.672</v>
      </c>
      <c r="L5831" s="455">
        <f t="shared" ca="1" si="212"/>
        <v>-5675982559195997</v>
      </c>
      <c r="M5831" s="471">
        <f t="shared" si="214"/>
        <v>0.05</v>
      </c>
      <c r="N5831" s="475">
        <f t="shared" si="215"/>
        <v>228522</v>
      </c>
    </row>
    <row r="5832" spans="7:14" ht="11.25" customHeight="1" x14ac:dyDescent="0.3">
      <c r="G5832" s="470"/>
      <c r="H5832" s="470">
        <v>5825</v>
      </c>
      <c r="I5832" s="455">
        <f t="shared" ca="1" si="213"/>
        <v>-5675982559195997</v>
      </c>
      <c r="J5832" s="455">
        <f t="array" ref="J5832">IFERROR(INDEX('Retirement Calculator'!J:J,MATCH('Isaac 401k'!N5832,'Retirement Calculator'!A:A,0),0),0)</f>
        <v>0</v>
      </c>
      <c r="K5832" s="455">
        <f t="shared" ca="1" si="211"/>
        <v>-23649927329983.32</v>
      </c>
      <c r="L5832" s="455">
        <f t="shared" ca="1" si="212"/>
        <v>-5699632486525980</v>
      </c>
      <c r="M5832" s="471">
        <f t="shared" si="214"/>
        <v>0.05</v>
      </c>
      <c r="N5832" s="475">
        <f t="shared" si="215"/>
        <v>228552</v>
      </c>
    </row>
    <row r="5833" spans="7:14" ht="11.25" customHeight="1" x14ac:dyDescent="0.3">
      <c r="G5833" s="470"/>
      <c r="H5833" s="470">
        <v>5826</v>
      </c>
      <c r="I5833" s="455">
        <f t="shared" ca="1" si="213"/>
        <v>-5699632486525980</v>
      </c>
      <c r="J5833" s="455">
        <f t="array" ref="J5833">IFERROR(INDEX('Retirement Calculator'!J:J,MATCH('Isaac 401k'!N5833,'Retirement Calculator'!A:A,0),0),0)</f>
        <v>0</v>
      </c>
      <c r="K5833" s="455">
        <f t="shared" ca="1" si="211"/>
        <v>-23748468693858.25</v>
      </c>
      <c r="L5833" s="455">
        <f t="shared" ca="1" si="212"/>
        <v>-5723380955219838</v>
      </c>
      <c r="M5833" s="471">
        <f t="shared" si="214"/>
        <v>0.05</v>
      </c>
      <c r="N5833" s="475">
        <f t="shared" si="215"/>
        <v>228583</v>
      </c>
    </row>
    <row r="5834" spans="7:14" ht="11.25" customHeight="1" x14ac:dyDescent="0.3">
      <c r="G5834" s="470"/>
      <c r="H5834" s="470">
        <v>5827</v>
      </c>
      <c r="I5834" s="455">
        <f t="shared" ca="1" si="213"/>
        <v>-5723380955219838</v>
      </c>
      <c r="J5834" s="455">
        <f t="array" ref="J5834">IFERROR(INDEX('Retirement Calculator'!J:J,MATCH('Isaac 401k'!N5834,'Retirement Calculator'!A:A,0),0),0)</f>
        <v>0</v>
      </c>
      <c r="K5834" s="455">
        <f t="shared" ca="1" si="211"/>
        <v>-23847420646749.324</v>
      </c>
      <c r="L5834" s="455">
        <f t="shared" ca="1" si="212"/>
        <v>-5747228375866587</v>
      </c>
      <c r="M5834" s="471">
        <f t="shared" si="214"/>
        <v>0.05</v>
      </c>
      <c r="N5834" s="475">
        <f t="shared" si="215"/>
        <v>228613</v>
      </c>
    </row>
    <row r="5835" spans="7:14" ht="11.25" customHeight="1" x14ac:dyDescent="0.3">
      <c r="G5835" s="470"/>
      <c r="H5835" s="470">
        <v>5828</v>
      </c>
      <c r="I5835" s="455">
        <f t="shared" ca="1" si="213"/>
        <v>-5747228375866587</v>
      </c>
      <c r="J5835" s="455">
        <f t="array" ref="J5835">IFERROR(INDEX('Retirement Calculator'!J:J,MATCH('Isaac 401k'!N5835,'Retirement Calculator'!A:A,0),0),0)</f>
        <v>0</v>
      </c>
      <c r="K5835" s="455">
        <f t="shared" ca="1" si="211"/>
        <v>-23946784899444.113</v>
      </c>
      <c r="L5835" s="455">
        <f t="shared" ca="1" si="212"/>
        <v>-5771175160766031</v>
      </c>
      <c r="M5835" s="471">
        <f t="shared" si="214"/>
        <v>0.05</v>
      </c>
      <c r="N5835" s="475">
        <f t="shared" si="215"/>
        <v>228644</v>
      </c>
    </row>
    <row r="5836" spans="7:14" ht="11.25" customHeight="1" x14ac:dyDescent="0.3">
      <c r="G5836" s="470"/>
      <c r="H5836" s="470">
        <v>5829</v>
      </c>
      <c r="I5836" s="455">
        <f t="shared" ca="1" si="213"/>
        <v>-5771175160766031</v>
      </c>
      <c r="J5836" s="455">
        <f t="array" ref="J5836">IFERROR(INDEX('Retirement Calculator'!J:J,MATCH('Isaac 401k'!N5836,'Retirement Calculator'!A:A,0),0),0)</f>
        <v>0</v>
      </c>
      <c r="K5836" s="455">
        <f t="shared" ca="1" si="211"/>
        <v>-24046563169858.461</v>
      </c>
      <c r="L5836" s="455">
        <f t="shared" ca="1" si="212"/>
        <v>-5795221723935889</v>
      </c>
      <c r="M5836" s="471">
        <f t="shared" si="214"/>
        <v>0.05</v>
      </c>
      <c r="N5836" s="475">
        <f t="shared" si="215"/>
        <v>228675</v>
      </c>
    </row>
    <row r="5837" spans="7:14" ht="11.25" customHeight="1" x14ac:dyDescent="0.3">
      <c r="G5837" s="470"/>
      <c r="H5837" s="470">
        <v>5830</v>
      </c>
      <c r="I5837" s="455">
        <f t="shared" ca="1" si="213"/>
        <v>-5795221723935889</v>
      </c>
      <c r="J5837" s="455">
        <f t="array" ref="J5837">IFERROR(INDEX('Retirement Calculator'!J:J,MATCH('Isaac 401k'!N5837,'Retirement Calculator'!A:A,0),0),0)</f>
        <v>0</v>
      </c>
      <c r="K5837" s="455">
        <f t="shared" ca="1" si="211"/>
        <v>-24146757183066.203</v>
      </c>
      <c r="L5837" s="455">
        <f t="shared" ca="1" si="212"/>
        <v>-5819368481118955</v>
      </c>
      <c r="M5837" s="471">
        <f t="shared" si="214"/>
        <v>0.05</v>
      </c>
      <c r="N5837" s="475">
        <f t="shared" si="215"/>
        <v>228703</v>
      </c>
    </row>
    <row r="5838" spans="7:14" ht="11.25" customHeight="1" x14ac:dyDescent="0.3">
      <c r="G5838" s="470"/>
      <c r="H5838" s="470">
        <v>5831</v>
      </c>
      <c r="I5838" s="455">
        <f t="shared" ca="1" si="213"/>
        <v>-5819368481118955</v>
      </c>
      <c r="J5838" s="455">
        <f t="array" ref="J5838">IFERROR(INDEX('Retirement Calculator'!J:J,MATCH('Isaac 401k'!N5838,'Retirement Calculator'!A:A,0),0),0)</f>
        <v>0</v>
      </c>
      <c r="K5838" s="455">
        <f t="shared" ca="1" si="211"/>
        <v>-24247368671328.98</v>
      </c>
      <c r="L5838" s="455">
        <f t="shared" ca="1" si="212"/>
        <v>-5843615849790284</v>
      </c>
      <c r="M5838" s="471">
        <f t="shared" si="214"/>
        <v>0.05</v>
      </c>
      <c r="N5838" s="475">
        <f t="shared" si="215"/>
        <v>228734</v>
      </c>
    </row>
    <row r="5839" spans="7:14" ht="11.25" customHeight="1" x14ac:dyDescent="0.3">
      <c r="G5839" s="470"/>
      <c r="H5839" s="470">
        <v>5832</v>
      </c>
      <c r="I5839" s="455">
        <f t="shared" ca="1" si="213"/>
        <v>-5843615849790284</v>
      </c>
      <c r="J5839" s="455">
        <f t="array" ref="J5839">IFERROR(INDEX('Retirement Calculator'!J:J,MATCH('Isaac 401k'!N5839,'Retirement Calculator'!A:A,0),0),0)</f>
        <v>0</v>
      </c>
      <c r="K5839" s="455">
        <f t="shared" ca="1" si="211"/>
        <v>-24348399374126.184</v>
      </c>
      <c r="L5839" s="455">
        <f t="shared" ca="1" si="212"/>
        <v>-5867964249164410</v>
      </c>
      <c r="M5839" s="471">
        <f t="shared" si="214"/>
        <v>0.05</v>
      </c>
      <c r="N5839" s="475">
        <f t="shared" si="215"/>
        <v>228764</v>
      </c>
    </row>
    <row r="5840" spans="7:14" ht="11.25" customHeight="1" x14ac:dyDescent="0.3">
      <c r="G5840" s="470"/>
      <c r="H5840" s="470">
        <v>5833</v>
      </c>
      <c r="I5840" s="455">
        <f t="shared" ca="1" si="213"/>
        <v>-5867964249164410</v>
      </c>
      <c r="J5840" s="455">
        <f t="array" ref="J5840">IFERROR(INDEX('Retirement Calculator'!J:J,MATCH('Isaac 401k'!N5840,'Retirement Calculator'!A:A,0),0),0)</f>
        <v>0</v>
      </c>
      <c r="K5840" s="455">
        <f t="shared" ca="1" si="211"/>
        <v>-24449851038185.043</v>
      </c>
      <c r="L5840" s="455">
        <f t="shared" ca="1" si="212"/>
        <v>-5892414100202595</v>
      </c>
      <c r="M5840" s="471">
        <f t="shared" si="214"/>
        <v>0.05</v>
      </c>
      <c r="N5840" s="475">
        <f t="shared" si="215"/>
        <v>228795</v>
      </c>
    </row>
    <row r="5841" spans="7:14" ht="11.25" customHeight="1" x14ac:dyDescent="0.3">
      <c r="G5841" s="470"/>
      <c r="H5841" s="470">
        <v>5834</v>
      </c>
      <c r="I5841" s="455">
        <f t="shared" ca="1" si="213"/>
        <v>-5892414100202595</v>
      </c>
      <c r="J5841" s="455">
        <f t="array" ref="J5841">IFERROR(INDEX('Retirement Calculator'!J:J,MATCH('Isaac 401k'!N5841,'Retirement Calculator'!A:A,0),0),0)</f>
        <v>0</v>
      </c>
      <c r="K5841" s="455">
        <f t="shared" ca="1" si="211"/>
        <v>-24551725417510.813</v>
      </c>
      <c r="L5841" s="455">
        <f t="shared" ca="1" si="212"/>
        <v>-5916965825620106</v>
      </c>
      <c r="M5841" s="471">
        <f t="shared" si="214"/>
        <v>0.05</v>
      </c>
      <c r="N5841" s="475">
        <f t="shared" si="215"/>
        <v>228825</v>
      </c>
    </row>
    <row r="5842" spans="7:14" ht="11.25" customHeight="1" x14ac:dyDescent="0.3">
      <c r="G5842" s="470"/>
      <c r="H5842" s="470">
        <v>5835</v>
      </c>
      <c r="I5842" s="455">
        <f t="shared" ca="1" si="213"/>
        <v>-5916965825620106</v>
      </c>
      <c r="J5842" s="455">
        <f t="array" ref="J5842">IFERROR(INDEX('Retirement Calculator'!J:J,MATCH('Isaac 401k'!N5842,'Retirement Calculator'!A:A,0),0),0)</f>
        <v>0</v>
      </c>
      <c r="K5842" s="455">
        <f t="shared" ca="1" si="211"/>
        <v>-24654024273417.109</v>
      </c>
      <c r="L5842" s="455">
        <f t="shared" ca="1" si="212"/>
        <v>-5941619849893523</v>
      </c>
      <c r="M5842" s="471">
        <f t="shared" si="214"/>
        <v>0.05</v>
      </c>
      <c r="N5842" s="475">
        <f t="shared" si="215"/>
        <v>228856</v>
      </c>
    </row>
    <row r="5843" spans="7:14" ht="11.25" customHeight="1" x14ac:dyDescent="0.3">
      <c r="G5843" s="470"/>
      <c r="H5843" s="470">
        <v>5836</v>
      </c>
      <c r="I5843" s="455">
        <f t="shared" ca="1" si="213"/>
        <v>-5941619849893523</v>
      </c>
      <c r="J5843" s="455">
        <f t="array" ref="J5843">IFERROR(INDEX('Retirement Calculator'!J:J,MATCH('Isaac 401k'!N5843,'Retirement Calculator'!A:A,0),0),0)</f>
        <v>0</v>
      </c>
      <c r="K5843" s="455">
        <f t="shared" ca="1" si="211"/>
        <v>-24756749374556.344</v>
      </c>
      <c r="L5843" s="455">
        <f t="shared" ca="1" si="212"/>
        <v>-5966376599268079</v>
      </c>
      <c r="M5843" s="471">
        <f t="shared" si="214"/>
        <v>0.05</v>
      </c>
      <c r="N5843" s="475">
        <f t="shared" si="215"/>
        <v>228887</v>
      </c>
    </row>
    <row r="5844" spans="7:14" ht="11.25" customHeight="1" x14ac:dyDescent="0.3">
      <c r="G5844" s="470"/>
      <c r="H5844" s="470">
        <v>5837</v>
      </c>
      <c r="I5844" s="455">
        <f t="shared" ca="1" si="213"/>
        <v>-5966376599268079</v>
      </c>
      <c r="J5844" s="455">
        <f t="array" ref="J5844">IFERROR(INDEX('Retirement Calculator'!J:J,MATCH('Isaac 401k'!N5844,'Retirement Calculator'!A:A,0),0),0)</f>
        <v>0</v>
      </c>
      <c r="K5844" s="455">
        <f t="shared" ca="1" si="211"/>
        <v>-24859902496950.328</v>
      </c>
      <c r="L5844" s="455">
        <f t="shared" ca="1" si="212"/>
        <v>-5991236501765029</v>
      </c>
      <c r="M5844" s="471">
        <f t="shared" si="214"/>
        <v>0.05</v>
      </c>
      <c r="N5844" s="475">
        <f t="shared" si="215"/>
        <v>228917</v>
      </c>
    </row>
    <row r="5845" spans="7:14" ht="11.25" customHeight="1" x14ac:dyDescent="0.3">
      <c r="G5845" s="470"/>
      <c r="H5845" s="470">
        <v>5838</v>
      </c>
      <c r="I5845" s="455">
        <f t="shared" ca="1" si="213"/>
        <v>-5991236501765029</v>
      </c>
      <c r="J5845" s="455">
        <f t="array" ref="J5845">IFERROR(INDEX('Retirement Calculator'!J:J,MATCH('Isaac 401k'!N5845,'Retirement Calculator'!A:A,0),0),0)</f>
        <v>0</v>
      </c>
      <c r="K5845" s="455">
        <f t="shared" ca="1" si="211"/>
        <v>-24963485424020.953</v>
      </c>
      <c r="L5845" s="455">
        <f t="shared" ca="1" si="212"/>
        <v>-6016199987189050</v>
      </c>
      <c r="M5845" s="471">
        <f t="shared" si="214"/>
        <v>0.05</v>
      </c>
      <c r="N5845" s="475">
        <f t="shared" si="215"/>
        <v>228948</v>
      </c>
    </row>
    <row r="5846" spans="7:14" ht="11.25" customHeight="1" x14ac:dyDescent="0.3">
      <c r="G5846" s="470"/>
      <c r="H5846" s="470">
        <v>5839</v>
      </c>
      <c r="I5846" s="455">
        <f t="shared" ca="1" si="213"/>
        <v>-6016199987189050</v>
      </c>
      <c r="J5846" s="455">
        <f t="array" ref="J5846">IFERROR(INDEX('Retirement Calculator'!J:J,MATCH('Isaac 401k'!N5846,'Retirement Calculator'!A:A,0),0),0)</f>
        <v>0</v>
      </c>
      <c r="K5846" s="455">
        <f t="shared" ca="1" si="211"/>
        <v>-25067499946621.043</v>
      </c>
      <c r="L5846" s="455">
        <f t="shared" ca="1" si="212"/>
        <v>-6041267487135671</v>
      </c>
      <c r="M5846" s="471">
        <f t="shared" si="214"/>
        <v>0.05</v>
      </c>
      <c r="N5846" s="475">
        <f t="shared" si="215"/>
        <v>228978</v>
      </c>
    </row>
    <row r="5847" spans="7:14" ht="11.25" customHeight="1" x14ac:dyDescent="0.3">
      <c r="G5847" s="470"/>
      <c r="H5847" s="470">
        <v>5840</v>
      </c>
      <c r="I5847" s="455">
        <f t="shared" ca="1" si="213"/>
        <v>-6041267487135671</v>
      </c>
      <c r="J5847" s="455">
        <f t="array" ref="J5847">IFERROR(INDEX('Retirement Calculator'!J:J,MATCH('Isaac 401k'!N5847,'Retirement Calculator'!A:A,0),0),0)</f>
        <v>0</v>
      </c>
      <c r="K5847" s="455">
        <f t="shared" ca="1" si="211"/>
        <v>-25171947863065.297</v>
      </c>
      <c r="L5847" s="455">
        <f t="shared" ca="1" si="212"/>
        <v>-6066439434998736</v>
      </c>
      <c r="M5847" s="471">
        <f t="shared" si="214"/>
        <v>0.05</v>
      </c>
      <c r="N5847" s="475">
        <f t="shared" si="215"/>
        <v>229009</v>
      </c>
    </row>
    <row r="5848" spans="7:14" ht="11.25" customHeight="1" x14ac:dyDescent="0.3">
      <c r="G5848" s="470"/>
      <c r="H5848" s="470">
        <v>5841</v>
      </c>
      <c r="I5848" s="455">
        <f t="shared" ca="1" si="213"/>
        <v>-6066439434998736</v>
      </c>
      <c r="J5848" s="455">
        <f t="array" ref="J5848">IFERROR(INDEX('Retirement Calculator'!J:J,MATCH('Isaac 401k'!N5848,'Retirement Calculator'!A:A,0),0),0)</f>
        <v>0</v>
      </c>
      <c r="K5848" s="455">
        <f t="shared" ca="1" si="211"/>
        <v>-25276830979161.398</v>
      </c>
      <c r="L5848" s="455">
        <f t="shared" ca="1" si="212"/>
        <v>-6091716265977897</v>
      </c>
      <c r="M5848" s="471">
        <f t="shared" si="214"/>
        <v>0.05</v>
      </c>
      <c r="N5848" s="475">
        <f t="shared" si="215"/>
        <v>229040</v>
      </c>
    </row>
    <row r="5849" spans="7:14" ht="11.25" customHeight="1" x14ac:dyDescent="0.3">
      <c r="G5849" s="470"/>
      <c r="H5849" s="470">
        <v>5842</v>
      </c>
      <c r="I5849" s="455">
        <f t="shared" ca="1" si="213"/>
        <v>-6091716265977897</v>
      </c>
      <c r="J5849" s="455">
        <f t="array" ref="J5849">IFERROR(INDEX('Retirement Calculator'!J:J,MATCH('Isaac 401k'!N5849,'Retirement Calculator'!A:A,0),0),0)</f>
        <v>0</v>
      </c>
      <c r="K5849" s="455">
        <f t="shared" ca="1" si="211"/>
        <v>-25382151108241.238</v>
      </c>
      <c r="L5849" s="455">
        <f t="shared" ca="1" si="212"/>
        <v>-6117098417086138</v>
      </c>
      <c r="M5849" s="471">
        <f t="shared" si="214"/>
        <v>0.05</v>
      </c>
      <c r="N5849" s="475">
        <f t="shared" si="215"/>
        <v>229068</v>
      </c>
    </row>
    <row r="5850" spans="7:14" ht="11.25" customHeight="1" x14ac:dyDescent="0.3">
      <c r="G5850" s="470"/>
      <c r="H5850" s="470">
        <v>5843</v>
      </c>
      <c r="I5850" s="455">
        <f t="shared" ca="1" si="213"/>
        <v>-6117098417086138</v>
      </c>
      <c r="J5850" s="455">
        <f t="array" ref="J5850">IFERROR(INDEX('Retirement Calculator'!J:J,MATCH('Isaac 401k'!N5850,'Retirement Calculator'!A:A,0),0),0)</f>
        <v>0</v>
      </c>
      <c r="K5850" s="455">
        <f t="shared" ca="1" si="211"/>
        <v>-25487910071192.242</v>
      </c>
      <c r="L5850" s="455">
        <f t="shared" ca="1" si="212"/>
        <v>-6142586327157330</v>
      </c>
      <c r="M5850" s="471">
        <f t="shared" si="214"/>
        <v>0.05</v>
      </c>
      <c r="N5850" s="475">
        <f t="shared" si="215"/>
        <v>229099</v>
      </c>
    </row>
    <row r="5851" spans="7:14" ht="11.25" customHeight="1" x14ac:dyDescent="0.3">
      <c r="G5851" s="470"/>
      <c r="H5851" s="470">
        <v>5844</v>
      </c>
      <c r="I5851" s="455">
        <f t="shared" ca="1" si="213"/>
        <v>-6142586327157330</v>
      </c>
      <c r="J5851" s="455">
        <f t="array" ref="J5851">IFERROR(INDEX('Retirement Calculator'!J:J,MATCH('Isaac 401k'!N5851,'Retirement Calculator'!A:A,0),0),0)</f>
        <v>0</v>
      </c>
      <c r="K5851" s="455">
        <f t="shared" ca="1" si="211"/>
        <v>-25594109696488.875</v>
      </c>
      <c r="L5851" s="455">
        <f t="shared" ca="1" si="212"/>
        <v>-6168180436853819</v>
      </c>
      <c r="M5851" s="471">
        <f t="shared" si="214"/>
        <v>0.05</v>
      </c>
      <c r="N5851" s="475">
        <f t="shared" si="215"/>
        <v>229129</v>
      </c>
    </row>
    <row r="5852" spans="7:14" ht="11.25" customHeight="1" x14ac:dyDescent="0.3">
      <c r="G5852" s="470"/>
      <c r="H5852" s="470">
        <v>5845</v>
      </c>
      <c r="I5852" s="455">
        <f t="shared" ca="1" si="213"/>
        <v>-6168180436853819</v>
      </c>
      <c r="J5852" s="455">
        <f t="array" ref="J5852">IFERROR(INDEX('Retirement Calculator'!J:J,MATCH('Isaac 401k'!N5852,'Retirement Calculator'!A:A,0),0),0)</f>
        <v>0</v>
      </c>
      <c r="K5852" s="455">
        <f t="shared" ca="1" si="211"/>
        <v>-25700751820224.246</v>
      </c>
      <c r="L5852" s="455">
        <f t="shared" ca="1" si="212"/>
        <v>-6193881188674043</v>
      </c>
      <c r="M5852" s="471">
        <f t="shared" si="214"/>
        <v>0.05</v>
      </c>
      <c r="N5852" s="475">
        <f t="shared" si="215"/>
        <v>229160</v>
      </c>
    </row>
    <row r="5853" spans="7:14" ht="11.25" customHeight="1" x14ac:dyDescent="0.3">
      <c r="G5853" s="470"/>
      <c r="H5853" s="470">
        <v>5846</v>
      </c>
      <c r="I5853" s="455">
        <f t="shared" ca="1" si="213"/>
        <v>-6193881188674043</v>
      </c>
      <c r="J5853" s="455">
        <f t="array" ref="J5853">IFERROR(INDEX('Retirement Calculator'!J:J,MATCH('Isaac 401k'!N5853,'Retirement Calculator'!A:A,0),0),0)</f>
        <v>0</v>
      </c>
      <c r="K5853" s="455">
        <f t="shared" ca="1" si="211"/>
        <v>-25807838286141.844</v>
      </c>
      <c r="L5853" s="455">
        <f t="shared" ca="1" si="212"/>
        <v>-6219689026960185</v>
      </c>
      <c r="M5853" s="471">
        <f t="shared" si="214"/>
        <v>0.05</v>
      </c>
      <c r="N5853" s="475">
        <f t="shared" si="215"/>
        <v>229190</v>
      </c>
    </row>
    <row r="5854" spans="7:14" ht="11.25" customHeight="1" x14ac:dyDescent="0.3">
      <c r="G5854" s="470"/>
      <c r="H5854" s="470">
        <v>5847</v>
      </c>
      <c r="I5854" s="455">
        <f t="shared" ca="1" si="213"/>
        <v>-6219689026960185</v>
      </c>
      <c r="J5854" s="455">
        <f t="array" ref="J5854">IFERROR(INDEX('Retirement Calculator'!J:J,MATCH('Isaac 401k'!N5854,'Retirement Calculator'!A:A,0),0),0)</f>
        <v>0</v>
      </c>
      <c r="K5854" s="455">
        <f t="shared" ca="1" si="211"/>
        <v>-25915370945667.438</v>
      </c>
      <c r="L5854" s="455">
        <f t="shared" ca="1" si="212"/>
        <v>-6245604397905852</v>
      </c>
      <c r="M5854" s="471">
        <f t="shared" si="214"/>
        <v>0.05</v>
      </c>
      <c r="N5854" s="475">
        <f t="shared" si="215"/>
        <v>229221</v>
      </c>
    </row>
    <row r="5855" spans="7:14" ht="11.25" customHeight="1" x14ac:dyDescent="0.3">
      <c r="G5855" s="470"/>
      <c r="H5855" s="470">
        <v>5848</v>
      </c>
      <c r="I5855" s="455">
        <f t="shared" ca="1" si="213"/>
        <v>-6245604397905852</v>
      </c>
      <c r="J5855" s="455">
        <f t="array" ref="J5855">IFERROR(INDEX('Retirement Calculator'!J:J,MATCH('Isaac 401k'!N5855,'Retirement Calculator'!A:A,0),0),0)</f>
        <v>0</v>
      </c>
      <c r="K5855" s="455">
        <f t="shared" ca="1" si="211"/>
        <v>-26023351657941.051</v>
      </c>
      <c r="L5855" s="455">
        <f t="shared" ca="1" si="212"/>
        <v>-6271627749563793</v>
      </c>
      <c r="M5855" s="471">
        <f t="shared" si="214"/>
        <v>0.05</v>
      </c>
      <c r="N5855" s="475">
        <f t="shared" si="215"/>
        <v>229252</v>
      </c>
    </row>
    <row r="5856" spans="7:14" ht="11.25" customHeight="1" x14ac:dyDescent="0.3">
      <c r="G5856" s="470"/>
      <c r="H5856" s="470">
        <v>5849</v>
      </c>
      <c r="I5856" s="455">
        <f t="shared" ca="1" si="213"/>
        <v>-6271627749563793</v>
      </c>
      <c r="J5856" s="455">
        <f t="array" ref="J5856">IFERROR(INDEX('Retirement Calculator'!J:J,MATCH('Isaac 401k'!N5856,'Retirement Calculator'!A:A,0),0),0)</f>
        <v>0</v>
      </c>
      <c r="K5856" s="455">
        <f t="shared" ca="1" si="211"/>
        <v>-26131782289849.137</v>
      </c>
      <c r="L5856" s="455">
        <f t="shared" ca="1" si="212"/>
        <v>-6297759531853642</v>
      </c>
      <c r="M5856" s="471">
        <f t="shared" si="214"/>
        <v>0.05</v>
      </c>
      <c r="N5856" s="475">
        <f t="shared" si="215"/>
        <v>229282</v>
      </c>
    </row>
    <row r="5857" spans="7:14" ht="11.25" customHeight="1" x14ac:dyDescent="0.3">
      <c r="G5857" s="470"/>
      <c r="H5857" s="470">
        <v>5850</v>
      </c>
      <c r="I5857" s="455">
        <f t="shared" ca="1" si="213"/>
        <v>-6297759531853642</v>
      </c>
      <c r="J5857" s="455">
        <f t="array" ref="J5857">IFERROR(INDEX('Retirement Calculator'!J:J,MATCH('Isaac 401k'!N5857,'Retirement Calculator'!A:A,0),0),0)</f>
        <v>0</v>
      </c>
      <c r="K5857" s="455">
        <f t="shared" ca="1" si="211"/>
        <v>-26240664716056.84</v>
      </c>
      <c r="L5857" s="455">
        <f t="shared" ca="1" si="212"/>
        <v>-6324000196569699</v>
      </c>
      <c r="M5857" s="471">
        <f t="shared" si="214"/>
        <v>0.05</v>
      </c>
      <c r="N5857" s="475">
        <f t="shared" si="215"/>
        <v>229313</v>
      </c>
    </row>
    <row r="5858" spans="7:14" ht="11.25" customHeight="1" x14ac:dyDescent="0.3">
      <c r="G5858" s="470"/>
      <c r="H5858" s="470">
        <v>5851</v>
      </c>
      <c r="I5858" s="455">
        <f t="shared" ca="1" si="213"/>
        <v>-6324000196569699</v>
      </c>
      <c r="J5858" s="455">
        <f t="array" ref="J5858">IFERROR(INDEX('Retirement Calculator'!J:J,MATCH('Isaac 401k'!N5858,'Retirement Calculator'!A:A,0),0),0)</f>
        <v>0</v>
      </c>
      <c r="K5858" s="455">
        <f t="shared" ca="1" si="211"/>
        <v>-26350000819040.414</v>
      </c>
      <c r="L5858" s="455">
        <f t="shared" ca="1" si="212"/>
        <v>-6350350197388739</v>
      </c>
      <c r="M5858" s="471">
        <f t="shared" si="214"/>
        <v>0.05</v>
      </c>
      <c r="N5858" s="475">
        <f t="shared" si="215"/>
        <v>229343</v>
      </c>
    </row>
    <row r="5859" spans="7:14" ht="11.25" customHeight="1" x14ac:dyDescent="0.3">
      <c r="G5859" s="470"/>
      <c r="H5859" s="470">
        <v>5852</v>
      </c>
      <c r="I5859" s="455">
        <f t="shared" ca="1" si="213"/>
        <v>-6350350197388739</v>
      </c>
      <c r="J5859" s="455">
        <f t="array" ref="J5859">IFERROR(INDEX('Retirement Calculator'!J:J,MATCH('Isaac 401k'!N5859,'Retirement Calculator'!A:A,0),0),0)</f>
        <v>0</v>
      </c>
      <c r="K5859" s="455">
        <f t="shared" ca="1" si="211"/>
        <v>-26459792489119.746</v>
      </c>
      <c r="L5859" s="455">
        <f t="shared" ca="1" si="212"/>
        <v>-6376809989877859</v>
      </c>
      <c r="M5859" s="471">
        <f t="shared" si="214"/>
        <v>0.05</v>
      </c>
      <c r="N5859" s="475">
        <f t="shared" si="215"/>
        <v>229374</v>
      </c>
    </row>
    <row r="5860" spans="7:14" ht="11.25" customHeight="1" x14ac:dyDescent="0.3">
      <c r="G5860" s="470"/>
      <c r="H5860" s="470">
        <v>5853</v>
      </c>
      <c r="I5860" s="455">
        <f t="shared" ca="1" si="213"/>
        <v>-6376809989877859</v>
      </c>
      <c r="J5860" s="455">
        <f t="array" ref="J5860">IFERROR(INDEX('Retirement Calculator'!J:J,MATCH('Isaac 401k'!N5860,'Retirement Calculator'!A:A,0),0),0)</f>
        <v>0</v>
      </c>
      <c r="K5860" s="455">
        <f t="shared" ca="1" si="211"/>
        <v>-26570041624491.078</v>
      </c>
      <c r="L5860" s="455">
        <f t="shared" ca="1" si="212"/>
        <v>-6403380031502350</v>
      </c>
      <c r="M5860" s="471">
        <f t="shared" si="214"/>
        <v>0.05</v>
      </c>
      <c r="N5860" s="475">
        <f t="shared" si="215"/>
        <v>229405</v>
      </c>
    </row>
    <row r="5861" spans="7:14" ht="11.25" customHeight="1" x14ac:dyDescent="0.3">
      <c r="G5861" s="470"/>
      <c r="H5861" s="470">
        <v>5854</v>
      </c>
      <c r="I5861" s="455">
        <f t="shared" ca="1" si="213"/>
        <v>-6403380031502350</v>
      </c>
      <c r="J5861" s="455">
        <f t="array" ref="J5861">IFERROR(INDEX('Retirement Calculator'!J:J,MATCH('Isaac 401k'!N5861,'Retirement Calculator'!A:A,0),0),0)</f>
        <v>0</v>
      </c>
      <c r="K5861" s="455">
        <f t="shared" ca="1" si="211"/>
        <v>-26680750131259.793</v>
      </c>
      <c r="L5861" s="455">
        <f t="shared" ca="1" si="212"/>
        <v>-6430060781633610</v>
      </c>
      <c r="M5861" s="471">
        <f t="shared" si="214"/>
        <v>0.05</v>
      </c>
      <c r="N5861" s="475">
        <f t="shared" si="215"/>
        <v>229434</v>
      </c>
    </row>
    <row r="5862" spans="7:14" ht="11.25" customHeight="1" x14ac:dyDescent="0.3">
      <c r="G5862" s="470"/>
      <c r="H5862" s="470">
        <v>5855</v>
      </c>
      <c r="I5862" s="455">
        <f t="shared" ca="1" si="213"/>
        <v>-6430060781633610</v>
      </c>
      <c r="J5862" s="455">
        <f t="array" ref="J5862">IFERROR(INDEX('Retirement Calculator'!J:J,MATCH('Isaac 401k'!N5862,'Retirement Calculator'!A:A,0),0),0)</f>
        <v>0</v>
      </c>
      <c r="K5862" s="455">
        <f t="shared" ca="1" si="211"/>
        <v>-26791919923473.375</v>
      </c>
      <c r="L5862" s="455">
        <f t="shared" ca="1" si="212"/>
        <v>-6456852701557083</v>
      </c>
      <c r="M5862" s="471">
        <f t="shared" si="214"/>
        <v>0.05</v>
      </c>
      <c r="N5862" s="475">
        <f t="shared" si="215"/>
        <v>229465</v>
      </c>
    </row>
    <row r="5863" spans="7:14" ht="11.25" customHeight="1" x14ac:dyDescent="0.3">
      <c r="G5863" s="470"/>
      <c r="H5863" s="470">
        <v>5856</v>
      </c>
      <c r="I5863" s="455">
        <f t="shared" ca="1" si="213"/>
        <v>-6456852701557083</v>
      </c>
      <c r="J5863" s="455">
        <f t="array" ref="J5863">IFERROR(INDEX('Retirement Calculator'!J:J,MATCH('Isaac 401k'!N5863,'Retirement Calculator'!A:A,0),0),0)</f>
        <v>0</v>
      </c>
      <c r="K5863" s="455">
        <f t="shared" ca="1" si="211"/>
        <v>-26903552923154.512</v>
      </c>
      <c r="L5863" s="455">
        <f t="shared" ca="1" si="212"/>
        <v>-6483756254480238</v>
      </c>
      <c r="M5863" s="471">
        <f t="shared" si="214"/>
        <v>0.05</v>
      </c>
      <c r="N5863" s="475">
        <f t="shared" si="215"/>
        <v>229495</v>
      </c>
    </row>
    <row r="5864" spans="7:14" ht="11.25" customHeight="1" x14ac:dyDescent="0.3">
      <c r="G5864" s="470"/>
      <c r="H5864" s="470">
        <v>5857</v>
      </c>
      <c r="I5864" s="455">
        <f t="shared" ca="1" si="213"/>
        <v>-6483756254480238</v>
      </c>
      <c r="J5864" s="455">
        <f t="array" ref="J5864">IFERROR(INDEX('Retirement Calculator'!J:J,MATCH('Isaac 401k'!N5864,'Retirement Calculator'!A:A,0),0),0)</f>
        <v>0</v>
      </c>
      <c r="K5864" s="455">
        <f t="shared" ca="1" si="211"/>
        <v>-27015651060334.324</v>
      </c>
      <c r="L5864" s="455">
        <f t="shared" ca="1" si="212"/>
        <v>-6510771905540572</v>
      </c>
      <c r="M5864" s="471">
        <f t="shared" si="214"/>
        <v>0.05</v>
      </c>
      <c r="N5864" s="475">
        <f t="shared" si="215"/>
        <v>229526</v>
      </c>
    </row>
    <row r="5865" spans="7:14" ht="11.25" customHeight="1" x14ac:dyDescent="0.3">
      <c r="G5865" s="470"/>
      <c r="H5865" s="470">
        <v>5858</v>
      </c>
      <c r="I5865" s="455">
        <f t="shared" ca="1" si="213"/>
        <v>-6510771905540572</v>
      </c>
      <c r="J5865" s="455">
        <f t="array" ref="J5865">IFERROR(INDEX('Retirement Calculator'!J:J,MATCH('Isaac 401k'!N5865,'Retirement Calculator'!A:A,0),0),0)</f>
        <v>0</v>
      </c>
      <c r="K5865" s="455">
        <f t="shared" ca="1" si="211"/>
        <v>-27128216273085.715</v>
      </c>
      <c r="L5865" s="455">
        <f t="shared" ca="1" si="212"/>
        <v>-6537900121813658</v>
      </c>
      <c r="M5865" s="471">
        <f t="shared" si="214"/>
        <v>0.05</v>
      </c>
      <c r="N5865" s="475">
        <f t="shared" si="215"/>
        <v>229556</v>
      </c>
    </row>
    <row r="5866" spans="7:14" ht="11.25" customHeight="1" x14ac:dyDescent="0.3">
      <c r="G5866" s="470"/>
      <c r="H5866" s="470">
        <v>5859</v>
      </c>
      <c r="I5866" s="455">
        <f t="shared" ca="1" si="213"/>
        <v>-6537900121813658</v>
      </c>
      <c r="J5866" s="455">
        <f t="array" ref="J5866">IFERROR(INDEX('Retirement Calculator'!J:J,MATCH('Isaac 401k'!N5866,'Retirement Calculator'!A:A,0),0),0)</f>
        <v>0</v>
      </c>
      <c r="K5866" s="455">
        <f t="shared" ca="1" si="211"/>
        <v>-27241250507556.906</v>
      </c>
      <c r="L5866" s="455">
        <f t="shared" ca="1" si="212"/>
        <v>-6565141372321215</v>
      </c>
      <c r="M5866" s="471">
        <f t="shared" si="214"/>
        <v>0.05</v>
      </c>
      <c r="N5866" s="475">
        <f t="shared" si="215"/>
        <v>229587</v>
      </c>
    </row>
    <row r="5867" spans="7:14" ht="11.25" customHeight="1" x14ac:dyDescent="0.3">
      <c r="G5867" s="470"/>
      <c r="H5867" s="470">
        <v>5860</v>
      </c>
      <c r="I5867" s="455">
        <f t="shared" ca="1" si="213"/>
        <v>-6565141372321215</v>
      </c>
      <c r="J5867" s="455">
        <f t="array" ref="J5867">IFERROR(INDEX('Retirement Calculator'!J:J,MATCH('Isaac 401k'!N5867,'Retirement Calculator'!A:A,0),0),0)</f>
        <v>0</v>
      </c>
      <c r="K5867" s="455">
        <f t="shared" ca="1" si="211"/>
        <v>-27354755718005.063</v>
      </c>
      <c r="L5867" s="455">
        <f t="shared" ca="1" si="212"/>
        <v>-6592496128039220</v>
      </c>
      <c r="M5867" s="471">
        <f t="shared" si="214"/>
        <v>0.05</v>
      </c>
      <c r="N5867" s="475">
        <f t="shared" si="215"/>
        <v>229618</v>
      </c>
    </row>
    <row r="5868" spans="7:14" ht="11.25" customHeight="1" x14ac:dyDescent="0.3">
      <c r="G5868" s="470"/>
      <c r="H5868" s="470">
        <v>5861</v>
      </c>
      <c r="I5868" s="455">
        <f t="shared" ca="1" si="213"/>
        <v>-6592496128039220</v>
      </c>
      <c r="J5868" s="455">
        <f t="array" ref="J5868">IFERROR(INDEX('Retirement Calculator'!J:J,MATCH('Isaac 401k'!N5868,'Retirement Calculator'!A:A,0),0),0)</f>
        <v>0</v>
      </c>
      <c r="K5868" s="455">
        <f t="shared" ca="1" si="211"/>
        <v>-27468733866830.082</v>
      </c>
      <c r="L5868" s="455">
        <f t="shared" ca="1" si="212"/>
        <v>-6619964861906050</v>
      </c>
      <c r="M5868" s="471">
        <f t="shared" si="214"/>
        <v>0.05</v>
      </c>
      <c r="N5868" s="475">
        <f t="shared" si="215"/>
        <v>229648</v>
      </c>
    </row>
    <row r="5869" spans="7:14" ht="11.25" customHeight="1" x14ac:dyDescent="0.3">
      <c r="G5869" s="470"/>
      <c r="H5869" s="470">
        <v>5862</v>
      </c>
      <c r="I5869" s="455">
        <f t="shared" ca="1" si="213"/>
        <v>-6619964861906050</v>
      </c>
      <c r="J5869" s="455">
        <f t="array" ref="J5869">IFERROR(INDEX('Retirement Calculator'!J:J,MATCH('Isaac 401k'!N5869,'Retirement Calculator'!A:A,0),0),0)</f>
        <v>0</v>
      </c>
      <c r="K5869" s="455">
        <f t="shared" ca="1" si="211"/>
        <v>-27583186924608.543</v>
      </c>
      <c r="L5869" s="455">
        <f t="shared" ca="1" si="212"/>
        <v>-6647548048830659</v>
      </c>
      <c r="M5869" s="471">
        <f t="shared" si="214"/>
        <v>0.05</v>
      </c>
      <c r="N5869" s="475">
        <f t="shared" si="215"/>
        <v>229679</v>
      </c>
    </row>
    <row r="5870" spans="7:14" ht="11.25" customHeight="1" x14ac:dyDescent="0.3">
      <c r="G5870" s="470"/>
      <c r="H5870" s="470">
        <v>5863</v>
      </c>
      <c r="I5870" s="455">
        <f t="shared" ca="1" si="213"/>
        <v>-6647548048830659</v>
      </c>
      <c r="J5870" s="455">
        <f t="array" ref="J5870">IFERROR(INDEX('Retirement Calculator'!J:J,MATCH('Isaac 401k'!N5870,'Retirement Calculator'!A:A,0),0),0)</f>
        <v>0</v>
      </c>
      <c r="K5870" s="455">
        <f t="shared" ca="1" si="211"/>
        <v>-27698116870127.746</v>
      </c>
      <c r="L5870" s="455">
        <f t="shared" ca="1" si="212"/>
        <v>-6675246165700787</v>
      </c>
      <c r="M5870" s="471">
        <f t="shared" si="214"/>
        <v>0.05</v>
      </c>
      <c r="N5870" s="475">
        <f t="shared" si="215"/>
        <v>229709</v>
      </c>
    </row>
    <row r="5871" spans="7:14" ht="11.25" customHeight="1" x14ac:dyDescent="0.3">
      <c r="G5871" s="470"/>
      <c r="H5871" s="470">
        <v>5864</v>
      </c>
      <c r="I5871" s="455">
        <f t="shared" ca="1" si="213"/>
        <v>-6675246165700787</v>
      </c>
      <c r="J5871" s="455">
        <f t="array" ref="J5871">IFERROR(INDEX('Retirement Calculator'!J:J,MATCH('Isaac 401k'!N5871,'Retirement Calculator'!A:A,0),0),0)</f>
        <v>0</v>
      </c>
      <c r="K5871" s="455">
        <f t="shared" ca="1" si="211"/>
        <v>-27813525690419.945</v>
      </c>
      <c r="L5871" s="455">
        <f t="shared" ca="1" si="212"/>
        <v>-6703059691391207</v>
      </c>
      <c r="M5871" s="471">
        <f t="shared" si="214"/>
        <v>0.05</v>
      </c>
      <c r="N5871" s="475">
        <f t="shared" si="215"/>
        <v>229740</v>
      </c>
    </row>
    <row r="5872" spans="7:14" ht="11.25" customHeight="1" x14ac:dyDescent="0.3">
      <c r="G5872" s="470"/>
      <c r="H5872" s="470">
        <v>5865</v>
      </c>
      <c r="I5872" s="455">
        <f t="shared" ca="1" si="213"/>
        <v>-6703059691391207</v>
      </c>
      <c r="J5872" s="455">
        <f t="array" ref="J5872">IFERROR(INDEX('Retirement Calculator'!J:J,MATCH('Isaac 401k'!N5872,'Retirement Calculator'!A:A,0),0),0)</f>
        <v>0</v>
      </c>
      <c r="K5872" s="455">
        <f t="shared" ca="1" si="211"/>
        <v>-27929415380796.695</v>
      </c>
      <c r="L5872" s="455">
        <f t="shared" ca="1" si="212"/>
        <v>-6730989106772004</v>
      </c>
      <c r="M5872" s="471">
        <f t="shared" si="214"/>
        <v>0.05</v>
      </c>
      <c r="N5872" s="475">
        <f t="shared" si="215"/>
        <v>229771</v>
      </c>
    </row>
    <row r="5873" spans="7:14" ht="11.25" customHeight="1" x14ac:dyDescent="0.3">
      <c r="G5873" s="470"/>
      <c r="H5873" s="470">
        <v>5866</v>
      </c>
      <c r="I5873" s="455">
        <f t="shared" ca="1" si="213"/>
        <v>-6730989106772004</v>
      </c>
      <c r="J5873" s="455">
        <f t="array" ref="J5873">IFERROR(INDEX('Retirement Calculator'!J:J,MATCH('Isaac 401k'!N5873,'Retirement Calculator'!A:A,0),0),0)</f>
        <v>0</v>
      </c>
      <c r="K5873" s="455">
        <f t="shared" ref="K5873:K6127" ca="1" si="216">IPMT(M5873/12,1,12,-I5873+J5873,,0)</f>
        <v>-28045787944883.352</v>
      </c>
      <c r="L5873" s="455">
        <f t="shared" ref="L5873:L6127" ca="1" si="217">I5873-J5873+K5873</f>
        <v>-6759034894716887</v>
      </c>
      <c r="M5873" s="471">
        <f t="shared" si="214"/>
        <v>0.05</v>
      </c>
      <c r="N5873" s="475">
        <f t="shared" si="215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18">L5873</f>
        <v>-6759034894716887</v>
      </c>
      <c r="J5874" s="455">
        <f t="array" ref="J5874">IFERROR(INDEX('Retirement Calculator'!J:J,MATCH('Isaac 401k'!N5874,'Retirement Calculator'!A:A,0),0),0)</f>
        <v>0</v>
      </c>
      <c r="K5874" s="455">
        <f t="shared" ca="1" si="216"/>
        <v>-28162645394653.695</v>
      </c>
      <c r="L5874" s="455">
        <f t="shared" ca="1" si="217"/>
        <v>-6787197540111541</v>
      </c>
      <c r="M5874" s="471">
        <f t="shared" ref="M5874:M6128" si="219">M5873</f>
        <v>0.05</v>
      </c>
      <c r="N5874" s="475">
        <f t="shared" ref="N5874:N6128" si="220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18"/>
        <v>-6787197540111541</v>
      </c>
      <c r="J5875" s="455">
        <f t="array" ref="J5875">IFERROR(INDEX('Retirement Calculator'!J:J,MATCH('Isaac 401k'!N5875,'Retirement Calculator'!A:A,0),0),0)</f>
        <v>0</v>
      </c>
      <c r="K5875" s="455">
        <f t="shared" ca="1" si="216"/>
        <v>-28279989750464.754</v>
      </c>
      <c r="L5875" s="455">
        <f t="shared" ca="1" si="217"/>
        <v>-6815477529862006</v>
      </c>
      <c r="M5875" s="471">
        <f t="shared" si="219"/>
        <v>0.05</v>
      </c>
      <c r="N5875" s="475">
        <f t="shared" si="220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18"/>
        <v>-6815477529862006</v>
      </c>
      <c r="J5876" s="455">
        <f t="array" ref="J5876">IFERROR(INDEX('Retirement Calculator'!J:J,MATCH('Isaac 401k'!N5876,'Retirement Calculator'!A:A,0),0),0)</f>
        <v>0</v>
      </c>
      <c r="K5876" s="455">
        <f t="shared" ca="1" si="216"/>
        <v>-28397823041091.691</v>
      </c>
      <c r="L5876" s="455">
        <f t="shared" ca="1" si="217"/>
        <v>-6843875352903098</v>
      </c>
      <c r="M5876" s="471">
        <f t="shared" si="219"/>
        <v>0.05</v>
      </c>
      <c r="N5876" s="475">
        <f t="shared" si="220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18"/>
        <v>-6843875352903098</v>
      </c>
      <c r="J5877" s="455">
        <f t="array" ref="J5877">IFERROR(INDEX('Retirement Calculator'!J:J,MATCH('Isaac 401k'!N5877,'Retirement Calculator'!A:A,0),0),0)</f>
        <v>0</v>
      </c>
      <c r="K5877" s="455">
        <f t="shared" ca="1" si="216"/>
        <v>-28516147303762.906</v>
      </c>
      <c r="L5877" s="455">
        <f t="shared" ca="1" si="217"/>
        <v>-6872391500206861</v>
      </c>
      <c r="M5877" s="471">
        <f t="shared" si="219"/>
        <v>0.05</v>
      </c>
      <c r="N5877" s="475">
        <f t="shared" si="220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18"/>
        <v>-6872391500206861</v>
      </c>
      <c r="J5878" s="455">
        <f t="array" ref="J5878">IFERROR(INDEX('Retirement Calculator'!J:J,MATCH('Isaac 401k'!N5878,'Retirement Calculator'!A:A,0),0),0)</f>
        <v>0</v>
      </c>
      <c r="K5878" s="455">
        <f t="shared" ca="1" si="216"/>
        <v>-28634964584195.254</v>
      </c>
      <c r="L5878" s="455">
        <f t="shared" ca="1" si="217"/>
        <v>-6901026464791056</v>
      </c>
      <c r="M5878" s="471">
        <f t="shared" si="219"/>
        <v>0.05</v>
      </c>
      <c r="N5878" s="475">
        <f t="shared" si="220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18"/>
        <v>-6901026464791056</v>
      </c>
      <c r="J5879" s="455">
        <f t="array" ref="J5879">IFERROR(INDEX('Retirement Calculator'!J:J,MATCH('Isaac 401k'!N5879,'Retirement Calculator'!A:A,0),0),0)</f>
        <v>0</v>
      </c>
      <c r="K5879" s="455">
        <f t="shared" ca="1" si="216"/>
        <v>-28754276936629.398</v>
      </c>
      <c r="L5879" s="455">
        <f t="shared" ca="1" si="217"/>
        <v>-6929780741727685</v>
      </c>
      <c r="M5879" s="471">
        <f t="shared" si="219"/>
        <v>0.05</v>
      </c>
      <c r="N5879" s="475">
        <f t="shared" si="220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18"/>
        <v>-6929780741727685</v>
      </c>
      <c r="J5880" s="455">
        <f t="array" ref="J5880">IFERROR(INDEX('Retirement Calculator'!J:J,MATCH('Isaac 401k'!N5880,'Retirement Calculator'!A:A,0),0),0)</f>
        <v>0</v>
      </c>
      <c r="K5880" s="455">
        <f t="shared" ca="1" si="216"/>
        <v>-28874086423865.355</v>
      </c>
      <c r="L5880" s="455">
        <f t="shared" ca="1" si="217"/>
        <v>-6958654828151550</v>
      </c>
      <c r="M5880" s="471">
        <f t="shared" si="219"/>
        <v>0.05</v>
      </c>
      <c r="N5880" s="475">
        <f t="shared" si="220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18"/>
        <v>-6958654828151550</v>
      </c>
      <c r="J5881" s="455">
        <f t="array" ref="J5881">IFERROR(INDEX('Retirement Calculator'!J:J,MATCH('Isaac 401k'!N5881,'Retirement Calculator'!A:A,0),0),0)</f>
        <v>0</v>
      </c>
      <c r="K5881" s="455">
        <f t="shared" ca="1" si="216"/>
        <v>-28994395117298.125</v>
      </c>
      <c r="L5881" s="455">
        <f t="shared" ca="1" si="217"/>
        <v>-6987649223268848</v>
      </c>
      <c r="M5881" s="471">
        <f t="shared" si="219"/>
        <v>0.05</v>
      </c>
      <c r="N5881" s="475">
        <f t="shared" si="220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18"/>
        <v>-6987649223268848</v>
      </c>
      <c r="J5882" s="455">
        <f t="array" ref="J5882">IFERROR(INDEX('Retirement Calculator'!J:J,MATCH('Isaac 401k'!N5882,'Retirement Calculator'!A:A,0),0),0)</f>
        <v>0</v>
      </c>
      <c r="K5882" s="455">
        <f t="shared" ca="1" si="216"/>
        <v>-29115205096953.531</v>
      </c>
      <c r="L5882" s="455">
        <f t="shared" ca="1" si="217"/>
        <v>-7016764428365802</v>
      </c>
      <c r="M5882" s="471">
        <f t="shared" si="219"/>
        <v>0.05</v>
      </c>
      <c r="N5882" s="475">
        <f t="shared" si="220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18"/>
        <v>-7016764428365802</v>
      </c>
      <c r="J5883" s="455">
        <f t="array" ref="J5883">IFERROR(INDEX('Retirement Calculator'!J:J,MATCH('Isaac 401k'!N5883,'Retirement Calculator'!A:A,0),0),0)</f>
        <v>0</v>
      </c>
      <c r="K5883" s="455">
        <f t="shared" ca="1" si="216"/>
        <v>-29236518451524.176</v>
      </c>
      <c r="L5883" s="455">
        <f t="shared" ca="1" si="217"/>
        <v>-7046000946817326</v>
      </c>
      <c r="M5883" s="471">
        <f t="shared" si="219"/>
        <v>0.05</v>
      </c>
      <c r="N5883" s="475">
        <f t="shared" si="220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18"/>
        <v>-7046000946817326</v>
      </c>
      <c r="J5884" s="455">
        <f t="array" ref="J5884">IFERROR(INDEX('Retirement Calculator'!J:J,MATCH('Isaac 401k'!N5884,'Retirement Calculator'!A:A,0),0),0)</f>
        <v>0</v>
      </c>
      <c r="K5884" s="455">
        <f t="shared" ca="1" si="216"/>
        <v>-29358337278405.523</v>
      </c>
      <c r="L5884" s="455">
        <f t="shared" ca="1" si="217"/>
        <v>-7075359284095732</v>
      </c>
      <c r="M5884" s="471">
        <f t="shared" si="219"/>
        <v>0.05</v>
      </c>
      <c r="N5884" s="475">
        <f t="shared" si="220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18"/>
        <v>-7075359284095732</v>
      </c>
      <c r="J5885" s="455">
        <f t="array" ref="J5885">IFERROR(INDEX('Retirement Calculator'!J:J,MATCH('Isaac 401k'!N5885,'Retirement Calculator'!A:A,0),0),0)</f>
        <v>0</v>
      </c>
      <c r="K5885" s="455">
        <f t="shared" ca="1" si="216"/>
        <v>-29480663683732.215</v>
      </c>
      <c r="L5885" s="455">
        <f t="shared" ca="1" si="217"/>
        <v>-7104839947779464</v>
      </c>
      <c r="M5885" s="471">
        <f t="shared" si="219"/>
        <v>0.05</v>
      </c>
      <c r="N5885" s="475">
        <f t="shared" si="220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18"/>
        <v>-7104839947779464</v>
      </c>
      <c r="J5886" s="455">
        <f t="array" ref="J5886">IFERROR(INDEX('Retirement Calculator'!J:J,MATCH('Isaac 401k'!N5886,'Retirement Calculator'!A:A,0),0),0)</f>
        <v>0</v>
      </c>
      <c r="K5886" s="455">
        <f t="shared" ca="1" si="216"/>
        <v>-29603499782414.438</v>
      </c>
      <c r="L5886" s="455">
        <f t="shared" ca="1" si="217"/>
        <v>-7134443447561878</v>
      </c>
      <c r="M5886" s="471">
        <f t="shared" si="219"/>
        <v>0.05</v>
      </c>
      <c r="N5886" s="475">
        <f t="shared" si="220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18"/>
        <v>-7134443447561878</v>
      </c>
      <c r="J5887" s="455">
        <f t="array" ref="J5887">IFERROR(INDEX('Retirement Calculator'!J:J,MATCH('Isaac 401k'!N5887,'Retirement Calculator'!A:A,0),0),0)</f>
        <v>0</v>
      </c>
      <c r="K5887" s="455">
        <f t="shared" ca="1" si="216"/>
        <v>-29726847698174.492</v>
      </c>
      <c r="L5887" s="455">
        <f t="shared" ca="1" si="217"/>
        <v>-7164170295260052</v>
      </c>
      <c r="M5887" s="471">
        <f t="shared" si="219"/>
        <v>0.05</v>
      </c>
      <c r="N5887" s="475">
        <f t="shared" si="220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18"/>
        <v>-7164170295260052</v>
      </c>
      <c r="J5888" s="455">
        <f t="array" ref="J5888">IFERROR(INDEX('Retirement Calculator'!J:J,MATCH('Isaac 401k'!N5888,'Retirement Calculator'!A:A,0),0),0)</f>
        <v>0</v>
      </c>
      <c r="K5888" s="455">
        <f t="shared" ca="1" si="216"/>
        <v>-29850709563583.555</v>
      </c>
      <c r="L5888" s="455">
        <f t="shared" ca="1" si="217"/>
        <v>-7194021004823636</v>
      </c>
      <c r="M5888" s="471">
        <f t="shared" si="219"/>
        <v>0.05</v>
      </c>
      <c r="N5888" s="475">
        <f t="shared" si="220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18"/>
        <v>-7194021004823636</v>
      </c>
      <c r="J5889" s="455">
        <f t="array" ref="J5889">IFERROR(INDEX('Retirement Calculator'!J:J,MATCH('Isaac 401k'!N5889,'Retirement Calculator'!A:A,0),0),0)</f>
        <v>0</v>
      </c>
      <c r="K5889" s="455">
        <f t="shared" ca="1" si="216"/>
        <v>-29975087520098.488</v>
      </c>
      <c r="L5889" s="455">
        <f t="shared" ca="1" si="217"/>
        <v>-7223996092343734</v>
      </c>
      <c r="M5889" s="471">
        <f t="shared" si="219"/>
        <v>0.05</v>
      </c>
      <c r="N5889" s="475">
        <f t="shared" si="220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18"/>
        <v>-7223996092343734</v>
      </c>
      <c r="J5890" s="455">
        <f t="array" ref="J5890">IFERROR(INDEX('Retirement Calculator'!J:J,MATCH('Isaac 401k'!N5890,'Retirement Calculator'!A:A,0),0),0)</f>
        <v>0</v>
      </c>
      <c r="K5890" s="455">
        <f t="shared" ca="1" si="216"/>
        <v>-30099983718098.887</v>
      </c>
      <c r="L5890" s="455">
        <f t="shared" ca="1" si="217"/>
        <v>-7254096076061833</v>
      </c>
      <c r="M5890" s="471">
        <f t="shared" si="219"/>
        <v>0.05</v>
      </c>
      <c r="N5890" s="475">
        <f t="shared" si="220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18"/>
        <v>-7254096076061833</v>
      </c>
      <c r="J5891" s="455">
        <f t="array" ref="J5891">IFERROR(INDEX('Retirement Calculator'!J:J,MATCH('Isaac 401k'!N5891,'Retirement Calculator'!A:A,0),0),0)</f>
        <v>0</v>
      </c>
      <c r="K5891" s="455">
        <f t="shared" ca="1" si="216"/>
        <v>-30225400316924.305</v>
      </c>
      <c r="L5891" s="455">
        <f t="shared" ca="1" si="217"/>
        <v>-7284321476378757</v>
      </c>
      <c r="M5891" s="471">
        <f t="shared" si="219"/>
        <v>0.05</v>
      </c>
      <c r="N5891" s="475">
        <f t="shared" si="220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18"/>
        <v>-7284321476378757</v>
      </c>
      <c r="J5892" s="455">
        <f t="array" ref="J5892">IFERROR(INDEX('Retirement Calculator'!J:J,MATCH('Isaac 401k'!N5892,'Retirement Calculator'!A:A,0),0),0)</f>
        <v>0</v>
      </c>
      <c r="K5892" s="455">
        <f t="shared" ca="1" si="216"/>
        <v>-30351339484911.488</v>
      </c>
      <c r="L5892" s="455">
        <f t="shared" ca="1" si="217"/>
        <v>-7314672815863668</v>
      </c>
      <c r="M5892" s="471">
        <f t="shared" si="219"/>
        <v>0.05</v>
      </c>
      <c r="N5892" s="475">
        <f t="shared" si="220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18"/>
        <v>-7314672815863668</v>
      </c>
      <c r="J5893" s="455">
        <f t="array" ref="J5893">IFERROR(INDEX('Retirement Calculator'!J:J,MATCH('Isaac 401k'!N5893,'Retirement Calculator'!A:A,0),0),0)</f>
        <v>0</v>
      </c>
      <c r="K5893" s="455">
        <f t="shared" ca="1" si="216"/>
        <v>-30477803399431.949</v>
      </c>
      <c r="L5893" s="455">
        <f t="shared" ca="1" si="217"/>
        <v>-7345150619263100</v>
      </c>
      <c r="M5893" s="471">
        <f t="shared" si="219"/>
        <v>0.05</v>
      </c>
      <c r="N5893" s="475">
        <f t="shared" si="220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18"/>
        <v>-7345150619263100</v>
      </c>
      <c r="J5894" s="455">
        <f t="array" ref="J5894">IFERROR(INDEX('Retirement Calculator'!J:J,MATCH('Isaac 401k'!N5894,'Retirement Calculator'!A:A,0),0),0)</f>
        <v>0</v>
      </c>
      <c r="K5894" s="455">
        <f t="shared" ca="1" si="216"/>
        <v>-30604794246929.582</v>
      </c>
      <c r="L5894" s="455">
        <f t="shared" ca="1" si="217"/>
        <v>-7375755413510030</v>
      </c>
      <c r="M5894" s="471">
        <f t="shared" si="219"/>
        <v>0.05</v>
      </c>
      <c r="N5894" s="475">
        <f t="shared" si="220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18"/>
        <v>-7375755413510030</v>
      </c>
      <c r="J5895" s="455">
        <f t="array" ref="J5895">IFERROR(INDEX('Retirement Calculator'!J:J,MATCH('Isaac 401k'!N5895,'Retirement Calculator'!A:A,0),0),0)</f>
        <v>0</v>
      </c>
      <c r="K5895" s="455">
        <f t="shared" ca="1" si="216"/>
        <v>-30732314222958.457</v>
      </c>
      <c r="L5895" s="455">
        <f t="shared" ca="1" si="217"/>
        <v>-7406487727732988</v>
      </c>
      <c r="M5895" s="471">
        <f t="shared" si="219"/>
        <v>0.05</v>
      </c>
      <c r="N5895" s="475">
        <f t="shared" si="220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18"/>
        <v>-7406487727732988</v>
      </c>
      <c r="J5896" s="455">
        <f t="array" ref="J5896">IFERROR(INDEX('Retirement Calculator'!J:J,MATCH('Isaac 401k'!N5896,'Retirement Calculator'!A:A,0),0),0)</f>
        <v>0</v>
      </c>
      <c r="K5896" s="455">
        <f t="shared" ca="1" si="216"/>
        <v>-30860365532220.781</v>
      </c>
      <c r="L5896" s="455">
        <f t="shared" ca="1" si="217"/>
        <v>-7437348093265209</v>
      </c>
      <c r="M5896" s="471">
        <f t="shared" si="219"/>
        <v>0.05</v>
      </c>
      <c r="N5896" s="475">
        <f t="shared" si="220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18"/>
        <v>-7437348093265209</v>
      </c>
      <c r="J5897" s="455">
        <f t="array" ref="J5897">IFERROR(INDEX('Retirement Calculator'!J:J,MATCH('Isaac 401k'!N5897,'Retirement Calculator'!A:A,0),0),0)</f>
        <v>0</v>
      </c>
      <c r="K5897" s="455">
        <f t="shared" ca="1" si="216"/>
        <v>-30988950388605.035</v>
      </c>
      <c r="L5897" s="455">
        <f t="shared" ca="1" si="217"/>
        <v>-7468337043653814</v>
      </c>
      <c r="M5897" s="471">
        <f t="shared" si="219"/>
        <v>0.05</v>
      </c>
      <c r="N5897" s="475">
        <f t="shared" si="220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18"/>
        <v>-7468337043653814</v>
      </c>
      <c r="J5898" s="455">
        <f t="array" ref="J5898">IFERROR(INDEX('Retirement Calculator'!J:J,MATCH('Isaac 401k'!N5898,'Retirement Calculator'!A:A,0),0),0)</f>
        <v>0</v>
      </c>
      <c r="K5898" s="455">
        <f t="shared" ca="1" si="216"/>
        <v>-31118071015224.219</v>
      </c>
      <c r="L5898" s="455">
        <f t="shared" ca="1" si="217"/>
        <v>-7499455114669038</v>
      </c>
      <c r="M5898" s="471">
        <f t="shared" si="219"/>
        <v>0.05</v>
      </c>
      <c r="N5898" s="475">
        <f t="shared" si="220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18"/>
        <v>-7499455114669038</v>
      </c>
      <c r="J5899" s="455">
        <f t="array" ref="J5899">IFERROR(INDEX('Retirement Calculator'!J:J,MATCH('Isaac 401k'!N5899,'Retirement Calculator'!A:A,0),0),0)</f>
        <v>0</v>
      </c>
      <c r="K5899" s="455">
        <f t="shared" ca="1" si="216"/>
        <v>-31247729644454.328</v>
      </c>
      <c r="L5899" s="455">
        <f t="shared" ca="1" si="217"/>
        <v>-7530702844313492</v>
      </c>
      <c r="M5899" s="471">
        <f t="shared" si="219"/>
        <v>0.05</v>
      </c>
      <c r="N5899" s="475">
        <f t="shared" si="220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18"/>
        <v>-7530702844313492</v>
      </c>
      <c r="J5900" s="455">
        <f t="array" ref="J5900">IFERROR(INDEX('Retirement Calculator'!J:J,MATCH('Isaac 401k'!N5900,'Retirement Calculator'!A:A,0),0),0)</f>
        <v>0</v>
      </c>
      <c r="K5900" s="455">
        <f t="shared" ca="1" si="216"/>
        <v>-31377928517972.887</v>
      </c>
      <c r="L5900" s="455">
        <f t="shared" ca="1" si="217"/>
        <v>-7562080772831465</v>
      </c>
      <c r="M5900" s="471">
        <f t="shared" si="219"/>
        <v>0.05</v>
      </c>
      <c r="N5900" s="475">
        <f t="shared" si="220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18"/>
        <v>-7562080772831465</v>
      </c>
      <c r="J5901" s="455">
        <f t="array" ref="J5901">IFERROR(INDEX('Retirement Calculator'!J:J,MATCH('Isaac 401k'!N5901,'Retirement Calculator'!A:A,0),0),0)</f>
        <v>0</v>
      </c>
      <c r="K5901" s="455">
        <f t="shared" ca="1" si="216"/>
        <v>-31508669886797.77</v>
      </c>
      <c r="L5901" s="455">
        <f t="shared" ca="1" si="217"/>
        <v>-7593589442718263</v>
      </c>
      <c r="M5901" s="471">
        <f t="shared" si="219"/>
        <v>0.05</v>
      </c>
      <c r="N5901" s="475">
        <f t="shared" si="220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18"/>
        <v>-7593589442718263</v>
      </c>
      <c r="J5902" s="455">
        <f t="array" ref="J5902">IFERROR(INDEX('Retirement Calculator'!J:J,MATCH('Isaac 401k'!N5902,'Retirement Calculator'!A:A,0),0),0)</f>
        <v>0</v>
      </c>
      <c r="K5902" s="455">
        <f t="shared" ca="1" si="216"/>
        <v>-31639956011326.094</v>
      </c>
      <c r="L5902" s="455">
        <f t="shared" ca="1" si="217"/>
        <v>-7625229398729589</v>
      </c>
      <c r="M5902" s="471">
        <f t="shared" si="219"/>
        <v>0.05</v>
      </c>
      <c r="N5902" s="475">
        <f t="shared" si="220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18"/>
        <v>-7625229398729589</v>
      </c>
      <c r="J5903" s="455">
        <f t="array" ref="J5903">IFERROR(INDEX('Retirement Calculator'!J:J,MATCH('Isaac 401k'!N5903,'Retirement Calculator'!A:A,0),0),0)</f>
        <v>0</v>
      </c>
      <c r="K5903" s="455">
        <f t="shared" ca="1" si="216"/>
        <v>-31771789161373.285</v>
      </c>
      <c r="L5903" s="455">
        <f t="shared" ca="1" si="217"/>
        <v>-7657001187890962</v>
      </c>
      <c r="M5903" s="471">
        <f t="shared" si="219"/>
        <v>0.05</v>
      </c>
      <c r="N5903" s="475">
        <f t="shared" si="220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18"/>
        <v>-7657001187890962</v>
      </c>
      <c r="J5904" s="455">
        <f t="array" ref="J5904">IFERROR(INDEX('Retirement Calculator'!J:J,MATCH('Isaac 401k'!N5904,'Retirement Calculator'!A:A,0),0),0)</f>
        <v>0</v>
      </c>
      <c r="K5904" s="455">
        <f t="shared" ca="1" si="216"/>
        <v>-31904171616212.34</v>
      </c>
      <c r="L5904" s="455">
        <f t="shared" ca="1" si="217"/>
        <v>-7688905359507174</v>
      </c>
      <c r="M5904" s="471">
        <f t="shared" si="219"/>
        <v>0.05</v>
      </c>
      <c r="N5904" s="475">
        <f t="shared" si="220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18"/>
        <v>-7688905359507174</v>
      </c>
      <c r="J5905" s="455">
        <f t="array" ref="J5905">IFERROR(INDEX('Retirement Calculator'!J:J,MATCH('Isaac 401k'!N5905,'Retirement Calculator'!A:A,0),0),0)</f>
        <v>0</v>
      </c>
      <c r="K5905" s="455">
        <f t="shared" ca="1" si="216"/>
        <v>-32037105664613.223</v>
      </c>
      <c r="L5905" s="455">
        <f t="shared" ca="1" si="217"/>
        <v>-7720942465171787</v>
      </c>
      <c r="M5905" s="471">
        <f t="shared" si="219"/>
        <v>0.05</v>
      </c>
      <c r="N5905" s="475">
        <f t="shared" si="220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18"/>
        <v>-7720942465171787</v>
      </c>
      <c r="J5906" s="455">
        <f t="array" ref="J5906">IFERROR(INDEX('Retirement Calculator'!J:J,MATCH('Isaac 401k'!N5906,'Retirement Calculator'!A:A,0),0),0)</f>
        <v>0</v>
      </c>
      <c r="K5906" s="455">
        <f t="shared" ca="1" si="216"/>
        <v>-32170593604882.445</v>
      </c>
      <c r="L5906" s="455">
        <f t="shared" ca="1" si="217"/>
        <v>-7753113058776669</v>
      </c>
      <c r="M5906" s="471">
        <f t="shared" si="219"/>
        <v>0.05</v>
      </c>
      <c r="N5906" s="475">
        <f t="shared" si="220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18"/>
        <v>-7753113058776669</v>
      </c>
      <c r="J5907" s="455">
        <f t="array" ref="J5907">IFERROR(INDEX('Retirement Calculator'!J:J,MATCH('Isaac 401k'!N5907,'Retirement Calculator'!A:A,0),0),0)</f>
        <v>0</v>
      </c>
      <c r="K5907" s="455">
        <f t="shared" ca="1" si="216"/>
        <v>-32304637744902.785</v>
      </c>
      <c r="L5907" s="455">
        <f t="shared" ca="1" si="217"/>
        <v>-7785417696521572</v>
      </c>
      <c r="M5907" s="471">
        <f t="shared" si="219"/>
        <v>0.05</v>
      </c>
      <c r="N5907" s="475">
        <f t="shared" si="220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18"/>
        <v>-7785417696521572</v>
      </c>
      <c r="J5908" s="455">
        <f t="array" ref="J5908">IFERROR(INDEX('Retirement Calculator'!J:J,MATCH('Isaac 401k'!N5908,'Retirement Calculator'!A:A,0),0),0)</f>
        <v>0</v>
      </c>
      <c r="K5908" s="455">
        <f t="shared" ca="1" si="216"/>
        <v>-32439240402173.211</v>
      </c>
      <c r="L5908" s="455">
        <f t="shared" ca="1" si="217"/>
        <v>-7817856936923745</v>
      </c>
      <c r="M5908" s="471">
        <f t="shared" si="219"/>
        <v>0.05</v>
      </c>
      <c r="N5908" s="475">
        <f t="shared" si="220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18"/>
        <v>-7817856936923745</v>
      </c>
      <c r="J5909" s="455">
        <f t="array" ref="J5909">IFERROR(INDEX('Retirement Calculator'!J:J,MATCH('Isaac 401k'!N5909,'Retirement Calculator'!A:A,0),0),0)</f>
        <v>0</v>
      </c>
      <c r="K5909" s="455">
        <f t="shared" ca="1" si="216"/>
        <v>-32574403903848.938</v>
      </c>
      <c r="L5909" s="455">
        <f t="shared" ca="1" si="217"/>
        <v>-7850431340827594</v>
      </c>
      <c r="M5909" s="471">
        <f t="shared" si="219"/>
        <v>0.05</v>
      </c>
      <c r="N5909" s="475">
        <f t="shared" si="220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18"/>
        <v>-7850431340827594</v>
      </c>
      <c r="J5910" s="455">
        <f t="array" ref="J5910">IFERROR(INDEX('Retirement Calculator'!J:J,MATCH('Isaac 401k'!N5910,'Retirement Calculator'!A:A,0),0),0)</f>
        <v>0</v>
      </c>
      <c r="K5910" s="455">
        <f t="shared" ca="1" si="216"/>
        <v>-32710130586781.641</v>
      </c>
      <c r="L5910" s="455">
        <f t="shared" ca="1" si="217"/>
        <v>-7883141471414376</v>
      </c>
      <c r="M5910" s="471">
        <f t="shared" si="219"/>
        <v>0.05</v>
      </c>
      <c r="N5910" s="475">
        <f t="shared" si="220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18"/>
        <v>-7883141471414376</v>
      </c>
      <c r="J5911" s="455">
        <f t="array" ref="J5911">IFERROR(INDEX('Retirement Calculator'!J:J,MATCH('Isaac 401k'!N5911,'Retirement Calculator'!A:A,0),0),0)</f>
        <v>0</v>
      </c>
      <c r="K5911" s="455">
        <f t="shared" ca="1" si="216"/>
        <v>-32846422797559.898</v>
      </c>
      <c r="L5911" s="455">
        <f t="shared" ca="1" si="217"/>
        <v>-7915987894211936</v>
      </c>
      <c r="M5911" s="471">
        <f t="shared" si="219"/>
        <v>0.05</v>
      </c>
      <c r="N5911" s="475">
        <f t="shared" si="220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18"/>
        <v>-7915987894211936</v>
      </c>
      <c r="J5912" s="455">
        <f t="array" ref="J5912">IFERROR(INDEX('Retirement Calculator'!J:J,MATCH('Isaac 401k'!N5912,'Retirement Calculator'!A:A,0),0),0)</f>
        <v>0</v>
      </c>
      <c r="K5912" s="455">
        <f t="shared" ca="1" si="216"/>
        <v>-32983282892549.734</v>
      </c>
      <c r="L5912" s="455">
        <f t="shared" ca="1" si="217"/>
        <v>-7948971177104486</v>
      </c>
      <c r="M5912" s="471">
        <f t="shared" si="219"/>
        <v>0.05</v>
      </c>
      <c r="N5912" s="475">
        <f t="shared" si="220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18"/>
        <v>-7948971177104486</v>
      </c>
      <c r="J5913" s="455">
        <f t="array" ref="J5913">IFERROR(INDEX('Retirement Calculator'!J:J,MATCH('Isaac 401k'!N5913,'Retirement Calculator'!A:A,0),0),0)</f>
        <v>0</v>
      </c>
      <c r="K5913" s="455">
        <f t="shared" ca="1" si="216"/>
        <v>-33120713237935.359</v>
      </c>
      <c r="L5913" s="455">
        <f t="shared" ca="1" si="217"/>
        <v>-7982091890342421</v>
      </c>
      <c r="M5913" s="471">
        <f t="shared" si="219"/>
        <v>0.05</v>
      </c>
      <c r="N5913" s="475">
        <f t="shared" si="220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18"/>
        <v>-7982091890342421</v>
      </c>
      <c r="J5914" s="455">
        <f t="array" ref="J5914">IFERROR(INDEX('Retirement Calculator'!J:J,MATCH('Isaac 401k'!N5914,'Retirement Calculator'!A:A,0),0),0)</f>
        <v>0</v>
      </c>
      <c r="K5914" s="455">
        <f t="shared" ca="1" si="216"/>
        <v>-33258716209760.086</v>
      </c>
      <c r="L5914" s="455">
        <f t="shared" ca="1" si="217"/>
        <v>-8015350606552181</v>
      </c>
      <c r="M5914" s="471">
        <f t="shared" si="219"/>
        <v>0.05</v>
      </c>
      <c r="N5914" s="475">
        <f t="shared" si="220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18"/>
        <v>-8015350606552181</v>
      </c>
      <c r="J5915" s="455">
        <f t="array" ref="J5915">IFERROR(INDEX('Retirement Calculator'!J:J,MATCH('Isaac 401k'!N5915,'Retirement Calculator'!A:A,0),0),0)</f>
        <v>0</v>
      </c>
      <c r="K5915" s="455">
        <f t="shared" ca="1" si="216"/>
        <v>-33397294193967.422</v>
      </c>
      <c r="L5915" s="455">
        <f t="shared" ca="1" si="217"/>
        <v>-8048747900746148</v>
      </c>
      <c r="M5915" s="471">
        <f t="shared" si="219"/>
        <v>0.05</v>
      </c>
      <c r="N5915" s="475">
        <f t="shared" si="220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18"/>
        <v>-8048747900746148</v>
      </c>
      <c r="J5916" s="455">
        <f t="array" ref="J5916">IFERROR(INDEX('Retirement Calculator'!J:J,MATCH('Isaac 401k'!N5916,'Retirement Calculator'!A:A,0),0),0)</f>
        <v>0</v>
      </c>
      <c r="K5916" s="455">
        <f t="shared" ca="1" si="216"/>
        <v>-33536449586442.281</v>
      </c>
      <c r="L5916" s="455">
        <f t="shared" ca="1" si="217"/>
        <v>-8082284350332590</v>
      </c>
      <c r="M5916" s="471">
        <f t="shared" si="219"/>
        <v>0.05</v>
      </c>
      <c r="N5916" s="475">
        <f t="shared" si="220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18"/>
        <v>-8082284350332590</v>
      </c>
      <c r="J5917" s="455">
        <f t="array" ref="J5917">IFERROR(INDEX('Retirement Calculator'!J:J,MATCH('Isaac 401k'!N5917,'Retirement Calculator'!A:A,0),0),0)</f>
        <v>0</v>
      </c>
      <c r="K5917" s="455">
        <f t="shared" ca="1" si="216"/>
        <v>-33676184793052.461</v>
      </c>
      <c r="L5917" s="455">
        <f t="shared" ca="1" si="217"/>
        <v>-8115960535125642</v>
      </c>
      <c r="M5917" s="471">
        <f t="shared" si="219"/>
        <v>0.05</v>
      </c>
      <c r="N5917" s="475">
        <f t="shared" si="220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18"/>
        <v>-8115960535125642</v>
      </c>
      <c r="J5918" s="455">
        <f t="array" ref="J5918">IFERROR(INDEX('Retirement Calculator'!J:J,MATCH('Isaac 401k'!N5918,'Retirement Calculator'!A:A,0),0),0)</f>
        <v>0</v>
      </c>
      <c r="K5918" s="455">
        <f t="shared" ca="1" si="216"/>
        <v>-33816502229690.18</v>
      </c>
      <c r="L5918" s="455">
        <f t="shared" ca="1" si="217"/>
        <v>-8149777037355332</v>
      </c>
      <c r="M5918" s="471">
        <f t="shared" si="219"/>
        <v>0.05</v>
      </c>
      <c r="N5918" s="475">
        <f t="shared" si="220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18"/>
        <v>-8149777037355332</v>
      </c>
      <c r="J5919" s="455">
        <f t="array" ref="J5919">IFERROR(INDEX('Retirement Calculator'!J:J,MATCH('Isaac 401k'!N5919,'Retirement Calculator'!A:A,0),0),0)</f>
        <v>0</v>
      </c>
      <c r="K5919" s="455">
        <f t="shared" ca="1" si="216"/>
        <v>-33957404322313.879</v>
      </c>
      <c r="L5919" s="455">
        <f t="shared" ca="1" si="217"/>
        <v>-8183734441677646</v>
      </c>
      <c r="M5919" s="471">
        <f t="shared" si="219"/>
        <v>0.05</v>
      </c>
      <c r="N5919" s="475">
        <f t="shared" si="220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18"/>
        <v>-8183734441677646</v>
      </c>
      <c r="J5920" s="455">
        <f t="array" ref="J5920">IFERROR(INDEX('Retirement Calculator'!J:J,MATCH('Isaac 401k'!N5920,'Retirement Calculator'!A:A,0),0),0)</f>
        <v>0</v>
      </c>
      <c r="K5920" s="455">
        <f t="shared" ca="1" si="216"/>
        <v>-34098893506990.191</v>
      </c>
      <c r="L5920" s="455">
        <f t="shared" ca="1" si="217"/>
        <v>-8217833335184636</v>
      </c>
      <c r="M5920" s="471">
        <f t="shared" si="219"/>
        <v>0.05</v>
      </c>
      <c r="N5920" s="475">
        <f t="shared" si="220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18"/>
        <v>-8217833335184636</v>
      </c>
      <c r="J5921" s="455">
        <f t="array" ref="J5921">IFERROR(INDEX('Retirement Calculator'!J:J,MATCH('Isaac 401k'!N5921,'Retirement Calculator'!A:A,0),0),0)</f>
        <v>0</v>
      </c>
      <c r="K5921" s="455">
        <f t="shared" ca="1" si="216"/>
        <v>-34240972229935.984</v>
      </c>
      <c r="L5921" s="455">
        <f t="shared" ca="1" si="217"/>
        <v>-8252074307414572</v>
      </c>
      <c r="M5921" s="471">
        <f t="shared" si="219"/>
        <v>0.05</v>
      </c>
      <c r="N5921" s="475">
        <f t="shared" si="220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18"/>
        <v>-8252074307414572</v>
      </c>
      <c r="J5922" s="455">
        <f t="array" ref="J5922">IFERROR(INDEX('Retirement Calculator'!J:J,MATCH('Isaac 401k'!N5922,'Retirement Calculator'!A:A,0),0),0)</f>
        <v>0</v>
      </c>
      <c r="K5922" s="455">
        <f t="shared" ca="1" si="216"/>
        <v>-34383642947560.719</v>
      </c>
      <c r="L5922" s="455">
        <f t="shared" ca="1" si="217"/>
        <v>-8286457950362133</v>
      </c>
      <c r="M5922" s="471">
        <f t="shared" si="219"/>
        <v>0.05</v>
      </c>
      <c r="N5922" s="475">
        <f t="shared" si="220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18"/>
        <v>-8286457950362133</v>
      </c>
      <c r="J5923" s="455">
        <f t="array" ref="J5923">IFERROR(INDEX('Retirement Calculator'!J:J,MATCH('Isaac 401k'!N5923,'Retirement Calculator'!A:A,0),0),0)</f>
        <v>0</v>
      </c>
      <c r="K5923" s="455">
        <f t="shared" ca="1" si="216"/>
        <v>-34526908126508.887</v>
      </c>
      <c r="L5923" s="455">
        <f t="shared" ca="1" si="217"/>
        <v>-8320984858488642</v>
      </c>
      <c r="M5923" s="471">
        <f t="shared" si="219"/>
        <v>0.05</v>
      </c>
      <c r="N5923" s="475">
        <f t="shared" si="220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18"/>
        <v>-8320984858488642</v>
      </c>
      <c r="J5924" s="455">
        <f t="array" ref="J5924">IFERROR(INDEX('Retirement Calculator'!J:J,MATCH('Isaac 401k'!N5924,'Retirement Calculator'!A:A,0),0),0)</f>
        <v>0</v>
      </c>
      <c r="K5924" s="455">
        <f t="shared" ca="1" si="216"/>
        <v>-34670770243702.68</v>
      </c>
      <c r="L5924" s="455">
        <f t="shared" ca="1" si="217"/>
        <v>-8355655628732345</v>
      </c>
      <c r="M5924" s="471">
        <f t="shared" si="219"/>
        <v>0.05</v>
      </c>
      <c r="N5924" s="475">
        <f t="shared" si="220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18"/>
        <v>-8355655628732345</v>
      </c>
      <c r="J5925" s="455">
        <f t="array" ref="J5925">IFERROR(INDEX('Retirement Calculator'!J:J,MATCH('Isaac 401k'!N5925,'Retirement Calculator'!A:A,0),0),0)</f>
        <v>0</v>
      </c>
      <c r="K5925" s="455">
        <f t="shared" ca="1" si="216"/>
        <v>-34815231786384.77</v>
      </c>
      <c r="L5925" s="455">
        <f t="shared" ca="1" si="217"/>
        <v>-8390470860518730</v>
      </c>
      <c r="M5925" s="471">
        <f t="shared" si="219"/>
        <v>0.05</v>
      </c>
      <c r="N5925" s="475">
        <f t="shared" si="220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18"/>
        <v>-8390470860518730</v>
      </c>
      <c r="J5926" s="455">
        <f t="array" ref="J5926">IFERROR(INDEX('Retirement Calculator'!J:J,MATCH('Isaac 401k'!N5926,'Retirement Calculator'!A:A,0),0),0)</f>
        <v>0</v>
      </c>
      <c r="K5926" s="455">
        <f t="shared" ca="1" si="216"/>
        <v>-34960295252161.375</v>
      </c>
      <c r="L5926" s="455">
        <f t="shared" ca="1" si="217"/>
        <v>-8425431155770891</v>
      </c>
      <c r="M5926" s="471">
        <f t="shared" si="219"/>
        <v>0.05</v>
      </c>
      <c r="N5926" s="475">
        <f t="shared" si="220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18"/>
        <v>-8425431155770891</v>
      </c>
      <c r="J5927" s="455">
        <f t="array" ref="J5927">IFERROR(INDEX('Retirement Calculator'!J:J,MATCH('Isaac 401k'!N5927,'Retirement Calculator'!A:A,0),0),0)</f>
        <v>0</v>
      </c>
      <c r="K5927" s="455">
        <f t="shared" ca="1" si="216"/>
        <v>-35105963149045.379</v>
      </c>
      <c r="L5927" s="455">
        <f t="shared" ca="1" si="217"/>
        <v>-8460537118919936</v>
      </c>
      <c r="M5927" s="471">
        <f t="shared" si="219"/>
        <v>0.05</v>
      </c>
      <c r="N5927" s="475">
        <f t="shared" si="220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18"/>
        <v>-8460537118919936</v>
      </c>
      <c r="J5928" s="455">
        <f t="array" ref="J5928">IFERROR(INDEX('Retirement Calculator'!J:J,MATCH('Isaac 401k'!N5928,'Retirement Calculator'!A:A,0),0),0)</f>
        <v>0</v>
      </c>
      <c r="K5928" s="455">
        <f t="shared" ca="1" si="216"/>
        <v>-35252237995499.727</v>
      </c>
      <c r="L5928" s="455">
        <f t="shared" ca="1" si="217"/>
        <v>-8495789356915436</v>
      </c>
      <c r="M5928" s="471">
        <f t="shared" si="219"/>
        <v>0.05</v>
      </c>
      <c r="N5928" s="475">
        <f t="shared" si="220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18"/>
        <v>-8495789356915436</v>
      </c>
      <c r="J5929" s="455">
        <f t="array" ref="J5929">IFERROR(INDEX('Retirement Calculator'!J:J,MATCH('Isaac 401k'!N5929,'Retirement Calculator'!A:A,0),0),0)</f>
        <v>0</v>
      </c>
      <c r="K5929" s="455">
        <f t="shared" ca="1" si="216"/>
        <v>-35399122320480.984</v>
      </c>
      <c r="L5929" s="455">
        <f t="shared" ca="1" si="217"/>
        <v>-8531188479235917</v>
      </c>
      <c r="M5929" s="471">
        <f t="shared" si="219"/>
        <v>0.05</v>
      </c>
      <c r="N5929" s="475">
        <f t="shared" si="220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18"/>
        <v>-8531188479235917</v>
      </c>
      <c r="J5930" s="455">
        <f t="array" ref="J5930">IFERROR(INDEX('Retirement Calculator'!J:J,MATCH('Isaac 401k'!N5930,'Retirement Calculator'!A:A,0),0),0)</f>
        <v>0</v>
      </c>
      <c r="K5930" s="455">
        <f t="shared" ca="1" si="216"/>
        <v>-35546618663482.984</v>
      </c>
      <c r="L5930" s="455">
        <f t="shared" ca="1" si="217"/>
        <v>-8566735097899400</v>
      </c>
      <c r="M5930" s="471">
        <f t="shared" si="219"/>
        <v>0.05</v>
      </c>
      <c r="N5930" s="475">
        <f t="shared" si="220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18"/>
        <v>-8566735097899400</v>
      </c>
      <c r="J5931" s="455">
        <f t="array" ref="J5931">IFERROR(INDEX('Retirement Calculator'!J:J,MATCH('Isaac 401k'!N5931,'Retirement Calculator'!A:A,0),0),0)</f>
        <v>0</v>
      </c>
      <c r="K5931" s="455">
        <f t="shared" ca="1" si="216"/>
        <v>-35694729574580.836</v>
      </c>
      <c r="L5931" s="455">
        <f t="shared" ca="1" si="217"/>
        <v>-8602429827473981</v>
      </c>
      <c r="M5931" s="471">
        <f t="shared" si="219"/>
        <v>0.05</v>
      </c>
      <c r="N5931" s="475">
        <f t="shared" si="220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18"/>
        <v>-8602429827473981</v>
      </c>
      <c r="J5932" s="455">
        <f t="array" ref="J5932">IFERROR(INDEX('Retirement Calculator'!J:J,MATCH('Isaac 401k'!N5932,'Retirement Calculator'!A:A,0),0),0)</f>
        <v>0</v>
      </c>
      <c r="K5932" s="455">
        <f t="shared" ca="1" si="216"/>
        <v>-35843457614474.914</v>
      </c>
      <c r="L5932" s="455">
        <f t="shared" ca="1" si="217"/>
        <v>-8638273285088456</v>
      </c>
      <c r="M5932" s="471">
        <f t="shared" si="219"/>
        <v>0.05</v>
      </c>
      <c r="N5932" s="475">
        <f t="shared" si="220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18"/>
        <v>-8638273285088456</v>
      </c>
      <c r="J5933" s="455">
        <f t="array" ref="J5933">IFERROR(INDEX('Retirement Calculator'!J:J,MATCH('Isaac 401k'!N5933,'Retirement Calculator'!A:A,0),0),0)</f>
        <v>0</v>
      </c>
      <c r="K5933" s="455">
        <f t="shared" ca="1" si="216"/>
        <v>-35992805354535.234</v>
      </c>
      <c r="L5933" s="455">
        <f t="shared" ca="1" si="217"/>
        <v>-8674266090442991</v>
      </c>
      <c r="M5933" s="471">
        <f t="shared" si="219"/>
        <v>0.05</v>
      </c>
      <c r="N5933" s="475">
        <f t="shared" si="220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18"/>
        <v>-8674266090442991</v>
      </c>
      <c r="J5934" s="455">
        <f t="array" ref="J5934">IFERROR(INDEX('Retirement Calculator'!J:J,MATCH('Isaac 401k'!N5934,'Retirement Calculator'!A:A,0),0),0)</f>
        <v>0</v>
      </c>
      <c r="K5934" s="455">
        <f t="shared" ca="1" si="216"/>
        <v>-36142775376845.789</v>
      </c>
      <c r="L5934" s="455">
        <f t="shared" ca="1" si="217"/>
        <v>-8710408865819837</v>
      </c>
      <c r="M5934" s="471">
        <f t="shared" si="219"/>
        <v>0.05</v>
      </c>
      <c r="N5934" s="475">
        <f t="shared" si="220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18"/>
        <v>-8710408865819837</v>
      </c>
      <c r="J5935" s="455">
        <f t="array" ref="J5935">IFERROR(INDEX('Retirement Calculator'!J:J,MATCH('Isaac 401k'!N5935,'Retirement Calculator'!A:A,0),0),0)</f>
        <v>0</v>
      </c>
      <c r="K5935" s="455">
        <f t="shared" ca="1" si="216"/>
        <v>-36293370274249.313</v>
      </c>
      <c r="L5935" s="455">
        <f t="shared" ca="1" si="217"/>
        <v>-8746702236094086</v>
      </c>
      <c r="M5935" s="471">
        <f t="shared" si="219"/>
        <v>0.05</v>
      </c>
      <c r="N5935" s="475">
        <f t="shared" si="220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18"/>
        <v>-8746702236094086</v>
      </c>
      <c r="J5936" s="455">
        <f t="array" ref="J5936">IFERROR(INDEX('Retirement Calculator'!J:J,MATCH('Isaac 401k'!N5936,'Retirement Calculator'!A:A,0),0),0)</f>
        <v>0</v>
      </c>
      <c r="K5936" s="455">
        <f t="shared" ca="1" si="216"/>
        <v>-36444592650392.023</v>
      </c>
      <c r="L5936" s="455">
        <f t="shared" ca="1" si="217"/>
        <v>-8783146828744478</v>
      </c>
      <c r="M5936" s="471">
        <f t="shared" si="219"/>
        <v>0.05</v>
      </c>
      <c r="N5936" s="475">
        <f t="shared" si="220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18"/>
        <v>-8783146828744478</v>
      </c>
      <c r="J5937" s="455">
        <f t="array" ref="J5937">IFERROR(INDEX('Retirement Calculator'!J:J,MATCH('Isaac 401k'!N5937,'Retirement Calculator'!A:A,0),0),0)</f>
        <v>0</v>
      </c>
      <c r="K5937" s="455">
        <f t="shared" ca="1" si="216"/>
        <v>-36596445119768.656</v>
      </c>
      <c r="L5937" s="455">
        <f t="shared" ca="1" si="217"/>
        <v>-8819743273864247</v>
      </c>
      <c r="M5937" s="471">
        <f t="shared" si="219"/>
        <v>0.05</v>
      </c>
      <c r="N5937" s="475">
        <f t="shared" si="220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18"/>
        <v>-8819743273864247</v>
      </c>
      <c r="J5938" s="455">
        <f t="array" ref="J5938">IFERROR(INDEX('Retirement Calculator'!J:J,MATCH('Isaac 401k'!N5938,'Retirement Calculator'!A:A,0),0),0)</f>
        <v>0</v>
      </c>
      <c r="K5938" s="455">
        <f t="shared" ca="1" si="216"/>
        <v>-36748930307767.688</v>
      </c>
      <c r="L5938" s="455">
        <f t="shared" ca="1" si="217"/>
        <v>-8856492204172015</v>
      </c>
      <c r="M5938" s="471">
        <f t="shared" si="219"/>
        <v>0.05</v>
      </c>
      <c r="N5938" s="475">
        <f t="shared" si="220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18"/>
        <v>-8856492204172015</v>
      </c>
      <c r="J5939" s="455">
        <f t="array" ref="J5939">IFERROR(INDEX('Retirement Calculator'!J:J,MATCH('Isaac 401k'!N5939,'Retirement Calculator'!A:A,0),0),0)</f>
        <v>0</v>
      </c>
      <c r="K5939" s="455">
        <f t="shared" ca="1" si="216"/>
        <v>-36902050850716.734</v>
      </c>
      <c r="L5939" s="455">
        <f t="shared" ca="1" si="217"/>
        <v>-8893394255022732</v>
      </c>
      <c r="M5939" s="471">
        <f t="shared" si="219"/>
        <v>0.05</v>
      </c>
      <c r="N5939" s="475">
        <f t="shared" si="220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18"/>
        <v>-8893394255022732</v>
      </c>
      <c r="J5940" s="455">
        <f t="array" ref="J5940">IFERROR(INDEX('Retirement Calculator'!J:J,MATCH('Isaac 401k'!N5940,'Retirement Calculator'!A:A,0),0),0)</f>
        <v>0</v>
      </c>
      <c r="K5940" s="455">
        <f t="shared" ca="1" si="216"/>
        <v>-37055809395928.047</v>
      </c>
      <c r="L5940" s="455">
        <f t="shared" ca="1" si="217"/>
        <v>-8930450064418660</v>
      </c>
      <c r="M5940" s="471">
        <f t="shared" si="219"/>
        <v>0.05</v>
      </c>
      <c r="N5940" s="475">
        <f t="shared" si="220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18"/>
        <v>-8930450064418660</v>
      </c>
      <c r="J5941" s="455">
        <f t="array" ref="J5941">IFERROR(INDEX('Retirement Calculator'!J:J,MATCH('Isaac 401k'!N5941,'Retirement Calculator'!A:A,0),0),0)</f>
        <v>0</v>
      </c>
      <c r="K5941" s="455">
        <f t="shared" ca="1" si="216"/>
        <v>-37210208601744.422</v>
      </c>
      <c r="L5941" s="455">
        <f t="shared" ca="1" si="217"/>
        <v>-8967660273020404</v>
      </c>
      <c r="M5941" s="471">
        <f t="shared" si="219"/>
        <v>0.05</v>
      </c>
      <c r="N5941" s="475">
        <f t="shared" si="220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18"/>
        <v>-8967660273020404</v>
      </c>
      <c r="J5942" s="455">
        <f t="array" ref="J5942">IFERROR(INDEX('Retirement Calculator'!J:J,MATCH('Isaac 401k'!N5942,'Retirement Calculator'!A:A,0),0),0)</f>
        <v>0</v>
      </c>
      <c r="K5942" s="455">
        <f t="shared" ca="1" si="216"/>
        <v>-37365251137585.016</v>
      </c>
      <c r="L5942" s="455">
        <f t="shared" ca="1" si="217"/>
        <v>-9005025524157989</v>
      </c>
      <c r="M5942" s="471">
        <f t="shared" si="219"/>
        <v>0.05</v>
      </c>
      <c r="N5942" s="475">
        <f t="shared" si="220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18"/>
        <v>-9005025524157989</v>
      </c>
      <c r="J5943" s="455">
        <f t="array" ref="J5943">IFERROR(INDEX('Retirement Calculator'!J:J,MATCH('Isaac 401k'!N5943,'Retirement Calculator'!A:A,0),0),0)</f>
        <v>0</v>
      </c>
      <c r="K5943" s="455">
        <f t="shared" ca="1" si="216"/>
        <v>-37520939683991.617</v>
      </c>
      <c r="L5943" s="455">
        <f t="shared" ca="1" si="217"/>
        <v>-9042546463841980</v>
      </c>
      <c r="M5943" s="471">
        <f t="shared" si="219"/>
        <v>0.05</v>
      </c>
      <c r="N5943" s="475">
        <f t="shared" si="220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18"/>
        <v>-9042546463841980</v>
      </c>
      <c r="J5944" s="455">
        <f t="array" ref="J5944">IFERROR(INDEX('Retirement Calculator'!J:J,MATCH('Isaac 401k'!N5944,'Retirement Calculator'!A:A,0),0),0)</f>
        <v>0</v>
      </c>
      <c r="K5944" s="455">
        <f t="shared" ca="1" si="216"/>
        <v>-37677276932674.914</v>
      </c>
      <c r="L5944" s="455">
        <f t="shared" ca="1" si="217"/>
        <v>-9080223740774654</v>
      </c>
      <c r="M5944" s="471">
        <f t="shared" si="219"/>
        <v>0.05</v>
      </c>
      <c r="N5944" s="475">
        <f t="shared" si="220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18"/>
        <v>-9080223740774654</v>
      </c>
      <c r="J5945" s="455">
        <f t="array" ref="J5945">IFERROR(INDEX('Retirement Calculator'!J:J,MATCH('Isaac 401k'!N5945,'Retirement Calculator'!A:A,0),0),0)</f>
        <v>0</v>
      </c>
      <c r="K5945" s="455">
        <f t="shared" ca="1" si="216"/>
        <v>-37834265586561.055</v>
      </c>
      <c r="L5945" s="455">
        <f t="shared" ca="1" si="217"/>
        <v>-9118058006361216</v>
      </c>
      <c r="M5945" s="471">
        <f t="shared" si="219"/>
        <v>0.05</v>
      </c>
      <c r="N5945" s="475">
        <f t="shared" si="220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18"/>
        <v>-9118058006361216</v>
      </c>
      <c r="J5946" s="455">
        <f t="array" ref="J5946">IFERROR(INDEX('Retirement Calculator'!J:J,MATCH('Isaac 401k'!N5946,'Retirement Calculator'!A:A,0),0),0)</f>
        <v>0</v>
      </c>
      <c r="K5946" s="455">
        <f t="shared" ca="1" si="216"/>
        <v>-37991908359838.398</v>
      </c>
      <c r="L5946" s="455">
        <f t="shared" ca="1" si="217"/>
        <v>-9156049914721054</v>
      </c>
      <c r="M5946" s="471">
        <f t="shared" si="219"/>
        <v>0.05</v>
      </c>
      <c r="N5946" s="475">
        <f t="shared" si="220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18"/>
        <v>-9156049914721054</v>
      </c>
      <c r="J5947" s="455">
        <f t="array" ref="J5947">IFERROR(INDEX('Retirement Calculator'!J:J,MATCH('Isaac 401k'!N5947,'Retirement Calculator'!A:A,0),0),0)</f>
        <v>0</v>
      </c>
      <c r="K5947" s="455">
        <f t="shared" ca="1" si="216"/>
        <v>-38150207978004.391</v>
      </c>
      <c r="L5947" s="455">
        <f t="shared" ca="1" si="217"/>
        <v>-9194200122699058</v>
      </c>
      <c r="M5947" s="471">
        <f t="shared" si="219"/>
        <v>0.05</v>
      </c>
      <c r="N5947" s="475">
        <f t="shared" si="220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18"/>
        <v>-9194200122699058</v>
      </c>
      <c r="J5948" s="455">
        <f t="array" ref="J5948">IFERROR(INDEX('Retirement Calculator'!J:J,MATCH('Isaac 401k'!N5948,'Retirement Calculator'!A:A,0),0),0)</f>
        <v>0</v>
      </c>
      <c r="K5948" s="455">
        <f t="shared" ca="1" si="216"/>
        <v>-38309167177912.742</v>
      </c>
      <c r="L5948" s="455">
        <f t="shared" ca="1" si="217"/>
        <v>-9232509289876970</v>
      </c>
      <c r="M5948" s="471">
        <f t="shared" si="219"/>
        <v>0.05</v>
      </c>
      <c r="N5948" s="475">
        <f t="shared" si="220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18"/>
        <v>-9232509289876970</v>
      </c>
      <c r="J5949" s="455">
        <f t="array" ref="J5949">IFERROR(INDEX('Retirement Calculator'!J:J,MATCH('Isaac 401k'!N5949,'Retirement Calculator'!A:A,0),0),0)</f>
        <v>0</v>
      </c>
      <c r="K5949" s="455">
        <f t="shared" ca="1" si="216"/>
        <v>-38468788707820.711</v>
      </c>
      <c r="L5949" s="455">
        <f t="shared" ca="1" si="217"/>
        <v>-9270978078584790</v>
      </c>
      <c r="M5949" s="471">
        <f t="shared" si="219"/>
        <v>0.05</v>
      </c>
      <c r="N5949" s="475">
        <f t="shared" si="220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18"/>
        <v>-9270978078584790</v>
      </c>
      <c r="J5950" s="455">
        <f t="array" ref="J5950">IFERROR(INDEX('Retirement Calculator'!J:J,MATCH('Isaac 401k'!N5950,'Retirement Calculator'!A:A,0),0),0)</f>
        <v>0</v>
      </c>
      <c r="K5950" s="455">
        <f t="shared" ca="1" si="216"/>
        <v>-38629075327436.625</v>
      </c>
      <c r="L5950" s="455">
        <f t="shared" ca="1" si="217"/>
        <v>-9309607153912226</v>
      </c>
      <c r="M5950" s="471">
        <f t="shared" si="219"/>
        <v>0.05</v>
      </c>
      <c r="N5950" s="475">
        <f t="shared" si="220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18"/>
        <v>-9309607153912226</v>
      </c>
      <c r="J5951" s="455">
        <f t="array" ref="J5951">IFERROR(INDEX('Retirement Calculator'!J:J,MATCH('Isaac 401k'!N5951,'Retirement Calculator'!A:A,0),0),0)</f>
        <v>0</v>
      </c>
      <c r="K5951" s="455">
        <f t="shared" ca="1" si="216"/>
        <v>-38790029807967.609</v>
      </c>
      <c r="L5951" s="455">
        <f t="shared" ca="1" si="217"/>
        <v>-9348397183720194</v>
      </c>
      <c r="M5951" s="471">
        <f t="shared" si="219"/>
        <v>0.05</v>
      </c>
      <c r="N5951" s="475">
        <f t="shared" si="220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18"/>
        <v>-9348397183720194</v>
      </c>
      <c r="J5952" s="455">
        <f t="array" ref="J5952">IFERROR(INDEX('Retirement Calculator'!J:J,MATCH('Isaac 401k'!N5952,'Retirement Calculator'!A:A,0),0),0)</f>
        <v>0</v>
      </c>
      <c r="K5952" s="455">
        <f t="shared" ca="1" si="216"/>
        <v>-38951654932167.477</v>
      </c>
      <c r="L5952" s="455">
        <f t="shared" ca="1" si="217"/>
        <v>-9387348838652362</v>
      </c>
      <c r="M5952" s="471">
        <f t="shared" si="219"/>
        <v>0.05</v>
      </c>
      <c r="N5952" s="475">
        <f t="shared" si="220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18"/>
        <v>-9387348838652362</v>
      </c>
      <c r="J5953" s="455">
        <f t="array" ref="J5953">IFERROR(INDEX('Retirement Calculator'!J:J,MATCH('Isaac 401k'!N5953,'Retirement Calculator'!A:A,0),0),0)</f>
        <v>0</v>
      </c>
      <c r="K5953" s="455">
        <f t="shared" ca="1" si="216"/>
        <v>-39113953494384.844</v>
      </c>
      <c r="L5953" s="455">
        <f t="shared" ca="1" si="217"/>
        <v>-9426462792146746</v>
      </c>
      <c r="M5953" s="471">
        <f t="shared" si="219"/>
        <v>0.05</v>
      </c>
      <c r="N5953" s="475">
        <f t="shared" si="220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18"/>
        <v>-9426462792146746</v>
      </c>
      <c r="J5954" s="455">
        <f t="array" ref="J5954">IFERROR(INDEX('Retirement Calculator'!J:J,MATCH('Isaac 401k'!N5954,'Retirement Calculator'!A:A,0),0),0)</f>
        <v>0</v>
      </c>
      <c r="K5954" s="455">
        <f t="shared" ca="1" si="216"/>
        <v>-39276928300611.438</v>
      </c>
      <c r="L5954" s="455">
        <f t="shared" ca="1" si="217"/>
        <v>-9465739720447358</v>
      </c>
      <c r="M5954" s="471">
        <f t="shared" si="219"/>
        <v>0.05</v>
      </c>
      <c r="N5954" s="475">
        <f t="shared" si="220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18"/>
        <v>-9465739720447358</v>
      </c>
      <c r="J5955" s="455">
        <f t="array" ref="J5955">IFERROR(INDEX('Retirement Calculator'!J:J,MATCH('Isaac 401k'!N5955,'Retirement Calculator'!A:A,0),0),0)</f>
        <v>0</v>
      </c>
      <c r="K5955" s="455">
        <f t="shared" ca="1" si="216"/>
        <v>-39440582168530.656</v>
      </c>
      <c r="L5955" s="455">
        <f t="shared" ca="1" si="217"/>
        <v>-9505180302615888</v>
      </c>
      <c r="M5955" s="471">
        <f t="shared" si="219"/>
        <v>0.05</v>
      </c>
      <c r="N5955" s="475">
        <f t="shared" si="220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18"/>
        <v>-9505180302615888</v>
      </c>
      <c r="J5956" s="455">
        <f t="array" ref="J5956">IFERROR(INDEX('Retirement Calculator'!J:J,MATCH('Isaac 401k'!N5956,'Retirement Calculator'!A:A,0),0),0)</f>
        <v>0</v>
      </c>
      <c r="K5956" s="455">
        <f t="shared" ca="1" si="216"/>
        <v>-39604917927566.203</v>
      </c>
      <c r="L5956" s="455">
        <f t="shared" ca="1" si="217"/>
        <v>-9544785220543454</v>
      </c>
      <c r="M5956" s="471">
        <f t="shared" si="219"/>
        <v>0.05</v>
      </c>
      <c r="N5956" s="475">
        <f t="shared" si="220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18"/>
        <v>-9544785220543454</v>
      </c>
      <c r="J5957" s="455">
        <f t="array" ref="J5957">IFERROR(INDEX('Retirement Calculator'!J:J,MATCH('Isaac 401k'!N5957,'Retirement Calculator'!A:A,0),0),0)</f>
        <v>0</v>
      </c>
      <c r="K5957" s="455">
        <f t="shared" ca="1" si="216"/>
        <v>-39769938418931.055</v>
      </c>
      <c r="L5957" s="455">
        <f t="shared" ca="1" si="217"/>
        <v>-9584555158962386</v>
      </c>
      <c r="M5957" s="471">
        <f t="shared" si="219"/>
        <v>0.05</v>
      </c>
      <c r="N5957" s="475">
        <f t="shared" si="220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18"/>
        <v>-9584555158962386</v>
      </c>
      <c r="J5958" s="455">
        <f t="array" ref="J5958">IFERROR(INDEX('Retirement Calculator'!J:J,MATCH('Isaac 401k'!N5958,'Retirement Calculator'!A:A,0),0),0)</f>
        <v>0</v>
      </c>
      <c r="K5958" s="455">
        <f t="shared" ca="1" si="216"/>
        <v>-39935646495676.609</v>
      </c>
      <c r="L5958" s="455">
        <f t="shared" ca="1" si="217"/>
        <v>-9624490805458062</v>
      </c>
      <c r="M5958" s="471">
        <f t="shared" si="219"/>
        <v>0.05</v>
      </c>
      <c r="N5958" s="475">
        <f t="shared" si="220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18"/>
        <v>-9624490805458062</v>
      </c>
      <c r="J5959" s="455">
        <f t="array" ref="J5959">IFERROR(INDEX('Retirement Calculator'!J:J,MATCH('Isaac 401k'!N5959,'Retirement Calculator'!A:A,0),0),0)</f>
        <v>0</v>
      </c>
      <c r="K5959" s="455">
        <f t="shared" ca="1" si="216"/>
        <v>-40102045022741.922</v>
      </c>
      <c r="L5959" s="455">
        <f t="shared" ca="1" si="217"/>
        <v>-9664592850480804</v>
      </c>
      <c r="M5959" s="471">
        <f t="shared" si="219"/>
        <v>0.05</v>
      </c>
      <c r="N5959" s="475">
        <f t="shared" si="220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18"/>
        <v>-9664592850480804</v>
      </c>
      <c r="J5960" s="455">
        <f t="array" ref="J5960">IFERROR(INDEX('Retirement Calculator'!J:J,MATCH('Isaac 401k'!N5960,'Retirement Calculator'!A:A,0),0),0)</f>
        <v>0</v>
      </c>
      <c r="K5960" s="455">
        <f t="shared" ca="1" si="216"/>
        <v>-40269136877003.352</v>
      </c>
      <c r="L5960" s="455">
        <f t="shared" ca="1" si="217"/>
        <v>-9704861987357808</v>
      </c>
      <c r="M5960" s="471">
        <f t="shared" si="219"/>
        <v>0.05</v>
      </c>
      <c r="N5960" s="475">
        <f t="shared" si="220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18"/>
        <v>-9704861987357808</v>
      </c>
      <c r="J5961" s="455">
        <f t="array" ref="J5961">IFERROR(INDEX('Retirement Calculator'!J:J,MATCH('Isaac 401k'!N5961,'Retirement Calculator'!A:A,0),0),0)</f>
        <v>0</v>
      </c>
      <c r="K5961" s="455">
        <f t="shared" ca="1" si="216"/>
        <v>-40436924947324.203</v>
      </c>
      <c r="L5961" s="455">
        <f t="shared" ca="1" si="217"/>
        <v>-9745298912305132</v>
      </c>
      <c r="M5961" s="471">
        <f t="shared" si="219"/>
        <v>0.05</v>
      </c>
      <c r="N5961" s="475">
        <f t="shared" si="220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18"/>
        <v>-9745298912305132</v>
      </c>
      <c r="J5962" s="455">
        <f t="array" ref="J5962">IFERROR(INDEX('Retirement Calculator'!J:J,MATCH('Isaac 401k'!N5962,'Retirement Calculator'!A:A,0),0),0)</f>
        <v>0</v>
      </c>
      <c r="K5962" s="455">
        <f t="shared" ca="1" si="216"/>
        <v>-40605412134604.719</v>
      </c>
      <c r="L5962" s="455">
        <f t="shared" ca="1" si="217"/>
        <v>-9785904324439736</v>
      </c>
      <c r="M5962" s="471">
        <f t="shared" si="219"/>
        <v>0.05</v>
      </c>
      <c r="N5962" s="475">
        <f t="shared" si="220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18"/>
        <v>-9785904324439736</v>
      </c>
      <c r="J5963" s="455">
        <f t="array" ref="J5963">IFERROR(INDEX('Retirement Calculator'!J:J,MATCH('Isaac 401k'!N5963,'Retirement Calculator'!A:A,0),0),0)</f>
        <v>0</v>
      </c>
      <c r="K5963" s="455">
        <f t="shared" ca="1" si="216"/>
        <v>-40774601351832.234</v>
      </c>
      <c r="L5963" s="455">
        <f t="shared" ca="1" si="217"/>
        <v>-9826678925791568</v>
      </c>
      <c r="M5963" s="471">
        <f t="shared" si="219"/>
        <v>0.05</v>
      </c>
      <c r="N5963" s="475">
        <f t="shared" si="220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18"/>
        <v>-9826678925791568</v>
      </c>
      <c r="J5964" s="455">
        <f t="array" ref="J5964">IFERROR(INDEX('Retirement Calculator'!J:J,MATCH('Isaac 401k'!N5964,'Retirement Calculator'!A:A,0),0),0)</f>
        <v>0</v>
      </c>
      <c r="K5964" s="455">
        <f t="shared" ca="1" si="216"/>
        <v>-40944495524131.531</v>
      </c>
      <c r="L5964" s="455">
        <f t="shared" ca="1" si="217"/>
        <v>-9867623421315700</v>
      </c>
      <c r="M5964" s="471">
        <f t="shared" si="219"/>
        <v>0.05</v>
      </c>
      <c r="N5964" s="475">
        <f t="shared" si="220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18"/>
        <v>-9867623421315700</v>
      </c>
      <c r="J5965" s="455">
        <f t="array" ref="J5965">IFERROR(INDEX('Retirement Calculator'!J:J,MATCH('Isaac 401k'!N5965,'Retirement Calculator'!A:A,0),0),0)</f>
        <v>0</v>
      </c>
      <c r="K5965" s="455">
        <f t="shared" ca="1" si="216"/>
        <v>-41115097588815.414</v>
      </c>
      <c r="L5965" s="455">
        <f t="shared" ca="1" si="217"/>
        <v>-9908738518904516</v>
      </c>
      <c r="M5965" s="471">
        <f t="shared" si="219"/>
        <v>0.05</v>
      </c>
      <c r="N5965" s="475">
        <f t="shared" si="220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18"/>
        <v>-9908738518904516</v>
      </c>
      <c r="J5966" s="455">
        <f t="array" ref="J5966">IFERROR(INDEX('Retirement Calculator'!J:J,MATCH('Isaac 401k'!N5966,'Retirement Calculator'!A:A,0),0),0)</f>
        <v>0</v>
      </c>
      <c r="K5966" s="455">
        <f t="shared" ca="1" si="216"/>
        <v>-41286410495435.484</v>
      </c>
      <c r="L5966" s="455">
        <f t="shared" ca="1" si="217"/>
        <v>-9950024929399952</v>
      </c>
      <c r="M5966" s="471">
        <f t="shared" si="219"/>
        <v>0.05</v>
      </c>
      <c r="N5966" s="475">
        <f t="shared" si="220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18"/>
        <v>-9950024929399952</v>
      </c>
      <c r="J5967" s="455">
        <f t="array" ref="J5967">IFERROR(INDEX('Retirement Calculator'!J:J,MATCH('Isaac 401k'!N5967,'Retirement Calculator'!A:A,0),0),0)</f>
        <v>0</v>
      </c>
      <c r="K5967" s="455">
        <f t="shared" ca="1" si="216"/>
        <v>-41458437205833.133</v>
      </c>
      <c r="L5967" s="455">
        <f t="shared" ca="1" si="217"/>
        <v>-9991483366605786</v>
      </c>
      <c r="M5967" s="471">
        <f t="shared" si="219"/>
        <v>0.05</v>
      </c>
      <c r="N5967" s="475">
        <f t="shared" si="220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18"/>
        <v>-9991483366605786</v>
      </c>
      <c r="J5968" s="455">
        <f t="array" ref="J5968">IFERROR(INDEX('Retirement Calculator'!J:J,MATCH('Isaac 401k'!N5968,'Retirement Calculator'!A:A,0),0),0)</f>
        <v>0</v>
      </c>
      <c r="K5968" s="455">
        <f t="shared" ca="1" si="216"/>
        <v>-41631180694190.773</v>
      </c>
      <c r="L5968" s="455">
        <f t="shared" ca="1" si="217"/>
        <v>-1.0033114547299976E+16</v>
      </c>
      <c r="M5968" s="471">
        <f t="shared" si="219"/>
        <v>0.05</v>
      </c>
      <c r="N5968" s="475">
        <f t="shared" si="220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18"/>
        <v>-1.0033114547299976E+16</v>
      </c>
      <c r="J5969" s="455">
        <f t="array" ref="J5969">IFERROR(INDEX('Retirement Calculator'!J:J,MATCH('Isaac 401k'!N5969,'Retirement Calculator'!A:A,0),0),0)</f>
        <v>0</v>
      </c>
      <c r="K5969" s="455">
        <f t="shared" ca="1" si="216"/>
        <v>-41804643947083.234</v>
      </c>
      <c r="L5969" s="455">
        <f t="shared" ca="1" si="217"/>
        <v>-1.007491919124706E+16</v>
      </c>
      <c r="M5969" s="471">
        <f t="shared" si="219"/>
        <v>0.05</v>
      </c>
      <c r="N5969" s="475">
        <f t="shared" si="220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18"/>
        <v>-1.007491919124706E+16</v>
      </c>
      <c r="J5970" s="455">
        <f t="array" ref="J5970">IFERROR(INDEX('Retirement Calculator'!J:J,MATCH('Isaac 401k'!N5970,'Retirement Calculator'!A:A,0),0),0)</f>
        <v>0</v>
      </c>
      <c r="K5970" s="455">
        <f t="shared" ca="1" si="216"/>
        <v>-41978829963529.414</v>
      </c>
      <c r="L5970" s="455">
        <f t="shared" ca="1" si="217"/>
        <v>-1.011689802121059E+16</v>
      </c>
      <c r="M5970" s="471">
        <f t="shared" si="219"/>
        <v>0.05</v>
      </c>
      <c r="N5970" s="475">
        <f t="shared" si="220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18"/>
        <v>-1.011689802121059E+16</v>
      </c>
      <c r="J5971" s="455">
        <f t="array" ref="J5971">IFERROR(INDEX('Retirement Calculator'!J:J,MATCH('Isaac 401k'!N5971,'Retirement Calculator'!A:A,0),0),0)</f>
        <v>0</v>
      </c>
      <c r="K5971" s="455">
        <f t="shared" ca="1" si="216"/>
        <v>-42153741755044.125</v>
      </c>
      <c r="L5971" s="455">
        <f t="shared" ca="1" si="217"/>
        <v>-1.0159051762965634E+16</v>
      </c>
      <c r="M5971" s="471">
        <f t="shared" si="219"/>
        <v>0.05</v>
      </c>
      <c r="N5971" s="475">
        <f t="shared" si="220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18"/>
        <v>-1.0159051762965634E+16</v>
      </c>
      <c r="J5972" s="455">
        <f t="array" ref="J5972">IFERROR(INDEX('Retirement Calculator'!J:J,MATCH('Isaac 401k'!N5972,'Retirement Calculator'!A:A,0),0),0)</f>
        <v>0</v>
      </c>
      <c r="K5972" s="455">
        <f t="shared" ca="1" si="216"/>
        <v>-42329382345690.141</v>
      </c>
      <c r="L5972" s="455">
        <f t="shared" ca="1" si="217"/>
        <v>-1.0201381145311324E+16</v>
      </c>
      <c r="M5972" s="471">
        <f t="shared" si="219"/>
        <v>0.05</v>
      </c>
      <c r="N5972" s="475">
        <f t="shared" si="220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18"/>
        <v>-1.0201381145311324E+16</v>
      </c>
      <c r="J5973" s="455">
        <f t="array" ref="J5973">IFERROR(INDEX('Retirement Calculator'!J:J,MATCH('Isaac 401k'!N5973,'Retirement Calculator'!A:A,0),0),0)</f>
        <v>0</v>
      </c>
      <c r="K5973" s="455">
        <f t="shared" ca="1" si="216"/>
        <v>-42505754772130.516</v>
      </c>
      <c r="L5973" s="455">
        <f t="shared" ca="1" si="217"/>
        <v>-1.0243886900083454E+16</v>
      </c>
      <c r="M5973" s="471">
        <f t="shared" si="219"/>
        <v>0.05</v>
      </c>
      <c r="N5973" s="475">
        <f t="shared" si="220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18"/>
        <v>-1.0243886900083454E+16</v>
      </c>
      <c r="J5974" s="455">
        <f t="array" ref="J5974">IFERROR(INDEX('Retirement Calculator'!J:J,MATCH('Isaac 401k'!N5974,'Retirement Calculator'!A:A,0),0),0)</f>
        <v>0</v>
      </c>
      <c r="K5974" s="455">
        <f t="shared" ca="1" si="216"/>
        <v>-42682862083681.055</v>
      </c>
      <c r="L5974" s="455">
        <f t="shared" ca="1" si="217"/>
        <v>-1.0286569762167136E+16</v>
      </c>
      <c r="M5974" s="471">
        <f t="shared" si="219"/>
        <v>0.05</v>
      </c>
      <c r="N5974" s="475">
        <f t="shared" si="220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18"/>
        <v>-1.0286569762167136E+16</v>
      </c>
      <c r="J5975" s="455">
        <f t="array" ref="J5975">IFERROR(INDEX('Retirement Calculator'!J:J,MATCH('Isaac 401k'!N5975,'Retirement Calculator'!A:A,0),0),0)</f>
        <v>0</v>
      </c>
      <c r="K5975" s="455">
        <f t="shared" ca="1" si="216"/>
        <v>-42860707342363.063</v>
      </c>
      <c r="L5975" s="455">
        <f t="shared" ca="1" si="217"/>
        <v>-1.03294304695095E+16</v>
      </c>
      <c r="M5975" s="471">
        <f t="shared" si="219"/>
        <v>0.05</v>
      </c>
      <c r="N5975" s="475">
        <f t="shared" si="220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18"/>
        <v>-1.03294304695095E+16</v>
      </c>
      <c r="J5976" s="455">
        <f t="array" ref="J5976">IFERROR(INDEX('Retirement Calculator'!J:J,MATCH('Isaac 401k'!N5976,'Retirement Calculator'!A:A,0),0),0)</f>
        <v>0</v>
      </c>
      <c r="K5976" s="455">
        <f t="shared" ca="1" si="216"/>
        <v>-43039293622956.25</v>
      </c>
      <c r="L5976" s="455">
        <f t="shared" ca="1" si="217"/>
        <v>-1.0372469763132456E+16</v>
      </c>
      <c r="M5976" s="471">
        <f t="shared" si="219"/>
        <v>0.05</v>
      </c>
      <c r="N5976" s="475">
        <f t="shared" si="220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18"/>
        <v>-1.0372469763132456E+16</v>
      </c>
      <c r="J5977" s="455">
        <f t="array" ref="J5977">IFERROR(INDEX('Retirement Calculator'!J:J,MATCH('Isaac 401k'!N5977,'Retirement Calculator'!A:A,0),0),0)</f>
        <v>0</v>
      </c>
      <c r="K5977" s="455">
        <f t="shared" ca="1" si="216"/>
        <v>-43218624013051.898</v>
      </c>
      <c r="L5977" s="455">
        <f t="shared" ca="1" si="217"/>
        <v>-1.0415688387145508E+16</v>
      </c>
      <c r="M5977" s="471">
        <f t="shared" si="219"/>
        <v>0.05</v>
      </c>
      <c r="N5977" s="475">
        <f t="shared" si="220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18"/>
        <v>-1.0415688387145508E+16</v>
      </c>
      <c r="J5978" s="455">
        <f t="array" ref="J5978">IFERROR(INDEX('Retirement Calculator'!J:J,MATCH('Isaac 401k'!N5978,'Retirement Calculator'!A:A,0),0),0)</f>
        <v>0</v>
      </c>
      <c r="K5978" s="455">
        <f t="shared" ca="1" si="216"/>
        <v>-43398701613106.281</v>
      </c>
      <c r="L5978" s="455">
        <f t="shared" ca="1" si="217"/>
        <v>-1.0459087088758614E+16</v>
      </c>
      <c r="M5978" s="471">
        <f t="shared" si="219"/>
        <v>0.05</v>
      </c>
      <c r="N5978" s="475">
        <f t="shared" si="220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18"/>
        <v>-1.0459087088758614E+16</v>
      </c>
      <c r="J5979" s="455">
        <f t="array" ref="J5979">IFERROR(INDEX('Retirement Calculator'!J:J,MATCH('Isaac 401k'!N5979,'Retirement Calculator'!A:A,0),0),0)</f>
        <v>0</v>
      </c>
      <c r="K5979" s="455">
        <f t="shared" ca="1" si="216"/>
        <v>-43579529536494.227</v>
      </c>
      <c r="L5979" s="455">
        <f t="shared" ca="1" si="217"/>
        <v>-1.0502666618295108E+16</v>
      </c>
      <c r="M5979" s="471">
        <f t="shared" si="219"/>
        <v>0.05</v>
      </c>
      <c r="N5979" s="475">
        <f t="shared" si="220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18"/>
        <v>-1.0502666618295108E+16</v>
      </c>
      <c r="J5980" s="455">
        <f t="array" ref="J5980">IFERROR(INDEX('Retirement Calculator'!J:J,MATCH('Isaac 401k'!N5980,'Retirement Calculator'!A:A,0),0),0)</f>
        <v>0</v>
      </c>
      <c r="K5980" s="455">
        <f t="shared" ca="1" si="216"/>
        <v>-43761110909562.953</v>
      </c>
      <c r="L5980" s="455">
        <f t="shared" ca="1" si="217"/>
        <v>-1.054642772920467E+16</v>
      </c>
      <c r="M5980" s="471">
        <f t="shared" si="219"/>
        <v>0.05</v>
      </c>
      <c r="N5980" s="475">
        <f t="shared" si="220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18"/>
        <v>-1.054642772920467E+16</v>
      </c>
      <c r="J5981" s="455">
        <f t="array" ref="J5981">IFERROR(INDEX('Retirement Calculator'!J:J,MATCH('Isaac 401k'!N5981,'Retirement Calculator'!A:A,0),0),0)</f>
        <v>0</v>
      </c>
      <c r="K5981" s="455">
        <f t="shared" ca="1" si="216"/>
        <v>-43943448871686.125</v>
      </c>
      <c r="L5981" s="455">
        <f t="shared" ca="1" si="217"/>
        <v>-1.0590371178076356E+16</v>
      </c>
      <c r="M5981" s="471">
        <f t="shared" si="219"/>
        <v>0.05</v>
      </c>
      <c r="N5981" s="475">
        <f t="shared" si="220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18"/>
        <v>-1.0590371178076356E+16</v>
      </c>
      <c r="J5982" s="455">
        <f t="array" ref="J5982">IFERROR(INDEX('Retirement Calculator'!J:J,MATCH('Isaac 401k'!N5982,'Retirement Calculator'!A:A,0),0),0)</f>
        <v>0</v>
      </c>
      <c r="K5982" s="455">
        <f t="shared" ca="1" si="216"/>
        <v>-44126546575318.148</v>
      </c>
      <c r="L5982" s="455">
        <f t="shared" ca="1" si="217"/>
        <v>-1.0634497724651674E+16</v>
      </c>
      <c r="M5982" s="471">
        <f t="shared" si="219"/>
        <v>0.05</v>
      </c>
      <c r="N5982" s="475">
        <f t="shared" si="220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18"/>
        <v>-1.0634497724651674E+16</v>
      </c>
      <c r="J5983" s="455">
        <f t="array" ref="J5983">IFERROR(INDEX('Retirement Calculator'!J:J,MATCH('Isaac 401k'!N5983,'Retirement Calculator'!A:A,0),0),0)</f>
        <v>0</v>
      </c>
      <c r="K5983" s="455">
        <f t="shared" ca="1" si="216"/>
        <v>-44310407186048.641</v>
      </c>
      <c r="L5983" s="455">
        <f t="shared" ca="1" si="217"/>
        <v>-1.0678808131837722E+16</v>
      </c>
      <c r="M5983" s="471">
        <f t="shared" si="219"/>
        <v>0.05</v>
      </c>
      <c r="N5983" s="475">
        <f t="shared" si="220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18"/>
        <v>-1.0678808131837722E+16</v>
      </c>
      <c r="J5984" s="455">
        <f t="array" ref="J5984">IFERROR(INDEX('Retirement Calculator'!J:J,MATCH('Isaac 401k'!N5984,'Retirement Calculator'!A:A,0),0),0)</f>
        <v>0</v>
      </c>
      <c r="K5984" s="455">
        <f t="shared" ca="1" si="216"/>
        <v>-44495033882657.172</v>
      </c>
      <c r="L5984" s="455">
        <f t="shared" ca="1" si="217"/>
        <v>-1.072330316572038E+16</v>
      </c>
      <c r="M5984" s="471">
        <f t="shared" si="219"/>
        <v>0.05</v>
      </c>
      <c r="N5984" s="475">
        <f t="shared" si="220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18"/>
        <v>-1.072330316572038E+16</v>
      </c>
      <c r="J5985" s="455">
        <f t="array" ref="J5985">IFERROR(INDEX('Retirement Calculator'!J:J,MATCH('Isaac 401k'!N5985,'Retirement Calculator'!A:A,0),0),0)</f>
        <v>0</v>
      </c>
      <c r="K5985" s="455">
        <f t="shared" ca="1" si="216"/>
        <v>-44680429857168.25</v>
      </c>
      <c r="L5985" s="455">
        <f t="shared" ca="1" si="217"/>
        <v>-1.0767983595577548E+16</v>
      </c>
      <c r="M5985" s="471">
        <f t="shared" si="219"/>
        <v>0.05</v>
      </c>
      <c r="N5985" s="475">
        <f t="shared" si="220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18"/>
        <v>-1.0767983595577548E+16</v>
      </c>
      <c r="J5986" s="455">
        <f t="array" ref="J5986">IFERROR(INDEX('Retirement Calculator'!J:J,MATCH('Isaac 401k'!N5986,'Retirement Calculator'!A:A,0),0),0)</f>
        <v>0</v>
      </c>
      <c r="K5986" s="455">
        <f t="shared" ca="1" si="216"/>
        <v>-44866598314906.453</v>
      </c>
      <c r="L5986" s="455">
        <f t="shared" ca="1" si="217"/>
        <v>-1.0812850193892454E+16</v>
      </c>
      <c r="M5986" s="471">
        <f t="shared" si="219"/>
        <v>0.05</v>
      </c>
      <c r="N5986" s="475">
        <f t="shared" si="220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18"/>
        <v>-1.0812850193892454E+16</v>
      </c>
      <c r="J5987" s="455">
        <f t="array" ref="J5987">IFERROR(INDEX('Retirement Calculator'!J:J,MATCH('Isaac 401k'!N5987,'Retirement Calculator'!A:A,0),0),0)</f>
        <v>0</v>
      </c>
      <c r="K5987" s="455">
        <f t="shared" ca="1" si="216"/>
        <v>-45053542474551.891</v>
      </c>
      <c r="L5987" s="455">
        <f t="shared" ca="1" si="217"/>
        <v>-1.0857903736367006E+16</v>
      </c>
      <c r="M5987" s="471">
        <f t="shared" si="219"/>
        <v>0.05</v>
      </c>
      <c r="N5987" s="475">
        <f t="shared" si="220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18"/>
        <v>-1.0857903736367006E+16</v>
      </c>
      <c r="J5988" s="455">
        <f t="array" ref="J5988">IFERROR(INDEX('Retirement Calculator'!J:J,MATCH('Isaac 401k'!N5988,'Retirement Calculator'!A:A,0),0),0)</f>
        <v>0</v>
      </c>
      <c r="K5988" s="455">
        <f t="shared" ca="1" si="216"/>
        <v>-45241265568195.859</v>
      </c>
      <c r="L5988" s="455">
        <f t="shared" ca="1" si="217"/>
        <v>-1.0903145001935202E+16</v>
      </c>
      <c r="M5988" s="471">
        <f t="shared" si="219"/>
        <v>0.05</v>
      </c>
      <c r="N5988" s="475">
        <f t="shared" si="220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18"/>
        <v>-1.0903145001935202E+16</v>
      </c>
      <c r="J5989" s="455">
        <f t="array" ref="J5989">IFERROR(INDEX('Retirement Calculator'!J:J,MATCH('Isaac 401k'!N5989,'Retirement Calculator'!A:A,0),0),0)</f>
        <v>0</v>
      </c>
      <c r="K5989" s="455">
        <f t="shared" ca="1" si="216"/>
        <v>-45429770841396.672</v>
      </c>
      <c r="L5989" s="455">
        <f t="shared" ca="1" si="217"/>
        <v>-1.0948574772776598E+16</v>
      </c>
      <c r="M5989" s="471">
        <f t="shared" si="219"/>
        <v>0.05</v>
      </c>
      <c r="N5989" s="475">
        <f t="shared" si="220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18"/>
        <v>-1.0948574772776598E+16</v>
      </c>
      <c r="J5990" s="455">
        <f t="array" ref="J5990">IFERROR(INDEX('Retirement Calculator'!J:J,MATCH('Isaac 401k'!N5990,'Retirement Calculator'!A:A,0),0),0)</f>
        <v>0</v>
      </c>
      <c r="K5990" s="455">
        <f t="shared" ca="1" si="216"/>
        <v>-45619061553235.828</v>
      </c>
      <c r="L5990" s="455">
        <f t="shared" ca="1" si="217"/>
        <v>-1.0994193834329834E+16</v>
      </c>
      <c r="M5990" s="471">
        <f t="shared" si="219"/>
        <v>0.05</v>
      </c>
      <c r="N5990" s="475">
        <f t="shared" si="220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18"/>
        <v>-1.0994193834329834E+16</v>
      </c>
      <c r="J5991" s="455">
        <f t="array" ref="J5991">IFERROR(INDEX('Retirement Calculator'!J:J,MATCH('Isaac 401k'!N5991,'Retirement Calculator'!A:A,0),0),0)</f>
        <v>0</v>
      </c>
      <c r="K5991" s="455">
        <f t="shared" ca="1" si="216"/>
        <v>-45809140976374.305</v>
      </c>
      <c r="L5991" s="455">
        <f t="shared" ca="1" si="217"/>
        <v>-1.1040002975306208E+16</v>
      </c>
      <c r="M5991" s="471">
        <f t="shared" si="219"/>
        <v>0.05</v>
      </c>
      <c r="N5991" s="475">
        <f t="shared" si="220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18"/>
        <v>-1.1040002975306208E+16</v>
      </c>
      <c r="J5992" s="455">
        <f t="array" ref="J5992">IFERROR(INDEX('Retirement Calculator'!J:J,MATCH('Isaac 401k'!N5992,'Retirement Calculator'!A:A,0),0),0)</f>
        <v>0</v>
      </c>
      <c r="K5992" s="455">
        <f t="shared" ca="1" si="216"/>
        <v>-46000012397109.203</v>
      </c>
      <c r="L5992" s="455">
        <f t="shared" ca="1" si="217"/>
        <v>-1.1086002987703318E+16</v>
      </c>
      <c r="M5992" s="471">
        <f t="shared" si="219"/>
        <v>0.05</v>
      </c>
      <c r="N5992" s="475">
        <f t="shared" si="220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18"/>
        <v>-1.1086002987703318E+16</v>
      </c>
      <c r="J5993" s="455">
        <f t="array" ref="J5993">IFERROR(INDEX('Retirement Calculator'!J:J,MATCH('Isaac 401k'!N5993,'Retirement Calculator'!A:A,0),0),0)</f>
        <v>0</v>
      </c>
      <c r="K5993" s="455">
        <f t="shared" ca="1" si="216"/>
        <v>-46191679115430.492</v>
      </c>
      <c r="L5993" s="455">
        <f t="shared" ca="1" si="217"/>
        <v>-1.1132194666818748E+16</v>
      </c>
      <c r="M5993" s="471">
        <f t="shared" si="219"/>
        <v>0.05</v>
      </c>
      <c r="N5993" s="475">
        <f t="shared" si="220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18"/>
        <v>-1.1132194666818748E+16</v>
      </c>
      <c r="J5994" s="455">
        <f t="array" ref="J5994">IFERROR(INDEX('Retirement Calculator'!J:J,MATCH('Isaac 401k'!N5994,'Retirement Calculator'!A:A,0),0),0)</f>
        <v>0</v>
      </c>
      <c r="K5994" s="455">
        <f t="shared" ca="1" si="216"/>
        <v>-46384144445078.117</v>
      </c>
      <c r="L5994" s="455">
        <f t="shared" ca="1" si="217"/>
        <v>-1.1178578811263826E+16</v>
      </c>
      <c r="M5994" s="471">
        <f t="shared" si="219"/>
        <v>0.05</v>
      </c>
      <c r="N5994" s="475">
        <f t="shared" si="220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18"/>
        <v>-1.1178578811263826E+16</v>
      </c>
      <c r="J5995" s="455">
        <f t="array" ref="J5995">IFERROR(INDEX('Retirement Calculator'!J:J,MATCH('Isaac 401k'!N5995,'Retirement Calculator'!A:A,0),0),0)</f>
        <v>0</v>
      </c>
      <c r="K5995" s="455">
        <f t="shared" ca="1" si="216"/>
        <v>-46577411713599.273</v>
      </c>
      <c r="L5995" s="455">
        <f t="shared" ca="1" si="217"/>
        <v>-1.1225156222977426E+16</v>
      </c>
      <c r="M5995" s="471">
        <f t="shared" si="219"/>
        <v>0.05</v>
      </c>
      <c r="N5995" s="475">
        <f t="shared" si="220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18"/>
        <v>-1.1225156222977426E+16</v>
      </c>
      <c r="J5996" s="455">
        <f t="array" ref="J5996">IFERROR(INDEX('Retirement Calculator'!J:J,MATCH('Isaac 401k'!N5996,'Retirement Calculator'!A:A,0),0),0)</f>
        <v>0</v>
      </c>
      <c r="K5996" s="455">
        <f t="shared" ca="1" si="216"/>
        <v>-46771484262405.938</v>
      </c>
      <c r="L5996" s="455">
        <f t="shared" ca="1" si="217"/>
        <v>-1.1271927707239832E+16</v>
      </c>
      <c r="M5996" s="471">
        <f t="shared" si="219"/>
        <v>0.05</v>
      </c>
      <c r="N5996" s="475">
        <f t="shared" si="220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18"/>
        <v>-1.1271927707239832E+16</v>
      </c>
      <c r="J5997" s="455">
        <f t="array" ref="J5997">IFERROR(INDEX('Retirement Calculator'!J:J,MATCH('Isaac 401k'!N5997,'Retirement Calculator'!A:A,0),0),0)</f>
        <v>0</v>
      </c>
      <c r="K5997" s="455">
        <f t="shared" ca="1" si="216"/>
        <v>-46966365446832.633</v>
      </c>
      <c r="L5997" s="455">
        <f t="shared" ca="1" si="217"/>
        <v>-1.1318894072686664E+16</v>
      </c>
      <c r="M5997" s="471">
        <f t="shared" si="219"/>
        <v>0.05</v>
      </c>
      <c r="N5997" s="475">
        <f t="shared" si="220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18"/>
        <v>-1.1318894072686664E+16</v>
      </c>
      <c r="J5998" s="455">
        <f t="array" ref="J5998">IFERROR(INDEX('Retirement Calculator'!J:J,MATCH('Isaac 401k'!N5998,'Retirement Calculator'!A:A,0),0),0)</f>
        <v>0</v>
      </c>
      <c r="K5998" s="455">
        <f t="shared" ca="1" si="216"/>
        <v>-47162058636194.43</v>
      </c>
      <c r="L5998" s="455">
        <f t="shared" ca="1" si="217"/>
        <v>-1.1366056131322858E+16</v>
      </c>
      <c r="M5998" s="471">
        <f t="shared" si="219"/>
        <v>0.05</v>
      </c>
      <c r="N5998" s="475">
        <f t="shared" si="220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18"/>
        <v>-1.1366056131322858E+16</v>
      </c>
      <c r="J5999" s="455">
        <f t="array" ref="J5999">IFERROR(INDEX('Retirement Calculator'!J:J,MATCH('Isaac 401k'!N5999,'Retirement Calculator'!A:A,0),0),0)</f>
        <v>0</v>
      </c>
      <c r="K5999" s="455">
        <f t="shared" ca="1" si="216"/>
        <v>-47358567213845.242</v>
      </c>
      <c r="L5999" s="455">
        <f t="shared" ca="1" si="217"/>
        <v>-1.1413414698536704E+16</v>
      </c>
      <c r="M5999" s="471">
        <f t="shared" si="219"/>
        <v>0.05</v>
      </c>
      <c r="N5999" s="475">
        <f t="shared" si="220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18"/>
        <v>-1.1413414698536704E+16</v>
      </c>
      <c r="J6000" s="455">
        <f t="array" ref="J6000">IFERROR(INDEX('Retirement Calculator'!J:J,MATCH('Isaac 401k'!N6000,'Retirement Calculator'!A:A,0),0),0)</f>
        <v>0</v>
      </c>
      <c r="K6000" s="455">
        <f t="shared" ca="1" si="216"/>
        <v>-47555894577236.266</v>
      </c>
      <c r="L6000" s="455">
        <f t="shared" ca="1" si="217"/>
        <v>-1.146097059311394E+16</v>
      </c>
      <c r="M6000" s="471">
        <f t="shared" si="219"/>
        <v>0.05</v>
      </c>
      <c r="N6000" s="475">
        <f t="shared" si="220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18"/>
        <v>-1.146097059311394E+16</v>
      </c>
      <c r="J6001" s="455">
        <f t="array" ref="J6001">IFERROR(INDEX('Retirement Calculator'!J:J,MATCH('Isaac 401k'!N6001,'Retirement Calculator'!A:A,0),0),0)</f>
        <v>0</v>
      </c>
      <c r="K6001" s="455">
        <f t="shared" ca="1" si="216"/>
        <v>-47754044137974.75</v>
      </c>
      <c r="L6001" s="455">
        <f t="shared" ca="1" si="217"/>
        <v>-1.1508724637251914E+16</v>
      </c>
      <c r="M6001" s="471">
        <f t="shared" si="219"/>
        <v>0.05</v>
      </c>
      <c r="N6001" s="475">
        <f t="shared" si="220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18"/>
        <v>-1.1508724637251914E+16</v>
      </c>
      <c r="J6002" s="455">
        <f t="array" ref="J6002">IFERROR(INDEX('Retirement Calculator'!J:J,MATCH('Isaac 401k'!N6002,'Retirement Calculator'!A:A,0),0),0)</f>
        <v>0</v>
      </c>
      <c r="K6002" s="455">
        <f t="shared" ca="1" si="216"/>
        <v>-47953019321882.977</v>
      </c>
      <c r="L6002" s="455">
        <f t="shared" ca="1" si="217"/>
        <v>-1.1556677656573796E+16</v>
      </c>
      <c r="M6002" s="471">
        <f t="shared" si="219"/>
        <v>0.05</v>
      </c>
      <c r="N6002" s="475">
        <f t="shared" si="220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18"/>
        <v>-1.1556677656573796E+16</v>
      </c>
      <c r="J6003" s="455">
        <f t="array" ref="J6003">IFERROR(INDEX('Retirement Calculator'!J:J,MATCH('Isaac 401k'!N6003,'Retirement Calculator'!A:A,0),0),0)</f>
        <v>0</v>
      </c>
      <c r="K6003" s="455">
        <f t="shared" ca="1" si="216"/>
        <v>-48152823569057.484</v>
      </c>
      <c r="L6003" s="455">
        <f t="shared" ca="1" si="217"/>
        <v>-1.1604830480142854E+16</v>
      </c>
      <c r="M6003" s="471">
        <f t="shared" si="219"/>
        <v>0.05</v>
      </c>
      <c r="N6003" s="475">
        <f t="shared" si="220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18"/>
        <v>-1.1604830480142854E+16</v>
      </c>
      <c r="J6004" s="455">
        <f t="array" ref="J6004">IFERROR(INDEX('Retirement Calculator'!J:J,MATCH('Isaac 401k'!N6004,'Retirement Calculator'!A:A,0),0),0)</f>
        <v>0</v>
      </c>
      <c r="K6004" s="455">
        <f t="shared" ca="1" si="216"/>
        <v>-48353460333928.555</v>
      </c>
      <c r="L6004" s="455">
        <f t="shared" ca="1" si="217"/>
        <v>-1.1653183940476782E+16</v>
      </c>
      <c r="M6004" s="471">
        <f t="shared" si="219"/>
        <v>0.05</v>
      </c>
      <c r="N6004" s="475">
        <f t="shared" si="220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18"/>
        <v>-1.1653183940476782E+16</v>
      </c>
      <c r="J6005" s="455">
        <f t="array" ref="J6005">IFERROR(INDEX('Retirement Calculator'!J:J,MATCH('Isaac 401k'!N6005,'Retirement Calculator'!A:A,0),0),0)</f>
        <v>0</v>
      </c>
      <c r="K6005" s="455">
        <f t="shared" ca="1" si="216"/>
        <v>-48554933085319.922</v>
      </c>
      <c r="L6005" s="455">
        <f t="shared" ca="1" si="217"/>
        <v>-1.1701738873562102E+16</v>
      </c>
      <c r="M6005" s="471">
        <f t="shared" si="219"/>
        <v>0.05</v>
      </c>
      <c r="N6005" s="475">
        <f t="shared" si="220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18"/>
        <v>-1.1701738873562102E+16</v>
      </c>
      <c r="J6006" s="455">
        <f t="array" ref="J6006">IFERROR(INDEX('Retirement Calculator'!J:J,MATCH('Isaac 401k'!N6006,'Retirement Calculator'!A:A,0),0),0)</f>
        <v>0</v>
      </c>
      <c r="K6006" s="455">
        <f t="shared" ca="1" si="216"/>
        <v>-48757245306508.758</v>
      </c>
      <c r="L6006" s="455">
        <f t="shared" ca="1" si="217"/>
        <v>-1.175049611886861E+16</v>
      </c>
      <c r="M6006" s="471">
        <f t="shared" si="219"/>
        <v>0.05</v>
      </c>
      <c r="N6006" s="475">
        <f t="shared" si="220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18"/>
        <v>-1.175049611886861E+16</v>
      </c>
      <c r="J6007" s="455">
        <f t="array" ref="J6007">IFERROR(INDEX('Retirement Calculator'!J:J,MATCH('Isaac 401k'!N6007,'Retirement Calculator'!A:A,0),0),0)</f>
        <v>0</v>
      </c>
      <c r="K6007" s="455">
        <f t="shared" ca="1" si="216"/>
        <v>-48960400495285.875</v>
      </c>
      <c r="L6007" s="455">
        <f t="shared" ca="1" si="217"/>
        <v>-1.1799456519363896E+16</v>
      </c>
      <c r="M6007" s="471">
        <f t="shared" si="219"/>
        <v>0.05</v>
      </c>
      <c r="N6007" s="475">
        <f t="shared" si="220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18"/>
        <v>-1.1799456519363896E+16</v>
      </c>
      <c r="J6008" s="455">
        <f t="array" ref="J6008">IFERROR(INDEX('Retirement Calculator'!J:J,MATCH('Isaac 401k'!N6008,'Retirement Calculator'!A:A,0),0),0)</f>
        <v>0</v>
      </c>
      <c r="K6008" s="455">
        <f t="shared" ca="1" si="216"/>
        <v>-49164402164016.234</v>
      </c>
      <c r="L6008" s="455">
        <f t="shared" ca="1" si="217"/>
        <v>-1.1848620921527912E+16</v>
      </c>
      <c r="M6008" s="471">
        <f t="shared" si="219"/>
        <v>0.05</v>
      </c>
      <c r="N6008" s="475">
        <f t="shared" si="220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18"/>
        <v>-1.1848620921527912E+16</v>
      </c>
      <c r="J6009" s="455">
        <f t="array" ref="J6009">IFERROR(INDEX('Retirement Calculator'!J:J,MATCH('Isaac 401k'!N6009,'Retirement Calculator'!A:A,0),0),0)</f>
        <v>0</v>
      </c>
      <c r="K6009" s="455">
        <f t="shared" ca="1" si="216"/>
        <v>-49369253839699.633</v>
      </c>
      <c r="L6009" s="455">
        <f t="shared" ca="1" si="217"/>
        <v>-1.1897990175367612E+16</v>
      </c>
      <c r="M6009" s="471">
        <f t="shared" si="219"/>
        <v>0.05</v>
      </c>
      <c r="N6009" s="475">
        <f t="shared" si="220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18"/>
        <v>-1.1897990175367612E+16</v>
      </c>
      <c r="J6010" s="455">
        <f t="array" ref="J6010">IFERROR(INDEX('Retirement Calculator'!J:J,MATCH('Isaac 401k'!N6010,'Retirement Calculator'!A:A,0),0),0)</f>
        <v>0</v>
      </c>
      <c r="K6010" s="455">
        <f t="shared" ca="1" si="216"/>
        <v>-49574959064031.719</v>
      </c>
      <c r="L6010" s="455">
        <f t="shared" ca="1" si="217"/>
        <v>-1.1947565134431644E+16</v>
      </c>
      <c r="M6010" s="471">
        <f t="shared" si="219"/>
        <v>0.05</v>
      </c>
      <c r="N6010" s="475">
        <f t="shared" si="220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18"/>
        <v>-1.1947565134431644E+16</v>
      </c>
      <c r="J6011" s="455">
        <f t="array" ref="J6011">IFERROR(INDEX('Retirement Calculator'!J:J,MATCH('Isaac 401k'!N6011,'Retirement Calculator'!A:A,0),0),0)</f>
        <v>0</v>
      </c>
      <c r="K6011" s="455">
        <f t="shared" ca="1" si="216"/>
        <v>-49781521393465.18</v>
      </c>
      <c r="L6011" s="455">
        <f t="shared" ca="1" si="217"/>
        <v>-1.199734665582511E+16</v>
      </c>
      <c r="M6011" s="471">
        <f t="shared" si="219"/>
        <v>0.05</v>
      </c>
      <c r="N6011" s="475">
        <f t="shared" si="220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18"/>
        <v>-1.199734665582511E+16</v>
      </c>
      <c r="J6012" s="455">
        <f t="array" ref="J6012">IFERROR(INDEX('Retirement Calculator'!J:J,MATCH('Isaac 401k'!N6012,'Retirement Calculator'!A:A,0),0),0)</f>
        <v>0</v>
      </c>
      <c r="K6012" s="455">
        <f t="shared" ca="1" si="216"/>
        <v>-49988944399271.289</v>
      </c>
      <c r="L6012" s="455">
        <f t="shared" ca="1" si="217"/>
        <v>-1.2047335600224382E+16</v>
      </c>
      <c r="M6012" s="471">
        <f t="shared" si="219"/>
        <v>0.05</v>
      </c>
      <c r="N6012" s="475">
        <f t="shared" si="220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18"/>
        <v>-1.2047335600224382E+16</v>
      </c>
      <c r="J6013" s="455">
        <f t="array" ref="J6013">IFERROR(INDEX('Retirement Calculator'!J:J,MATCH('Isaac 401k'!N6013,'Retirement Calculator'!A:A,0),0),0)</f>
        <v>0</v>
      </c>
      <c r="K6013" s="455">
        <f t="shared" ca="1" si="216"/>
        <v>-50197231667601.594</v>
      </c>
      <c r="L6013" s="455">
        <f t="shared" ca="1" si="217"/>
        <v>-1.2097532831891984E+16</v>
      </c>
      <c r="M6013" s="471">
        <f t="shared" si="219"/>
        <v>0.05</v>
      </c>
      <c r="N6013" s="475">
        <f t="shared" si="220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18"/>
        <v>-1.2097532831891984E+16</v>
      </c>
      <c r="J6014" s="455">
        <f t="array" ref="J6014">IFERROR(INDEX('Retirement Calculator'!J:J,MATCH('Isaac 401k'!N6014,'Retirement Calculator'!A:A,0),0),0)</f>
        <v>0</v>
      </c>
      <c r="K6014" s="455">
        <f t="shared" ca="1" si="216"/>
        <v>-50406386799549.93</v>
      </c>
      <c r="L6014" s="455">
        <f t="shared" ca="1" si="217"/>
        <v>-1.2147939218691534E+16</v>
      </c>
      <c r="M6014" s="471">
        <f t="shared" si="219"/>
        <v>0.05</v>
      </c>
      <c r="N6014" s="475">
        <f t="shared" si="220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18"/>
        <v>-1.2147939218691534E+16</v>
      </c>
      <c r="J6015" s="455">
        <f t="array" ref="J6015">IFERROR(INDEX('Retirement Calculator'!J:J,MATCH('Isaac 401k'!N6015,'Retirement Calculator'!A:A,0),0),0)</f>
        <v>0</v>
      </c>
      <c r="K6015" s="455">
        <f t="shared" ca="1" si="216"/>
        <v>-50616413411214.727</v>
      </c>
      <c r="L6015" s="455">
        <f t="shared" ca="1" si="217"/>
        <v>-1.2198555632102748E+16</v>
      </c>
      <c r="M6015" s="471">
        <f t="shared" si="219"/>
        <v>0.05</v>
      </c>
      <c r="N6015" s="475">
        <f t="shared" si="220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18"/>
        <v>-1.2198555632102748E+16</v>
      </c>
      <c r="J6016" s="455">
        <f t="array" ref="J6016">IFERROR(INDEX('Retirement Calculator'!J:J,MATCH('Isaac 401k'!N6016,'Retirement Calculator'!A:A,0),0),0)</f>
        <v>0</v>
      </c>
      <c r="K6016" s="455">
        <f t="shared" ca="1" si="216"/>
        <v>-50827315133761.453</v>
      </c>
      <c r="L6016" s="455">
        <f t="shared" ca="1" si="217"/>
        <v>-1.224938294723651E+16</v>
      </c>
      <c r="M6016" s="471">
        <f t="shared" si="219"/>
        <v>0.05</v>
      </c>
      <c r="N6016" s="475">
        <f t="shared" si="220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18"/>
        <v>-1.224938294723651E+16</v>
      </c>
      <c r="J6017" s="455">
        <f t="array" ref="J6017">IFERROR(INDEX('Retirement Calculator'!J:J,MATCH('Isaac 401k'!N6017,'Retirement Calculator'!A:A,0),0),0)</f>
        <v>0</v>
      </c>
      <c r="K6017" s="455">
        <f t="shared" ca="1" si="216"/>
        <v>-51039095613485.461</v>
      </c>
      <c r="L6017" s="455">
        <f t="shared" ca="1" si="217"/>
        <v>-1.2300422042849996E+16</v>
      </c>
      <c r="M6017" s="471">
        <f t="shared" si="219"/>
        <v>0.05</v>
      </c>
      <c r="N6017" s="475">
        <f t="shared" si="220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18"/>
        <v>-1.2300422042849996E+16</v>
      </c>
      <c r="J6018" s="455">
        <f t="array" ref="J6018">IFERROR(INDEX('Retirement Calculator'!J:J,MATCH('Isaac 401k'!N6018,'Retirement Calculator'!A:A,0),0),0)</f>
        <v>0</v>
      </c>
      <c r="K6018" s="455">
        <f t="shared" ca="1" si="216"/>
        <v>-51251758511874.984</v>
      </c>
      <c r="L6018" s="455">
        <f t="shared" ca="1" si="217"/>
        <v>-1.235167380136187E+16</v>
      </c>
      <c r="M6018" s="471">
        <f t="shared" si="219"/>
        <v>0.05</v>
      </c>
      <c r="N6018" s="475">
        <f t="shared" si="220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18"/>
        <v>-1.235167380136187E+16</v>
      </c>
      <c r="J6019" s="455">
        <f t="array" ref="J6019">IFERROR(INDEX('Retirement Calculator'!J:J,MATCH('Isaac 401k'!N6019,'Retirement Calculator'!A:A,0),0),0)</f>
        <v>0</v>
      </c>
      <c r="K6019" s="455">
        <f t="shared" ca="1" si="216"/>
        <v>-51465307505674.461</v>
      </c>
      <c r="L6019" s="455">
        <f t="shared" ca="1" si="217"/>
        <v>-1.2403139108867544E+16</v>
      </c>
      <c r="M6019" s="471">
        <f t="shared" si="219"/>
        <v>0.05</v>
      </c>
      <c r="N6019" s="475">
        <f t="shared" si="220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18"/>
        <v>-1.2403139108867544E+16</v>
      </c>
      <c r="J6020" s="455">
        <f t="array" ref="J6020">IFERROR(INDEX('Retirement Calculator'!J:J,MATCH('Isaac 401k'!N6020,'Retirement Calculator'!A:A,0),0),0)</f>
        <v>0</v>
      </c>
      <c r="K6020" s="455">
        <f t="shared" ca="1" si="216"/>
        <v>-51679746286948.102</v>
      </c>
      <c r="L6020" s="455">
        <f t="shared" ca="1" si="217"/>
        <v>-1.2454818855154492E+16</v>
      </c>
      <c r="M6020" s="471">
        <f t="shared" si="219"/>
        <v>0.05</v>
      </c>
      <c r="N6020" s="475">
        <f t="shared" si="220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18"/>
        <v>-1.2454818855154492E+16</v>
      </c>
      <c r="J6021" s="455">
        <f t="array" ref="J6021">IFERROR(INDEX('Retirement Calculator'!J:J,MATCH('Isaac 401k'!N6021,'Retirement Calculator'!A:A,0),0),0)</f>
        <v>0</v>
      </c>
      <c r="K6021" s="455">
        <f t="shared" ca="1" si="216"/>
        <v>-51895078563143.719</v>
      </c>
      <c r="L6021" s="455">
        <f t="shared" ca="1" si="217"/>
        <v>-1.2506713933717636E+16</v>
      </c>
      <c r="M6021" s="471">
        <f t="shared" si="219"/>
        <v>0.05</v>
      </c>
      <c r="N6021" s="475">
        <f t="shared" si="220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18"/>
        <v>-1.2506713933717636E+16</v>
      </c>
      <c r="J6022" s="455">
        <f t="array" ref="J6022">IFERROR(INDEX('Retirement Calculator'!J:J,MATCH('Isaac 401k'!N6022,'Retirement Calculator'!A:A,0),0),0)</f>
        <v>0</v>
      </c>
      <c r="K6022" s="455">
        <f t="shared" ca="1" si="216"/>
        <v>-52111308057156.813</v>
      </c>
      <c r="L6022" s="455">
        <f t="shared" ca="1" si="217"/>
        <v>-1.2558825241774792E+16</v>
      </c>
      <c r="M6022" s="471">
        <f t="shared" si="219"/>
        <v>0.05</v>
      </c>
      <c r="N6022" s="475">
        <f t="shared" si="220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18"/>
        <v>-1.2558825241774792E+16</v>
      </c>
      <c r="J6023" s="455">
        <f t="array" ref="J6023">IFERROR(INDEX('Retirement Calculator'!J:J,MATCH('Isaac 401k'!N6023,'Retirement Calculator'!A:A,0),0),0)</f>
        <v>0</v>
      </c>
      <c r="K6023" s="455">
        <f t="shared" ca="1" si="216"/>
        <v>-52328438507394.969</v>
      </c>
      <c r="L6023" s="455">
        <f t="shared" ca="1" si="217"/>
        <v>-1.2611153680282186E+16</v>
      </c>
      <c r="M6023" s="471">
        <f t="shared" si="219"/>
        <v>0.05</v>
      </c>
      <c r="N6023" s="475">
        <f t="shared" si="220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18"/>
        <v>-1.2611153680282186E+16</v>
      </c>
      <c r="J6024" s="455">
        <f t="array" ref="J6024">IFERROR(INDEX('Retirement Calculator'!J:J,MATCH('Isaac 401k'!N6024,'Retirement Calculator'!A:A,0),0),0)</f>
        <v>0</v>
      </c>
      <c r="K6024" s="455">
        <f t="shared" ca="1" si="216"/>
        <v>-52546473667842.438</v>
      </c>
      <c r="L6024" s="455">
        <f t="shared" ca="1" si="217"/>
        <v>-1.2663700153950028E+16</v>
      </c>
      <c r="M6024" s="471">
        <f t="shared" si="219"/>
        <v>0.05</v>
      </c>
      <c r="N6024" s="475">
        <f t="shared" si="220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18"/>
        <v>-1.2663700153950028E+16</v>
      </c>
      <c r="J6025" s="455">
        <f t="array" ref="J6025">IFERROR(INDEX('Retirement Calculator'!J:J,MATCH('Isaac 401k'!N6025,'Retirement Calculator'!A:A,0),0),0)</f>
        <v>0</v>
      </c>
      <c r="K6025" s="455">
        <f t="shared" ca="1" si="216"/>
        <v>-52765417308125.117</v>
      </c>
      <c r="L6025" s="455">
        <f t="shared" ca="1" si="217"/>
        <v>-1.2716465571258154E+16</v>
      </c>
      <c r="M6025" s="471">
        <f t="shared" si="219"/>
        <v>0.05</v>
      </c>
      <c r="N6025" s="475">
        <f t="shared" si="220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18"/>
        <v>-1.2716465571258154E+16</v>
      </c>
      <c r="J6026" s="455">
        <f t="array" ref="J6026">IFERROR(INDEX('Retirement Calculator'!J:J,MATCH('Isaac 401k'!N6026,'Retirement Calculator'!A:A,0),0),0)</f>
        <v>0</v>
      </c>
      <c r="K6026" s="455">
        <f t="shared" ca="1" si="216"/>
        <v>-52985273213575.641</v>
      </c>
      <c r="L6026" s="455">
        <f t="shared" ca="1" si="217"/>
        <v>-1.276945084447173E+16</v>
      </c>
      <c r="M6026" s="471">
        <f t="shared" si="219"/>
        <v>0.05</v>
      </c>
      <c r="N6026" s="475">
        <f t="shared" si="220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18"/>
        <v>-1.276945084447173E+16</v>
      </c>
      <c r="J6027" s="455">
        <f t="array" ref="J6027">IFERROR(INDEX('Retirement Calculator'!J:J,MATCH('Isaac 401k'!N6027,'Retirement Calculator'!A:A,0),0),0)</f>
        <v>0</v>
      </c>
      <c r="K6027" s="455">
        <f t="shared" ca="1" si="216"/>
        <v>-53206045185298.875</v>
      </c>
      <c r="L6027" s="455">
        <f t="shared" ca="1" si="217"/>
        <v>-1.2822656889657028E+16</v>
      </c>
      <c r="M6027" s="471">
        <f t="shared" si="219"/>
        <v>0.05</v>
      </c>
      <c r="N6027" s="475">
        <f t="shared" si="220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18"/>
        <v>-1.2822656889657028E+16</v>
      </c>
      <c r="J6028" s="455">
        <f t="array" ref="J6028">IFERROR(INDEX('Retirement Calculator'!J:J,MATCH('Isaac 401k'!N6028,'Retirement Calculator'!A:A,0),0),0)</f>
        <v>0</v>
      </c>
      <c r="K6028" s="455">
        <f t="shared" ca="1" si="216"/>
        <v>-53427737040237.617</v>
      </c>
      <c r="L6028" s="455">
        <f t="shared" ca="1" si="217"/>
        <v>-1.2876084626697266E+16</v>
      </c>
      <c r="M6028" s="471">
        <f t="shared" si="219"/>
        <v>0.05</v>
      </c>
      <c r="N6028" s="475">
        <f t="shared" si="220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18"/>
        <v>-1.2876084626697266E+16</v>
      </c>
      <c r="J6029" s="455">
        <f t="array" ref="J6029">IFERROR(INDEX('Retirement Calculator'!J:J,MATCH('Isaac 401k'!N6029,'Retirement Calculator'!A:A,0),0),0)</f>
        <v>0</v>
      </c>
      <c r="K6029" s="455">
        <f t="shared" ca="1" si="216"/>
        <v>-53650352611238.609</v>
      </c>
      <c r="L6029" s="455">
        <f t="shared" ca="1" si="217"/>
        <v>-1.2929734979308504E+16</v>
      </c>
      <c r="M6029" s="471">
        <f t="shared" si="219"/>
        <v>0.05</v>
      </c>
      <c r="N6029" s="475">
        <f t="shared" si="220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18"/>
        <v>-1.2929734979308504E+16</v>
      </c>
      <c r="J6030" s="455">
        <f t="array" ref="J6030">IFERROR(INDEX('Retirement Calculator'!J:J,MATCH('Isaac 401k'!N6030,'Retirement Calculator'!A:A,0),0),0)</f>
        <v>0</v>
      </c>
      <c r="K6030" s="455">
        <f t="shared" ca="1" si="216"/>
        <v>-53873895747118.766</v>
      </c>
      <c r="L6030" s="455">
        <f t="shared" ca="1" si="217"/>
        <v>-1.2983608875055622E+16</v>
      </c>
      <c r="M6030" s="471">
        <f t="shared" si="219"/>
        <v>0.05</v>
      </c>
      <c r="N6030" s="475">
        <f t="shared" si="220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18"/>
        <v>-1.2983608875055622E+16</v>
      </c>
      <c r="J6031" s="455">
        <f t="array" ref="J6031">IFERROR(INDEX('Retirement Calculator'!J:J,MATCH('Isaac 401k'!N6031,'Retirement Calculator'!A:A,0),0),0)</f>
        <v>0</v>
      </c>
      <c r="K6031" s="455">
        <f t="shared" ca="1" si="216"/>
        <v>-54098370312731.758</v>
      </c>
      <c r="L6031" s="455">
        <f t="shared" ca="1" si="217"/>
        <v>-1.3037707245368354E+16</v>
      </c>
      <c r="M6031" s="471">
        <f t="shared" si="219"/>
        <v>0.05</v>
      </c>
      <c r="N6031" s="475">
        <f t="shared" si="220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18"/>
        <v>-1.3037707245368354E+16</v>
      </c>
      <c r="J6032" s="455">
        <f t="array" ref="J6032">IFERROR(INDEX('Retirement Calculator'!J:J,MATCH('Isaac 401k'!N6032,'Retirement Calculator'!A:A,0),0),0)</f>
        <v>0</v>
      </c>
      <c r="K6032" s="455">
        <f t="shared" ca="1" si="216"/>
        <v>-54323780189034.805</v>
      </c>
      <c r="L6032" s="455">
        <f t="shared" ca="1" si="217"/>
        <v>-1.3092031025557388E+16</v>
      </c>
      <c r="M6032" s="471">
        <f t="shared" si="219"/>
        <v>0.05</v>
      </c>
      <c r="N6032" s="475">
        <f t="shared" si="220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18"/>
        <v>-1.3092031025557388E+16</v>
      </c>
      <c r="J6033" s="455">
        <f t="array" ref="J6033">IFERROR(INDEX('Retirement Calculator'!J:J,MATCH('Isaac 401k'!N6033,'Retirement Calculator'!A:A,0),0),0)</f>
        <v>0</v>
      </c>
      <c r="K6033" s="455">
        <f t="shared" ca="1" si="216"/>
        <v>-54550129273155.781</v>
      </c>
      <c r="L6033" s="455">
        <f t="shared" ca="1" si="217"/>
        <v>-1.3146581154830544E+16</v>
      </c>
      <c r="M6033" s="471">
        <f t="shared" si="219"/>
        <v>0.05</v>
      </c>
      <c r="N6033" s="475">
        <f t="shared" si="220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18"/>
        <v>-1.3146581154830544E+16</v>
      </c>
      <c r="J6034" s="455">
        <f t="array" ref="J6034">IFERROR(INDEX('Retirement Calculator'!J:J,MATCH('Isaac 401k'!N6034,'Retirement Calculator'!A:A,0),0),0)</f>
        <v>0</v>
      </c>
      <c r="K6034" s="455">
        <f t="shared" ca="1" si="216"/>
        <v>-54777421478460.602</v>
      </c>
      <c r="L6034" s="455">
        <f t="shared" ca="1" si="217"/>
        <v>-1.3201358576309004E+16</v>
      </c>
      <c r="M6034" s="471">
        <f t="shared" si="219"/>
        <v>0.05</v>
      </c>
      <c r="N6034" s="475">
        <f t="shared" si="220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18"/>
        <v>-1.3201358576309004E+16</v>
      </c>
      <c r="J6035" s="455">
        <f t="array" ref="J6035">IFERROR(INDEX('Retirement Calculator'!J:J,MATCH('Isaac 401k'!N6035,'Retirement Calculator'!A:A,0),0),0)</f>
        <v>0</v>
      </c>
      <c r="K6035" s="455">
        <f t="shared" ca="1" si="216"/>
        <v>-55005660734620.852</v>
      </c>
      <c r="L6035" s="455">
        <f t="shared" ca="1" si="217"/>
        <v>-1.3256364237043624E+16</v>
      </c>
      <c r="M6035" s="471">
        <f t="shared" si="219"/>
        <v>0.05</v>
      </c>
      <c r="N6035" s="475">
        <f t="shared" si="220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18"/>
        <v>-1.3256364237043624E+16</v>
      </c>
      <c r="J6036" s="455">
        <f t="array" ref="J6036">IFERROR(INDEX('Retirement Calculator'!J:J,MATCH('Isaac 401k'!N6036,'Retirement Calculator'!A:A,0),0),0)</f>
        <v>0</v>
      </c>
      <c r="K6036" s="455">
        <f t="shared" ca="1" si="216"/>
        <v>-55234850987681.766</v>
      </c>
      <c r="L6036" s="455">
        <f t="shared" ca="1" si="217"/>
        <v>-1.3311599088031306E+16</v>
      </c>
      <c r="M6036" s="471">
        <f t="shared" si="219"/>
        <v>0.05</v>
      </c>
      <c r="N6036" s="475">
        <f t="shared" si="220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18"/>
        <v>-1.3311599088031306E+16</v>
      </c>
      <c r="J6037" s="455">
        <f t="array" ref="J6037">IFERROR(INDEX('Retirement Calculator'!J:J,MATCH('Isaac 401k'!N6037,'Retirement Calculator'!A:A,0),0),0)</f>
        <v>0</v>
      </c>
      <c r="K6037" s="455">
        <f t="shared" ca="1" si="216"/>
        <v>-55464996200130.438</v>
      </c>
      <c r="L6037" s="455">
        <f t="shared" ca="1" si="217"/>
        <v>-1.3367064084231436E+16</v>
      </c>
      <c r="M6037" s="471">
        <f t="shared" si="219"/>
        <v>0.05</v>
      </c>
      <c r="N6037" s="475">
        <f t="shared" si="220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18"/>
        <v>-1.3367064084231436E+16</v>
      </c>
      <c r="J6038" s="455">
        <f t="array" ref="J6038">IFERROR(INDEX('Retirement Calculator'!J:J,MATCH('Isaac 401k'!N6038,'Retirement Calculator'!A:A,0),0),0)</f>
        <v>0</v>
      </c>
      <c r="K6038" s="455">
        <f t="shared" ca="1" si="216"/>
        <v>-55696100350964.313</v>
      </c>
      <c r="L6038" s="455">
        <f t="shared" ca="1" si="217"/>
        <v>-1.34227601845824E+16</v>
      </c>
      <c r="M6038" s="471">
        <f t="shared" si="219"/>
        <v>0.05</v>
      </c>
      <c r="N6038" s="475">
        <f t="shared" si="220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18"/>
        <v>-1.34227601845824E+16</v>
      </c>
      <c r="J6039" s="455">
        <f t="array" ref="J6039">IFERROR(INDEX('Retirement Calculator'!J:J,MATCH('Isaac 401k'!N6039,'Retirement Calculator'!A:A,0),0),0)</f>
        <v>0</v>
      </c>
      <c r="K6039" s="455">
        <f t="shared" ca="1" si="216"/>
        <v>-55928167435760</v>
      </c>
      <c r="L6039" s="455">
        <f t="shared" ca="1" si="217"/>
        <v>-1.347868835201816E+16</v>
      </c>
      <c r="M6039" s="471">
        <f t="shared" si="219"/>
        <v>0.05</v>
      </c>
      <c r="N6039" s="475">
        <f t="shared" si="220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18"/>
        <v>-1.347868835201816E+16</v>
      </c>
      <c r="J6040" s="455">
        <f t="array" ref="J6040">IFERROR(INDEX('Retirement Calculator'!J:J,MATCH('Isaac 401k'!N6040,'Retirement Calculator'!A:A,0),0),0)</f>
        <v>0</v>
      </c>
      <c r="K6040" s="455">
        <f t="shared" ca="1" si="216"/>
        <v>-56161201466742.336</v>
      </c>
      <c r="L6040" s="455">
        <f t="shared" ca="1" si="217"/>
        <v>-1.3534849553484902E+16</v>
      </c>
      <c r="M6040" s="471">
        <f t="shared" si="219"/>
        <v>0.05</v>
      </c>
      <c r="N6040" s="475">
        <f t="shared" si="220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18"/>
        <v>-1.3534849553484902E+16</v>
      </c>
      <c r="J6041" s="455">
        <f t="array" ref="J6041">IFERROR(INDEX('Retirement Calculator'!J:J,MATCH('Isaac 401k'!N6041,'Retirement Calculator'!A:A,0),0),0)</f>
        <v>0</v>
      </c>
      <c r="K6041" s="455">
        <f t="shared" ca="1" si="216"/>
        <v>-56395206472853.758</v>
      </c>
      <c r="L6041" s="455">
        <f t="shared" ca="1" si="217"/>
        <v>-1.3591244759957756E+16</v>
      </c>
      <c r="M6041" s="471">
        <f t="shared" si="219"/>
        <v>0.05</v>
      </c>
      <c r="N6041" s="475">
        <f t="shared" si="220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18"/>
        <v>-1.3591244759957756E+16</v>
      </c>
      <c r="J6042" s="455">
        <f t="array" ref="J6042">IFERROR(INDEX('Retirement Calculator'!J:J,MATCH('Isaac 401k'!N6042,'Retirement Calculator'!A:A,0),0),0)</f>
        <v>0</v>
      </c>
      <c r="K6042" s="455">
        <f t="shared" ca="1" si="216"/>
        <v>-56630186499823.984</v>
      </c>
      <c r="L6042" s="455">
        <f t="shared" ca="1" si="217"/>
        <v>-1.364787494645758E+16</v>
      </c>
      <c r="M6042" s="471">
        <f t="shared" si="219"/>
        <v>0.05</v>
      </c>
      <c r="N6042" s="475">
        <f t="shared" si="220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18"/>
        <v>-1.364787494645758E+16</v>
      </c>
      <c r="J6043" s="455">
        <f t="array" ref="J6043">IFERROR(INDEX('Retirement Calculator'!J:J,MATCH('Isaac 401k'!N6043,'Retirement Calculator'!A:A,0),0),0)</f>
        <v>0</v>
      </c>
      <c r="K6043" s="455">
        <f t="shared" ca="1" si="216"/>
        <v>-56866145610239.914</v>
      </c>
      <c r="L6043" s="455">
        <f t="shared" ca="1" si="217"/>
        <v>-1.370474109206782E+16</v>
      </c>
      <c r="M6043" s="471">
        <f t="shared" si="219"/>
        <v>0.05</v>
      </c>
      <c r="N6043" s="475">
        <f t="shared" si="220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18"/>
        <v>-1.370474109206782E+16</v>
      </c>
      <c r="J6044" s="455">
        <f t="array" ref="J6044">IFERROR(INDEX('Retirement Calculator'!J:J,MATCH('Isaac 401k'!N6044,'Retirement Calculator'!A:A,0),0),0)</f>
        <v>0</v>
      </c>
      <c r="K6044" s="455">
        <f t="shared" ca="1" si="216"/>
        <v>-57103087883615.914</v>
      </c>
      <c r="L6044" s="455">
        <f t="shared" ca="1" si="217"/>
        <v>-1.3761844179951436E+16</v>
      </c>
      <c r="M6044" s="471">
        <f t="shared" si="219"/>
        <v>0.05</v>
      </c>
      <c r="N6044" s="475">
        <f t="shared" si="220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18"/>
        <v>-1.3761844179951436E+16</v>
      </c>
      <c r="J6045" s="455">
        <f t="array" ref="J6045">IFERROR(INDEX('Retirement Calculator'!J:J,MATCH('Isaac 401k'!N6045,'Retirement Calculator'!A:A,0),0),0)</f>
        <v>0</v>
      </c>
      <c r="K6045" s="455">
        <f t="shared" ca="1" si="216"/>
        <v>-57341017416464.313</v>
      </c>
      <c r="L6045" s="455">
        <f t="shared" ca="1" si="217"/>
        <v>-1.38191851973679E+16</v>
      </c>
      <c r="M6045" s="471">
        <f t="shared" si="219"/>
        <v>0.05</v>
      </c>
      <c r="N6045" s="475">
        <f t="shared" si="220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18"/>
        <v>-1.38191851973679E+16</v>
      </c>
      <c r="J6046" s="455">
        <f t="array" ref="J6046">IFERROR(INDEX('Retirement Calculator'!J:J,MATCH('Isaac 401k'!N6046,'Retirement Calculator'!A:A,0),0),0)</f>
        <v>0</v>
      </c>
      <c r="K6046" s="455">
        <f t="shared" ca="1" si="216"/>
        <v>-57579938322366.25</v>
      </c>
      <c r="L6046" s="455">
        <f t="shared" ca="1" si="217"/>
        <v>-1.3876765135690266E+16</v>
      </c>
      <c r="M6046" s="471">
        <f t="shared" si="219"/>
        <v>0.05</v>
      </c>
      <c r="N6046" s="475">
        <f t="shared" si="220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18"/>
        <v>-1.3876765135690266E+16</v>
      </c>
      <c r="J6047" s="455">
        <f t="array" ref="J6047">IFERROR(INDEX('Retirement Calculator'!J:J,MATCH('Isaac 401k'!N6047,'Retirement Calculator'!A:A,0),0),0)</f>
        <v>0</v>
      </c>
      <c r="K6047" s="455">
        <f t="shared" ca="1" si="216"/>
        <v>-57819854732042.773</v>
      </c>
      <c r="L6047" s="455">
        <f t="shared" ca="1" si="217"/>
        <v>-1.3934584990422308E+16</v>
      </c>
      <c r="M6047" s="471">
        <f t="shared" si="219"/>
        <v>0.05</v>
      </c>
      <c r="N6047" s="475">
        <f t="shared" si="220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18"/>
        <v>-1.3934584990422308E+16</v>
      </c>
      <c r="J6048" s="455">
        <f t="array" ref="J6048">IFERROR(INDEX('Retirement Calculator'!J:J,MATCH('Isaac 401k'!N6048,'Retirement Calculator'!A:A,0),0),0)</f>
        <v>0</v>
      </c>
      <c r="K6048" s="455">
        <f t="shared" ca="1" si="216"/>
        <v>-58060770793426.281</v>
      </c>
      <c r="L6048" s="455">
        <f t="shared" ca="1" si="217"/>
        <v>-1.3992645761215734E+16</v>
      </c>
      <c r="M6048" s="471">
        <f t="shared" si="219"/>
        <v>0.05</v>
      </c>
      <c r="N6048" s="475">
        <f t="shared" si="220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18"/>
        <v>-1.3992645761215734E+16</v>
      </c>
      <c r="J6049" s="455">
        <f t="array" ref="J6049">IFERROR(INDEX('Retirement Calculator'!J:J,MATCH('Isaac 401k'!N6049,'Retirement Calculator'!A:A,0),0),0)</f>
        <v>0</v>
      </c>
      <c r="K6049" s="455">
        <f t="shared" ca="1" si="216"/>
        <v>-58302690671732.227</v>
      </c>
      <c r="L6049" s="455">
        <f t="shared" ca="1" si="217"/>
        <v>-1.4050948451887466E+16</v>
      </c>
      <c r="M6049" s="471">
        <f t="shared" si="219"/>
        <v>0.05</v>
      </c>
      <c r="N6049" s="475">
        <f t="shared" si="220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18"/>
        <v>-1.4050948451887466E+16</v>
      </c>
      <c r="J6050" s="455">
        <f t="array" ref="J6050">IFERROR(INDEX('Retirement Calculator'!J:J,MATCH('Isaac 401k'!N6050,'Retirement Calculator'!A:A,0),0),0)</f>
        <v>0</v>
      </c>
      <c r="K6050" s="455">
        <f t="shared" ca="1" si="216"/>
        <v>-58545618549531.109</v>
      </c>
      <c r="L6050" s="455">
        <f t="shared" ca="1" si="217"/>
        <v>-1.4109494070436998E+16</v>
      </c>
      <c r="M6050" s="471">
        <f t="shared" si="219"/>
        <v>0.05</v>
      </c>
      <c r="N6050" s="475">
        <f t="shared" si="220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18"/>
        <v>-1.4109494070436998E+16</v>
      </c>
      <c r="J6051" s="455">
        <f t="array" ref="J6051">IFERROR(INDEX('Retirement Calculator'!J:J,MATCH('Isaac 401k'!N6051,'Retirement Calculator'!A:A,0),0),0)</f>
        <v>0</v>
      </c>
      <c r="K6051" s="455">
        <f t="shared" ca="1" si="216"/>
        <v>-58789558626820.82</v>
      </c>
      <c r="L6051" s="455">
        <f t="shared" ca="1" si="217"/>
        <v>-1.4168283629063818E+16</v>
      </c>
      <c r="M6051" s="471">
        <f t="shared" si="219"/>
        <v>0.05</v>
      </c>
      <c r="N6051" s="475">
        <f t="shared" si="220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18"/>
        <v>-1.4168283629063818E+16</v>
      </c>
      <c r="J6052" s="455">
        <f t="array" ref="J6052">IFERROR(INDEX('Retirement Calculator'!J:J,MATCH('Isaac 401k'!N6052,'Retirement Calculator'!A:A,0),0),0)</f>
        <v>0</v>
      </c>
      <c r="K6052" s="455">
        <f t="shared" ca="1" si="216"/>
        <v>-59034515121099.25</v>
      </c>
      <c r="L6052" s="455">
        <f t="shared" ca="1" si="217"/>
        <v>-1.4227318144184918E+16</v>
      </c>
      <c r="M6052" s="471">
        <f t="shared" si="219"/>
        <v>0.05</v>
      </c>
      <c r="N6052" s="475">
        <f t="shared" si="220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18"/>
        <v>-1.4227318144184918E+16</v>
      </c>
      <c r="J6053" s="455">
        <f t="array" ref="J6053">IFERROR(INDEX('Retirement Calculator'!J:J,MATCH('Isaac 401k'!N6053,'Retirement Calculator'!A:A,0),0),0)</f>
        <v>0</v>
      </c>
      <c r="K6053" s="455">
        <f t="shared" ca="1" si="216"/>
        <v>-59280492267437.156</v>
      </c>
      <c r="L6053" s="455">
        <f t="shared" ca="1" si="217"/>
        <v>-1.4286598636452356E+16</v>
      </c>
      <c r="M6053" s="471">
        <f t="shared" si="219"/>
        <v>0.05</v>
      </c>
      <c r="N6053" s="475">
        <f t="shared" si="220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18"/>
        <v>-1.4286598636452356E+16</v>
      </c>
      <c r="J6054" s="455">
        <f t="array" ref="J6054">IFERROR(INDEX('Retirement Calculator'!J:J,MATCH('Isaac 401k'!N6054,'Retirement Calculator'!A:A,0),0),0)</f>
        <v>0</v>
      </c>
      <c r="K6054" s="455">
        <f t="shared" ca="1" si="216"/>
        <v>-59527494318551.484</v>
      </c>
      <c r="L6054" s="455">
        <f t="shared" ca="1" si="217"/>
        <v>-1.4346126130770908E+16</v>
      </c>
      <c r="M6054" s="471">
        <f t="shared" si="219"/>
        <v>0.05</v>
      </c>
      <c r="N6054" s="475">
        <f t="shared" si="220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18"/>
        <v>-1.4346126130770908E+16</v>
      </c>
      <c r="J6055" s="455">
        <f t="array" ref="J6055">IFERROR(INDEX('Retirement Calculator'!J:J,MATCH('Isaac 401k'!N6055,'Retirement Calculator'!A:A,0),0),0)</f>
        <v>0</v>
      </c>
      <c r="K6055" s="455">
        <f t="shared" ca="1" si="216"/>
        <v>-59775525544878.781</v>
      </c>
      <c r="L6055" s="455">
        <f t="shared" ca="1" si="217"/>
        <v>-1.4405901656315786E+16</v>
      </c>
      <c r="M6055" s="471">
        <f t="shared" si="219"/>
        <v>0.05</v>
      </c>
      <c r="N6055" s="475">
        <f t="shared" si="220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18"/>
        <v>-1.4405901656315786E+16</v>
      </c>
      <c r="J6056" s="455">
        <f t="array" ref="J6056">IFERROR(INDEX('Retirement Calculator'!J:J,MATCH('Isaac 401k'!N6056,'Retirement Calculator'!A:A,0),0),0)</f>
        <v>0</v>
      </c>
      <c r="K6056" s="455">
        <f t="shared" ca="1" si="216"/>
        <v>-60024590234649.109</v>
      </c>
      <c r="L6056" s="455">
        <f t="shared" ca="1" si="217"/>
        <v>-1.4465926246550436E+16</v>
      </c>
      <c r="M6056" s="471">
        <f t="shared" si="219"/>
        <v>0.05</v>
      </c>
      <c r="N6056" s="475">
        <f t="shared" si="220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18"/>
        <v>-1.4465926246550436E+16</v>
      </c>
      <c r="J6057" s="455">
        <f t="array" ref="J6057">IFERROR(INDEX('Retirement Calculator'!J:J,MATCH('Isaac 401k'!N6057,'Retirement Calculator'!A:A,0),0),0)</f>
        <v>0</v>
      </c>
      <c r="K6057" s="455">
        <f t="shared" ca="1" si="216"/>
        <v>-60274692693960.156</v>
      </c>
      <c r="L6057" s="455">
        <f t="shared" ca="1" si="217"/>
        <v>-1.4526200939244396E+16</v>
      </c>
      <c r="M6057" s="471">
        <f t="shared" si="219"/>
        <v>0.05</v>
      </c>
      <c r="N6057" s="475">
        <f t="shared" si="220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18"/>
        <v>-1.4526200939244396E+16</v>
      </c>
      <c r="J6058" s="455">
        <f t="array" ref="J6058">IFERROR(INDEX('Retirement Calculator'!J:J,MATCH('Isaac 401k'!N6058,'Retirement Calculator'!A:A,0),0),0)</f>
        <v>0</v>
      </c>
      <c r="K6058" s="455">
        <f t="shared" ca="1" si="216"/>
        <v>-60525837246851.648</v>
      </c>
      <c r="L6058" s="455">
        <f t="shared" ca="1" si="217"/>
        <v>-1.4586726776491248E+16</v>
      </c>
      <c r="M6058" s="471">
        <f t="shared" si="219"/>
        <v>0.05</v>
      </c>
      <c r="N6058" s="475">
        <f t="shared" si="220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18"/>
        <v>-1.4586726776491248E+16</v>
      </c>
      <c r="J6059" s="455">
        <f t="array" ref="J6059">IFERROR(INDEX('Retirement Calculator'!J:J,MATCH('Isaac 401k'!N6059,'Retirement Calculator'!A:A,0),0),0)</f>
        <v>0</v>
      </c>
      <c r="K6059" s="455">
        <f t="shared" ca="1" si="216"/>
        <v>-60778028235380.195</v>
      </c>
      <c r="L6059" s="455">
        <f t="shared" ca="1" si="217"/>
        <v>-1.4647504804726628E+16</v>
      </c>
      <c r="M6059" s="471">
        <f t="shared" si="219"/>
        <v>0.05</v>
      </c>
      <c r="N6059" s="475">
        <f t="shared" si="220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18"/>
        <v>-1.4647504804726628E+16</v>
      </c>
      <c r="J6060" s="455">
        <f t="array" ref="J6060">IFERROR(INDEX('Retirement Calculator'!J:J,MATCH('Isaac 401k'!N6060,'Retirement Calculator'!A:A,0),0),0)</f>
        <v>0</v>
      </c>
      <c r="K6060" s="455">
        <f t="shared" ca="1" si="216"/>
        <v>-61031270019694.273</v>
      </c>
      <c r="L6060" s="455">
        <f t="shared" ca="1" si="217"/>
        <v>-1.4708536074746322E+16</v>
      </c>
      <c r="M6060" s="471">
        <f t="shared" si="219"/>
        <v>0.05</v>
      </c>
      <c r="N6060" s="475">
        <f t="shared" si="220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18"/>
        <v>-1.4708536074746322E+16</v>
      </c>
      <c r="J6061" s="455">
        <f t="array" ref="J6061">IFERROR(INDEX('Retirement Calculator'!J:J,MATCH('Isaac 401k'!N6061,'Retirement Calculator'!A:A,0),0),0)</f>
        <v>0</v>
      </c>
      <c r="K6061" s="455">
        <f t="shared" ca="1" si="216"/>
        <v>-61285566978109.672</v>
      </c>
      <c r="L6061" s="455">
        <f t="shared" ca="1" si="217"/>
        <v>-1.4769821641724432E+16</v>
      </c>
      <c r="M6061" s="471">
        <f t="shared" si="219"/>
        <v>0.05</v>
      </c>
      <c r="N6061" s="475">
        <f t="shared" si="220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18"/>
        <v>-1.4769821641724432E+16</v>
      </c>
      <c r="J6062" s="455">
        <f t="array" ref="J6062">IFERROR(INDEX('Retirement Calculator'!J:J,MATCH('Isaac 401k'!N6062,'Retirement Calculator'!A:A,0),0),0)</f>
        <v>0</v>
      </c>
      <c r="K6062" s="455">
        <f t="shared" ca="1" si="216"/>
        <v>-61540923507185.133</v>
      </c>
      <c r="L6062" s="455">
        <f t="shared" ca="1" si="217"/>
        <v>-1.4831362565231618E+16</v>
      </c>
      <c r="M6062" s="471">
        <f t="shared" si="219"/>
        <v>0.05</v>
      </c>
      <c r="N6062" s="475">
        <f t="shared" si="220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18"/>
        <v>-1.4831362565231618E+16</v>
      </c>
      <c r="J6063" s="455">
        <f t="array" ref="J6063">IFERROR(INDEX('Retirement Calculator'!J:J,MATCH('Isaac 401k'!N6063,'Retirement Calculator'!A:A,0),0),0)</f>
        <v>0</v>
      </c>
      <c r="K6063" s="455">
        <f t="shared" ca="1" si="216"/>
        <v>-61797344021798.406</v>
      </c>
      <c r="L6063" s="455">
        <f t="shared" ca="1" si="217"/>
        <v>-1.4893159909253416E+16</v>
      </c>
      <c r="M6063" s="471">
        <f t="shared" si="219"/>
        <v>0.05</v>
      </c>
      <c r="N6063" s="475">
        <f t="shared" si="220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18"/>
        <v>-1.4893159909253416E+16</v>
      </c>
      <c r="J6064" s="455">
        <f t="array" ref="J6064">IFERROR(INDEX('Retirement Calculator'!J:J,MATCH('Isaac 401k'!N6064,'Retirement Calculator'!A:A,0),0),0)</f>
        <v>0</v>
      </c>
      <c r="K6064" s="455">
        <f t="shared" ca="1" si="216"/>
        <v>-62054832955222.563</v>
      </c>
      <c r="L6064" s="455">
        <f t="shared" ca="1" si="217"/>
        <v>-1.4955214742208638E+16</v>
      </c>
      <c r="M6064" s="471">
        <f t="shared" si="219"/>
        <v>0.05</v>
      </c>
      <c r="N6064" s="475">
        <f t="shared" si="220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18"/>
        <v>-1.4955214742208638E+16</v>
      </c>
      <c r="J6065" s="455">
        <f t="array" ref="J6065">IFERROR(INDEX('Retirement Calculator'!J:J,MATCH('Isaac 401k'!N6065,'Retirement Calculator'!A:A,0),0),0)</f>
        <v>0</v>
      </c>
      <c r="K6065" s="455">
        <f t="shared" ca="1" si="216"/>
        <v>-62313394759202.656</v>
      </c>
      <c r="L6065" s="455">
        <f t="shared" ca="1" si="217"/>
        <v>-1.501752813696784E+16</v>
      </c>
      <c r="M6065" s="471">
        <f t="shared" si="219"/>
        <v>0.05</v>
      </c>
      <c r="N6065" s="475">
        <f t="shared" si="220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18"/>
        <v>-1.501752813696784E+16</v>
      </c>
      <c r="J6066" s="455">
        <f t="array" ref="J6066">IFERROR(INDEX('Retirement Calculator'!J:J,MATCH('Isaac 401k'!N6066,'Retirement Calculator'!A:A,0),0),0)</f>
        <v>0</v>
      </c>
      <c r="K6066" s="455">
        <f t="shared" ca="1" si="216"/>
        <v>-62573033904032.656</v>
      </c>
      <c r="L6066" s="455">
        <f t="shared" ca="1" si="217"/>
        <v>-1.5080101170871872E+16</v>
      </c>
      <c r="M6066" s="471">
        <f t="shared" si="219"/>
        <v>0.05</v>
      </c>
      <c r="N6066" s="475">
        <f t="shared" si="220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18"/>
        <v>-1.5080101170871872E+16</v>
      </c>
      <c r="J6067" s="455">
        <f t="array" ref="J6067">IFERROR(INDEX('Retirement Calculator'!J:J,MATCH('Isaac 401k'!N6067,'Retirement Calculator'!A:A,0),0),0)</f>
        <v>0</v>
      </c>
      <c r="K6067" s="455">
        <f t="shared" ca="1" si="216"/>
        <v>-62833754878632.805</v>
      </c>
      <c r="L6067" s="455">
        <f t="shared" ca="1" si="217"/>
        <v>-1.5142934925750504E+16</v>
      </c>
      <c r="M6067" s="471">
        <f t="shared" si="219"/>
        <v>0.05</v>
      </c>
      <c r="N6067" s="475">
        <f t="shared" si="220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18"/>
        <v>-1.5142934925750504E+16</v>
      </c>
      <c r="J6068" s="455">
        <f t="array" ref="J6068">IFERROR(INDEX('Retirement Calculator'!J:J,MATCH('Isaac 401k'!N6068,'Retirement Calculator'!A:A,0),0),0)</f>
        <v>0</v>
      </c>
      <c r="K6068" s="455">
        <f t="shared" ca="1" si="216"/>
        <v>-63095562190627.102</v>
      </c>
      <c r="L6068" s="455">
        <f t="shared" ca="1" si="217"/>
        <v>-1.5206030487941132E+16</v>
      </c>
      <c r="M6068" s="471">
        <f t="shared" si="219"/>
        <v>0.05</v>
      </c>
      <c r="N6068" s="475">
        <f t="shared" si="220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18"/>
        <v>-1.5206030487941132E+16</v>
      </c>
      <c r="J6069" s="455">
        <f t="array" ref="J6069">IFERROR(INDEX('Retirement Calculator'!J:J,MATCH('Isaac 401k'!N6069,'Retirement Calculator'!A:A,0),0),0)</f>
        <v>0</v>
      </c>
      <c r="K6069" s="455">
        <f t="shared" ca="1" si="216"/>
        <v>-63358460366421.375</v>
      </c>
      <c r="L6069" s="455">
        <f t="shared" ca="1" si="217"/>
        <v>-1.5269388948307554E+16</v>
      </c>
      <c r="M6069" s="471">
        <f t="shared" si="219"/>
        <v>0.05</v>
      </c>
      <c r="N6069" s="475">
        <f t="shared" si="220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18"/>
        <v>-1.5269388948307554E+16</v>
      </c>
      <c r="J6070" s="455">
        <f t="array" ref="J6070">IFERROR(INDEX('Retirement Calculator'!J:J,MATCH('Isaac 401k'!N6070,'Retirement Calculator'!A:A,0),0),0)</f>
        <v>0</v>
      </c>
      <c r="K6070" s="455">
        <f t="shared" ca="1" si="216"/>
        <v>-63622453951281.477</v>
      </c>
      <c r="L6070" s="455">
        <f t="shared" ca="1" si="217"/>
        <v>-1.5333011402258836E+16</v>
      </c>
      <c r="M6070" s="471">
        <f t="shared" si="219"/>
        <v>0.05</v>
      </c>
      <c r="N6070" s="475">
        <f t="shared" si="220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18"/>
        <v>-1.5333011402258836E+16</v>
      </c>
      <c r="J6071" s="455">
        <f t="array" ref="J6071">IFERROR(INDEX('Retirement Calculator'!J:J,MATCH('Isaac 401k'!N6071,'Retirement Calculator'!A:A,0),0),0)</f>
        <v>0</v>
      </c>
      <c r="K6071" s="455">
        <f t="shared" ca="1" si="216"/>
        <v>-63887547509411.82</v>
      </c>
      <c r="L6071" s="455">
        <f t="shared" ca="1" si="217"/>
        <v>-1.5396898949768248E+16</v>
      </c>
      <c r="M6071" s="471">
        <f t="shared" si="219"/>
        <v>0.05</v>
      </c>
      <c r="N6071" s="475">
        <f t="shared" si="220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18"/>
        <v>-1.5396898949768248E+16</v>
      </c>
      <c r="J6072" s="455">
        <f t="array" ref="J6072">IFERROR(INDEX('Retirement Calculator'!J:J,MATCH('Isaac 401k'!N6072,'Retirement Calculator'!A:A,0),0),0)</f>
        <v>0</v>
      </c>
      <c r="K6072" s="455">
        <f t="shared" ca="1" si="216"/>
        <v>-64153745624034.359</v>
      </c>
      <c r="L6072" s="455">
        <f t="shared" ca="1" si="217"/>
        <v>-1.5461052695392282E+16</v>
      </c>
      <c r="M6072" s="471">
        <f t="shared" si="219"/>
        <v>0.05</v>
      </c>
      <c r="N6072" s="475">
        <f t="shared" si="220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18"/>
        <v>-1.5461052695392282E+16</v>
      </c>
      <c r="J6073" s="455">
        <f t="array" ref="J6073">IFERROR(INDEX('Retirement Calculator'!J:J,MATCH('Isaac 401k'!N6073,'Retirement Calculator'!A:A,0),0),0)</f>
        <v>0</v>
      </c>
      <c r="K6073" s="455">
        <f t="shared" ca="1" si="216"/>
        <v>-64421052897467.844</v>
      </c>
      <c r="L6073" s="455">
        <f t="shared" ca="1" si="217"/>
        <v>-1.552547374828975E+16</v>
      </c>
      <c r="M6073" s="471">
        <f t="shared" si="219"/>
        <v>0.05</v>
      </c>
      <c r="N6073" s="475">
        <f t="shared" si="220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18"/>
        <v>-1.552547374828975E+16</v>
      </c>
      <c r="J6074" s="455">
        <f t="array" ref="J6074">IFERROR(INDEX('Retirement Calculator'!J:J,MATCH('Isaac 401k'!N6074,'Retirement Calculator'!A:A,0),0),0)</f>
        <v>0</v>
      </c>
      <c r="K6074" s="455">
        <f t="shared" ca="1" si="216"/>
        <v>-64689473951207.289</v>
      </c>
      <c r="L6074" s="455">
        <f t="shared" ca="1" si="217"/>
        <v>-1.5590163222240958E+16</v>
      </c>
      <c r="M6074" s="471">
        <f t="shared" si="219"/>
        <v>0.05</v>
      </c>
      <c r="N6074" s="475">
        <f t="shared" si="220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18"/>
        <v>-1.5590163222240958E+16</v>
      </c>
      <c r="J6075" s="455">
        <f t="array" ref="J6075">IFERROR(INDEX('Retirement Calculator'!J:J,MATCH('Isaac 401k'!N6075,'Retirement Calculator'!A:A,0),0),0)</f>
        <v>0</v>
      </c>
      <c r="K6075" s="455">
        <f t="shared" ca="1" si="216"/>
        <v>-64959013426004</v>
      </c>
      <c r="L6075" s="455">
        <f t="shared" ca="1" si="217"/>
        <v>-1.5655122235666962E+16</v>
      </c>
      <c r="M6075" s="471">
        <f t="shared" si="219"/>
        <v>0.05</v>
      </c>
      <c r="N6075" s="475">
        <f t="shared" si="220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18"/>
        <v>-1.5655122235666962E+16</v>
      </c>
      <c r="J6076" s="455">
        <f t="array" ref="J6076">IFERROR(INDEX('Retirement Calculator'!J:J,MATCH('Isaac 401k'!N6076,'Retirement Calculator'!A:A,0),0),0)</f>
        <v>0</v>
      </c>
      <c r="K6076" s="455">
        <f t="shared" ca="1" si="216"/>
        <v>-65229675981945.664</v>
      </c>
      <c r="L6076" s="455">
        <f t="shared" ca="1" si="217"/>
        <v>-1.5720351911648908E+16</v>
      </c>
      <c r="M6076" s="471">
        <f t="shared" si="219"/>
        <v>0.05</v>
      </c>
      <c r="N6076" s="475">
        <f t="shared" si="220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18"/>
        <v>-1.5720351911648908E+16</v>
      </c>
      <c r="J6077" s="455">
        <f t="array" ref="J6077">IFERROR(INDEX('Retirement Calculator'!J:J,MATCH('Isaac 401k'!N6077,'Retirement Calculator'!A:A,0),0),0)</f>
        <v>0</v>
      </c>
      <c r="K6077" s="455">
        <f t="shared" ca="1" si="216"/>
        <v>-65501466298537.117</v>
      </c>
      <c r="L6077" s="455">
        <f t="shared" ca="1" si="217"/>
        <v>-1.5785853377947446E+16</v>
      </c>
      <c r="M6077" s="471">
        <f t="shared" si="219"/>
        <v>0.05</v>
      </c>
      <c r="N6077" s="475">
        <f t="shared" si="220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18"/>
        <v>-1.5785853377947446E+16</v>
      </c>
      <c r="J6078" s="455">
        <f t="array" ref="J6078">IFERROR(INDEX('Retirement Calculator'!J:J,MATCH('Isaac 401k'!N6078,'Retirement Calculator'!A:A,0),0),0)</f>
        <v>0</v>
      </c>
      <c r="K6078" s="455">
        <f t="shared" ca="1" si="216"/>
        <v>-65774389074781.023</v>
      </c>
      <c r="L6078" s="455">
        <f t="shared" ca="1" si="217"/>
        <v>-1.5851627767022228E+16</v>
      </c>
      <c r="M6078" s="471">
        <f t="shared" si="219"/>
        <v>0.05</v>
      </c>
      <c r="N6078" s="475">
        <f t="shared" si="220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18"/>
        <v>-1.5851627767022228E+16</v>
      </c>
      <c r="J6079" s="455">
        <f t="array" ref="J6079">IFERROR(INDEX('Retirement Calculator'!J:J,MATCH('Isaac 401k'!N6079,'Retirement Calculator'!A:A,0),0),0)</f>
        <v>0</v>
      </c>
      <c r="K6079" s="455">
        <f t="shared" ca="1" si="216"/>
        <v>-66048449029259.281</v>
      </c>
      <c r="L6079" s="455">
        <f t="shared" ca="1" si="217"/>
        <v>-1.5917676216051488E+16</v>
      </c>
      <c r="M6079" s="471">
        <f t="shared" si="219"/>
        <v>0.05</v>
      </c>
      <c r="N6079" s="475">
        <f t="shared" si="220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18"/>
        <v>-1.5917676216051488E+16</v>
      </c>
      <c r="J6080" s="455">
        <f t="array" ref="J6080">IFERROR(INDEX('Retirement Calculator'!J:J,MATCH('Isaac 401k'!N6080,'Retirement Calculator'!A:A,0),0),0)</f>
        <v>0</v>
      </c>
      <c r="K6080" s="455">
        <f t="shared" ca="1" si="216"/>
        <v>-66323650900214.523</v>
      </c>
      <c r="L6080" s="455">
        <f t="shared" ca="1" si="217"/>
        <v>-1.5983999866951702E+16</v>
      </c>
      <c r="M6080" s="471">
        <f t="shared" si="219"/>
        <v>0.05</v>
      </c>
      <c r="N6080" s="475">
        <f t="shared" si="220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18"/>
        <v>-1.5983999866951702E+16</v>
      </c>
      <c r="J6081" s="455">
        <f t="array" ref="J6081">IFERROR(INDEX('Retirement Calculator'!J:J,MATCH('Isaac 401k'!N6081,'Retirement Calculator'!A:A,0),0),0)</f>
        <v>0</v>
      </c>
      <c r="K6081" s="455">
        <f t="shared" ca="1" si="216"/>
        <v>-66599999445632.094</v>
      </c>
      <c r="L6081" s="455">
        <f t="shared" ca="1" si="217"/>
        <v>-1.6050599866397334E+16</v>
      </c>
      <c r="M6081" s="471">
        <f t="shared" si="219"/>
        <v>0.05</v>
      </c>
      <c r="N6081" s="475">
        <f t="shared" si="220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18"/>
        <v>-1.6050599866397334E+16</v>
      </c>
      <c r="J6082" s="455">
        <f t="array" ref="J6082">IFERROR(INDEX('Retirement Calculator'!J:J,MATCH('Isaac 401k'!N6082,'Retirement Calculator'!A:A,0),0),0)</f>
        <v>0</v>
      </c>
      <c r="K6082" s="455">
        <f t="shared" ca="1" si="216"/>
        <v>-66877499443322.227</v>
      </c>
      <c r="L6082" s="455">
        <f t="shared" ca="1" si="217"/>
        <v>-1.6117477365840656E+16</v>
      </c>
      <c r="M6082" s="471">
        <f t="shared" si="219"/>
        <v>0.05</v>
      </c>
      <c r="N6082" s="475">
        <f t="shared" si="220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18"/>
        <v>-1.6117477365840656E+16</v>
      </c>
      <c r="J6083" s="455">
        <f t="array" ref="J6083">IFERROR(INDEX('Retirement Calculator'!J:J,MATCH('Isaac 401k'!N6083,'Retirement Calculator'!A:A,0),0),0)</f>
        <v>0</v>
      </c>
      <c r="K6083" s="455">
        <f t="shared" ca="1" si="216"/>
        <v>-67156155691002.734</v>
      </c>
      <c r="L6083" s="455">
        <f t="shared" ca="1" si="217"/>
        <v>-1.6184633521531658E+16</v>
      </c>
      <c r="M6083" s="471">
        <f t="shared" si="219"/>
        <v>0.05</v>
      </c>
      <c r="N6083" s="475">
        <f t="shared" si="220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18"/>
        <v>-1.6184633521531658E+16</v>
      </c>
      <c r="J6084" s="455">
        <f t="array" ref="J6084">IFERROR(INDEX('Retirement Calculator'!J:J,MATCH('Isaac 401k'!N6084,'Retirement Calculator'!A:A,0),0),0)</f>
        <v>0</v>
      </c>
      <c r="K6084" s="455">
        <f t="shared" ca="1" si="216"/>
        <v>-67435973006381.906</v>
      </c>
      <c r="L6084" s="455">
        <f t="shared" ca="1" si="217"/>
        <v>-1.625206949453804E+16</v>
      </c>
      <c r="M6084" s="471">
        <f t="shared" si="219"/>
        <v>0.05</v>
      </c>
      <c r="N6084" s="475">
        <f t="shared" si="220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18"/>
        <v>-1.625206949453804E+16</v>
      </c>
      <c r="J6085" s="455">
        <f t="array" ref="J6085">IFERROR(INDEX('Retirement Calculator'!J:J,MATCH('Isaac 401k'!N6085,'Retirement Calculator'!A:A,0),0),0)</f>
        <v>0</v>
      </c>
      <c r="K6085" s="455">
        <f t="shared" ca="1" si="216"/>
        <v>-67716956227241.836</v>
      </c>
      <c r="L6085" s="455">
        <f t="shared" ca="1" si="217"/>
        <v>-1.6319786450765282E+16</v>
      </c>
      <c r="M6085" s="471">
        <f t="shared" si="219"/>
        <v>0.05</v>
      </c>
      <c r="N6085" s="475">
        <f t="shared" si="220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18"/>
        <v>-1.6319786450765282E+16</v>
      </c>
      <c r="J6086" s="455">
        <f t="array" ref="J6086">IFERROR(INDEX('Retirement Calculator'!J:J,MATCH('Isaac 401k'!N6086,'Retirement Calculator'!A:A,0),0),0)</f>
        <v>0</v>
      </c>
      <c r="K6086" s="455">
        <f t="shared" ca="1" si="216"/>
        <v>-67999110211522.016</v>
      </c>
      <c r="L6086" s="455">
        <f t="shared" ca="1" si="217"/>
        <v>-1.6387785560976804E+16</v>
      </c>
      <c r="M6086" s="471">
        <f t="shared" si="219"/>
        <v>0.05</v>
      </c>
      <c r="N6086" s="475">
        <f t="shared" si="220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18"/>
        <v>-1.6387785560976804E+16</v>
      </c>
      <c r="J6087" s="455">
        <f t="array" ref="J6087">IFERROR(INDEX('Retirement Calculator'!J:J,MATCH('Isaac 401k'!N6087,'Retirement Calculator'!A:A,0),0),0)</f>
        <v>0</v>
      </c>
      <c r="K6087" s="455">
        <f t="shared" ca="1" si="216"/>
        <v>-68282439837403.352</v>
      </c>
      <c r="L6087" s="455">
        <f t="shared" ca="1" si="217"/>
        <v>-1.6456068000814208E+16</v>
      </c>
      <c r="M6087" s="471">
        <f t="shared" si="219"/>
        <v>0.05</v>
      </c>
      <c r="N6087" s="475">
        <f t="shared" si="220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18"/>
        <v>-1.6456068000814208E+16</v>
      </c>
      <c r="J6088" s="455">
        <f t="array" ref="J6088">IFERROR(INDEX('Retirement Calculator'!J:J,MATCH('Isaac 401k'!N6088,'Retirement Calculator'!A:A,0),0),0)</f>
        <v>0</v>
      </c>
      <c r="K6088" s="455">
        <f t="shared" ca="1" si="216"/>
        <v>-68566950003392.531</v>
      </c>
      <c r="L6088" s="455">
        <f t="shared" ca="1" si="217"/>
        <v>-1.65246349508176E+16</v>
      </c>
      <c r="M6088" s="471">
        <f t="shared" si="219"/>
        <v>0.05</v>
      </c>
      <c r="N6088" s="475">
        <f t="shared" si="220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18"/>
        <v>-1.65246349508176E+16</v>
      </c>
      <c r="J6089" s="455">
        <f t="array" ref="J6089">IFERROR(INDEX('Retirement Calculator'!J:J,MATCH('Isaac 401k'!N6089,'Retirement Calculator'!A:A,0),0),0)</f>
        <v>0</v>
      </c>
      <c r="K6089" s="455">
        <f t="shared" ca="1" si="216"/>
        <v>-68852645628406.664</v>
      </c>
      <c r="L6089" s="455">
        <f t="shared" ca="1" si="217"/>
        <v>-1.6593487596446006E+16</v>
      </c>
      <c r="M6089" s="471">
        <f t="shared" si="219"/>
        <v>0.05</v>
      </c>
      <c r="N6089" s="475">
        <f t="shared" si="220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18"/>
        <v>-1.6593487596446006E+16</v>
      </c>
      <c r="J6090" s="455">
        <f t="array" ref="J6090">IFERROR(INDEX('Retirement Calculator'!J:J,MATCH('Isaac 401k'!N6090,'Retirement Calculator'!A:A,0),0),0)</f>
        <v>0</v>
      </c>
      <c r="K6090" s="455">
        <f t="shared" ca="1" si="216"/>
        <v>-69139531651858.359</v>
      </c>
      <c r="L6090" s="455">
        <f t="shared" ca="1" si="217"/>
        <v>-1.6662627128097864E+16</v>
      </c>
      <c r="M6090" s="471">
        <f t="shared" si="219"/>
        <v>0.05</v>
      </c>
      <c r="N6090" s="475">
        <f t="shared" si="220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18"/>
        <v>-1.6662627128097864E+16</v>
      </c>
      <c r="J6091" s="455">
        <f t="array" ref="J6091">IFERROR(INDEX('Retirement Calculator'!J:J,MATCH('Isaac 401k'!N6091,'Retirement Calculator'!A:A,0),0),0)</f>
        <v>0</v>
      </c>
      <c r="K6091" s="455">
        <f t="shared" ca="1" si="216"/>
        <v>-69427613033741.102</v>
      </c>
      <c r="L6091" s="455">
        <f t="shared" ca="1" si="217"/>
        <v>-1.6732054741131606E+16</v>
      </c>
      <c r="M6091" s="471">
        <f t="shared" si="219"/>
        <v>0.05</v>
      </c>
      <c r="N6091" s="475">
        <f t="shared" si="220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18"/>
        <v>-1.6732054741131606E+16</v>
      </c>
      <c r="J6092" s="455">
        <f t="array" ref="J6092">IFERROR(INDEX('Retirement Calculator'!J:J,MATCH('Isaac 401k'!N6092,'Retirement Calculator'!A:A,0),0),0)</f>
        <v>0</v>
      </c>
      <c r="K6092" s="455">
        <f t="shared" ca="1" si="216"/>
        <v>-69716894754715.016</v>
      </c>
      <c r="L6092" s="455">
        <f t="shared" ca="1" si="217"/>
        <v>-1.6801771635886322E+16</v>
      </c>
      <c r="M6092" s="471">
        <f t="shared" si="219"/>
        <v>0.05</v>
      </c>
      <c r="N6092" s="475">
        <f t="shared" si="220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18"/>
        <v>-1.6801771635886322E+16</v>
      </c>
      <c r="J6093" s="455">
        <f t="array" ref="J6093">IFERROR(INDEX('Retirement Calculator'!J:J,MATCH('Isaac 401k'!N6093,'Retirement Calculator'!A:A,0),0),0)</f>
        <v>0</v>
      </c>
      <c r="K6093" s="455">
        <f t="shared" ca="1" si="216"/>
        <v>-70007381816193.008</v>
      </c>
      <c r="L6093" s="455">
        <f t="shared" ca="1" si="217"/>
        <v>-1.6871779017702516E+16</v>
      </c>
      <c r="M6093" s="471">
        <f t="shared" si="219"/>
        <v>0.05</v>
      </c>
      <c r="N6093" s="475">
        <f t="shared" si="220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18"/>
        <v>-1.6871779017702516E+16</v>
      </c>
      <c r="J6094" s="455">
        <f t="array" ref="J6094">IFERROR(INDEX('Retirement Calculator'!J:J,MATCH('Isaac 401k'!N6094,'Retirement Calculator'!A:A,0),0),0)</f>
        <v>0</v>
      </c>
      <c r="K6094" s="455">
        <f t="shared" ca="1" si="216"/>
        <v>-70299079240427.141</v>
      </c>
      <c r="L6094" s="455">
        <f t="shared" ca="1" si="217"/>
        <v>-1.6942078096942944E+16</v>
      </c>
      <c r="M6094" s="471">
        <f t="shared" si="219"/>
        <v>0.05</v>
      </c>
      <c r="N6094" s="475">
        <f t="shared" si="220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18"/>
        <v>-1.6942078096942944E+16</v>
      </c>
      <c r="J6095" s="455">
        <f t="array" ref="J6095">IFERROR(INDEX('Retirement Calculator'!J:J,MATCH('Isaac 401k'!N6095,'Retirement Calculator'!A:A,0),0),0)</f>
        <v>0</v>
      </c>
      <c r="K6095" s="455">
        <f t="shared" ca="1" si="216"/>
        <v>-70591992070595.594</v>
      </c>
      <c r="L6095" s="455">
        <f t="shared" ca="1" si="217"/>
        <v>-1.701267008901354E+16</v>
      </c>
      <c r="M6095" s="471">
        <f t="shared" si="219"/>
        <v>0.05</v>
      </c>
      <c r="N6095" s="475">
        <f t="shared" si="220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18"/>
        <v>-1.701267008901354E+16</v>
      </c>
      <c r="J6096" s="455">
        <f t="array" ref="J6096">IFERROR(INDEX('Retirement Calculator'!J:J,MATCH('Isaac 401k'!N6096,'Retirement Calculator'!A:A,0),0),0)</f>
        <v>0</v>
      </c>
      <c r="K6096" s="455">
        <f t="shared" ca="1" si="216"/>
        <v>-70886125370889.75</v>
      </c>
      <c r="L6096" s="455">
        <f t="shared" ca="1" si="217"/>
        <v>-1.708355621438443E+16</v>
      </c>
      <c r="M6096" s="471">
        <f t="shared" si="219"/>
        <v>0.05</v>
      </c>
      <c r="N6096" s="475">
        <f t="shared" si="220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18"/>
        <v>-1.708355621438443E+16</v>
      </c>
      <c r="J6097" s="455">
        <f t="array" ref="J6097">IFERROR(INDEX('Retirement Calculator'!J:J,MATCH('Isaac 401k'!N6097,'Retirement Calculator'!A:A,0),0),0)</f>
        <v>0</v>
      </c>
      <c r="K6097" s="455">
        <f t="shared" ca="1" si="216"/>
        <v>-71181484226601.797</v>
      </c>
      <c r="L6097" s="455">
        <f t="shared" ca="1" si="217"/>
        <v>-1.7154737698611032E+16</v>
      </c>
      <c r="M6097" s="471">
        <f t="shared" si="219"/>
        <v>0.05</v>
      </c>
      <c r="N6097" s="475">
        <f t="shared" si="220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18"/>
        <v>-1.7154737698611032E+16</v>
      </c>
      <c r="J6098" s="455">
        <f t="array" ref="J6098">IFERROR(INDEX('Retirement Calculator'!J:J,MATCH('Isaac 401k'!N6098,'Retirement Calculator'!A:A,0),0),0)</f>
        <v>0</v>
      </c>
      <c r="K6098" s="455">
        <f t="shared" ca="1" si="216"/>
        <v>-71478073744212.625</v>
      </c>
      <c r="L6098" s="455">
        <f t="shared" ca="1" si="217"/>
        <v>-1.7226215772355244E+16</v>
      </c>
      <c r="M6098" s="471">
        <f t="shared" si="219"/>
        <v>0.05</v>
      </c>
      <c r="N6098" s="475">
        <f t="shared" si="220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18"/>
        <v>-1.7226215772355244E+16</v>
      </c>
      <c r="J6099" s="455">
        <f t="array" ref="J6099">IFERROR(INDEX('Retirement Calculator'!J:J,MATCH('Isaac 401k'!N6099,'Retirement Calculator'!A:A,0),0),0)</f>
        <v>0</v>
      </c>
      <c r="K6099" s="455">
        <f t="shared" ca="1" si="216"/>
        <v>-71775899051480.172</v>
      </c>
      <c r="L6099" s="455">
        <f t="shared" ca="1" si="217"/>
        <v>-1.7297991671406724E+16</v>
      </c>
      <c r="M6099" s="471">
        <f t="shared" si="219"/>
        <v>0.05</v>
      </c>
      <c r="N6099" s="475">
        <f t="shared" si="220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18"/>
        <v>-1.7297991671406724E+16</v>
      </c>
      <c r="J6100" s="455">
        <f t="array" ref="J6100">IFERROR(INDEX('Retirement Calculator'!J:J,MATCH('Isaac 401k'!N6100,'Retirement Calculator'!A:A,0),0),0)</f>
        <v>0</v>
      </c>
      <c r="K6100" s="455">
        <f t="shared" ca="1" si="216"/>
        <v>-72074965297528.016</v>
      </c>
      <c r="L6100" s="455">
        <f t="shared" ca="1" si="217"/>
        <v>-1.7370066636704252E+16</v>
      </c>
      <c r="M6100" s="471">
        <f t="shared" si="219"/>
        <v>0.05</v>
      </c>
      <c r="N6100" s="475">
        <f t="shared" si="220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18"/>
        <v>-1.7370066636704252E+16</v>
      </c>
      <c r="J6101" s="455">
        <f t="array" ref="J6101">IFERROR(INDEX('Retirement Calculator'!J:J,MATCH('Isaac 401k'!N6101,'Retirement Calculator'!A:A,0),0),0)</f>
        <v>0</v>
      </c>
      <c r="K6101" s="455">
        <f t="shared" ca="1" si="216"/>
        <v>-72375277652934.375</v>
      </c>
      <c r="L6101" s="455">
        <f t="shared" ca="1" si="217"/>
        <v>-1.7442441914357186E+16</v>
      </c>
      <c r="M6101" s="471">
        <f t="shared" si="219"/>
        <v>0.05</v>
      </c>
      <c r="N6101" s="475">
        <f t="shared" si="220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18"/>
        <v>-1.7442441914357186E+16</v>
      </c>
      <c r="J6102" s="455">
        <f t="array" ref="J6102">IFERROR(INDEX('Retirement Calculator'!J:J,MATCH('Isaac 401k'!N6102,'Retirement Calculator'!A:A,0),0),0)</f>
        <v>0</v>
      </c>
      <c r="K6102" s="455">
        <f t="shared" ca="1" si="216"/>
        <v>-72676841309821.609</v>
      </c>
      <c r="L6102" s="455">
        <f t="shared" ca="1" si="217"/>
        <v>-1.7515118755667008E+16</v>
      </c>
      <c r="M6102" s="471">
        <f t="shared" si="219"/>
        <v>0.05</v>
      </c>
      <c r="N6102" s="475">
        <f t="shared" si="220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18"/>
        <v>-1.7515118755667008E+16</v>
      </c>
      <c r="J6103" s="455">
        <f t="array" ref="J6103">IFERROR(INDEX('Retirement Calculator'!J:J,MATCH('Isaac 401k'!N6103,'Retirement Calculator'!A:A,0),0),0)</f>
        <v>0</v>
      </c>
      <c r="K6103" s="455">
        <f t="shared" ca="1" si="216"/>
        <v>-72979661481945.859</v>
      </c>
      <c r="L6103" s="455">
        <f t="shared" ca="1" si="217"/>
        <v>-1.7588098417148954E+16</v>
      </c>
      <c r="M6103" s="471">
        <f t="shared" si="219"/>
        <v>0.05</v>
      </c>
      <c r="N6103" s="475">
        <f t="shared" si="220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18"/>
        <v>-1.7588098417148954E+16</v>
      </c>
      <c r="J6104" s="455">
        <f t="array" ref="J6104">IFERROR(INDEX('Retirement Calculator'!J:J,MATCH('Isaac 401k'!N6104,'Retirement Calculator'!A:A,0),0),0)</f>
        <v>0</v>
      </c>
      <c r="K6104" s="455">
        <f t="shared" ca="1" si="216"/>
        <v>-73283743404787.313</v>
      </c>
      <c r="L6104" s="455">
        <f t="shared" ca="1" si="217"/>
        <v>-1.7661382160553742E+16</v>
      </c>
      <c r="M6104" s="471">
        <f t="shared" si="219"/>
        <v>0.05</v>
      </c>
      <c r="N6104" s="475">
        <f t="shared" si="220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18"/>
        <v>-1.7661382160553742E+16</v>
      </c>
      <c r="J6105" s="455">
        <f t="array" ref="J6105">IFERROR(INDEX('Retirement Calculator'!J:J,MATCH('Isaac 401k'!N6105,'Retirement Calculator'!A:A,0),0),0)</f>
        <v>0</v>
      </c>
      <c r="K6105" s="455">
        <f t="shared" ca="1" si="216"/>
        <v>-73589092335640.594</v>
      </c>
      <c r="L6105" s="455">
        <f t="shared" ca="1" si="217"/>
        <v>-1.7734971252889382E+16</v>
      </c>
      <c r="M6105" s="471">
        <f t="shared" si="219"/>
        <v>0.05</v>
      </c>
      <c r="N6105" s="475">
        <f t="shared" si="220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18"/>
        <v>-1.7734971252889382E+16</v>
      </c>
      <c r="J6106" s="455">
        <f t="array" ref="J6106">IFERROR(INDEX('Retirement Calculator'!J:J,MATCH('Isaac 401k'!N6106,'Retirement Calculator'!A:A,0),0),0)</f>
        <v>0</v>
      </c>
      <c r="K6106" s="455">
        <f t="shared" ca="1" si="216"/>
        <v>-73895713553705.75</v>
      </c>
      <c r="L6106" s="455">
        <f t="shared" ca="1" si="217"/>
        <v>-1.7808866966443088E+16</v>
      </c>
      <c r="M6106" s="471">
        <f t="shared" si="219"/>
        <v>0.05</v>
      </c>
      <c r="N6106" s="475">
        <f t="shared" si="220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18"/>
        <v>-1.7808866966443088E+16</v>
      </c>
      <c r="J6107" s="455">
        <f t="array" ref="J6107">IFERROR(INDEX('Retirement Calculator'!J:J,MATCH('Isaac 401k'!N6107,'Retirement Calculator'!A:A,0),0),0)</f>
        <v>0</v>
      </c>
      <c r="K6107" s="455">
        <f t="shared" ca="1" si="216"/>
        <v>-74203612360179.531</v>
      </c>
      <c r="L6107" s="455">
        <f t="shared" ca="1" si="217"/>
        <v>-1.7883070578803268E+16</v>
      </c>
      <c r="M6107" s="471">
        <f t="shared" si="219"/>
        <v>0.05</v>
      </c>
      <c r="N6107" s="475">
        <f t="shared" si="220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18"/>
        <v>-1.7883070578803268E+16</v>
      </c>
      <c r="J6108" s="455">
        <f t="array" ref="J6108">IFERROR(INDEX('Retirement Calculator'!J:J,MATCH('Isaac 401k'!N6108,'Retirement Calculator'!A:A,0),0),0)</f>
        <v>0</v>
      </c>
      <c r="K6108" s="455">
        <f t="shared" ca="1" si="216"/>
        <v>-74512794078346.953</v>
      </c>
      <c r="L6108" s="455">
        <f t="shared" ca="1" si="217"/>
        <v>-1.7957583372881614E+16</v>
      </c>
      <c r="M6108" s="471">
        <f t="shared" si="219"/>
        <v>0.05</v>
      </c>
      <c r="N6108" s="475">
        <f t="shared" si="220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18"/>
        <v>-1.7957583372881614E+16</v>
      </c>
      <c r="J6109" s="455">
        <f t="array" ref="J6109">IFERROR(INDEX('Retirement Calculator'!J:J,MATCH('Isaac 401k'!N6109,'Retirement Calculator'!A:A,0),0),0)</f>
        <v>0</v>
      </c>
      <c r="K6109" s="455">
        <f t="shared" ca="1" si="216"/>
        <v>-74823264053673.391</v>
      </c>
      <c r="L6109" s="455">
        <f t="shared" ca="1" si="217"/>
        <v>-1.8032406636935288E+16</v>
      </c>
      <c r="M6109" s="471">
        <f t="shared" si="219"/>
        <v>0.05</v>
      </c>
      <c r="N6109" s="475">
        <f t="shared" si="220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18"/>
        <v>-1.8032406636935288E+16</v>
      </c>
      <c r="J6110" s="455">
        <f t="array" ref="J6110">IFERROR(INDEX('Retirement Calculator'!J:J,MATCH('Isaac 401k'!N6110,'Retirement Calculator'!A:A,0),0),0)</f>
        <v>0</v>
      </c>
      <c r="K6110" s="455">
        <f t="shared" ca="1" si="216"/>
        <v>-75135027653897.031</v>
      </c>
      <c r="L6110" s="455">
        <f t="shared" ca="1" si="217"/>
        <v>-1.8107541664589184E+16</v>
      </c>
      <c r="M6110" s="471">
        <f t="shared" si="219"/>
        <v>0.05</v>
      </c>
      <c r="N6110" s="475">
        <f t="shared" si="220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18"/>
        <v>-1.8107541664589184E+16</v>
      </c>
      <c r="J6111" s="455">
        <f t="array" ref="J6111">IFERROR(INDEX('Retirement Calculator'!J:J,MATCH('Isaac 401k'!N6111,'Retirement Calculator'!A:A,0),0),0)</f>
        <v>0</v>
      </c>
      <c r="K6111" s="455">
        <f t="shared" ca="1" si="216"/>
        <v>-75448090269121.594</v>
      </c>
      <c r="L6111" s="455">
        <f t="shared" ca="1" si="217"/>
        <v>-1.8182989754858304E+16</v>
      </c>
      <c r="M6111" s="471">
        <f t="shared" si="219"/>
        <v>0.05</v>
      </c>
      <c r="N6111" s="475">
        <f t="shared" si="220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18"/>
        <v>-1.8182989754858304E+16</v>
      </c>
      <c r="J6112" s="455">
        <f t="array" ref="J6112">IFERROR(INDEX('Retirement Calculator'!J:J,MATCH('Isaac 401k'!N6112,'Retirement Calculator'!A:A,0),0),0)</f>
        <v>0</v>
      </c>
      <c r="K6112" s="455">
        <f t="shared" ca="1" si="216"/>
        <v>-75762457311909.594</v>
      </c>
      <c r="L6112" s="455">
        <f t="shared" ca="1" si="217"/>
        <v>-1.8258752212170212E+16</v>
      </c>
      <c r="M6112" s="471">
        <f t="shared" si="219"/>
        <v>0.05</v>
      </c>
      <c r="N6112" s="475">
        <f t="shared" si="220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18"/>
        <v>-1.8258752212170212E+16</v>
      </c>
      <c r="J6113" s="455">
        <f t="array" ref="J6113">IFERROR(INDEX('Retirement Calculator'!J:J,MATCH('Isaac 401k'!N6113,'Retirement Calculator'!A:A,0),0),0)</f>
        <v>0</v>
      </c>
      <c r="K6113" s="455">
        <f t="shared" ca="1" si="216"/>
        <v>-76078134217375.875</v>
      </c>
      <c r="L6113" s="455">
        <f t="shared" ca="1" si="217"/>
        <v>-1.8334830346387588E+16</v>
      </c>
      <c r="M6113" s="471">
        <f t="shared" si="219"/>
        <v>0.05</v>
      </c>
      <c r="N6113" s="475">
        <f t="shared" si="220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18"/>
        <v>-1.8334830346387588E+16</v>
      </c>
      <c r="J6114" s="455">
        <f t="array" ref="J6114">IFERROR(INDEX('Retirement Calculator'!J:J,MATCH('Isaac 401k'!N6114,'Retirement Calculator'!A:A,0),0),0)</f>
        <v>0</v>
      </c>
      <c r="K6114" s="455">
        <f t="shared" ca="1" si="216"/>
        <v>-76395126443281.609</v>
      </c>
      <c r="L6114" s="455">
        <f t="shared" ca="1" si="217"/>
        <v>-1.8411225472830868E+16</v>
      </c>
      <c r="M6114" s="471">
        <f t="shared" si="219"/>
        <v>0.05</v>
      </c>
      <c r="N6114" s="475">
        <f t="shared" si="220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18"/>
        <v>-1.8411225472830868E+16</v>
      </c>
      <c r="J6115" s="455">
        <f t="array" ref="J6115">IFERROR(INDEX('Retirement Calculator'!J:J,MATCH('Isaac 401k'!N6115,'Retirement Calculator'!A:A,0),0),0)</f>
        <v>0</v>
      </c>
      <c r="K6115" s="455">
        <f t="shared" ca="1" si="216"/>
        <v>-76713439470128.609</v>
      </c>
      <c r="L6115" s="455">
        <f t="shared" ca="1" si="217"/>
        <v>-1.8487938912300996E+16</v>
      </c>
      <c r="M6115" s="471">
        <f t="shared" si="219"/>
        <v>0.05</v>
      </c>
      <c r="N6115" s="475">
        <f t="shared" si="220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18"/>
        <v>-1.8487938912300996E+16</v>
      </c>
      <c r="J6116" s="455">
        <f t="array" ref="J6116">IFERROR(INDEX('Retirement Calculator'!J:J,MATCH('Isaac 401k'!N6116,'Retirement Calculator'!A:A,0),0),0)</f>
        <v>0</v>
      </c>
      <c r="K6116" s="455">
        <f t="shared" ca="1" si="216"/>
        <v>-77033078801254.156</v>
      </c>
      <c r="L6116" s="455">
        <f t="shared" ca="1" si="217"/>
        <v>-1.8564971991102252E+16</v>
      </c>
      <c r="M6116" s="471">
        <f t="shared" si="219"/>
        <v>0.05</v>
      </c>
      <c r="N6116" s="475">
        <f t="shared" si="220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18"/>
        <v>-1.8564971991102252E+16</v>
      </c>
      <c r="J6117" s="455">
        <f t="array" ref="J6117">IFERROR(INDEX('Retirement Calculator'!J:J,MATCH('Isaac 401k'!N6117,'Retirement Calculator'!A:A,0),0),0)</f>
        <v>0</v>
      </c>
      <c r="K6117" s="455">
        <f t="shared" ca="1" si="216"/>
        <v>-77354049962926.047</v>
      </c>
      <c r="L6117" s="455">
        <f t="shared" ca="1" si="217"/>
        <v>-1.864232604106518E+16</v>
      </c>
      <c r="M6117" s="471">
        <f t="shared" si="219"/>
        <v>0.05</v>
      </c>
      <c r="N6117" s="475">
        <f t="shared" si="220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18"/>
        <v>-1.864232604106518E+16</v>
      </c>
      <c r="J6118" s="455">
        <f t="array" ref="J6118">IFERROR(INDEX('Retirement Calculator'!J:J,MATCH('Isaac 401k'!N6118,'Retirement Calculator'!A:A,0),0),0)</f>
        <v>0</v>
      </c>
      <c r="K6118" s="455">
        <f t="shared" ca="1" si="216"/>
        <v>-77676358504438.25</v>
      </c>
      <c r="L6118" s="455">
        <f t="shared" ca="1" si="217"/>
        <v>-1.872000239956962E+16</v>
      </c>
      <c r="M6118" s="471">
        <f t="shared" si="219"/>
        <v>0.05</v>
      </c>
      <c r="N6118" s="475">
        <f t="shared" si="220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18"/>
        <v>-1.872000239956962E+16</v>
      </c>
      <c r="J6119" s="455">
        <f t="array" ref="J6119">IFERROR(INDEX('Retirement Calculator'!J:J,MATCH('Isaac 401k'!N6119,'Retirement Calculator'!A:A,0),0),0)</f>
        <v>0</v>
      </c>
      <c r="K6119" s="455">
        <f t="shared" ca="1" si="216"/>
        <v>-78000009998206.75</v>
      </c>
      <c r="L6119" s="455">
        <f t="shared" ca="1" si="217"/>
        <v>-1.8798002409567828E+16</v>
      </c>
      <c r="M6119" s="471">
        <f t="shared" si="219"/>
        <v>0.05</v>
      </c>
      <c r="N6119" s="475">
        <f t="shared" si="220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18"/>
        <v>-1.8798002409567828E+16</v>
      </c>
      <c r="J6120" s="455">
        <f t="array" ref="J6120">IFERROR(INDEX('Retirement Calculator'!J:J,MATCH('Isaac 401k'!N6120,'Retirement Calculator'!A:A,0),0),0)</f>
        <v>0</v>
      </c>
      <c r="K6120" s="455">
        <f t="shared" ca="1" si="216"/>
        <v>-78325010039865.953</v>
      </c>
      <c r="L6120" s="455">
        <f t="shared" ca="1" si="217"/>
        <v>-1.8876327419607692E+16</v>
      </c>
      <c r="M6120" s="471">
        <f t="shared" si="219"/>
        <v>0.05</v>
      </c>
      <c r="N6120" s="475">
        <f t="shared" si="220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18"/>
        <v>-1.8876327419607692E+16</v>
      </c>
      <c r="J6121" s="455">
        <f t="array" ref="J6121">IFERROR(INDEX('Retirement Calculator'!J:J,MATCH('Isaac 401k'!N6121,'Retirement Calculator'!A:A,0),0),0)</f>
        <v>0</v>
      </c>
      <c r="K6121" s="455">
        <f t="shared" ca="1" si="216"/>
        <v>-78651364248365.375</v>
      </c>
      <c r="L6121" s="455">
        <f t="shared" ca="1" si="217"/>
        <v>-1.8954978783856056E+16</v>
      </c>
      <c r="M6121" s="471">
        <f t="shared" si="219"/>
        <v>0.05</v>
      </c>
      <c r="N6121" s="475">
        <f t="shared" si="220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18"/>
        <v>-1.8954978783856056E+16</v>
      </c>
      <c r="J6122" s="455">
        <f t="array" ref="J6122">IFERROR(INDEX('Retirement Calculator'!J:J,MATCH('Isaac 401k'!N6122,'Retirement Calculator'!A:A,0),0),0)</f>
        <v>0</v>
      </c>
      <c r="K6122" s="455">
        <f t="shared" ca="1" si="216"/>
        <v>-78979078266066.906</v>
      </c>
      <c r="L6122" s="455">
        <f t="shared" ca="1" si="217"/>
        <v>-1.9033957862122124E+16</v>
      </c>
      <c r="M6122" s="471">
        <f t="shared" si="219"/>
        <v>0.05</v>
      </c>
      <c r="N6122" s="475">
        <f t="shared" si="220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18"/>
        <v>-1.9033957862122124E+16</v>
      </c>
      <c r="J6123" s="455">
        <f t="array" ref="J6123">IFERROR(INDEX('Retirement Calculator'!J:J,MATCH('Isaac 401k'!N6123,'Retirement Calculator'!A:A,0),0),0)</f>
        <v>0</v>
      </c>
      <c r="K6123" s="455">
        <f t="shared" ca="1" si="216"/>
        <v>-79308157758842.188</v>
      </c>
      <c r="L6123" s="455">
        <f t="shared" ca="1" si="217"/>
        <v>-1.9113266019880968E+16</v>
      </c>
      <c r="M6123" s="471">
        <f t="shared" si="219"/>
        <v>0.05</v>
      </c>
      <c r="N6123" s="475">
        <f t="shared" si="220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18"/>
        <v>-1.9113266019880968E+16</v>
      </c>
      <c r="J6124" s="455">
        <f t="array" ref="J6124">IFERROR(INDEX('Retirement Calculator'!J:J,MATCH('Isaac 401k'!N6124,'Retirement Calculator'!A:A,0),0),0)</f>
        <v>0</v>
      </c>
      <c r="K6124" s="455">
        <f t="shared" ca="1" si="216"/>
        <v>-79638608416170.703</v>
      </c>
      <c r="L6124" s="455">
        <f t="shared" ca="1" si="217"/>
        <v>-1.919290462829714E+16</v>
      </c>
      <c r="M6124" s="471">
        <f t="shared" si="219"/>
        <v>0.05</v>
      </c>
      <c r="N6124" s="475">
        <f t="shared" si="220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18"/>
        <v>-1.919290462829714E+16</v>
      </c>
      <c r="J6125" s="455">
        <f t="array" ref="J6125">IFERROR(INDEX('Retirement Calculator'!J:J,MATCH('Isaac 401k'!N6125,'Retirement Calculator'!A:A,0),0),0)</f>
        <v>0</v>
      </c>
      <c r="K6125" s="455">
        <f t="shared" ca="1" si="216"/>
        <v>-79970435951238.078</v>
      </c>
      <c r="L6125" s="455">
        <f t="shared" ca="1" si="217"/>
        <v>-1.927287506424838E+16</v>
      </c>
      <c r="M6125" s="471">
        <f t="shared" si="219"/>
        <v>0.05</v>
      </c>
      <c r="N6125" s="475">
        <f t="shared" si="220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18"/>
        <v>-1.927287506424838E+16</v>
      </c>
      <c r="J6126" s="455">
        <f t="array" ref="J6126">IFERROR(INDEX('Retirement Calculator'!J:J,MATCH('Isaac 401k'!N6126,'Retirement Calculator'!A:A,0),0),0)</f>
        <v>0</v>
      </c>
      <c r="K6126" s="455">
        <f t="shared" ca="1" si="216"/>
        <v>-80303646101034.922</v>
      </c>
      <c r="L6126" s="455">
        <f t="shared" ca="1" si="217"/>
        <v>-1.9353178710349416E+16</v>
      </c>
      <c r="M6126" s="471">
        <f t="shared" si="219"/>
        <v>0.05</v>
      </c>
      <c r="N6126" s="475">
        <f t="shared" si="220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18"/>
        <v>-1.9353178710349416E+16</v>
      </c>
      <c r="J6127" s="455">
        <f t="array" ref="J6127">IFERROR(INDEX('Retirement Calculator'!J:J,MATCH('Isaac 401k'!N6127,'Retirement Calculator'!A:A,0),0),0)</f>
        <v>0</v>
      </c>
      <c r="K6127" s="455">
        <f t="shared" ca="1" si="216"/>
        <v>-80638244626455.906</v>
      </c>
      <c r="L6127" s="455">
        <f t="shared" ca="1" si="217"/>
        <v>-1.9433816954975872E+16</v>
      </c>
      <c r="M6127" s="471">
        <f t="shared" si="219"/>
        <v>0.05</v>
      </c>
      <c r="N6127" s="475">
        <f t="shared" si="220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18"/>
        <v>-1.9433816954975872E+16</v>
      </c>
      <c r="J6128" s="455">
        <f t="array" ref="J6128">IFERROR(INDEX('Retirement Calculator'!J:J,MATCH('Isaac 401k'!N6128,'Retirement Calculator'!A:A,0),0),0)</f>
        <v>0</v>
      </c>
      <c r="K6128" s="455">
        <f t="shared" ref="K6128:K6250" ca="1" si="221">IPMT(M6128/12,1,12,-I6128+J6128,,0)</f>
        <v>-80974237312399.469</v>
      </c>
      <c r="L6128" s="455">
        <f t="shared" ref="L6128:L6250" ca="1" si="222">I6128-J6128+K6128</f>
        <v>-1.9514791192288272E+16</v>
      </c>
      <c r="M6128" s="471">
        <f t="shared" si="219"/>
        <v>0.05</v>
      </c>
      <c r="N6128" s="475">
        <f t="shared" si="220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23">L6128</f>
        <v>-1.9514791192288272E+16</v>
      </c>
      <c r="J6129" s="455">
        <f t="array" ref="J6129">IFERROR(INDEX('Retirement Calculator'!J:J,MATCH('Isaac 401k'!N6129,'Retirement Calculator'!A:A,0),0),0)</f>
        <v>0</v>
      </c>
      <c r="K6129" s="455">
        <f t="shared" ca="1" si="221"/>
        <v>-81311629967867.797</v>
      </c>
      <c r="L6129" s="455">
        <f t="shared" ca="1" si="222"/>
        <v>-1.959610282225614E+16</v>
      </c>
      <c r="M6129" s="471">
        <f t="shared" ref="M6129:M6250" si="224">M6128</f>
        <v>0.05</v>
      </c>
      <c r="N6129" s="475">
        <f t="shared" ref="N6129:N6250" si="225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23"/>
        <v>-1.959610282225614E+16</v>
      </c>
      <c r="J6130" s="455">
        <f t="array" ref="J6130">IFERROR(INDEX('Retirement Calculator'!J:J,MATCH('Isaac 401k'!N6130,'Retirement Calculator'!A:A,0),0),0)</f>
        <v>0</v>
      </c>
      <c r="K6130" s="455">
        <f t="shared" ca="1" si="221"/>
        <v>-81650428426067.25</v>
      </c>
      <c r="L6130" s="455">
        <f t="shared" ca="1" si="222"/>
        <v>-1.9677753250682208E+16</v>
      </c>
      <c r="M6130" s="471">
        <f t="shared" si="224"/>
        <v>0.05</v>
      </c>
      <c r="N6130" s="475">
        <f t="shared" si="225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23"/>
        <v>-1.9677753250682208E+16</v>
      </c>
      <c r="J6131" s="455">
        <f t="array" ref="J6131">IFERROR(INDEX('Retirement Calculator'!J:J,MATCH('Isaac 401k'!N6131,'Retirement Calculator'!A:A,0),0),0)</f>
        <v>0</v>
      </c>
      <c r="K6131" s="455">
        <f t="shared" ca="1" si="221"/>
        <v>-81990638544509.203</v>
      </c>
      <c r="L6131" s="455">
        <f t="shared" ca="1" si="222"/>
        <v>-1.9759743889226716E+16</v>
      </c>
      <c r="M6131" s="471">
        <f t="shared" si="224"/>
        <v>0.05</v>
      </c>
      <c r="N6131" s="475">
        <f t="shared" si="225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23"/>
        <v>-1.9759743889226716E+16</v>
      </c>
      <c r="J6132" s="455">
        <f t="array" ref="J6132">IFERROR(INDEX('Retirement Calculator'!J:J,MATCH('Isaac 401k'!N6132,'Retirement Calculator'!A:A,0),0),0)</f>
        <v>0</v>
      </c>
      <c r="K6132" s="455">
        <f t="shared" ca="1" si="221"/>
        <v>-82332266205111.313</v>
      </c>
      <c r="L6132" s="455">
        <f t="shared" ca="1" si="222"/>
        <v>-1.9842076155431828E+16</v>
      </c>
      <c r="M6132" s="471">
        <f t="shared" si="224"/>
        <v>0.05</v>
      </c>
      <c r="N6132" s="475">
        <f t="shared" si="225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23"/>
        <v>-1.9842076155431828E+16</v>
      </c>
      <c r="J6133" s="455">
        <f t="array" ref="J6133">IFERROR(INDEX('Retirement Calculator'!J:J,MATCH('Isaac 401k'!N6133,'Retirement Calculator'!A:A,0),0),0)</f>
        <v>0</v>
      </c>
      <c r="K6133" s="455">
        <f t="shared" ca="1" si="221"/>
        <v>-82675317314299.281</v>
      </c>
      <c r="L6133" s="455">
        <f t="shared" ca="1" si="222"/>
        <v>-1.9924751472746128E+16</v>
      </c>
      <c r="M6133" s="471">
        <f t="shared" si="224"/>
        <v>0.05</v>
      </c>
      <c r="N6133" s="475">
        <f t="shared" si="225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23"/>
        <v>-1.9924751472746128E+16</v>
      </c>
      <c r="J6134" s="455">
        <f t="array" ref="J6134">IFERROR(INDEX('Retirement Calculator'!J:J,MATCH('Isaac 401k'!N6134,'Retirement Calculator'!A:A,0),0),0)</f>
        <v>0</v>
      </c>
      <c r="K6134" s="455">
        <f t="shared" ca="1" si="221"/>
        <v>-83019797803108.859</v>
      </c>
      <c r="L6134" s="455">
        <f t="shared" ca="1" si="222"/>
        <v>-2.0007771270549236E+16</v>
      </c>
      <c r="M6134" s="471">
        <f t="shared" si="224"/>
        <v>0.05</v>
      </c>
      <c r="N6134" s="475">
        <f t="shared" si="225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23"/>
        <v>-2.0007771270549236E+16</v>
      </c>
      <c r="J6135" s="455">
        <f t="array" ref="J6135">IFERROR(INDEX('Retirement Calculator'!J:J,MATCH('Isaac 401k'!N6135,'Retirement Calculator'!A:A,0),0),0)</f>
        <v>0</v>
      </c>
      <c r="K6135" s="455">
        <f t="shared" ca="1" si="221"/>
        <v>-83365713627288.484</v>
      </c>
      <c r="L6135" s="455">
        <f t="shared" ca="1" si="222"/>
        <v>-2.0091136984176524E+16</v>
      </c>
      <c r="M6135" s="471">
        <f t="shared" si="224"/>
        <v>0.05</v>
      </c>
      <c r="N6135" s="475">
        <f t="shared" si="225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23"/>
        <v>-2.0091136984176524E+16</v>
      </c>
      <c r="J6136" s="455">
        <f t="array" ref="J6136">IFERROR(INDEX('Retirement Calculator'!J:J,MATCH('Isaac 401k'!N6136,'Retirement Calculator'!A:A,0),0),0)</f>
        <v>0</v>
      </c>
      <c r="K6136" s="455">
        <f t="shared" ca="1" si="221"/>
        <v>-83713070767402.188</v>
      </c>
      <c r="L6136" s="455">
        <f t="shared" ca="1" si="222"/>
        <v>-2.0174850054943928E+16</v>
      </c>
      <c r="M6136" s="471">
        <f t="shared" si="224"/>
        <v>0.05</v>
      </c>
      <c r="N6136" s="475">
        <f t="shared" si="225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23"/>
        <v>-2.0174850054943928E+16</v>
      </c>
      <c r="J6137" s="455">
        <f t="array" ref="J6137">IFERROR(INDEX('Retirement Calculator'!J:J,MATCH('Isaac 401k'!N6137,'Retirement Calculator'!A:A,0),0),0)</f>
        <v>0</v>
      </c>
      <c r="K6137" s="455">
        <f t="shared" ca="1" si="221"/>
        <v>-84061875228933.031</v>
      </c>
      <c r="L6137" s="455">
        <f t="shared" ca="1" si="222"/>
        <v>-2.025891193017286E+16</v>
      </c>
      <c r="M6137" s="471">
        <f t="shared" si="224"/>
        <v>0.05</v>
      </c>
      <c r="N6137" s="475">
        <f t="shared" si="225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23"/>
        <v>-2.025891193017286E+16</v>
      </c>
      <c r="J6138" s="455">
        <f t="array" ref="J6138">IFERROR(INDEX('Retirement Calculator'!J:J,MATCH('Isaac 401k'!N6138,'Retirement Calculator'!A:A,0),0),0)</f>
        <v>0</v>
      </c>
      <c r="K6138" s="455">
        <f t="shared" ca="1" si="221"/>
        <v>-84412133042386.922</v>
      </c>
      <c r="L6138" s="455">
        <f t="shared" ca="1" si="222"/>
        <v>-2.0343324063215248E+16</v>
      </c>
      <c r="M6138" s="471">
        <f t="shared" si="224"/>
        <v>0.05</v>
      </c>
      <c r="N6138" s="475">
        <f t="shared" si="225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23"/>
        <v>-2.0343324063215248E+16</v>
      </c>
      <c r="J6139" s="455">
        <f t="array" ref="J6139">IFERROR(INDEX('Retirement Calculator'!J:J,MATCH('Isaac 401k'!N6139,'Retirement Calculator'!A:A,0),0),0)</f>
        <v>0</v>
      </c>
      <c r="K6139" s="455">
        <f t="shared" ca="1" si="221"/>
        <v>-84763850263396.859</v>
      </c>
      <c r="L6139" s="455">
        <f t="shared" ca="1" si="222"/>
        <v>-2.0428087913478644E+16</v>
      </c>
      <c r="M6139" s="471">
        <f t="shared" si="224"/>
        <v>0.05</v>
      </c>
      <c r="N6139" s="475">
        <f t="shared" si="225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23"/>
        <v>-2.0428087913478644E+16</v>
      </c>
      <c r="J6140" s="455">
        <f t="array" ref="J6140">IFERROR(INDEX('Retirement Calculator'!J:J,MATCH('Isaac 401k'!N6140,'Retirement Calculator'!A:A,0),0),0)</f>
        <v>0</v>
      </c>
      <c r="K6140" s="455">
        <f t="shared" ca="1" si="221"/>
        <v>-85117032972827.688</v>
      </c>
      <c r="L6140" s="455">
        <f t="shared" ca="1" si="222"/>
        <v>-2.0513204946451472E+16</v>
      </c>
      <c r="M6140" s="471">
        <f t="shared" si="224"/>
        <v>0.05</v>
      </c>
      <c r="N6140" s="475">
        <f t="shared" si="225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23"/>
        <v>-2.0513204946451472E+16</v>
      </c>
      <c r="J6141" s="455">
        <f t="array" ref="J6141">IFERROR(INDEX('Retirement Calculator'!J:J,MATCH('Isaac 401k'!N6141,'Retirement Calculator'!A:A,0),0),0)</f>
        <v>0</v>
      </c>
      <c r="K6141" s="455">
        <f t="shared" ca="1" si="221"/>
        <v>-85471687276881.125</v>
      </c>
      <c r="L6141" s="455">
        <f t="shared" ca="1" si="222"/>
        <v>-2.0598676633728352E+16</v>
      </c>
      <c r="M6141" s="471">
        <f t="shared" si="224"/>
        <v>0.05</v>
      </c>
      <c r="N6141" s="475">
        <f t="shared" si="225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23"/>
        <v>-2.0598676633728352E+16</v>
      </c>
      <c r="J6142" s="455">
        <f t="array" ref="J6142">IFERROR(INDEX('Retirement Calculator'!J:J,MATCH('Isaac 401k'!N6142,'Retirement Calculator'!A:A,0),0),0)</f>
        <v>0</v>
      </c>
      <c r="K6142" s="455">
        <f t="shared" ca="1" si="221"/>
        <v>-85827819307201.469</v>
      </c>
      <c r="L6142" s="455">
        <f t="shared" ca="1" si="222"/>
        <v>-2.0684504453035552E+16</v>
      </c>
      <c r="M6142" s="471">
        <f t="shared" si="224"/>
        <v>0.05</v>
      </c>
      <c r="N6142" s="475">
        <f t="shared" si="225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23"/>
        <v>-2.0684504453035552E+16</v>
      </c>
      <c r="J6143" s="455">
        <f t="array" ref="J6143">IFERROR(INDEX('Retirement Calculator'!J:J,MATCH('Isaac 401k'!N6143,'Retirement Calculator'!A:A,0),0),0)</f>
        <v>0</v>
      </c>
      <c r="K6143" s="455">
        <f t="shared" ca="1" si="221"/>
        <v>-86185435220981.469</v>
      </c>
      <c r="L6143" s="455">
        <f t="shared" ca="1" si="222"/>
        <v>-2.0770689888256532E+16</v>
      </c>
      <c r="M6143" s="471">
        <f t="shared" si="224"/>
        <v>0.05</v>
      </c>
      <c r="N6143" s="475">
        <f t="shared" si="225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23"/>
        <v>-2.0770689888256532E+16</v>
      </c>
      <c r="J6144" s="455">
        <f t="array" ref="J6144">IFERROR(INDEX('Retirement Calculator'!J:J,MATCH('Isaac 401k'!N6144,'Retirement Calculator'!A:A,0),0),0)</f>
        <v>0</v>
      </c>
      <c r="K6144" s="455">
        <f t="shared" ca="1" si="221"/>
        <v>-86544541201068.875</v>
      </c>
      <c r="L6144" s="455">
        <f t="shared" ca="1" si="222"/>
        <v>-2.08572344294576E+16</v>
      </c>
      <c r="M6144" s="471">
        <f t="shared" si="224"/>
        <v>0.05</v>
      </c>
      <c r="N6144" s="475">
        <f t="shared" si="225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23"/>
        <v>-2.08572344294576E+16</v>
      </c>
      <c r="J6145" s="455">
        <f t="array" ref="J6145">IFERROR(INDEX('Retirement Calculator'!J:J,MATCH('Isaac 401k'!N6145,'Retirement Calculator'!A:A,0),0),0)</f>
        <v>0</v>
      </c>
      <c r="K6145" s="455">
        <f t="shared" ca="1" si="221"/>
        <v>-86905143456073.328</v>
      </c>
      <c r="L6145" s="455">
        <f t="shared" ca="1" si="222"/>
        <v>-2.0944139572913672E+16</v>
      </c>
      <c r="M6145" s="471">
        <f t="shared" si="224"/>
        <v>0.05</v>
      </c>
      <c r="N6145" s="475">
        <f t="shared" si="225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23"/>
        <v>-2.0944139572913672E+16</v>
      </c>
      <c r="J6146" s="455">
        <f t="array" ref="J6146">IFERROR(INDEX('Retirement Calculator'!J:J,MATCH('Isaac 401k'!N6146,'Retirement Calculator'!A:A,0),0),0)</f>
        <v>0</v>
      </c>
      <c r="K6146" s="455">
        <f t="shared" ca="1" si="221"/>
        <v>-87267248220473.625</v>
      </c>
      <c r="L6146" s="455">
        <f t="shared" ca="1" si="222"/>
        <v>-2.1031406821134144E+16</v>
      </c>
      <c r="M6146" s="471">
        <f t="shared" si="224"/>
        <v>0.05</v>
      </c>
      <c r="N6146" s="475">
        <f t="shared" si="225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23"/>
        <v>-2.1031406821134144E+16</v>
      </c>
      <c r="J6147" s="455">
        <f t="array" ref="J6147">IFERROR(INDEX('Retirement Calculator'!J:J,MATCH('Isaac 401k'!N6147,'Retirement Calculator'!A:A,0),0),0)</f>
        <v>0</v>
      </c>
      <c r="K6147" s="455">
        <f t="shared" ca="1" si="221"/>
        <v>-87630861754725.594</v>
      </c>
      <c r="L6147" s="455">
        <f t="shared" ca="1" si="222"/>
        <v>-2.1119037682888868E+16</v>
      </c>
      <c r="M6147" s="471">
        <f t="shared" si="224"/>
        <v>0.05</v>
      </c>
      <c r="N6147" s="475">
        <f t="shared" si="225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23"/>
        <v>-2.1119037682888868E+16</v>
      </c>
      <c r="J6148" s="455">
        <f t="array" ref="J6148">IFERROR(INDEX('Retirement Calculator'!J:J,MATCH('Isaac 401k'!N6148,'Retirement Calculator'!A:A,0),0),0)</f>
        <v>0</v>
      </c>
      <c r="K6148" s="455">
        <f t="shared" ca="1" si="221"/>
        <v>-87995990345370.281</v>
      </c>
      <c r="L6148" s="455">
        <f t="shared" ca="1" si="222"/>
        <v>-2.120703367323424E+16</v>
      </c>
      <c r="M6148" s="471">
        <f t="shared" si="224"/>
        <v>0.05</v>
      </c>
      <c r="N6148" s="475">
        <f t="shared" si="225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23"/>
        <v>-2.120703367323424E+16</v>
      </c>
      <c r="J6149" s="455">
        <f t="array" ref="J6149">IFERROR(INDEX('Retirement Calculator'!J:J,MATCH('Isaac 401k'!N6149,'Retirement Calculator'!A:A,0),0),0)</f>
        <v>0</v>
      </c>
      <c r="K6149" s="455">
        <f t="shared" ca="1" si="221"/>
        <v>-88362640305142.672</v>
      </c>
      <c r="L6149" s="455">
        <f t="shared" ca="1" si="222"/>
        <v>-2.1295396313539384E+16</v>
      </c>
      <c r="M6149" s="471">
        <f t="shared" si="224"/>
        <v>0.05</v>
      </c>
      <c r="N6149" s="475">
        <f t="shared" si="225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23"/>
        <v>-2.1295396313539384E+16</v>
      </c>
      <c r="J6150" s="455">
        <f t="array" ref="J6150">IFERROR(INDEX('Retirement Calculator'!J:J,MATCH('Isaac 401k'!N6150,'Retirement Calculator'!A:A,0),0),0)</f>
        <v>0</v>
      </c>
      <c r="K6150" s="455">
        <f t="shared" ca="1" si="221"/>
        <v>-88730817973080.766</v>
      </c>
      <c r="L6150" s="455">
        <f t="shared" ca="1" si="222"/>
        <v>-2.1384127131512464E+16</v>
      </c>
      <c r="M6150" s="471">
        <f t="shared" si="224"/>
        <v>0.05</v>
      </c>
      <c r="N6150" s="475">
        <f t="shared" si="225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23"/>
        <v>-2.1384127131512464E+16</v>
      </c>
      <c r="J6151" s="455">
        <f t="array" ref="J6151">IFERROR(INDEX('Retirement Calculator'!J:J,MATCH('Isaac 401k'!N6151,'Retirement Calculator'!A:A,0),0),0)</f>
        <v>0</v>
      </c>
      <c r="K6151" s="455">
        <f t="shared" ca="1" si="221"/>
        <v>-89100529714635.266</v>
      </c>
      <c r="L6151" s="455">
        <f t="shared" ca="1" si="222"/>
        <v>-2.14732276612271E+16</v>
      </c>
      <c r="M6151" s="471">
        <f t="shared" si="224"/>
        <v>0.05</v>
      </c>
      <c r="N6151" s="475">
        <f t="shared" si="225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23"/>
        <v>-2.14732276612271E+16</v>
      </c>
      <c r="J6152" s="455">
        <f t="array" ref="J6152">IFERROR(INDEX('Retirement Calculator'!J:J,MATCH('Isaac 401k'!N6152,'Retirement Calculator'!A:A,0),0),0)</f>
        <v>0</v>
      </c>
      <c r="K6152" s="455">
        <f t="shared" ca="1" si="221"/>
        <v>-89471781921779.578</v>
      </c>
      <c r="L6152" s="455">
        <f t="shared" ca="1" si="222"/>
        <v>-2.156269944314888E+16</v>
      </c>
      <c r="M6152" s="471">
        <f t="shared" si="224"/>
        <v>0.05</v>
      </c>
      <c r="N6152" s="475">
        <f t="shared" si="225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23"/>
        <v>-2.156269944314888E+16</v>
      </c>
      <c r="J6153" s="455">
        <f t="array" ref="J6153">IFERROR(INDEX('Retirement Calculator'!J:J,MATCH('Isaac 401k'!N6153,'Retirement Calculator'!A:A,0),0),0)</f>
        <v>0</v>
      </c>
      <c r="K6153" s="455">
        <f t="shared" ca="1" si="221"/>
        <v>-89844581013120.328</v>
      </c>
      <c r="L6153" s="455">
        <f t="shared" ca="1" si="222"/>
        <v>-2.1652544024162E+16</v>
      </c>
      <c r="M6153" s="471">
        <f t="shared" si="224"/>
        <v>0.05</v>
      </c>
      <c r="N6153" s="475">
        <f t="shared" si="225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23"/>
        <v>-2.1652544024162E+16</v>
      </c>
      <c r="J6154" s="455">
        <f t="array" ref="J6154">IFERROR(INDEX('Retirement Calculator'!J:J,MATCH('Isaac 401k'!N6154,'Retirement Calculator'!A:A,0),0),0)</f>
        <v>0</v>
      </c>
      <c r="K6154" s="455">
        <f t="shared" ca="1" si="221"/>
        <v>-90218933434008.328</v>
      </c>
      <c r="L6154" s="455">
        <f t="shared" ca="1" si="222"/>
        <v>-2.1742762957596008E+16</v>
      </c>
      <c r="M6154" s="471">
        <f t="shared" si="224"/>
        <v>0.05</v>
      </c>
      <c r="N6154" s="475">
        <f t="shared" si="225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23"/>
        <v>-2.1742762957596008E+16</v>
      </c>
      <c r="J6155" s="455">
        <f t="array" ref="J6155">IFERROR(INDEX('Retirement Calculator'!J:J,MATCH('Isaac 401k'!N6155,'Retirement Calculator'!A:A,0),0),0)</f>
        <v>0</v>
      </c>
      <c r="K6155" s="455">
        <f t="shared" ca="1" si="221"/>
        <v>-90594845656650.031</v>
      </c>
      <c r="L6155" s="455">
        <f t="shared" ca="1" si="222"/>
        <v>-2.183335780325266E+16</v>
      </c>
      <c r="M6155" s="471">
        <f t="shared" si="224"/>
        <v>0.05</v>
      </c>
      <c r="N6155" s="475">
        <f t="shared" si="225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23"/>
        <v>-2.183335780325266E+16</v>
      </c>
      <c r="J6156" s="455">
        <f t="array" ref="J6156">IFERROR(INDEX('Retirement Calculator'!J:J,MATCH('Isaac 401k'!N6156,'Retirement Calculator'!A:A,0),0),0)</f>
        <v>0</v>
      </c>
      <c r="K6156" s="455">
        <f t="shared" ca="1" si="221"/>
        <v>-90972324180219.422</v>
      </c>
      <c r="L6156" s="455">
        <f t="shared" ca="1" si="222"/>
        <v>-2.192433012743288E+16</v>
      </c>
      <c r="M6156" s="471">
        <f t="shared" si="224"/>
        <v>0.05</v>
      </c>
      <c r="N6156" s="475">
        <f t="shared" si="225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23"/>
        <v>-2.192433012743288E+16</v>
      </c>
      <c r="J6157" s="455">
        <f t="array" ref="J6157">IFERROR(INDEX('Retirement Calculator'!J:J,MATCH('Isaac 401k'!N6157,'Retirement Calculator'!A:A,0),0),0)</f>
        <v>0</v>
      </c>
      <c r="K6157" s="455">
        <f t="shared" ca="1" si="221"/>
        <v>-91351375530970.328</v>
      </c>
      <c r="L6157" s="455">
        <f t="shared" ca="1" si="222"/>
        <v>-2.2015681502963852E+16</v>
      </c>
      <c r="M6157" s="471">
        <f t="shared" si="224"/>
        <v>0.05</v>
      </c>
      <c r="N6157" s="475">
        <f t="shared" si="225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23"/>
        <v>-2.2015681502963852E+16</v>
      </c>
      <c r="J6158" s="455">
        <f t="array" ref="J6158">IFERROR(INDEX('Retirement Calculator'!J:J,MATCH('Isaac 401k'!N6158,'Retirement Calculator'!A:A,0),0),0)</f>
        <v>0</v>
      </c>
      <c r="K6158" s="455">
        <f t="shared" ca="1" si="221"/>
        <v>-91732006262349.375</v>
      </c>
      <c r="L6158" s="455">
        <f t="shared" ca="1" si="222"/>
        <v>-2.21074135092262E+16</v>
      </c>
      <c r="M6158" s="471">
        <f t="shared" si="224"/>
        <v>0.05</v>
      </c>
      <c r="N6158" s="475">
        <f t="shared" si="225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23"/>
        <v>-2.21074135092262E+16</v>
      </c>
      <c r="J6159" s="455">
        <f t="array" ref="J6159">IFERROR(INDEX('Retirement Calculator'!J:J,MATCH('Isaac 401k'!N6159,'Retirement Calculator'!A:A,0),0),0)</f>
        <v>0</v>
      </c>
      <c r="K6159" s="455">
        <f t="shared" ca="1" si="221"/>
        <v>-92114222955109.172</v>
      </c>
      <c r="L6159" s="455">
        <f t="shared" ca="1" si="222"/>
        <v>-2.2199527732181308E+16</v>
      </c>
      <c r="M6159" s="471">
        <f t="shared" si="224"/>
        <v>0.05</v>
      </c>
      <c r="N6159" s="475">
        <f t="shared" si="225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23"/>
        <v>-2.2199527732181308E+16</v>
      </c>
      <c r="J6160" s="455">
        <f t="array" ref="J6160">IFERROR(INDEX('Retirement Calculator'!J:J,MATCH('Isaac 401k'!N6160,'Retirement Calculator'!A:A,0),0),0)</f>
        <v>0</v>
      </c>
      <c r="K6160" s="455">
        <f t="shared" ca="1" si="221"/>
        <v>-92498032217422.109</v>
      </c>
      <c r="L6160" s="455">
        <f t="shared" ca="1" si="222"/>
        <v>-2.2292025764398732E+16</v>
      </c>
      <c r="M6160" s="471">
        <f t="shared" si="224"/>
        <v>0.05</v>
      </c>
      <c r="N6160" s="475">
        <f t="shared" si="225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23"/>
        <v>-2.2292025764398732E+16</v>
      </c>
      <c r="J6161" s="455">
        <f t="array" ref="J6161">IFERROR(INDEX('Retirement Calculator'!J:J,MATCH('Isaac 401k'!N6161,'Retirement Calculator'!A:A,0),0),0)</f>
        <v>0</v>
      </c>
      <c r="K6161" s="455">
        <f t="shared" ca="1" si="221"/>
        <v>-92883440684994.719</v>
      </c>
      <c r="L6161" s="455">
        <f t="shared" ca="1" si="222"/>
        <v>-2.2384909205083728E+16</v>
      </c>
      <c r="M6161" s="471">
        <f t="shared" si="224"/>
        <v>0.05</v>
      </c>
      <c r="N6161" s="475">
        <f t="shared" si="225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23"/>
        <v>-2.2384909205083728E+16</v>
      </c>
      <c r="J6162" s="455">
        <f t="array" ref="J6162">IFERROR(INDEX('Retirement Calculator'!J:J,MATCH('Isaac 401k'!N6162,'Retirement Calculator'!A:A,0),0),0)</f>
        <v>0</v>
      </c>
      <c r="K6162" s="455">
        <f t="shared" ca="1" si="221"/>
        <v>-93270455021182.203</v>
      </c>
      <c r="L6162" s="455">
        <f t="shared" ca="1" si="222"/>
        <v>-2.2478179660104912E+16</v>
      </c>
      <c r="M6162" s="471">
        <f t="shared" si="224"/>
        <v>0.05</v>
      </c>
      <c r="N6162" s="475">
        <f t="shared" si="225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23"/>
        <v>-2.2478179660104912E+16</v>
      </c>
      <c r="J6163" s="455">
        <f t="array" ref="J6163">IFERROR(INDEX('Retirement Calculator'!J:J,MATCH('Isaac 401k'!N6163,'Retirement Calculator'!A:A,0),0),0)</f>
        <v>0</v>
      </c>
      <c r="K6163" s="455">
        <f t="shared" ca="1" si="221"/>
        <v>-93659081917103.797</v>
      </c>
      <c r="L6163" s="455">
        <f t="shared" ca="1" si="222"/>
        <v>-2.2571838742022016E+16</v>
      </c>
      <c r="M6163" s="471">
        <f t="shared" si="224"/>
        <v>0.05</v>
      </c>
      <c r="N6163" s="475">
        <f t="shared" si="225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23"/>
        <v>-2.2571838742022016E+16</v>
      </c>
      <c r="J6164" s="455">
        <f t="array" ref="J6164">IFERROR(INDEX('Retirement Calculator'!J:J,MATCH('Isaac 401k'!N6164,'Retirement Calculator'!A:A,0),0),0)</f>
        <v>0</v>
      </c>
      <c r="K6164" s="455">
        <f t="shared" ca="1" si="221"/>
        <v>-94049328091758.406</v>
      </c>
      <c r="L6164" s="455">
        <f t="shared" ca="1" si="222"/>
        <v>-2.2665888070113776E+16</v>
      </c>
      <c r="M6164" s="471">
        <f t="shared" si="224"/>
        <v>0.05</v>
      </c>
      <c r="N6164" s="475">
        <f t="shared" si="225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23"/>
        <v>-2.2665888070113776E+16</v>
      </c>
      <c r="J6165" s="455">
        <f t="array" ref="J6165">IFERROR(INDEX('Retirement Calculator'!J:J,MATCH('Isaac 401k'!N6165,'Retirement Calculator'!A:A,0),0),0)</f>
        <v>0</v>
      </c>
      <c r="K6165" s="455">
        <f t="shared" ca="1" si="221"/>
        <v>-94441200292140.734</v>
      </c>
      <c r="L6165" s="455">
        <f t="shared" ca="1" si="222"/>
        <v>-2.2760329270405916E+16</v>
      </c>
      <c r="M6165" s="471">
        <f t="shared" si="224"/>
        <v>0.05</v>
      </c>
      <c r="N6165" s="475">
        <f t="shared" si="225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23"/>
        <v>-2.2760329270405916E+16</v>
      </c>
      <c r="J6166" s="455">
        <f t="array" ref="J6166">IFERROR(INDEX('Retirement Calculator'!J:J,MATCH('Isaac 401k'!N6166,'Retirement Calculator'!A:A,0),0),0)</f>
        <v>0</v>
      </c>
      <c r="K6166" s="455">
        <f t="shared" ca="1" si="221"/>
        <v>-94834705293357.984</v>
      </c>
      <c r="L6166" s="455">
        <f t="shared" ca="1" si="222"/>
        <v>-2.2855163975699272E+16</v>
      </c>
      <c r="M6166" s="471">
        <f t="shared" si="224"/>
        <v>0.05</v>
      </c>
      <c r="N6166" s="475">
        <f t="shared" si="225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23"/>
        <v>-2.2855163975699272E+16</v>
      </c>
      <c r="J6167" s="455">
        <f t="array" ref="J6167">IFERROR(INDEX('Retirement Calculator'!J:J,MATCH('Isaac 401k'!N6167,'Retirement Calculator'!A:A,0),0),0)</f>
        <v>0</v>
      </c>
      <c r="K6167" s="455">
        <f t="shared" ca="1" si="221"/>
        <v>-95229849898746.969</v>
      </c>
      <c r="L6167" s="455">
        <f t="shared" ca="1" si="222"/>
        <v>-2.295039382559802E+16</v>
      </c>
      <c r="M6167" s="471">
        <f t="shared" si="224"/>
        <v>0.05</v>
      </c>
      <c r="N6167" s="475">
        <f t="shared" si="225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23"/>
        <v>-2.295039382559802E+16</v>
      </c>
      <c r="J6168" s="455">
        <f t="array" ref="J6168">IFERROR(INDEX('Retirement Calculator'!J:J,MATCH('Isaac 401k'!N6168,'Retirement Calculator'!A:A,0),0),0)</f>
        <v>0</v>
      </c>
      <c r="K6168" s="455">
        <f t="shared" ca="1" si="221"/>
        <v>-95626640939991.75</v>
      </c>
      <c r="L6168" s="455">
        <f t="shared" ca="1" si="222"/>
        <v>-2.3046020466538012E+16</v>
      </c>
      <c r="M6168" s="471">
        <f t="shared" si="224"/>
        <v>0.05</v>
      </c>
      <c r="N6168" s="475">
        <f t="shared" si="225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23"/>
        <v>-2.3046020466538012E+16</v>
      </c>
      <c r="J6169" s="455">
        <f t="array" ref="J6169">IFERROR(INDEX('Retirement Calculator'!J:J,MATCH('Isaac 401k'!N6169,'Retirement Calculator'!A:A,0),0),0)</f>
        <v>0</v>
      </c>
      <c r="K6169" s="455">
        <f t="shared" ca="1" si="221"/>
        <v>-96025085277241.719</v>
      </c>
      <c r="L6169" s="455">
        <f t="shared" ca="1" si="222"/>
        <v>-2.3142045551815252E+16</v>
      </c>
      <c r="M6169" s="471">
        <f t="shared" si="224"/>
        <v>0.05</v>
      </c>
      <c r="N6169" s="475">
        <f t="shared" si="225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23"/>
        <v>-2.3142045551815252E+16</v>
      </c>
      <c r="J6170" s="455">
        <f t="array" ref="J6170">IFERROR(INDEX('Retirement Calculator'!J:J,MATCH('Isaac 401k'!N6170,'Retirement Calculator'!A:A,0),0),0)</f>
        <v>0</v>
      </c>
      <c r="K6170" s="455">
        <f t="shared" ca="1" si="221"/>
        <v>-96425189799230.219</v>
      </c>
      <c r="L6170" s="455">
        <f t="shared" ca="1" si="222"/>
        <v>-2.3238470741614484E+16</v>
      </c>
      <c r="M6170" s="471">
        <f t="shared" si="224"/>
        <v>0.05</v>
      </c>
      <c r="N6170" s="475">
        <f t="shared" si="225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23"/>
        <v>-2.3238470741614484E+16</v>
      </c>
      <c r="J6171" s="455">
        <f t="array" ref="J6171">IFERROR(INDEX('Retirement Calculator'!J:J,MATCH('Isaac 401k'!N6171,'Retirement Calculator'!A:A,0),0),0)</f>
        <v>0</v>
      </c>
      <c r="K6171" s="455">
        <f t="shared" ca="1" si="221"/>
        <v>-96826961423393.688</v>
      </c>
      <c r="L6171" s="455">
        <f t="shared" ca="1" si="222"/>
        <v>-2.3335297703037876E+16</v>
      </c>
      <c r="M6171" s="471">
        <f t="shared" si="224"/>
        <v>0.05</v>
      </c>
      <c r="N6171" s="475">
        <f t="shared" si="225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23"/>
        <v>-2.3335297703037876E+16</v>
      </c>
      <c r="J6172" s="455">
        <f t="array" ref="J6172">IFERROR(INDEX('Retirement Calculator'!J:J,MATCH('Isaac 401k'!N6172,'Retirement Calculator'!A:A,0),0),0)</f>
        <v>0</v>
      </c>
      <c r="K6172" s="455">
        <f t="shared" ca="1" si="221"/>
        <v>-97230407095991.156</v>
      </c>
      <c r="L6172" s="455">
        <f t="shared" ca="1" si="222"/>
        <v>-2.3432528110133868E+16</v>
      </c>
      <c r="M6172" s="471">
        <f t="shared" si="224"/>
        <v>0.05</v>
      </c>
      <c r="N6172" s="475">
        <f t="shared" si="225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23"/>
        <v>-2.3432528110133868E+16</v>
      </c>
      <c r="J6173" s="455">
        <f t="array" ref="J6173">IFERROR(INDEX('Retirement Calculator'!J:J,MATCH('Isaac 401k'!N6173,'Retirement Calculator'!A:A,0),0),0)</f>
        <v>0</v>
      </c>
      <c r="K6173" s="455">
        <f t="shared" ca="1" si="221"/>
        <v>-97635533792224.453</v>
      </c>
      <c r="L6173" s="455">
        <f t="shared" ca="1" si="222"/>
        <v>-2.3530163643926092E+16</v>
      </c>
      <c r="M6173" s="471">
        <f t="shared" si="224"/>
        <v>0.05</v>
      </c>
      <c r="N6173" s="475">
        <f t="shared" si="225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23"/>
        <v>-2.3530163643926092E+16</v>
      </c>
      <c r="J6174" s="455">
        <f t="array" ref="J6174">IFERROR(INDEX('Retirement Calculator'!J:J,MATCH('Isaac 401k'!N6174,'Retirement Calculator'!A:A,0),0),0)</f>
        <v>0</v>
      </c>
      <c r="K6174" s="455">
        <f t="shared" ca="1" si="221"/>
        <v>-98042348516358.719</v>
      </c>
      <c r="L6174" s="455">
        <f t="shared" ca="1" si="222"/>
        <v>-2.3628205992442452E+16</v>
      </c>
      <c r="M6174" s="471">
        <f t="shared" si="224"/>
        <v>0.05</v>
      </c>
      <c r="N6174" s="475">
        <f t="shared" si="225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23"/>
        <v>-2.3628205992442452E+16</v>
      </c>
      <c r="J6175" s="455">
        <f t="array" ref="J6175">IFERROR(INDEX('Retirement Calculator'!J:J,MATCH('Isaac 401k'!N6175,'Retirement Calculator'!A:A,0),0),0)</f>
        <v>0</v>
      </c>
      <c r="K6175" s="455">
        <f t="shared" ca="1" si="221"/>
        <v>-98450858301843.547</v>
      </c>
      <c r="L6175" s="455">
        <f t="shared" ca="1" si="222"/>
        <v>-2.3726656850744296E+16</v>
      </c>
      <c r="M6175" s="471">
        <f t="shared" si="224"/>
        <v>0.05</v>
      </c>
      <c r="N6175" s="475">
        <f t="shared" si="225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23"/>
        <v>-2.3726656850744296E+16</v>
      </c>
      <c r="J6176" s="455">
        <f t="array" ref="J6176">IFERROR(INDEX('Retirement Calculator'!J:J,MATCH('Isaac 401k'!N6176,'Retirement Calculator'!A:A,0),0),0)</f>
        <v>0</v>
      </c>
      <c r="K6176" s="455">
        <f t="shared" ca="1" si="221"/>
        <v>-98861070211434.563</v>
      </c>
      <c r="L6176" s="455">
        <f t="shared" ca="1" si="222"/>
        <v>-2.3825517920955732E+16</v>
      </c>
      <c r="M6176" s="471">
        <f t="shared" si="224"/>
        <v>0.05</v>
      </c>
      <c r="N6176" s="475">
        <f t="shared" si="225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23"/>
        <v>-2.3825517920955732E+16</v>
      </c>
      <c r="J6177" s="455">
        <f t="array" ref="J6177">IFERROR(INDEX('Retirement Calculator'!J:J,MATCH('Isaac 401k'!N6177,'Retirement Calculator'!A:A,0),0),0)</f>
        <v>0</v>
      </c>
      <c r="K6177" s="455">
        <f t="shared" ca="1" si="221"/>
        <v>-99272991337315.547</v>
      </c>
      <c r="L6177" s="455">
        <f t="shared" ca="1" si="222"/>
        <v>-2.3924790912293048E+16</v>
      </c>
      <c r="M6177" s="471">
        <f t="shared" si="224"/>
        <v>0.05</v>
      </c>
      <c r="N6177" s="475">
        <f t="shared" si="225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23"/>
        <v>-2.3924790912293048E+16</v>
      </c>
      <c r="J6178" s="455">
        <f t="array" ref="J6178">IFERROR(INDEX('Retirement Calculator'!J:J,MATCH('Isaac 401k'!N6178,'Retirement Calculator'!A:A,0),0),0)</f>
        <v>0</v>
      </c>
      <c r="K6178" s="455">
        <f t="shared" ca="1" si="221"/>
        <v>-99686628801221.031</v>
      </c>
      <c r="L6178" s="455">
        <f t="shared" ca="1" si="222"/>
        <v>-2.4024477541094268E+16</v>
      </c>
      <c r="M6178" s="471">
        <f t="shared" si="224"/>
        <v>0.05</v>
      </c>
      <c r="N6178" s="475">
        <f t="shared" si="225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23"/>
        <v>-2.4024477541094268E+16</v>
      </c>
      <c r="J6179" s="455">
        <f t="array" ref="J6179">IFERROR(INDEX('Retirement Calculator'!J:J,MATCH('Isaac 401k'!N6179,'Retirement Calculator'!A:A,0),0),0)</f>
        <v>0</v>
      </c>
      <c r="K6179" s="455">
        <f t="shared" ca="1" si="221"/>
        <v>-100101989754559.45</v>
      </c>
      <c r="L6179" s="455">
        <f t="shared" ca="1" si="222"/>
        <v>-2.4124579530848828E+16</v>
      </c>
      <c r="M6179" s="471">
        <f t="shared" si="224"/>
        <v>0.05</v>
      </c>
      <c r="N6179" s="475">
        <f t="shared" si="225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23"/>
        <v>-2.4124579530848828E+16</v>
      </c>
      <c r="J6180" s="455">
        <f t="array" ref="J6180">IFERROR(INDEX('Retirement Calculator'!J:J,MATCH('Isaac 401k'!N6180,'Retirement Calculator'!A:A,0),0),0)</f>
        <v>0</v>
      </c>
      <c r="K6180" s="455">
        <f t="shared" ca="1" si="221"/>
        <v>-100519081378536.78</v>
      </c>
      <c r="L6180" s="455">
        <f t="shared" ca="1" si="222"/>
        <v>-2.4225098612227364E+16</v>
      </c>
      <c r="M6180" s="471">
        <f t="shared" si="224"/>
        <v>0.05</v>
      </c>
      <c r="N6180" s="475">
        <f t="shared" si="225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23"/>
        <v>-2.4225098612227364E+16</v>
      </c>
      <c r="J6181" s="455">
        <f t="array" ref="J6181">IFERROR(INDEX('Retirement Calculator'!J:J,MATCH('Isaac 401k'!N6181,'Retirement Calculator'!A:A,0),0),0)</f>
        <v>0</v>
      </c>
      <c r="K6181" s="455">
        <f t="shared" ca="1" si="221"/>
        <v>-100937910884280.69</v>
      </c>
      <c r="L6181" s="455">
        <f t="shared" ca="1" si="222"/>
        <v>-2.4326036523111644E+16</v>
      </c>
      <c r="M6181" s="471">
        <f t="shared" si="224"/>
        <v>0.05</v>
      </c>
      <c r="N6181" s="475">
        <f t="shared" si="225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23"/>
        <v>-2.4326036523111644E+16</v>
      </c>
      <c r="J6182" s="455">
        <f t="array" ref="J6182">IFERROR(INDEX('Retirement Calculator'!J:J,MATCH('Isaac 401k'!N6182,'Retirement Calculator'!A:A,0),0),0)</f>
        <v>0</v>
      </c>
      <c r="K6182" s="455">
        <f t="shared" ca="1" si="221"/>
        <v>-101358485512965.19</v>
      </c>
      <c r="L6182" s="455">
        <f t="shared" ca="1" si="222"/>
        <v>-2.4427395008624608E+16</v>
      </c>
      <c r="M6182" s="471">
        <f t="shared" si="224"/>
        <v>0.05</v>
      </c>
      <c r="N6182" s="475">
        <f t="shared" si="225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23"/>
        <v>-2.4427395008624608E+16</v>
      </c>
      <c r="J6183" s="455">
        <f t="array" ref="J6183">IFERROR(INDEX('Retirement Calculator'!J:J,MATCH('Isaac 401k'!N6183,'Retirement Calculator'!A:A,0),0),0)</f>
        <v>0</v>
      </c>
      <c r="K6183" s="455">
        <f t="shared" ca="1" si="221"/>
        <v>-101780812535935.86</v>
      </c>
      <c r="L6183" s="455">
        <f t="shared" ca="1" si="222"/>
        <v>-2.4529175821160544E+16</v>
      </c>
      <c r="M6183" s="471">
        <f t="shared" si="224"/>
        <v>0.05</v>
      </c>
      <c r="N6183" s="475">
        <f t="shared" si="225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23"/>
        <v>-2.4529175821160544E+16</v>
      </c>
      <c r="J6184" s="455">
        <f t="array" ref="J6184">IFERROR(INDEX('Retirement Calculator'!J:J,MATCH('Isaac 401k'!N6184,'Retirement Calculator'!A:A,0),0),0)</f>
        <v>0</v>
      </c>
      <c r="K6184" s="455">
        <f t="shared" ca="1" si="221"/>
        <v>-102204899254835.59</v>
      </c>
      <c r="L6184" s="455">
        <f t="shared" ca="1" si="222"/>
        <v>-2.463138072041538E+16</v>
      </c>
      <c r="M6184" s="471">
        <f t="shared" si="224"/>
        <v>0.05</v>
      </c>
      <c r="N6184" s="475">
        <f t="shared" si="225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23"/>
        <v>-2.463138072041538E+16</v>
      </c>
      <c r="J6185" s="455">
        <f t="array" ref="J6185">IFERROR(INDEX('Retirement Calculator'!J:J,MATCH('Isaac 401k'!N6185,'Retirement Calculator'!A:A,0),0),0)</f>
        <v>0</v>
      </c>
      <c r="K6185" s="455">
        <f t="shared" ca="1" si="221"/>
        <v>-102630753001730.75</v>
      </c>
      <c r="L6185" s="455">
        <f t="shared" ca="1" si="222"/>
        <v>-2.4734011473417112E+16</v>
      </c>
      <c r="M6185" s="471">
        <f t="shared" si="224"/>
        <v>0.05</v>
      </c>
      <c r="N6185" s="475">
        <f t="shared" si="225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23"/>
        <v>-2.4734011473417112E+16</v>
      </c>
      <c r="J6186" s="455">
        <f t="array" ref="J6186">IFERROR(INDEX('Retirement Calculator'!J:J,MATCH('Isaac 401k'!N6186,'Retirement Calculator'!A:A,0),0),0)</f>
        <v>0</v>
      </c>
      <c r="K6186" s="455">
        <f t="shared" ca="1" si="221"/>
        <v>-103058381139237.97</v>
      </c>
      <c r="L6186" s="455">
        <f t="shared" ca="1" si="222"/>
        <v>-2.4837069854556348E+16</v>
      </c>
      <c r="M6186" s="471">
        <f t="shared" si="224"/>
        <v>0.05</v>
      </c>
      <c r="N6186" s="475">
        <f t="shared" si="225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23"/>
        <v>-2.4837069854556348E+16</v>
      </c>
      <c r="J6187" s="455">
        <f t="array" ref="J6187">IFERROR(INDEX('Retirement Calculator'!J:J,MATCH('Isaac 401k'!N6187,'Retirement Calculator'!A:A,0),0),0)</f>
        <v>0</v>
      </c>
      <c r="K6187" s="455">
        <f t="shared" ca="1" si="221"/>
        <v>-103487791060651.45</v>
      </c>
      <c r="L6187" s="455">
        <f t="shared" ca="1" si="222"/>
        <v>-2.4940557645617E+16</v>
      </c>
      <c r="M6187" s="471">
        <f t="shared" si="224"/>
        <v>0.05</v>
      </c>
      <c r="N6187" s="475">
        <f t="shared" si="225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23"/>
        <v>-2.4940557645617E+16</v>
      </c>
      <c r="J6188" s="455">
        <f t="array" ref="J6188">IFERROR(INDEX('Retirement Calculator'!J:J,MATCH('Isaac 401k'!N6188,'Retirement Calculator'!A:A,0),0),0)</f>
        <v>0</v>
      </c>
      <c r="K6188" s="455">
        <f t="shared" ca="1" si="221"/>
        <v>-103918990190070.83</v>
      </c>
      <c r="L6188" s="455">
        <f t="shared" ca="1" si="222"/>
        <v>-2.5044476635807072E+16</v>
      </c>
      <c r="M6188" s="471">
        <f t="shared" si="224"/>
        <v>0.05</v>
      </c>
      <c r="N6188" s="475">
        <f t="shared" si="225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23"/>
        <v>-2.5044476635807072E+16</v>
      </c>
      <c r="J6189" s="455">
        <f t="array" ref="J6189">IFERROR(INDEX('Retirement Calculator'!J:J,MATCH('Isaac 401k'!N6189,'Retirement Calculator'!A:A,0),0),0)</f>
        <v>0</v>
      </c>
      <c r="K6189" s="455">
        <f t="shared" ca="1" si="221"/>
        <v>-104351985982529.47</v>
      </c>
      <c r="L6189" s="455">
        <f t="shared" ca="1" si="222"/>
        <v>-2.51488286217896E+16</v>
      </c>
      <c r="M6189" s="471">
        <f t="shared" si="224"/>
        <v>0.05</v>
      </c>
      <c r="N6189" s="475">
        <f t="shared" si="225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23"/>
        <v>-2.51488286217896E+16</v>
      </c>
      <c r="J6190" s="455">
        <f t="array" ref="J6190">IFERROR(INDEX('Retirement Calculator'!J:J,MATCH('Isaac 401k'!N6190,'Retirement Calculator'!A:A,0),0),0)</f>
        <v>0</v>
      </c>
      <c r="K6190" s="455">
        <f t="shared" ca="1" si="221"/>
        <v>-104786785924123.33</v>
      </c>
      <c r="L6190" s="455">
        <f t="shared" ca="1" si="222"/>
        <v>-2.5253615407713724E+16</v>
      </c>
      <c r="M6190" s="471">
        <f t="shared" si="224"/>
        <v>0.05</v>
      </c>
      <c r="N6190" s="475">
        <f t="shared" si="225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23"/>
        <v>-2.5253615407713724E+16</v>
      </c>
      <c r="J6191" s="455">
        <f t="array" ref="J6191">IFERROR(INDEX('Retirement Calculator'!J:J,MATCH('Isaac 401k'!N6191,'Retirement Calculator'!A:A,0),0),0)</f>
        <v>0</v>
      </c>
      <c r="K6191" s="455">
        <f t="shared" ca="1" si="221"/>
        <v>-105223397532140.52</v>
      </c>
      <c r="L6191" s="455">
        <f t="shared" ca="1" si="222"/>
        <v>-2.5358838805245864E+16</v>
      </c>
      <c r="M6191" s="471">
        <f t="shared" si="224"/>
        <v>0.05</v>
      </c>
      <c r="N6191" s="475">
        <f t="shared" si="225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23"/>
        <v>-2.5358838805245864E+16</v>
      </c>
      <c r="J6192" s="455">
        <f t="array" ref="J6192">IFERROR(INDEX('Retirement Calculator'!J:J,MATCH('Isaac 401k'!N6192,'Retirement Calculator'!A:A,0),0),0)</f>
        <v>0</v>
      </c>
      <c r="K6192" s="455">
        <f t="shared" ca="1" si="221"/>
        <v>-105661828355191.09</v>
      </c>
      <c r="L6192" s="455">
        <f t="shared" ca="1" si="222"/>
        <v>-2.5464500633601056E+16</v>
      </c>
      <c r="M6192" s="471">
        <f t="shared" si="224"/>
        <v>0.05</v>
      </c>
      <c r="N6192" s="475">
        <f t="shared" si="225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23"/>
        <v>-2.5464500633601056E+16</v>
      </c>
      <c r="J6193" s="455">
        <f t="array" ref="J6193">IFERROR(INDEX('Retirement Calculator'!J:J,MATCH('Isaac 401k'!N6193,'Retirement Calculator'!A:A,0),0),0)</f>
        <v>0</v>
      </c>
      <c r="K6193" s="455">
        <f t="shared" ca="1" si="221"/>
        <v>-106102085973337.73</v>
      </c>
      <c r="L6193" s="455">
        <f t="shared" ca="1" si="222"/>
        <v>-2.5570602719574392E+16</v>
      </c>
      <c r="M6193" s="471">
        <f t="shared" si="224"/>
        <v>0.05</v>
      </c>
      <c r="N6193" s="475">
        <f t="shared" si="225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23"/>
        <v>-2.5570602719574392E+16</v>
      </c>
      <c r="J6194" s="455">
        <f t="array" ref="J6194">IFERROR(INDEX('Retirement Calculator'!J:J,MATCH('Isaac 401k'!N6194,'Retirement Calculator'!A:A,0),0),0)</f>
        <v>0</v>
      </c>
      <c r="K6194" s="455">
        <f t="shared" ca="1" si="221"/>
        <v>-106544177998226.63</v>
      </c>
      <c r="L6194" s="455">
        <f t="shared" ca="1" si="222"/>
        <v>-2.567714689757262E+16</v>
      </c>
      <c r="M6194" s="471">
        <f t="shared" si="224"/>
        <v>0.05</v>
      </c>
      <c r="N6194" s="475">
        <f t="shared" si="225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23"/>
        <v>-2.567714689757262E+16</v>
      </c>
      <c r="J6195" s="455">
        <f t="array" ref="J6195">IFERROR(INDEX('Retirement Calculator'!J:J,MATCH('Isaac 401k'!N6195,'Retirement Calculator'!A:A,0),0),0)</f>
        <v>0</v>
      </c>
      <c r="K6195" s="455">
        <f t="shared" ca="1" si="221"/>
        <v>-106988112073219.25</v>
      </c>
      <c r="L6195" s="455">
        <f t="shared" ca="1" si="222"/>
        <v>-2.578413500964584E+16</v>
      </c>
      <c r="M6195" s="471">
        <f t="shared" si="224"/>
        <v>0.05</v>
      </c>
      <c r="N6195" s="475">
        <f t="shared" si="225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23"/>
        <v>-2.578413500964584E+16</v>
      </c>
      <c r="J6196" s="455">
        <f t="array" ref="J6196">IFERROR(INDEX('Retirement Calculator'!J:J,MATCH('Isaac 401k'!N6196,'Retirement Calculator'!A:A,0),0),0)</f>
        <v>0</v>
      </c>
      <c r="K6196" s="455">
        <f t="shared" ca="1" si="221"/>
        <v>-107433895873524.33</v>
      </c>
      <c r="L6196" s="455">
        <f t="shared" ca="1" si="222"/>
        <v>-2.5891568905519364E+16</v>
      </c>
      <c r="M6196" s="471">
        <f t="shared" si="224"/>
        <v>0.05</v>
      </c>
      <c r="N6196" s="475">
        <f t="shared" si="225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23"/>
        <v>-2.5891568905519364E+16</v>
      </c>
      <c r="J6197" s="455">
        <f t="array" ref="J6197">IFERROR(INDEX('Retirement Calculator'!J:J,MATCH('Isaac 401k'!N6197,'Retirement Calculator'!A:A,0),0),0)</f>
        <v>0</v>
      </c>
      <c r="K6197" s="455">
        <f t="shared" ca="1" si="221"/>
        <v>-107881537106330.69</v>
      </c>
      <c r="L6197" s="455">
        <f t="shared" ca="1" si="222"/>
        <v>-2.5999450442625696E+16</v>
      </c>
      <c r="M6197" s="471">
        <f t="shared" si="224"/>
        <v>0.05</v>
      </c>
      <c r="N6197" s="475">
        <f t="shared" si="225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23"/>
        <v>-2.5999450442625696E+16</v>
      </c>
      <c r="J6198" s="455">
        <f t="array" ref="J6198">IFERROR(INDEX('Retirement Calculator'!J:J,MATCH('Isaac 401k'!N6198,'Retirement Calculator'!A:A,0),0),0)</f>
        <v>0</v>
      </c>
      <c r="K6198" s="455">
        <f t="shared" ca="1" si="221"/>
        <v>-108331043510940.41</v>
      </c>
      <c r="L6198" s="455">
        <f t="shared" ca="1" si="222"/>
        <v>-2.6107781486136636E+16</v>
      </c>
      <c r="M6198" s="471">
        <f t="shared" si="224"/>
        <v>0.05</v>
      </c>
      <c r="N6198" s="475">
        <f t="shared" si="225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23"/>
        <v>-2.6107781486136636E+16</v>
      </c>
      <c r="J6199" s="455">
        <f t="array" ref="J6199">IFERROR(INDEX('Retirement Calculator'!J:J,MATCH('Isaac 401k'!N6199,'Retirement Calculator'!A:A,0),0),0)</f>
        <v>0</v>
      </c>
      <c r="K6199" s="455">
        <f t="shared" ca="1" si="221"/>
        <v>-108782422858902.66</v>
      </c>
      <c r="L6199" s="455">
        <f t="shared" ca="1" si="222"/>
        <v>-2.621656390899554E+16</v>
      </c>
      <c r="M6199" s="471">
        <f t="shared" si="224"/>
        <v>0.05</v>
      </c>
      <c r="N6199" s="475">
        <f t="shared" si="225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23"/>
        <v>-2.621656390899554E+16</v>
      </c>
      <c r="J6200" s="455">
        <f t="array" ref="J6200">IFERROR(INDEX('Retirement Calculator'!J:J,MATCH('Isaac 401k'!N6200,'Retirement Calculator'!A:A,0),0),0)</f>
        <v>0</v>
      </c>
      <c r="K6200" s="455">
        <f t="shared" ca="1" si="221"/>
        <v>-109235682954148.08</v>
      </c>
      <c r="L6200" s="455">
        <f t="shared" ca="1" si="222"/>
        <v>-2.6325799591949688E+16</v>
      </c>
      <c r="M6200" s="471">
        <f t="shared" si="224"/>
        <v>0.05</v>
      </c>
      <c r="N6200" s="475">
        <f t="shared" si="225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23"/>
        <v>-2.6325799591949688E+16</v>
      </c>
      <c r="J6201" s="455">
        <f t="array" ref="J6201">IFERROR(INDEX('Retirement Calculator'!J:J,MATCH('Isaac 401k'!N6201,'Retirement Calculator'!A:A,0),0),0)</f>
        <v>0</v>
      </c>
      <c r="K6201" s="455">
        <f t="shared" ca="1" si="221"/>
        <v>-109690831633123.7</v>
      </c>
      <c r="L6201" s="455">
        <f t="shared" ca="1" si="222"/>
        <v>-2.6435490423582812E+16</v>
      </c>
      <c r="M6201" s="471">
        <f t="shared" si="224"/>
        <v>0.05</v>
      </c>
      <c r="N6201" s="475">
        <f t="shared" si="225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23"/>
        <v>-2.6435490423582812E+16</v>
      </c>
      <c r="J6202" s="455">
        <f t="array" ref="J6202">IFERROR(INDEX('Retirement Calculator'!J:J,MATCH('Isaac 401k'!N6202,'Retirement Calculator'!A:A,0),0),0)</f>
        <v>0</v>
      </c>
      <c r="K6202" s="455">
        <f t="shared" ca="1" si="221"/>
        <v>-110147876764928.38</v>
      </c>
      <c r="L6202" s="455">
        <f t="shared" ca="1" si="222"/>
        <v>-2.654563830034774E+16</v>
      </c>
      <c r="M6202" s="471">
        <f t="shared" si="224"/>
        <v>0.05</v>
      </c>
      <c r="N6202" s="475">
        <f t="shared" si="225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23"/>
        <v>-2.654563830034774E+16</v>
      </c>
      <c r="J6203" s="455">
        <f t="array" ref="J6203">IFERROR(INDEX('Retirement Calculator'!J:J,MATCH('Isaac 401k'!N6203,'Retirement Calculator'!A:A,0),0),0)</f>
        <v>0</v>
      </c>
      <c r="K6203" s="455">
        <f t="shared" ca="1" si="221"/>
        <v>-110606826251448.92</v>
      </c>
      <c r="L6203" s="455">
        <f t="shared" ca="1" si="222"/>
        <v>-2.6656245126599188E+16</v>
      </c>
      <c r="M6203" s="471">
        <f t="shared" si="224"/>
        <v>0.05</v>
      </c>
      <c r="N6203" s="475">
        <f t="shared" si="225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23"/>
        <v>-2.6656245126599188E+16</v>
      </c>
      <c r="J6204" s="455">
        <f t="array" ref="J6204">IFERROR(INDEX('Retirement Calculator'!J:J,MATCH('Isaac 401k'!N6204,'Retirement Calculator'!A:A,0),0),0)</f>
        <v>0</v>
      </c>
      <c r="K6204" s="455">
        <f t="shared" ca="1" si="221"/>
        <v>-111067688027496.61</v>
      </c>
      <c r="L6204" s="455">
        <f t="shared" ca="1" si="222"/>
        <v>-2.6767312814626684E+16</v>
      </c>
      <c r="M6204" s="471">
        <f t="shared" si="224"/>
        <v>0.05</v>
      </c>
      <c r="N6204" s="475">
        <f t="shared" si="225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23"/>
        <v>-2.6767312814626684E+16</v>
      </c>
      <c r="J6205" s="455">
        <f t="array" ref="J6205">IFERROR(INDEX('Retirement Calculator'!J:J,MATCH('Isaac 401k'!N6205,'Retirement Calculator'!A:A,0),0),0)</f>
        <v>0</v>
      </c>
      <c r="K6205" s="455">
        <f t="shared" ca="1" si="221"/>
        <v>-111530470060944.52</v>
      </c>
      <c r="L6205" s="455">
        <f t="shared" ca="1" si="222"/>
        <v>-2.6878843284687628E+16</v>
      </c>
      <c r="M6205" s="471">
        <f t="shared" si="224"/>
        <v>0.05</v>
      </c>
      <c r="N6205" s="475">
        <f t="shared" si="225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23"/>
        <v>-2.6878843284687628E+16</v>
      </c>
      <c r="J6206" s="455">
        <f t="array" ref="J6206">IFERROR(INDEX('Retirement Calculator'!J:J,MATCH('Isaac 401k'!N6206,'Retirement Calculator'!A:A,0),0),0)</f>
        <v>0</v>
      </c>
      <c r="K6206" s="455">
        <f t="shared" ca="1" si="221"/>
        <v>-111995180352865.11</v>
      </c>
      <c r="L6206" s="455">
        <f t="shared" ca="1" si="222"/>
        <v>-2.6990838465040492E+16</v>
      </c>
      <c r="M6206" s="471">
        <f t="shared" si="224"/>
        <v>0.05</v>
      </c>
      <c r="N6206" s="475">
        <f t="shared" si="225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23"/>
        <v>-2.6990838465040492E+16</v>
      </c>
      <c r="J6207" s="455">
        <f t="array" ref="J6207">IFERROR(INDEX('Retirement Calculator'!J:J,MATCH('Isaac 401k'!N6207,'Retirement Calculator'!A:A,0),0),0)</f>
        <v>0</v>
      </c>
      <c r="K6207" s="455">
        <f t="shared" ca="1" si="221"/>
        <v>-112461826937668.72</v>
      </c>
      <c r="L6207" s="455">
        <f t="shared" ca="1" si="222"/>
        <v>-2.710330029197816E+16</v>
      </c>
      <c r="M6207" s="471">
        <f t="shared" si="224"/>
        <v>0.05</v>
      </c>
      <c r="N6207" s="475">
        <f t="shared" si="225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23"/>
        <v>-2.710330029197816E+16</v>
      </c>
      <c r="J6208" s="455">
        <f t="array" ref="J6208">IFERROR(INDEX('Retirement Calculator'!J:J,MATCH('Isaac 401k'!N6208,'Retirement Calculator'!A:A,0),0),0)</f>
        <v>0</v>
      </c>
      <c r="K6208" s="455">
        <f t="shared" ca="1" si="221"/>
        <v>-112930417883242.33</v>
      </c>
      <c r="L6208" s="455">
        <f t="shared" ca="1" si="222"/>
        <v>-2.7216230709861404E+16</v>
      </c>
      <c r="M6208" s="471">
        <f t="shared" si="224"/>
        <v>0.05</v>
      </c>
      <c r="N6208" s="475">
        <f t="shared" si="225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23"/>
        <v>-2.7216230709861404E+16</v>
      </c>
      <c r="J6209" s="455">
        <f t="array" ref="J6209">IFERROR(INDEX('Retirement Calculator'!J:J,MATCH('Isaac 401k'!N6209,'Retirement Calculator'!A:A,0),0),0)</f>
        <v>0</v>
      </c>
      <c r="K6209" s="455">
        <f t="shared" ca="1" si="221"/>
        <v>-113400961291089.19</v>
      </c>
      <c r="L6209" s="455">
        <f t="shared" ca="1" si="222"/>
        <v>-2.7329631671152492E+16</v>
      </c>
      <c r="M6209" s="471">
        <f t="shared" si="224"/>
        <v>0.05</v>
      </c>
      <c r="N6209" s="475">
        <f t="shared" si="225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23"/>
        <v>-2.7329631671152492E+16</v>
      </c>
      <c r="J6210" s="455">
        <f t="array" ref="J6210">IFERROR(INDEX('Retirement Calculator'!J:J,MATCH('Isaac 401k'!N6210,'Retirement Calculator'!A:A,0),0),0)</f>
        <v>0</v>
      </c>
      <c r="K6210" s="455">
        <f t="shared" ca="1" si="221"/>
        <v>-113873465296468.72</v>
      </c>
      <c r="L6210" s="455">
        <f t="shared" ca="1" si="222"/>
        <v>-2.744350513644896E+16</v>
      </c>
      <c r="M6210" s="471">
        <f t="shared" si="224"/>
        <v>0.05</v>
      </c>
      <c r="N6210" s="475">
        <f t="shared" si="225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23"/>
        <v>-2.744350513644896E+16</v>
      </c>
      <c r="J6211" s="455">
        <f t="array" ref="J6211">IFERROR(INDEX('Retirement Calculator'!J:J,MATCH('Isaac 401k'!N6211,'Retirement Calculator'!A:A,0),0),0)</f>
        <v>0</v>
      </c>
      <c r="K6211" s="455">
        <f t="shared" ca="1" si="221"/>
        <v>-114347938068537.33</v>
      </c>
      <c r="L6211" s="455">
        <f t="shared" ca="1" si="222"/>
        <v>-2.7557853074517496E+16</v>
      </c>
      <c r="M6211" s="471">
        <f t="shared" si="224"/>
        <v>0.05</v>
      </c>
      <c r="N6211" s="475">
        <f t="shared" si="225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23"/>
        <v>-2.7557853074517496E+16</v>
      </c>
      <c r="J6212" s="455">
        <f t="array" ref="J6212">IFERROR(INDEX('Retirement Calculator'!J:J,MATCH('Isaac 401k'!N6212,'Retirement Calculator'!A:A,0),0),0)</f>
        <v>0</v>
      </c>
      <c r="K6212" s="455">
        <f t="shared" ca="1" si="221"/>
        <v>-114824387810489.56</v>
      </c>
      <c r="L6212" s="455">
        <f t="shared" ca="1" si="222"/>
        <v>-2.7672677462327984E+16</v>
      </c>
      <c r="M6212" s="471">
        <f t="shared" si="224"/>
        <v>0.05</v>
      </c>
      <c r="N6212" s="475">
        <f t="shared" si="225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23"/>
        <v>-2.7672677462327984E+16</v>
      </c>
      <c r="J6213" s="455">
        <f t="array" ref="J6213">IFERROR(INDEX('Retirement Calculator'!J:J,MATCH('Isaac 401k'!N6213,'Retirement Calculator'!A:A,0),0),0)</f>
        <v>0</v>
      </c>
      <c r="K6213" s="455">
        <f t="shared" ca="1" si="221"/>
        <v>-115302822759699.94</v>
      </c>
      <c r="L6213" s="455">
        <f t="shared" ca="1" si="222"/>
        <v>-2.7787980285087684E+16</v>
      </c>
      <c r="M6213" s="471">
        <f t="shared" si="224"/>
        <v>0.05</v>
      </c>
      <c r="N6213" s="475">
        <f t="shared" si="225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23"/>
        <v>-2.7787980285087684E+16</v>
      </c>
      <c r="J6214" s="455">
        <f t="array" ref="J6214">IFERROR(INDEX('Retirement Calculator'!J:J,MATCH('Isaac 401k'!N6214,'Retirement Calculator'!A:A,0),0),0)</f>
        <v>0</v>
      </c>
      <c r="K6214" s="455">
        <f t="shared" ca="1" si="221"/>
        <v>-115783251187865.34</v>
      </c>
      <c r="L6214" s="455">
        <f t="shared" ca="1" si="222"/>
        <v>-2.7903763536275548E+16</v>
      </c>
      <c r="M6214" s="471">
        <f t="shared" si="224"/>
        <v>0.05</v>
      </c>
      <c r="N6214" s="475">
        <f t="shared" si="225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23"/>
        <v>-2.7903763536275548E+16</v>
      </c>
      <c r="J6215" s="455">
        <f t="array" ref="J6215">IFERROR(INDEX('Retirement Calculator'!J:J,MATCH('Isaac 401k'!N6215,'Retirement Calculator'!A:A,0),0),0)</f>
        <v>0</v>
      </c>
      <c r="K6215" s="455">
        <f t="shared" ca="1" si="221"/>
        <v>-116265681401148.11</v>
      </c>
      <c r="L6215" s="455">
        <f t="shared" ca="1" si="222"/>
        <v>-2.8020029217676696E+16</v>
      </c>
      <c r="M6215" s="471">
        <f t="shared" si="224"/>
        <v>0.05</v>
      </c>
      <c r="N6215" s="475">
        <f t="shared" si="225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23"/>
        <v>-2.8020029217676696E+16</v>
      </c>
      <c r="J6216" s="455">
        <f t="array" ref="J6216">IFERROR(INDEX('Retirement Calculator'!J:J,MATCH('Isaac 401k'!N6216,'Retirement Calculator'!A:A,0),0),0)</f>
        <v>0</v>
      </c>
      <c r="K6216" s="455">
        <f t="shared" ca="1" si="221"/>
        <v>-116750121740319.56</v>
      </c>
      <c r="L6216" s="455">
        <f t="shared" ca="1" si="222"/>
        <v>-2.8136779339417016E+16</v>
      </c>
      <c r="M6216" s="471">
        <f t="shared" si="224"/>
        <v>0.05</v>
      </c>
      <c r="N6216" s="475">
        <f t="shared" si="225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23"/>
        <v>-2.8136779339417016E+16</v>
      </c>
      <c r="J6217" s="455">
        <f t="array" ref="J6217">IFERROR(INDEX('Retirement Calculator'!J:J,MATCH('Isaac 401k'!N6217,'Retirement Calculator'!A:A,0),0),0)</f>
        <v>0</v>
      </c>
      <c r="K6217" s="455">
        <f t="shared" ca="1" si="221"/>
        <v>-117236580580904.23</v>
      </c>
      <c r="L6217" s="455">
        <f t="shared" ca="1" si="222"/>
        <v>-2.825401591999792E+16</v>
      </c>
      <c r="M6217" s="471">
        <f t="shared" si="224"/>
        <v>0.05</v>
      </c>
      <c r="N6217" s="475">
        <f t="shared" si="225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23"/>
        <v>-2.825401591999792E+16</v>
      </c>
      <c r="J6218" s="455">
        <f t="array" ref="J6218">IFERROR(INDEX('Retirement Calculator'!J:J,MATCH('Isaac 401k'!N6218,'Retirement Calculator'!A:A,0),0),0)</f>
        <v>0</v>
      </c>
      <c r="K6218" s="455">
        <f t="shared" ca="1" si="221"/>
        <v>-117725066333324.67</v>
      </c>
      <c r="L6218" s="455">
        <f t="shared" ca="1" si="222"/>
        <v>-2.8371740986331244E+16</v>
      </c>
      <c r="M6218" s="471">
        <f t="shared" si="224"/>
        <v>0.05</v>
      </c>
      <c r="N6218" s="475">
        <f t="shared" si="225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23"/>
        <v>-2.8371740986331244E+16</v>
      </c>
      <c r="J6219" s="455">
        <f t="array" ref="J6219">IFERROR(INDEX('Retirement Calculator'!J:J,MATCH('Isaac 401k'!N6219,'Retirement Calculator'!A:A,0),0),0)</f>
        <v>0</v>
      </c>
      <c r="K6219" s="455">
        <f t="shared" ca="1" si="221"/>
        <v>-118215587443046.86</v>
      </c>
      <c r="L6219" s="455">
        <f t="shared" ca="1" si="222"/>
        <v>-2.8489956573774292E+16</v>
      </c>
      <c r="M6219" s="471">
        <f t="shared" si="224"/>
        <v>0.05</v>
      </c>
      <c r="N6219" s="475">
        <f t="shared" si="225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23"/>
        <v>-2.8489956573774292E+16</v>
      </c>
      <c r="J6220" s="455">
        <f t="array" ref="J6220">IFERROR(INDEX('Retirement Calculator'!J:J,MATCH('Isaac 401k'!N6220,'Retirement Calculator'!A:A,0),0),0)</f>
        <v>0</v>
      </c>
      <c r="K6220" s="455">
        <f t="shared" ca="1" si="221"/>
        <v>-118708152390726.22</v>
      </c>
      <c r="L6220" s="455">
        <f t="shared" ca="1" si="222"/>
        <v>-2.860866472616502E+16</v>
      </c>
      <c r="M6220" s="471">
        <f t="shared" si="224"/>
        <v>0.05</v>
      </c>
      <c r="N6220" s="475">
        <f t="shared" si="225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23"/>
        <v>-2.860866472616502E+16</v>
      </c>
      <c r="J6221" s="455">
        <f t="array" ref="J6221">IFERROR(INDEX('Retirement Calculator'!J:J,MATCH('Isaac 401k'!N6221,'Retirement Calculator'!A:A,0),0),0)</f>
        <v>0</v>
      </c>
      <c r="K6221" s="455">
        <f t="shared" ca="1" si="221"/>
        <v>-119202769692354.25</v>
      </c>
      <c r="L6221" s="455">
        <f t="shared" ca="1" si="222"/>
        <v>-2.8727867495857376E+16</v>
      </c>
      <c r="M6221" s="471">
        <f t="shared" si="224"/>
        <v>0.05</v>
      </c>
      <c r="N6221" s="475">
        <f t="shared" si="225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23"/>
        <v>-2.8727867495857376E+16</v>
      </c>
      <c r="J6222" s="455">
        <f t="array" ref="J6222">IFERROR(INDEX('Retirement Calculator'!J:J,MATCH('Isaac 401k'!N6222,'Retirement Calculator'!A:A,0),0),0)</f>
        <v>0</v>
      </c>
      <c r="K6222" s="455">
        <f t="shared" ca="1" si="221"/>
        <v>-119699447899405.73</v>
      </c>
      <c r="L6222" s="455">
        <f t="shared" ca="1" si="222"/>
        <v>-2.884756694375678E+16</v>
      </c>
      <c r="M6222" s="471">
        <f t="shared" si="224"/>
        <v>0.05</v>
      </c>
      <c r="N6222" s="475">
        <f t="shared" si="225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23"/>
        <v>-2.884756694375678E+16</v>
      </c>
      <c r="J6223" s="455">
        <f t="array" ref="J6223">IFERROR(INDEX('Retirement Calculator'!J:J,MATCH('Isaac 401k'!N6223,'Retirement Calculator'!A:A,0),0),0)</f>
        <v>0</v>
      </c>
      <c r="K6223" s="455">
        <f t="shared" ca="1" si="221"/>
        <v>-120198195598986.58</v>
      </c>
      <c r="L6223" s="455">
        <f t="shared" ca="1" si="222"/>
        <v>-2.8967765139355768E+16</v>
      </c>
      <c r="M6223" s="471">
        <f t="shared" si="224"/>
        <v>0.05</v>
      </c>
      <c r="N6223" s="475">
        <f t="shared" si="225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23"/>
        <v>-2.8967765139355768E+16</v>
      </c>
      <c r="J6224" s="455">
        <f t="array" ref="J6224">IFERROR(INDEX('Retirement Calculator'!J:J,MATCH('Isaac 401k'!N6224,'Retirement Calculator'!A:A,0),0),0)</f>
        <v>0</v>
      </c>
      <c r="K6224" s="455">
        <f t="shared" ca="1" si="221"/>
        <v>-120699021413982.36</v>
      </c>
      <c r="L6224" s="455">
        <f t="shared" ca="1" si="222"/>
        <v>-2.9088464160769752E+16</v>
      </c>
      <c r="M6224" s="471">
        <f t="shared" si="224"/>
        <v>0.05</v>
      </c>
      <c r="N6224" s="475">
        <f t="shared" si="225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23"/>
        <v>-2.9088464160769752E+16</v>
      </c>
      <c r="J6225" s="455">
        <f t="array" ref="J6225">IFERROR(INDEX('Retirement Calculator'!J:J,MATCH('Isaac 401k'!N6225,'Retirement Calculator'!A:A,0),0),0)</f>
        <v>0</v>
      </c>
      <c r="K6225" s="455">
        <f t="shared" ca="1" si="221"/>
        <v>-121201934003207.3</v>
      </c>
      <c r="L6225" s="455">
        <f t="shared" ca="1" si="222"/>
        <v>-2.920966609477296E+16</v>
      </c>
      <c r="M6225" s="471">
        <f t="shared" si="224"/>
        <v>0.05</v>
      </c>
      <c r="N6225" s="475">
        <f t="shared" si="225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23"/>
        <v>-2.920966609477296E+16</v>
      </c>
      <c r="J6226" s="455">
        <f t="array" ref="J6226">IFERROR(INDEX('Retirement Calculator'!J:J,MATCH('Isaac 401k'!N6226,'Retirement Calculator'!A:A,0),0),0)</f>
        <v>0</v>
      </c>
      <c r="K6226" s="455">
        <f t="shared" ca="1" si="221"/>
        <v>-121706942061554.02</v>
      </c>
      <c r="L6226" s="455">
        <f t="shared" ca="1" si="222"/>
        <v>-2.9331373036834516E+16</v>
      </c>
      <c r="M6226" s="471">
        <f t="shared" si="224"/>
        <v>0.05</v>
      </c>
      <c r="N6226" s="475">
        <f t="shared" si="225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23"/>
        <v>-2.9331373036834516E+16</v>
      </c>
      <c r="J6227" s="455">
        <f t="array" ref="J6227">IFERROR(INDEX('Retirement Calculator'!J:J,MATCH('Isaac 401k'!N6227,'Retirement Calculator'!A:A,0),0),0)</f>
        <v>0</v>
      </c>
      <c r="K6227" s="455">
        <f t="shared" ca="1" si="221"/>
        <v>-122214054320143.81</v>
      </c>
      <c r="L6227" s="455">
        <f t="shared" ca="1" si="222"/>
        <v>-2.945358709115466E+16</v>
      </c>
      <c r="M6227" s="471">
        <f t="shared" si="224"/>
        <v>0.05</v>
      </c>
      <c r="N6227" s="475">
        <f t="shared" si="225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23"/>
        <v>-2.945358709115466E+16</v>
      </c>
      <c r="J6228" s="455">
        <f t="array" ref="J6228">IFERROR(INDEX('Retirement Calculator'!J:J,MATCH('Isaac 401k'!N6228,'Retirement Calculator'!A:A,0),0),0)</f>
        <v>0</v>
      </c>
      <c r="K6228" s="455">
        <f t="shared" ca="1" si="221"/>
        <v>-122723279546477.77</v>
      </c>
      <c r="L6228" s="455">
        <f t="shared" ca="1" si="222"/>
        <v>-2.9576310370701136E+16</v>
      </c>
      <c r="M6228" s="471">
        <f t="shared" si="224"/>
        <v>0.05</v>
      </c>
      <c r="N6228" s="475">
        <f t="shared" si="225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23"/>
        <v>-2.9576310370701136E+16</v>
      </c>
      <c r="J6229" s="455">
        <f t="array" ref="J6229">IFERROR(INDEX('Retirement Calculator'!J:J,MATCH('Isaac 401k'!N6229,'Retirement Calculator'!A:A,0),0),0)</f>
        <v>0</v>
      </c>
      <c r="K6229" s="455">
        <f t="shared" ca="1" si="221"/>
        <v>-123234626544588.06</v>
      </c>
      <c r="L6229" s="455">
        <f t="shared" ca="1" si="222"/>
        <v>-2.9699544997245724E+16</v>
      </c>
      <c r="M6229" s="471">
        <f t="shared" si="224"/>
        <v>0.05</v>
      </c>
      <c r="N6229" s="475">
        <f t="shared" si="225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23"/>
        <v>-2.9699544997245724E+16</v>
      </c>
      <c r="J6230" s="455">
        <f t="array" ref="J6230">IFERROR(INDEX('Retirement Calculator'!J:J,MATCH('Isaac 401k'!N6230,'Retirement Calculator'!A:A,0),0),0)</f>
        <v>0</v>
      </c>
      <c r="K6230" s="455">
        <f t="shared" ca="1" si="221"/>
        <v>-123748104155190.53</v>
      </c>
      <c r="L6230" s="455">
        <f t="shared" ca="1" si="222"/>
        <v>-2.9823293101400916E+16</v>
      </c>
      <c r="M6230" s="471">
        <f t="shared" si="224"/>
        <v>0.05</v>
      </c>
      <c r="N6230" s="475">
        <f t="shared" si="225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23"/>
        <v>-2.9823293101400916E+16</v>
      </c>
      <c r="J6231" s="455">
        <f t="array" ref="J6231">IFERROR(INDEX('Retirement Calculator'!J:J,MATCH('Isaac 401k'!N6231,'Retirement Calculator'!A:A,0),0),0)</f>
        <v>0</v>
      </c>
      <c r="K6231" s="455">
        <f t="shared" ca="1" si="221"/>
        <v>-124263721255837.17</v>
      </c>
      <c r="L6231" s="455">
        <f t="shared" ca="1" si="222"/>
        <v>-2.9947556822656752E+16</v>
      </c>
      <c r="M6231" s="471">
        <f t="shared" si="224"/>
        <v>0.05</v>
      </c>
      <c r="N6231" s="475">
        <f t="shared" si="225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23"/>
        <v>-2.9947556822656752E+16</v>
      </c>
      <c r="J6232" s="455">
        <f t="array" ref="J6232">IFERROR(INDEX('Retirement Calculator'!J:J,MATCH('Isaac 401k'!N6232,'Retirement Calculator'!A:A,0),0),0)</f>
        <v>0</v>
      </c>
      <c r="K6232" s="455">
        <f t="shared" ca="1" si="221"/>
        <v>-124781486761069.8</v>
      </c>
      <c r="L6232" s="455">
        <f t="shared" ca="1" si="222"/>
        <v>-3.007233830941782E+16</v>
      </c>
      <c r="M6232" s="471">
        <f t="shared" si="224"/>
        <v>0.05</v>
      </c>
      <c r="N6232" s="475">
        <f t="shared" si="225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23"/>
        <v>-3.007233830941782E+16</v>
      </c>
      <c r="J6233" s="455">
        <f t="array" ref="J6233">IFERROR(INDEX('Retirement Calculator'!J:J,MATCH('Isaac 401k'!N6233,'Retirement Calculator'!A:A,0),0),0)</f>
        <v>0</v>
      </c>
      <c r="K6233" s="455">
        <f t="shared" ca="1" si="221"/>
        <v>-125301409622574.25</v>
      </c>
      <c r="L6233" s="455">
        <f t="shared" ca="1" si="222"/>
        <v>-3.0197639719040396E+16</v>
      </c>
      <c r="M6233" s="471">
        <f t="shared" si="224"/>
        <v>0.05</v>
      </c>
      <c r="N6233" s="475">
        <f t="shared" si="225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23"/>
        <v>-3.0197639719040396E+16</v>
      </c>
      <c r="J6234" s="455">
        <f t="array" ref="J6234">IFERROR(INDEX('Retirement Calculator'!J:J,MATCH('Isaac 401k'!N6234,'Retirement Calculator'!A:A,0),0),0)</f>
        <v>0</v>
      </c>
      <c r="K6234" s="455">
        <f t="shared" ca="1" si="221"/>
        <v>-125823498829334.97</v>
      </c>
      <c r="L6234" s="455">
        <f t="shared" ca="1" si="222"/>
        <v>-3.0323463217869732E+16</v>
      </c>
      <c r="M6234" s="471">
        <f t="shared" si="224"/>
        <v>0.05</v>
      </c>
      <c r="N6234" s="475">
        <f t="shared" si="225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23"/>
        <v>-3.0323463217869732E+16</v>
      </c>
      <c r="J6235" s="455">
        <f t="array" ref="J6235">IFERROR(INDEX('Retirement Calculator'!J:J,MATCH('Isaac 401k'!N6235,'Retirement Calculator'!A:A,0),0),0)</f>
        <v>0</v>
      </c>
      <c r="K6235" s="455">
        <f t="shared" ca="1" si="221"/>
        <v>-126347763407790.53</v>
      </c>
      <c r="L6235" s="455">
        <f t="shared" ca="1" si="222"/>
        <v>-3.0449810981277524E+16</v>
      </c>
      <c r="M6235" s="471">
        <f t="shared" si="224"/>
        <v>0.05</v>
      </c>
      <c r="N6235" s="475">
        <f t="shared" si="225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23"/>
        <v>-3.0449810981277524E+16</v>
      </c>
      <c r="J6236" s="455">
        <f t="array" ref="J6236">IFERROR(INDEX('Retirement Calculator'!J:J,MATCH('Isaac 401k'!N6236,'Retirement Calculator'!A:A,0),0),0)</f>
        <v>0</v>
      </c>
      <c r="K6236" s="455">
        <f t="shared" ca="1" si="221"/>
        <v>-126874212421989.67</v>
      </c>
      <c r="L6236" s="455">
        <f t="shared" ca="1" si="222"/>
        <v>-3.0576685193699512E+16</v>
      </c>
      <c r="M6236" s="471">
        <f t="shared" si="224"/>
        <v>0.05</v>
      </c>
      <c r="N6236" s="475">
        <f t="shared" si="225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23"/>
        <v>-3.0576685193699512E+16</v>
      </c>
      <c r="J6237" s="455">
        <f t="array" ref="J6237">IFERROR(INDEX('Retirement Calculator'!J:J,MATCH('Isaac 401k'!N6237,'Retirement Calculator'!A:A,0),0),0)</f>
        <v>0</v>
      </c>
      <c r="K6237" s="455">
        <f t="shared" ca="1" si="221"/>
        <v>-127402854973747.98</v>
      </c>
      <c r="L6237" s="455">
        <f t="shared" ca="1" si="222"/>
        <v>-3.070408804867326E+16</v>
      </c>
      <c r="M6237" s="471">
        <f t="shared" si="224"/>
        <v>0.05</v>
      </c>
      <c r="N6237" s="475">
        <f t="shared" si="225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23"/>
        <v>-3.070408804867326E+16</v>
      </c>
      <c r="J6238" s="455">
        <f t="array" ref="J6238">IFERROR(INDEX('Retirement Calculator'!J:J,MATCH('Isaac 401k'!N6238,'Retirement Calculator'!A:A,0),0),0)</f>
        <v>0</v>
      </c>
      <c r="K6238" s="455">
        <f t="shared" ca="1" si="221"/>
        <v>-127933700202805.25</v>
      </c>
      <c r="L6238" s="455">
        <f t="shared" ca="1" si="222"/>
        <v>-3.0832021748876064E+16</v>
      </c>
      <c r="M6238" s="471">
        <f t="shared" si="224"/>
        <v>0.05</v>
      </c>
      <c r="N6238" s="475">
        <f t="shared" si="225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23"/>
        <v>-3.0832021748876064E+16</v>
      </c>
      <c r="J6239" s="455">
        <f t="array" ref="J6239">IFERROR(INDEX('Retirement Calculator'!J:J,MATCH('Isaac 401k'!N6239,'Retirement Calculator'!A:A,0),0),0)</f>
        <v>0</v>
      </c>
      <c r="K6239" s="455">
        <f t="shared" ca="1" si="221"/>
        <v>-128466757286983.59</v>
      </c>
      <c r="L6239" s="455">
        <f t="shared" ca="1" si="222"/>
        <v>-3.0960488506163048E+16</v>
      </c>
      <c r="M6239" s="471">
        <f t="shared" si="224"/>
        <v>0.05</v>
      </c>
      <c r="N6239" s="475">
        <f t="shared" si="225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23"/>
        <v>-3.0960488506163048E+16</v>
      </c>
      <c r="J6240" s="455">
        <f t="array" ref="J6240">IFERROR(INDEX('Retirement Calculator'!J:J,MATCH('Isaac 401k'!N6240,'Retirement Calculator'!A:A,0),0),0)</f>
        <v>0</v>
      </c>
      <c r="K6240" s="455">
        <f t="shared" ca="1" si="221"/>
        <v>-129002035442346.03</v>
      </c>
      <c r="L6240" s="455">
        <f t="shared" ca="1" si="222"/>
        <v>-3.1089490541605396E+16</v>
      </c>
      <c r="M6240" s="471">
        <f t="shared" si="224"/>
        <v>0.05</v>
      </c>
      <c r="N6240" s="475">
        <f t="shared" si="225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23"/>
        <v>-3.1089490541605396E+16</v>
      </c>
      <c r="J6241" s="455">
        <f t="array" ref="J6241">IFERROR(INDEX('Retirement Calculator'!J:J,MATCH('Isaac 401k'!N6241,'Retirement Calculator'!A:A,0),0),0)</f>
        <v>0</v>
      </c>
      <c r="K6241" s="455">
        <f t="shared" ca="1" si="221"/>
        <v>-129539543923355.8</v>
      </c>
      <c r="L6241" s="455">
        <f t="shared" ca="1" si="222"/>
        <v>-3.1219030085528752E+16</v>
      </c>
      <c r="M6241" s="471">
        <f t="shared" si="224"/>
        <v>0.05</v>
      </c>
      <c r="N6241" s="475">
        <f t="shared" si="225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23"/>
        <v>-3.1219030085528752E+16</v>
      </c>
      <c r="J6242" s="455">
        <f t="array" ref="J6242">IFERROR(INDEX('Retirement Calculator'!J:J,MATCH('Isaac 401k'!N6242,'Retirement Calculator'!A:A,0),0),0)</f>
        <v>0</v>
      </c>
      <c r="K6242" s="455">
        <f t="shared" ca="1" si="221"/>
        <v>-130079292023036.45</v>
      </c>
      <c r="L6242" s="455">
        <f t="shared" ca="1" si="222"/>
        <v>-3.1349109377551788E+16</v>
      </c>
      <c r="M6242" s="471">
        <f t="shared" si="224"/>
        <v>0.05</v>
      </c>
      <c r="N6242" s="475">
        <f t="shared" si="225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23"/>
        <v>-3.1349109377551788E+16</v>
      </c>
      <c r="J6243" s="455">
        <f t="array" ref="J6243">IFERROR(INDEX('Retirement Calculator'!J:J,MATCH('Isaac 401k'!N6243,'Retirement Calculator'!A:A,0),0),0)</f>
        <v>0</v>
      </c>
      <c r="K6243" s="455">
        <f t="shared" ca="1" si="221"/>
        <v>-130621289073132.45</v>
      </c>
      <c r="L6243" s="455">
        <f t="shared" ca="1" si="222"/>
        <v>-3.147973066662492E+16</v>
      </c>
      <c r="M6243" s="471">
        <f t="shared" si="224"/>
        <v>0.05</v>
      </c>
      <c r="N6243" s="475">
        <f t="shared" si="225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23"/>
        <v>-3.147973066662492E+16</v>
      </c>
      <c r="J6244" s="455">
        <f t="array" ref="J6244">IFERROR(INDEX('Retirement Calculator'!J:J,MATCH('Isaac 401k'!N6244,'Retirement Calculator'!A:A,0),0),0)</f>
        <v>0</v>
      </c>
      <c r="K6244" s="455">
        <f t="shared" ca="1" si="221"/>
        <v>-131165544444270.5</v>
      </c>
      <c r="L6244" s="455">
        <f t="shared" ca="1" si="222"/>
        <v>-3.1610896211069192E+16</v>
      </c>
      <c r="M6244" s="471">
        <f t="shared" si="224"/>
        <v>0.05</v>
      </c>
      <c r="N6244" s="475">
        <f t="shared" si="225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23"/>
        <v>-3.1610896211069192E+16</v>
      </c>
      <c r="J6245" s="455">
        <f t="array" ref="J6245">IFERROR(INDEX('Retirement Calculator'!J:J,MATCH('Isaac 401k'!N6245,'Retirement Calculator'!A:A,0),0),0)</f>
        <v>0</v>
      </c>
      <c r="K6245" s="455">
        <f t="shared" ca="1" si="221"/>
        <v>-131712067546121.63</v>
      </c>
      <c r="L6245" s="455">
        <f t="shared" ca="1" si="222"/>
        <v>-3.1742608278615312E+16</v>
      </c>
      <c r="M6245" s="471">
        <f t="shared" si="224"/>
        <v>0.05</v>
      </c>
      <c r="N6245" s="475">
        <f t="shared" si="225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23"/>
        <v>-3.1742608278615312E+16</v>
      </c>
      <c r="J6246" s="455">
        <f t="array" ref="J6246">IFERROR(INDEX('Retirement Calculator'!J:J,MATCH('Isaac 401k'!N6246,'Retirement Calculator'!A:A,0),0),0)</f>
        <v>0</v>
      </c>
      <c r="K6246" s="455">
        <f t="shared" ca="1" si="221"/>
        <v>-132260867827563.8</v>
      </c>
      <c r="L6246" s="455">
        <f t="shared" ca="1" si="222"/>
        <v>-3.1874869146442876E+16</v>
      </c>
      <c r="M6246" s="471">
        <f t="shared" si="224"/>
        <v>0.05</v>
      </c>
      <c r="N6246" s="475">
        <f t="shared" si="225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23"/>
        <v>-3.1874869146442876E+16</v>
      </c>
      <c r="J6247" s="455">
        <f t="array" ref="J6247">IFERROR(INDEX('Retirement Calculator'!J:J,MATCH('Isaac 401k'!N6247,'Retirement Calculator'!A:A,0),0),0)</f>
        <v>0</v>
      </c>
      <c r="K6247" s="455">
        <f t="shared" ca="1" si="221"/>
        <v>-132811954776845.3</v>
      </c>
      <c r="L6247" s="455">
        <f t="shared" ca="1" si="222"/>
        <v>-3.200768110121972E+16</v>
      </c>
      <c r="M6247" s="471">
        <f t="shared" si="224"/>
        <v>0.05</v>
      </c>
      <c r="N6247" s="475">
        <f t="shared" si="225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23"/>
        <v>-3.200768110121972E+16</v>
      </c>
      <c r="J6248" s="455">
        <f t="array" ref="J6248">IFERROR(INDEX('Retirement Calculator'!J:J,MATCH('Isaac 401k'!N6248,'Retirement Calculator'!A:A,0),0),0)</f>
        <v>0</v>
      </c>
      <c r="K6248" s="455">
        <f t="shared" ca="1" si="221"/>
        <v>-133365337921748.83</v>
      </c>
      <c r="L6248" s="455">
        <f t="shared" ca="1" si="222"/>
        <v>-3.2141046439141468E+16</v>
      </c>
      <c r="M6248" s="471">
        <f t="shared" si="224"/>
        <v>0.05</v>
      </c>
      <c r="N6248" s="475">
        <f t="shared" si="225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23"/>
        <v>-3.2141046439141468E+16</v>
      </c>
      <c r="J6249" s="455">
        <f t="array" ref="J6249">IFERROR(INDEX('Retirement Calculator'!J:J,MATCH('Isaac 401k'!N6249,'Retirement Calculator'!A:A,0),0),0)</f>
        <v>0</v>
      </c>
      <c r="K6249" s="455">
        <f t="shared" ca="1" si="221"/>
        <v>-133921026829756.11</v>
      </c>
      <c r="L6249" s="455">
        <f t="shared" ca="1" si="222"/>
        <v>-3.2274967465971224E+16</v>
      </c>
      <c r="M6249" s="471">
        <f t="shared" si="224"/>
        <v>0.05</v>
      </c>
      <c r="N6249" s="475">
        <f t="shared" si="225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23"/>
        <v>-3.2274967465971224E+16</v>
      </c>
      <c r="J6250" s="455">
        <f t="array" ref="J6250">IFERROR(INDEX('Retirement Calculator'!J:J,MATCH('Isaac 401k'!N6250,'Retirement Calculator'!A:A,0),0),0)</f>
        <v>0</v>
      </c>
      <c r="K6250" s="455">
        <f t="shared" ca="1" si="221"/>
        <v>-134479031108213.44</v>
      </c>
      <c r="L6250" s="455">
        <f t="shared" ca="1" si="222"/>
        <v>-3.2409446497079436E+16</v>
      </c>
      <c r="M6250" s="471">
        <f t="shared" si="224"/>
        <v>0.05</v>
      </c>
      <c r="N6250" s="475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70" t="s">
        <v>671</v>
      </c>
      <c r="B1" s="455">
        <f ca="1">'Combined Retirement'!I8+'Combined Retirement'!K8</f>
        <v>3263480.1424604882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75"/>
    </row>
    <row r="2" spans="1:14" ht="11.25" customHeight="1" x14ac:dyDescent="0.3">
      <c r="A2" s="470" t="s">
        <v>672</v>
      </c>
      <c r="B2" s="471">
        <v>0.05</v>
      </c>
      <c r="C2" s="457" t="s">
        <v>681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75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75"/>
    </row>
    <row r="4" spans="1:14" ht="11.25" customHeight="1" x14ac:dyDescent="0.3">
      <c r="A4" s="470" t="s">
        <v>674</v>
      </c>
      <c r="B4" s="462">
        <f ca="1">(SUMIFS(H:H,I:I,"&gt;0",L:L,"&lt;0"))/12</f>
        <v>46.833333333333336</v>
      </c>
      <c r="C4" s="474">
        <f ca="1">(SUMIFS(H:H,I:I,"&gt;0",L:L,"&lt;0"))</f>
        <v>562</v>
      </c>
      <c r="D4" s="467">
        <f t="array" aca="1" ref="D4" ca="1">INDEX(N:N,MATCH(C4,H:H,0),0)</f>
        <v>68362</v>
      </c>
      <c r="E4" s="457"/>
      <c r="F4" s="457"/>
      <c r="G4" s="470"/>
      <c r="H4" s="470"/>
      <c r="I4" s="457"/>
      <c r="J4" s="442"/>
      <c r="K4" s="442"/>
      <c r="L4" s="442"/>
      <c r="M4" s="473"/>
      <c r="N4" s="475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75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75"/>
    </row>
    <row r="7" spans="1:14" ht="11.25" customHeight="1" x14ac:dyDescent="0.3">
      <c r="A7" s="470" t="s">
        <v>675</v>
      </c>
      <c r="B7" s="457" t="s">
        <v>676</v>
      </c>
      <c r="C7" s="457" t="s">
        <v>677</v>
      </c>
      <c r="D7" s="457" t="s">
        <v>678</v>
      </c>
      <c r="E7" s="457" t="s">
        <v>679</v>
      </c>
      <c r="F7" s="457"/>
      <c r="G7" s="470" t="s">
        <v>680</v>
      </c>
      <c r="H7" s="470" t="s">
        <v>224</v>
      </c>
      <c r="I7" s="457" t="s">
        <v>676</v>
      </c>
      <c r="J7" s="457" t="s">
        <v>677</v>
      </c>
      <c r="K7" s="457" t="s">
        <v>678</v>
      </c>
      <c r="L7" s="457" t="s">
        <v>679</v>
      </c>
      <c r="M7" s="471"/>
      <c r="N7" s="475" t="s">
        <v>606</v>
      </c>
    </row>
    <row r="8" spans="1:14" ht="11.25" customHeight="1" x14ac:dyDescent="0.3">
      <c r="A8" s="470">
        <v>1</v>
      </c>
      <c r="B8" s="458">
        <f ca="1">B1</f>
        <v>3263480.1424604882</v>
      </c>
      <c r="C8" s="458">
        <f t="shared" ref="C8:C71" si="0">SUMIF(G:G,A8,J:J)</f>
        <v>0</v>
      </c>
      <c r="D8" s="458">
        <f ca="1">SUMIF(G:G,1,K:K)</f>
        <v>166965.83778762759</v>
      </c>
      <c r="E8" s="458">
        <f t="shared" ref="E8:E71" ca="1" si="1">B8-C8+D8</f>
        <v>3430445.980248116</v>
      </c>
      <c r="F8" s="442"/>
      <c r="G8" s="470">
        <v>1</v>
      </c>
      <c r="H8" s="470">
        <v>1</v>
      </c>
      <c r="I8" s="455">
        <f ca="1">B1</f>
        <v>3263480.1424604882</v>
      </c>
      <c r="J8" s="455">
        <f t="array" ref="J8">IFERROR(INDEX('Retirement Calculator'!K:K,MATCH('Lorri 401b'!N8,'Retirement Calculator'!A:A,0),0),0)</f>
        <v>0</v>
      </c>
      <c r="K8" s="455">
        <f t="shared" ref="K8:K262" ca="1" si="2">IPMT(M8/12,1,12,-I8+J8,,0)</f>
        <v>13597.8339269187</v>
      </c>
      <c r="L8" s="455">
        <f t="shared" ref="L8:L262" ca="1" si="3">I8-J8+K8</f>
        <v>3277077.9763874072</v>
      </c>
      <c r="M8" s="471">
        <f>B2</f>
        <v>0.05</v>
      </c>
      <c r="N8" s="475">
        <f>'Retirement Calculator'!D7</f>
        <v>51288</v>
      </c>
    </row>
    <row r="9" spans="1:14" ht="11.25" customHeight="1" x14ac:dyDescent="0.3">
      <c r="A9" s="470">
        <v>2</v>
      </c>
      <c r="B9" s="458">
        <f t="shared" ref="B9:B71" ca="1" si="4">E8</f>
        <v>3430445.980248116</v>
      </c>
      <c r="C9" s="458">
        <f t="shared" si="0"/>
        <v>0</v>
      </c>
      <c r="D9" s="458">
        <f ca="1">SUMIF(G:G,2,K:K)</f>
        <v>175508.1269302562</v>
      </c>
      <c r="E9" s="458">
        <f t="shared" ca="1" si="1"/>
        <v>3605954.1071783723</v>
      </c>
      <c r="F9" s="442"/>
      <c r="G9" s="470">
        <v>1</v>
      </c>
      <c r="H9" s="470">
        <v>2</v>
      </c>
      <c r="I9" s="455">
        <f t="shared" ref="I9:I263" ca="1" si="5">L8</f>
        <v>3277077.9763874072</v>
      </c>
      <c r="J9" s="455">
        <f t="array" ref="J9">IFERROR(INDEX('Retirement Calculator'!K:K,MATCH('Lorri 401b'!N9,'Retirement Calculator'!A:A,0),0),0)</f>
        <v>0</v>
      </c>
      <c r="K9" s="455">
        <f t="shared" ca="1" si="2"/>
        <v>13654.491568280864</v>
      </c>
      <c r="L9" s="455">
        <f t="shared" ca="1" si="3"/>
        <v>3290732.467955688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3605954.1071783723</v>
      </c>
      <c r="C10" s="458">
        <f t="shared" si="0"/>
        <v>0</v>
      </c>
      <c r="D10" s="458">
        <f ca="1">SUMIF(G:G,3,K:K)</f>
        <v>184487.4557976762</v>
      </c>
      <c r="E10" s="458">
        <f t="shared" ca="1" si="1"/>
        <v>3790441.5629760483</v>
      </c>
      <c r="F10" s="442"/>
      <c r="G10" s="470">
        <v>1</v>
      </c>
      <c r="H10" s="470">
        <v>3</v>
      </c>
      <c r="I10" s="455">
        <f t="shared" ca="1" si="5"/>
        <v>3290732.467955688</v>
      </c>
      <c r="J10" s="455">
        <f t="array" ref="J10">IFERROR(INDEX('Retirement Calculator'!K:K,MATCH('Lorri 401b'!N10,'Retirement Calculator'!A:A,0),0),0)</f>
        <v>0</v>
      </c>
      <c r="K10" s="455">
        <f t="shared" ca="1" si="2"/>
        <v>13711.3852831487</v>
      </c>
      <c r="L10" s="455">
        <f t="shared" ca="1" si="3"/>
        <v>3304443.8532388369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3790441.5629760483</v>
      </c>
      <c r="C11" s="458">
        <f t="shared" si="0"/>
        <v>0</v>
      </c>
      <c r="D11" s="458">
        <f ca="1">SUMIF(G:G,4,K:K)</f>
        <v>193926.18417165772</v>
      </c>
      <c r="E11" s="458">
        <f t="shared" ca="1" si="1"/>
        <v>3984367.7471477059</v>
      </c>
      <c r="F11" s="442"/>
      <c r="G11" s="470">
        <v>1</v>
      </c>
      <c r="H11" s="470">
        <v>4</v>
      </c>
      <c r="I11" s="455">
        <f t="shared" ca="1" si="5"/>
        <v>3304443.8532388369</v>
      </c>
      <c r="J11" s="455">
        <f t="array" ref="J11">IFERROR(INDEX('Retirement Calculator'!K:K,MATCH('Lorri 401b'!N11,'Retirement Calculator'!A:A,0),0),0)</f>
        <v>0</v>
      </c>
      <c r="K11" s="455">
        <f t="shared" ca="1" si="2"/>
        <v>13768.516055161819</v>
      </c>
      <c r="L11" s="455">
        <f t="shared" ca="1" si="3"/>
        <v>3318212.3692939985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3984367.7471477059</v>
      </c>
      <c r="C12" s="458">
        <f t="shared" si="0"/>
        <v>0</v>
      </c>
      <c r="D12" s="458">
        <f ca="1">SUMIF(G:G,5,K:K)</f>
        <v>203847.8158028422</v>
      </c>
      <c r="E12" s="458">
        <f t="shared" ca="1" si="1"/>
        <v>4188215.5629505483</v>
      </c>
      <c r="F12" s="442"/>
      <c r="G12" s="470">
        <v>1</v>
      </c>
      <c r="H12" s="470">
        <v>5</v>
      </c>
      <c r="I12" s="455">
        <f t="shared" ca="1" si="5"/>
        <v>3318212.3692939985</v>
      </c>
      <c r="J12" s="455">
        <f t="array" ref="J12">IFERROR(INDEX('Retirement Calculator'!K:K,MATCH('Lorri 401b'!N12,'Retirement Calculator'!A:A,0),0),0)</f>
        <v>0</v>
      </c>
      <c r="K12" s="455">
        <f t="shared" ca="1" si="2"/>
        <v>13825.884872058326</v>
      </c>
      <c r="L12" s="455">
        <f t="shared" ca="1" si="3"/>
        <v>3332038.2541660569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4188215.5629505483</v>
      </c>
      <c r="C13" s="458">
        <f t="shared" si="0"/>
        <v>110129.63259692027</v>
      </c>
      <c r="D13" s="458">
        <f ca="1">SUMIF(G:G,6,K:K)</f>
        <v>212892.76470022724</v>
      </c>
      <c r="E13" s="458">
        <f t="shared" ca="1" si="1"/>
        <v>4290978.695053855</v>
      </c>
      <c r="F13" s="442"/>
      <c r="G13" s="470">
        <v>1</v>
      </c>
      <c r="H13" s="470">
        <v>6</v>
      </c>
      <c r="I13" s="455">
        <f t="shared" ca="1" si="5"/>
        <v>3332038.2541660569</v>
      </c>
      <c r="J13" s="455">
        <f t="array" ref="J13">IFERROR(INDEX('Retirement Calculator'!K:K,MATCH('Lorri 401b'!N13,'Retirement Calculator'!A:A,0),0),0)</f>
        <v>0</v>
      </c>
      <c r="K13" s="455">
        <f t="shared" ca="1" si="2"/>
        <v>13883.492725691904</v>
      </c>
      <c r="L13" s="455">
        <f t="shared" ca="1" si="3"/>
        <v>3345921.7468917486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4290978.695053855</v>
      </c>
      <c r="C14" s="458">
        <f t="shared" si="0"/>
        <v>264311.11823260866</v>
      </c>
      <c r="D14" s="458">
        <f ca="1">SUMIF(G:G,7,K:K)</f>
        <v>212265.67503784286</v>
      </c>
      <c r="E14" s="458">
        <f t="shared" ca="1" si="1"/>
        <v>4238933.2518590894</v>
      </c>
      <c r="F14" s="442"/>
      <c r="G14" s="470">
        <v>1</v>
      </c>
      <c r="H14" s="470">
        <v>7</v>
      </c>
      <c r="I14" s="455">
        <f t="shared" ca="1" si="5"/>
        <v>3345921.7468917486</v>
      </c>
      <c r="J14" s="455">
        <f t="array" ref="J14">IFERROR(INDEX('Retirement Calculator'!K:K,MATCH('Lorri 401b'!N14,'Retirement Calculator'!A:A,0),0),0)</f>
        <v>0</v>
      </c>
      <c r="K14" s="455">
        <f t="shared" ca="1" si="2"/>
        <v>13941.340612048953</v>
      </c>
      <c r="L14" s="455">
        <f t="shared" ca="1" si="3"/>
        <v>3359863.0875037974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4238933.2518590894</v>
      </c>
      <c r="C15" s="458">
        <f t="shared" si="0"/>
        <v>264311.11823260866</v>
      </c>
      <c r="D15" s="458">
        <f ca="1">SUMIF(G:G,8,K:K)</f>
        <v>209602.93138790291</v>
      </c>
      <c r="E15" s="458">
        <f t="shared" ca="1" si="1"/>
        <v>4184225.0650143833</v>
      </c>
      <c r="F15" s="442"/>
      <c r="G15" s="470">
        <v>1</v>
      </c>
      <c r="H15" s="470">
        <v>8</v>
      </c>
      <c r="I15" s="455">
        <f t="shared" ca="1" si="5"/>
        <v>3359863.0875037974</v>
      </c>
      <c r="J15" s="455">
        <f t="array" ref="J15">IFERROR(INDEX('Retirement Calculator'!K:K,MATCH('Lorri 401b'!N15,'Retirement Calculator'!A:A,0),0),0)</f>
        <v>0</v>
      </c>
      <c r="K15" s="455">
        <f t="shared" ca="1" si="2"/>
        <v>13999.429531265821</v>
      </c>
      <c r="L15" s="455">
        <f t="shared" ca="1" si="3"/>
        <v>3373862.5170350634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4184225.0650143833</v>
      </c>
      <c r="C16" s="458">
        <f t="shared" si="0"/>
        <v>245128.2138326086</v>
      </c>
      <c r="D16" s="458">
        <f ca="1">SUMIF(G:G,9,K:K)</f>
        <v>207290.25292263061</v>
      </c>
      <c r="E16" s="458">
        <f t="shared" ca="1" si="1"/>
        <v>4146387.1041044053</v>
      </c>
      <c r="F16" s="442"/>
      <c r="G16" s="470">
        <v>1</v>
      </c>
      <c r="H16" s="470">
        <v>9</v>
      </c>
      <c r="I16" s="455">
        <f t="shared" ca="1" si="5"/>
        <v>3373862.5170350634</v>
      </c>
      <c r="J16" s="455">
        <f t="array" ref="J16">IFERROR(INDEX('Retirement Calculator'!K:K,MATCH('Lorri 401b'!N16,'Retirement Calculator'!A:A,0),0),0)</f>
        <v>0</v>
      </c>
      <c r="K16" s="455">
        <f t="shared" ca="1" si="2"/>
        <v>14057.760487646097</v>
      </c>
      <c r="L16" s="455">
        <f t="shared" ca="1" si="3"/>
        <v>3387920.2775227092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4146387.1041044053</v>
      </c>
      <c r="C17" s="458">
        <f t="shared" si="0"/>
        <v>243384.31343260861</v>
      </c>
      <c r="D17" s="458">
        <f ca="1">SUMIF(G:G,10,K:K)</f>
        <v>205443.61228468205</v>
      </c>
      <c r="E17" s="458">
        <f t="shared" ca="1" si="1"/>
        <v>4108446.4029564788</v>
      </c>
      <c r="F17" s="442"/>
      <c r="G17" s="470">
        <v>1</v>
      </c>
      <c r="H17" s="470">
        <v>10</v>
      </c>
      <c r="I17" s="455">
        <f t="shared" ca="1" si="5"/>
        <v>3387920.2775227092</v>
      </c>
      <c r="J17" s="455">
        <f t="array" ref="J17">IFERROR(INDEX('Retirement Calculator'!K:K,MATCH('Lorri 401b'!N17,'Retirement Calculator'!A:A,0),0),0)</f>
        <v>0</v>
      </c>
      <c r="K17" s="455">
        <f t="shared" ca="1" si="2"/>
        <v>14116.334489677954</v>
      </c>
      <c r="L17" s="455">
        <f t="shared" ca="1" si="3"/>
        <v>3402036.6120123873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4108446.4029564788</v>
      </c>
      <c r="C18" s="458">
        <f t="shared" si="0"/>
        <v>243384.31343260861</v>
      </c>
      <c r="D18" s="458">
        <f ca="1">SUMIF(G:G,11,K:K)</f>
        <v>203502.49400699048</v>
      </c>
      <c r="E18" s="458">
        <f t="shared" ca="1" si="1"/>
        <v>4068564.5835308605</v>
      </c>
      <c r="F18" s="442"/>
      <c r="G18" s="470">
        <v>1</v>
      </c>
      <c r="H18" s="470">
        <v>11</v>
      </c>
      <c r="I18" s="455">
        <f t="shared" ca="1" si="5"/>
        <v>3402036.6120123873</v>
      </c>
      <c r="J18" s="455">
        <f t="array" ref="J18">IFERROR(INDEX('Retirement Calculator'!K:K,MATCH('Lorri 401b'!N18,'Retirement Calculator'!A:A,0),0),0)</f>
        <v>0</v>
      </c>
      <c r="K18" s="455">
        <f t="shared" ca="1" si="2"/>
        <v>14175.152550051613</v>
      </c>
      <c r="L18" s="455">
        <f t="shared" ca="1" si="3"/>
        <v>3416211.7645624387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4068564.5835308605</v>
      </c>
      <c r="C19" s="458">
        <f t="shared" si="0"/>
        <v>243384.31343260861</v>
      </c>
      <c r="D19" s="458">
        <f ca="1">SUMIF(G:G,12,K:K)</f>
        <v>201462.06443419933</v>
      </c>
      <c r="E19" s="458">
        <f t="shared" ca="1" si="1"/>
        <v>4026642.3345324509</v>
      </c>
      <c r="F19" s="442"/>
      <c r="G19" s="470">
        <v>1</v>
      </c>
      <c r="H19" s="470">
        <v>12</v>
      </c>
      <c r="I19" s="455">
        <f t="shared" ca="1" si="5"/>
        <v>3416211.7645624387</v>
      </c>
      <c r="J19" s="455">
        <f t="array" ref="J19">IFERROR(INDEX('Retirement Calculator'!K:K,MATCH('Lorri 401b'!N19,'Retirement Calculator'!A:A,0),0),0)</f>
        <v>0</v>
      </c>
      <c r="K19" s="455">
        <f t="shared" ca="1" si="2"/>
        <v>14234.215685676827</v>
      </c>
      <c r="L19" s="455">
        <f t="shared" ca="1" si="3"/>
        <v>3430445.9802481155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4026642.3345324509</v>
      </c>
      <c r="C20" s="458">
        <f t="shared" si="0"/>
        <v>243384.31343260861</v>
      </c>
      <c r="D20" s="458">
        <f ca="1">SUMIF(G:G,13,K:K)</f>
        <v>199317.24261197011</v>
      </c>
      <c r="E20" s="458">
        <f t="shared" ca="1" si="1"/>
        <v>3982575.2637118124</v>
      </c>
      <c r="F20" s="442"/>
      <c r="G20" s="470">
        <v>2</v>
      </c>
      <c r="H20" s="470">
        <v>13</v>
      </c>
      <c r="I20" s="455">
        <f t="shared" ca="1" si="5"/>
        <v>3430445.9802481155</v>
      </c>
      <c r="J20" s="455">
        <f t="array" ref="J20">IFERROR(INDEX('Retirement Calculator'!K:K,MATCH('Lorri 401b'!N20,'Retirement Calculator'!A:A,0),0),0)</f>
        <v>0</v>
      </c>
      <c r="K20" s="455">
        <f t="shared" ca="1" si="2"/>
        <v>14293.524917700481</v>
      </c>
      <c r="L20" s="455">
        <f t="shared" ca="1" si="3"/>
        <v>3444739.5051658158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3982575.2637118124</v>
      </c>
      <c r="C21" s="458">
        <f t="shared" si="0"/>
        <v>243384.31343260861</v>
      </c>
      <c r="D21" s="458">
        <f ca="1">SUMIF(G:G,14,K:K)</f>
        <v>197062.68763469753</v>
      </c>
      <c r="E21" s="458">
        <f t="shared" ca="1" si="1"/>
        <v>3936253.6379139014</v>
      </c>
      <c r="F21" s="442"/>
      <c r="G21" s="470">
        <v>2</v>
      </c>
      <c r="H21" s="470">
        <v>14</v>
      </c>
      <c r="I21" s="455">
        <f t="shared" ca="1" si="5"/>
        <v>3444739.5051658158</v>
      </c>
      <c r="J21" s="455">
        <f t="array" ref="J21">IFERROR(INDEX('Retirement Calculator'!K:K,MATCH('Lorri 401b'!N21,'Retirement Calculator'!A:A,0),0),0)</f>
        <v>0</v>
      </c>
      <c r="K21" s="455">
        <f t="shared" ca="1" si="2"/>
        <v>14353.081271524234</v>
      </c>
      <c r="L21" s="455">
        <f t="shared" ca="1" si="3"/>
        <v>3459092.5864373399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3936253.6379139014</v>
      </c>
      <c r="C22" s="458">
        <f t="shared" si="0"/>
        <v>243384.31343260861</v>
      </c>
      <c r="D22" s="458">
        <f ca="1">SUMIF(G:G,15,K:K)</f>
        <v>194692.78534590901</v>
      </c>
      <c r="E22" s="458">
        <f t="shared" ca="1" si="1"/>
        <v>3887562.1098272018</v>
      </c>
      <c r="F22" s="442"/>
      <c r="G22" s="470">
        <v>2</v>
      </c>
      <c r="H22" s="470">
        <v>15</v>
      </c>
      <c r="I22" s="455">
        <f t="shared" ca="1" si="5"/>
        <v>3459092.5864373399</v>
      </c>
      <c r="J22" s="455">
        <f t="array" ref="J22">IFERROR(INDEX('Retirement Calculator'!K:K,MATCH('Lorri 401b'!N22,'Retirement Calculator'!A:A,0),0),0)</f>
        <v>0</v>
      </c>
      <c r="K22" s="455">
        <f t="shared" ca="1" si="2"/>
        <v>14412.88577682225</v>
      </c>
      <c r="L22" s="455">
        <f t="shared" ca="1" si="3"/>
        <v>3473505.4722141623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3887562.1098272018</v>
      </c>
      <c r="C23" s="458">
        <f t="shared" si="0"/>
        <v>243384.31343260861</v>
      </c>
      <c r="D23" s="458">
        <f ca="1">SUMIF(G:G,16,K:K)</f>
        <v>192201.63435823176</v>
      </c>
      <c r="E23" s="458">
        <f t="shared" ca="1" si="1"/>
        <v>3836379.430752825</v>
      </c>
      <c r="F23" s="442"/>
      <c r="G23" s="470">
        <v>2</v>
      </c>
      <c r="H23" s="470">
        <v>16</v>
      </c>
      <c r="I23" s="455">
        <f t="shared" ca="1" si="5"/>
        <v>3473505.4722141623</v>
      </c>
      <c r="J23" s="455">
        <f t="array" ref="J23">IFERROR(INDEX('Retirement Calculator'!K:K,MATCH('Lorri 401b'!N23,'Retirement Calculator'!A:A,0),0),0)</f>
        <v>0</v>
      </c>
      <c r="K23" s="455">
        <f t="shared" ca="1" si="2"/>
        <v>14472.93946755901</v>
      </c>
      <c r="L23" s="455">
        <f t="shared" ca="1" si="3"/>
        <v>3487978.4116817215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3836379.430752825</v>
      </c>
      <c r="C24" s="458">
        <f t="shared" si="0"/>
        <v>243384.31343260861</v>
      </c>
      <c r="D24" s="458">
        <f ca="1">SUMIF(G:G,17,K:K)</f>
        <v>189583.03135811503</v>
      </c>
      <c r="E24" s="458">
        <f t="shared" ca="1" si="1"/>
        <v>3782578.1486783312</v>
      </c>
      <c r="F24" s="442"/>
      <c r="G24" s="470">
        <v>2</v>
      </c>
      <c r="H24" s="470">
        <v>17</v>
      </c>
      <c r="I24" s="455">
        <f t="shared" ca="1" si="5"/>
        <v>3487978.4116817215</v>
      </c>
      <c r="J24" s="455">
        <f t="array" ref="J24">IFERROR(INDEX('Retirement Calculator'!K:K,MATCH('Lorri 401b'!N24,'Retirement Calculator'!A:A,0),0),0)</f>
        <v>0</v>
      </c>
      <c r="K24" s="455">
        <f t="shared" ca="1" si="2"/>
        <v>14533.243382007173</v>
      </c>
      <c r="L24" s="455">
        <f t="shared" ca="1" si="3"/>
        <v>3502511.6550637288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3782578.1486783312</v>
      </c>
      <c r="C25" s="458">
        <f t="shared" si="0"/>
        <v>243384.31343260861</v>
      </c>
      <c r="D25" s="458">
        <f ca="1">SUMIF(G:G,18,K:K)</f>
        <v>186830.45565871353</v>
      </c>
      <c r="E25" s="458">
        <f t="shared" ca="1" si="1"/>
        <v>3726024.2909044358</v>
      </c>
      <c r="F25" s="442"/>
      <c r="G25" s="470">
        <v>2</v>
      </c>
      <c r="H25" s="470">
        <v>18</v>
      </c>
      <c r="I25" s="455">
        <f t="shared" ca="1" si="5"/>
        <v>3502511.6550637288</v>
      </c>
      <c r="J25" s="455">
        <f t="array" ref="J25">IFERROR(INDEX('Retirement Calculator'!K:K,MATCH('Lorri 401b'!N25,'Retirement Calculator'!A:A,0),0),0)</f>
        <v>0</v>
      </c>
      <c r="K25" s="455">
        <f t="shared" ca="1" si="2"/>
        <v>14593.798562765536</v>
      </c>
      <c r="L25" s="455">
        <f t="shared" ca="1" si="3"/>
        <v>3517105.4536264944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3726024.2909044358</v>
      </c>
      <c r="C26" s="458">
        <f t="shared" si="0"/>
        <v>243384.31343260861</v>
      </c>
      <c r="D26" s="458">
        <f ca="1">SUMIF(G:G,19,K:K)</f>
        <v>183937.05296246745</v>
      </c>
      <c r="E26" s="458">
        <f t="shared" ca="1" si="1"/>
        <v>3666577.0304342946</v>
      </c>
      <c r="F26" s="442"/>
      <c r="G26" s="470">
        <v>2</v>
      </c>
      <c r="H26" s="470">
        <v>19</v>
      </c>
      <c r="I26" s="455">
        <f t="shared" ca="1" si="5"/>
        <v>3517105.4536264944</v>
      </c>
      <c r="J26" s="455">
        <f t="array" ref="J26">IFERROR(INDEX('Retirement Calculator'!K:K,MATCH('Lorri 401b'!N26,'Retirement Calculator'!A:A,0),0),0)</f>
        <v>0</v>
      </c>
      <c r="K26" s="455">
        <f t="shared" ca="1" si="2"/>
        <v>14654.60605677706</v>
      </c>
      <c r="L26" s="455">
        <f t="shared" ca="1" si="3"/>
        <v>3531760.0596832712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3666577.0304342946</v>
      </c>
      <c r="C27" s="458">
        <f t="shared" si="0"/>
        <v>243384.31343260861</v>
      </c>
      <c r="D27" s="458">
        <f ca="1">SUMIF(G:G,20,K:K)</f>
        <v>180895.61829294532</v>
      </c>
      <c r="E27" s="458">
        <f t="shared" ca="1" si="1"/>
        <v>3604088.3352946313</v>
      </c>
      <c r="F27" s="442"/>
      <c r="G27" s="470">
        <v>2</v>
      </c>
      <c r="H27" s="470">
        <v>20</v>
      </c>
      <c r="I27" s="455">
        <f t="shared" ca="1" si="5"/>
        <v>3531760.0596832712</v>
      </c>
      <c r="J27" s="455">
        <f t="array" ref="J27">IFERROR(INDEX('Retirement Calculator'!K:K,MATCH('Lorri 401b'!N27,'Retirement Calculator'!A:A,0),0),0)</f>
        <v>0</v>
      </c>
      <c r="K27" s="455">
        <f t="shared" ca="1" si="2"/>
        <v>14715.666915346965</v>
      </c>
      <c r="L27" s="455">
        <f t="shared" ca="1" si="3"/>
        <v>3546475.7265986181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3604088.3352946313</v>
      </c>
      <c r="C28" s="458">
        <f t="shared" si="0"/>
        <v>243384.31343260861</v>
      </c>
      <c r="D28" s="458">
        <f ca="1">SUMIF(G:G,21,K:K)</f>
        <v>177698.57805344713</v>
      </c>
      <c r="E28" s="458">
        <f t="shared" ca="1" si="1"/>
        <v>3538402.5999154695</v>
      </c>
      <c r="F28" s="442"/>
      <c r="G28" s="470">
        <v>2</v>
      </c>
      <c r="H28" s="470">
        <v>21</v>
      </c>
      <c r="I28" s="455">
        <f t="shared" ca="1" si="5"/>
        <v>3546475.7265986181</v>
      </c>
      <c r="J28" s="455">
        <f t="array" ref="J28">IFERROR(INDEX('Retirement Calculator'!K:K,MATCH('Lorri 401b'!N28,'Retirement Calculator'!A:A,0),0),0)</f>
        <v>0</v>
      </c>
      <c r="K28" s="455">
        <f t="shared" ca="1" si="2"/>
        <v>14776.982194160908</v>
      </c>
      <c r="L28" s="455">
        <f t="shared" ca="1" si="3"/>
        <v>3561252.7087927791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3538402.5999154695</v>
      </c>
      <c r="C29" s="458">
        <f t="shared" si="0"/>
        <v>243384.31343260861</v>
      </c>
      <c r="D29" s="458">
        <f ca="1">SUMIF(G:G,22,K:K)</f>
        <v>174337.97116769198</v>
      </c>
      <c r="E29" s="458">
        <f t="shared" ca="1" si="1"/>
        <v>3469356.2576505528</v>
      </c>
      <c r="F29" s="442"/>
      <c r="G29" s="470">
        <v>2</v>
      </c>
      <c r="H29" s="470">
        <v>22</v>
      </c>
      <c r="I29" s="455">
        <f t="shared" ca="1" si="5"/>
        <v>3561252.7087927791</v>
      </c>
      <c r="J29" s="455">
        <f t="array" ref="J29">IFERROR(INDEX('Retirement Calculator'!K:K,MATCH('Lorri 401b'!N29,'Retirement Calculator'!A:A,0),0),0)</f>
        <v>0</v>
      </c>
      <c r="K29" s="455">
        <f t="shared" ca="1" si="2"/>
        <v>14838.552953303244</v>
      </c>
      <c r="L29" s="455">
        <f t="shared" ca="1" si="3"/>
        <v>3576091.2617460825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3469356.2576505528</v>
      </c>
      <c r="C30" s="458">
        <f t="shared" si="0"/>
        <v>243384.31343260861</v>
      </c>
      <c r="D30" s="458">
        <f ca="1">SUMIF(G:G,23,K:K)</f>
        <v>170805.42925562715</v>
      </c>
      <c r="E30" s="458">
        <f t="shared" ca="1" si="1"/>
        <v>3396777.3734735711</v>
      </c>
      <c r="F30" s="442"/>
      <c r="G30" s="470">
        <v>2</v>
      </c>
      <c r="H30" s="470">
        <v>23</v>
      </c>
      <c r="I30" s="455">
        <f t="shared" ca="1" si="5"/>
        <v>3576091.2617460825</v>
      </c>
      <c r="J30" s="455">
        <f t="array" ref="J30">IFERROR(INDEX('Retirement Calculator'!K:K,MATCH('Lorri 401b'!N30,'Retirement Calculator'!A:A,0),0),0)</f>
        <v>0</v>
      </c>
      <c r="K30" s="455">
        <f t="shared" ca="1" si="2"/>
        <v>14900.380257275341</v>
      </c>
      <c r="L30" s="455">
        <f t="shared" ca="1" si="3"/>
        <v>3590991.6420033579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3396777.3734735711</v>
      </c>
      <c r="C31" s="458">
        <f t="shared" si="0"/>
        <v>243384.31343260861</v>
      </c>
      <c r="D31" s="458">
        <f ca="1">SUMIF(G:G,24,K:K)</f>
        <v>167092.15579499432</v>
      </c>
      <c r="E31" s="458">
        <f t="shared" ca="1" si="1"/>
        <v>3320485.2158359569</v>
      </c>
      <c r="F31" s="442"/>
      <c r="G31" s="470">
        <v>2</v>
      </c>
      <c r="H31" s="470">
        <v>24</v>
      </c>
      <c r="I31" s="455">
        <f t="shared" ca="1" si="5"/>
        <v>3590991.6420033579</v>
      </c>
      <c r="J31" s="455">
        <f t="array" ref="J31">IFERROR(INDEX('Retirement Calculator'!K:K,MATCH('Lorri 401b'!N31,'Retirement Calculator'!A:A,0),0),0)</f>
        <v>0</v>
      </c>
      <c r="K31" s="455">
        <f t="shared" ca="1" si="2"/>
        <v>14962.465175013989</v>
      </c>
      <c r="L31" s="455">
        <f t="shared" ca="1" si="3"/>
        <v>3605954.1071783719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3320485.2158359569</v>
      </c>
      <c r="C32" s="458">
        <f t="shared" si="0"/>
        <v>243384.31343260861</v>
      </c>
      <c r="D32" s="458">
        <f ca="1">SUMIF(G:G,25,K:K)</f>
        <v>163188.90421676164</v>
      </c>
      <c r="E32" s="458">
        <f t="shared" ca="1" si="1"/>
        <v>3240289.8066201098</v>
      </c>
      <c r="F32" s="442"/>
      <c r="G32" s="470">
        <v>3</v>
      </c>
      <c r="H32" s="470">
        <v>25</v>
      </c>
      <c r="I32" s="455">
        <f t="shared" ca="1" si="5"/>
        <v>3605954.1071783719</v>
      </c>
      <c r="J32" s="455">
        <f t="array" ref="J32">IFERROR(INDEX('Retirement Calculator'!K:K,MATCH('Lorri 401b'!N32,'Retirement Calculator'!A:A,0),0),0)</f>
        <v>0</v>
      </c>
      <c r="K32" s="455">
        <f t="shared" ca="1" si="2"/>
        <v>15024.808779909883</v>
      </c>
      <c r="L32" s="455">
        <f t="shared" ca="1" si="3"/>
        <v>3620978.9159582816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3240289.8066201098</v>
      </c>
      <c r="C33" s="458">
        <f t="shared" si="0"/>
        <v>243384.31343260861</v>
      </c>
      <c r="D33" s="458">
        <f ca="1">SUMIF(G:G,26,K:K)</f>
        <v>159085.95487987675</v>
      </c>
      <c r="E33" s="458">
        <f t="shared" ca="1" si="1"/>
        <v>3155991.4480673778</v>
      </c>
      <c r="F33" s="442"/>
      <c r="G33" s="470">
        <v>3</v>
      </c>
      <c r="H33" s="470">
        <v>26</v>
      </c>
      <c r="I33" s="455">
        <f t="shared" ca="1" si="5"/>
        <v>3620978.9159582816</v>
      </c>
      <c r="J33" s="455">
        <f t="array" ref="J33">IFERROR(INDEX('Retirement Calculator'!K:K,MATCH('Lorri 401b'!N33,'Retirement Calculator'!A:A,0),0),0)</f>
        <v>0</v>
      </c>
      <c r="K33" s="455">
        <f t="shared" ca="1" si="2"/>
        <v>15087.412149826174</v>
      </c>
      <c r="L33" s="455">
        <f t="shared" ca="1" si="3"/>
        <v>3636066.3281081077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3155991.4480673778</v>
      </c>
      <c r="C34" s="458">
        <f t="shared" si="0"/>
        <v>243384.31343260861</v>
      </c>
      <c r="D34" s="458">
        <f ca="1">SUMIF(G:G,27,K:K)</f>
        <v>154773.09086800425</v>
      </c>
      <c r="E34" s="458">
        <f t="shared" ca="1" si="1"/>
        <v>3067380.2255027732</v>
      </c>
      <c r="F34" s="442"/>
      <c r="G34" s="470">
        <v>3</v>
      </c>
      <c r="H34" s="470">
        <v>27</v>
      </c>
      <c r="I34" s="455">
        <f t="shared" ca="1" si="5"/>
        <v>3636066.3281081077</v>
      </c>
      <c r="J34" s="455">
        <f t="array" ref="J34">IFERROR(INDEX('Retirement Calculator'!K:K,MATCH('Lorri 401b'!N34,'Retirement Calculator'!A:A,0),0),0)</f>
        <v>0</v>
      </c>
      <c r="K34" s="455">
        <f t="shared" ca="1" si="2"/>
        <v>15150.276367117112</v>
      </c>
      <c r="L34" s="455">
        <f t="shared" ca="1" si="3"/>
        <v>3651216.6044752249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3067380.2255027732</v>
      </c>
      <c r="C35" s="458">
        <f t="shared" si="0"/>
        <v>243384.31343260861</v>
      </c>
      <c r="D35" s="458">
        <f ca="1">SUMIF(G:G,28,K:K)</f>
        <v>150239.57254797849</v>
      </c>
      <c r="E35" s="458">
        <f t="shared" ca="1" si="1"/>
        <v>2974235.4846181432</v>
      </c>
      <c r="F35" s="442"/>
      <c r="G35" s="470">
        <v>3</v>
      </c>
      <c r="H35" s="470">
        <v>28</v>
      </c>
      <c r="I35" s="455">
        <f t="shared" ca="1" si="5"/>
        <v>3651216.6044752249</v>
      </c>
      <c r="J35" s="455">
        <f t="array" ref="J35">IFERROR(INDEX('Retirement Calculator'!K:K,MATCH('Lorri 401b'!N35,'Retirement Calculator'!A:A,0),0),0)</f>
        <v>0</v>
      </c>
      <c r="K35" s="455">
        <f t="shared" ca="1" si="2"/>
        <v>15213.40251864677</v>
      </c>
      <c r="L35" s="455">
        <f t="shared" ca="1" si="3"/>
        <v>3666430.0069938716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2974235.4846181432</v>
      </c>
      <c r="C36" s="458">
        <f t="shared" si="0"/>
        <v>243384.31343260861</v>
      </c>
      <c r="D36" s="458">
        <f ca="1">SUMIF(G:G,29,K:K)</f>
        <v>145474.11082661859</v>
      </c>
      <c r="E36" s="458">
        <f t="shared" ca="1" si="1"/>
        <v>2876325.282012153</v>
      </c>
      <c r="F36" s="442"/>
      <c r="G36" s="470">
        <v>3</v>
      </c>
      <c r="H36" s="470">
        <v>29</v>
      </c>
      <c r="I36" s="455">
        <f t="shared" ca="1" si="5"/>
        <v>3666430.0069938716</v>
      </c>
      <c r="J36" s="455">
        <f t="array" ref="J36">IFERROR(INDEX('Retirement Calculator'!K:K,MATCH('Lorri 401b'!N36,'Retirement Calculator'!A:A,0),0),0)</f>
        <v>0</v>
      </c>
      <c r="K36" s="455">
        <f t="shared" ca="1" si="2"/>
        <v>15276.791695807799</v>
      </c>
      <c r="L36" s="455">
        <f t="shared" ca="1" si="3"/>
        <v>3681706.7986896792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2876325.282012153</v>
      </c>
      <c r="C37" s="458">
        <f t="shared" si="0"/>
        <v>243384.31343260861</v>
      </c>
      <c r="D37" s="458">
        <f ca="1">SUMIF(G:G,30,K:K)</f>
        <v>140464.83903931116</v>
      </c>
      <c r="E37" s="458">
        <f t="shared" ca="1" si="1"/>
        <v>2773405.8076188555</v>
      </c>
      <c r="F37" s="442"/>
      <c r="G37" s="470">
        <v>3</v>
      </c>
      <c r="H37" s="470">
        <v>30</v>
      </c>
      <c r="I37" s="455">
        <f t="shared" ca="1" si="5"/>
        <v>3681706.7986896792</v>
      </c>
      <c r="J37" s="455">
        <f t="array" ref="J37">IFERROR(INDEX('Retirement Calculator'!K:K,MATCH('Lorri 401b'!N37,'Retirement Calculator'!A:A,0),0),0)</f>
        <v>0</v>
      </c>
      <c r="K37" s="455">
        <f t="shared" ca="1" si="2"/>
        <v>15340.44499454033</v>
      </c>
      <c r="L37" s="455">
        <f t="shared" ca="1" si="3"/>
        <v>3697047.2436842197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2773405.8076188555</v>
      </c>
      <c r="C38" s="458">
        <f t="shared" si="0"/>
        <v>243384.31343260861</v>
      </c>
      <c r="D38" s="458">
        <f ca="1">SUMIF(G:G,31,K:K)</f>
        <v>135199.28340035968</v>
      </c>
      <c r="E38" s="458">
        <f t="shared" ca="1" si="1"/>
        <v>2665220.7775866063</v>
      </c>
      <c r="F38" s="442"/>
      <c r="G38" s="470">
        <v>3</v>
      </c>
      <c r="H38" s="470">
        <v>31</v>
      </c>
      <c r="I38" s="455">
        <f t="shared" ca="1" si="5"/>
        <v>3697047.2436842197</v>
      </c>
      <c r="J38" s="455">
        <f t="array" ref="J38">IFERROR(INDEX('Retirement Calculator'!K:K,MATCH('Lorri 401b'!N38,'Retirement Calculator'!A:A,0),0),0)</f>
        <v>0</v>
      </c>
      <c r="K38" s="455">
        <f t="shared" ca="1" si="2"/>
        <v>15404.363515350917</v>
      </c>
      <c r="L38" s="455">
        <f t="shared" ca="1" si="3"/>
        <v>3712451.6071995706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2665220.7775866063</v>
      </c>
      <c r="C39" s="458">
        <f t="shared" si="0"/>
        <v>243384.31343260861</v>
      </c>
      <c r="D39" s="458">
        <f ca="1">SUMIF(G:G,32,K:K)</f>
        <v>129664.33194151752</v>
      </c>
      <c r="E39" s="458">
        <f t="shared" ca="1" si="1"/>
        <v>2551500.7960955151</v>
      </c>
      <c r="F39" s="442"/>
      <c r="G39" s="470">
        <v>3</v>
      </c>
      <c r="H39" s="470">
        <v>32</v>
      </c>
      <c r="I39" s="455">
        <f t="shared" ca="1" si="5"/>
        <v>3712451.6071995706</v>
      </c>
      <c r="J39" s="455">
        <f t="array" ref="J39">IFERROR(INDEX('Retirement Calculator'!K:K,MATCH('Lorri 401b'!N39,'Retirement Calculator'!A:A,0),0),0)</f>
        <v>0</v>
      </c>
      <c r="K39" s="455">
        <f t="shared" ca="1" si="2"/>
        <v>15468.548363331543</v>
      </c>
      <c r="L39" s="455">
        <f t="shared" ca="1" si="3"/>
        <v>3727920.1555629023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2551500.7960955151</v>
      </c>
      <c r="C40" s="458">
        <f t="shared" si="0"/>
        <v>243384.31343260861</v>
      </c>
      <c r="D40" s="458">
        <f ca="1">SUMIF(G:G,33,K:K)</f>
        <v>123846.20186135777</v>
      </c>
      <c r="E40" s="458">
        <f t="shared" ca="1" si="1"/>
        <v>2431962.6845242642</v>
      </c>
      <c r="F40" s="442"/>
      <c r="G40" s="470">
        <v>3</v>
      </c>
      <c r="H40" s="470">
        <v>33</v>
      </c>
      <c r="I40" s="455">
        <f t="shared" ca="1" si="5"/>
        <v>3727920.1555629023</v>
      </c>
      <c r="J40" s="455">
        <f t="array" ref="J40">IFERROR(INDEX('Retirement Calculator'!K:K,MATCH('Lorri 401b'!N40,'Retirement Calculator'!A:A,0),0),0)</f>
        <v>0</v>
      </c>
      <c r="K40" s="455">
        <f t="shared" ca="1" si="2"/>
        <v>15533.000648178759</v>
      </c>
      <c r="L40" s="455">
        <f t="shared" ca="1" si="3"/>
        <v>3743453.156211081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2431962.6845242642</v>
      </c>
      <c r="C41" s="458">
        <f t="shared" si="0"/>
        <v>243384.31343260861</v>
      </c>
      <c r="D41" s="458">
        <f ca="1">SUMIF(G:G,34,K:K)</f>
        <v>117730.40520417423</v>
      </c>
      <c r="E41" s="458">
        <f t="shared" ca="1" si="1"/>
        <v>2306308.7762958296</v>
      </c>
      <c r="F41" s="442"/>
      <c r="G41" s="470">
        <v>3</v>
      </c>
      <c r="H41" s="470">
        <v>34</v>
      </c>
      <c r="I41" s="455">
        <f t="shared" ca="1" si="5"/>
        <v>3743453.156211081</v>
      </c>
      <c r="J41" s="455">
        <f t="array" ref="J41">IFERROR(INDEX('Retirement Calculator'!K:K,MATCH('Lorri 401b'!N41,'Retirement Calculator'!A:A,0),0),0)</f>
        <v>0</v>
      </c>
      <c r="K41" s="455">
        <f t="shared" ca="1" si="2"/>
        <v>15597.72148421284</v>
      </c>
      <c r="L41" s="455">
        <f t="shared" ca="1" si="3"/>
        <v>3759050.8776952936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2306308.7762958296</v>
      </c>
      <c r="C42" s="458">
        <f t="shared" si="0"/>
        <v>243384.31343260861</v>
      </c>
      <c r="D42" s="458">
        <f ca="1">SUMIF(G:G,35,K:K)</f>
        <v>111301.71278295045</v>
      </c>
      <c r="E42" s="458">
        <f t="shared" ca="1" si="1"/>
        <v>2174226.1756461714</v>
      </c>
      <c r="F42" s="442"/>
      <c r="G42" s="470">
        <v>3</v>
      </c>
      <c r="H42" s="470">
        <v>35</v>
      </c>
      <c r="I42" s="455">
        <f t="shared" ca="1" si="5"/>
        <v>3759050.8776952936</v>
      </c>
      <c r="J42" s="455">
        <f t="array" ref="J42">IFERROR(INDEX('Retirement Calculator'!K:K,MATCH('Lorri 401b'!N42,'Retirement Calculator'!A:A,0),0),0)</f>
        <v>0</v>
      </c>
      <c r="K42" s="455">
        <f t="shared" ca="1" si="2"/>
        <v>15662.711990397056</v>
      </c>
      <c r="L42" s="455">
        <f t="shared" ca="1" si="3"/>
        <v>3774713.5896856906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2174226.1756461714</v>
      </c>
      <c r="C43" s="458">
        <f t="shared" si="0"/>
        <v>243384.31343260861</v>
      </c>
      <c r="D43" s="458">
        <f ca="1">SUMIF(G:G,36,K:K)</f>
        <v>104544.1162565589</v>
      </c>
      <c r="E43" s="458">
        <f t="shared" ca="1" si="1"/>
        <v>2035385.9784701215</v>
      </c>
      <c r="F43" s="442"/>
      <c r="G43" s="470">
        <v>3</v>
      </c>
      <c r="H43" s="470">
        <v>36</v>
      </c>
      <c r="I43" s="455">
        <f t="shared" ca="1" si="5"/>
        <v>3774713.5896856906</v>
      </c>
      <c r="J43" s="455">
        <f t="array" ref="J43">IFERROR(INDEX('Retirement Calculator'!K:K,MATCH('Lorri 401b'!N43,'Retirement Calculator'!A:A,0),0),0)</f>
        <v>0</v>
      </c>
      <c r="K43" s="455">
        <f t="shared" ca="1" si="2"/>
        <v>15727.973290357046</v>
      </c>
      <c r="L43" s="455">
        <f t="shared" ca="1" si="3"/>
        <v>3790441.5629760479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2035385.9784701215</v>
      </c>
      <c r="C44" s="458">
        <f t="shared" si="0"/>
        <v>243384.31343260861</v>
      </c>
      <c r="D44" s="458">
        <f ca="1">SUMIF(G:G,37,K:K)</f>
        <v>97440.788266758173</v>
      </c>
      <c r="E44" s="458">
        <f t="shared" ca="1" si="1"/>
        <v>1889442.453304271</v>
      </c>
      <c r="F44" s="442"/>
      <c r="G44" s="470">
        <v>4</v>
      </c>
      <c r="H44" s="470">
        <v>37</v>
      </c>
      <c r="I44" s="455">
        <f t="shared" ca="1" si="5"/>
        <v>3790441.5629760479</v>
      </c>
      <c r="J44" s="455">
        <f t="array" ref="J44">IFERROR(INDEX('Retirement Calculator'!K:K,MATCH('Lorri 401b'!N44,'Retirement Calculator'!A:A,0),0),0)</f>
        <v>0</v>
      </c>
      <c r="K44" s="455">
        <f t="shared" ca="1" si="2"/>
        <v>15793.506512400201</v>
      </c>
      <c r="L44" s="455">
        <f t="shared" ca="1" si="3"/>
        <v>3806235.0694884481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1889442.453304271</v>
      </c>
      <c r="C45" s="458">
        <f t="shared" si="0"/>
        <v>243384.31343260861</v>
      </c>
      <c r="D45" s="458">
        <f ca="1">SUMIF(G:G,38,K:K)</f>
        <v>89974.04053572283</v>
      </c>
      <c r="E45" s="458">
        <f t="shared" ca="1" si="1"/>
        <v>1736032.1804073853</v>
      </c>
      <c r="F45" s="442"/>
      <c r="G45" s="470">
        <v>4</v>
      </c>
      <c r="H45" s="470">
        <v>38</v>
      </c>
      <c r="I45" s="455">
        <f t="shared" ca="1" si="5"/>
        <v>3806235.0694884481</v>
      </c>
      <c r="J45" s="455">
        <f t="array" ref="J45">IFERROR(INDEX('Retirement Calculator'!K:K,MATCH('Lorri 401b'!N45,'Retirement Calculator'!A:A,0),0),0)</f>
        <v>0</v>
      </c>
      <c r="K45" s="455">
        <f t="shared" ca="1" si="2"/>
        <v>15859.312789535199</v>
      </c>
      <c r="L45" s="455">
        <f t="shared" ca="1" si="3"/>
        <v>3822094.3822779832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1736032.1804073853</v>
      </c>
      <c r="C46" s="458">
        <f t="shared" si="0"/>
        <v>243384.31343260861</v>
      </c>
      <c r="D46" s="458">
        <f ca="1">SUMIF(G:G,39,K:K)</f>
        <v>82125.279819763557</v>
      </c>
      <c r="E46" s="458">
        <f t="shared" ca="1" si="1"/>
        <v>1574773.1467945401</v>
      </c>
      <c r="F46" s="442"/>
      <c r="G46" s="470">
        <v>4</v>
      </c>
      <c r="H46" s="470">
        <v>39</v>
      </c>
      <c r="I46" s="455">
        <f t="shared" ca="1" si="5"/>
        <v>3822094.3822779832</v>
      </c>
      <c r="J46" s="455">
        <f t="array" ref="J46">IFERROR(INDEX('Retirement Calculator'!K:K,MATCH('Lorri 401b'!N46,'Retirement Calculator'!A:A,0),0),0)</f>
        <v>0</v>
      </c>
      <c r="K46" s="455">
        <f t="shared" ca="1" si="2"/>
        <v>15925.393259491599</v>
      </c>
      <c r="L46" s="455">
        <f t="shared" ca="1" si="3"/>
        <v>3838019.775537475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1574773.1467945401</v>
      </c>
      <c r="C47" s="458">
        <f t="shared" si="0"/>
        <v>243384.31343260861</v>
      </c>
      <c r="D47" s="458">
        <f ca="1">SUMIF(G:G,40,K:K)</f>
        <v>73874.961609556238</v>
      </c>
      <c r="E47" s="458">
        <f t="shared" ca="1" si="1"/>
        <v>1405263.794971488</v>
      </c>
      <c r="F47" s="442"/>
      <c r="G47" s="470">
        <v>4</v>
      </c>
      <c r="H47" s="470">
        <v>40</v>
      </c>
      <c r="I47" s="455">
        <f t="shared" ca="1" si="5"/>
        <v>3838019.775537475</v>
      </c>
      <c r="J47" s="455">
        <f t="array" ref="J47">IFERROR(INDEX('Retirement Calculator'!K:K,MATCH('Lorri 401b'!N47,'Retirement Calculator'!A:A,0),0),0)</f>
        <v>0</v>
      </c>
      <c r="K47" s="455">
        <f t="shared" ca="1" si="2"/>
        <v>15991.749064739479</v>
      </c>
      <c r="L47" s="455">
        <f t="shared" ca="1" si="3"/>
        <v>3854011.5246022143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1405263.794971488</v>
      </c>
      <c r="C48" s="458">
        <f t="shared" si="0"/>
        <v>243384.31343260861</v>
      </c>
      <c r="D48" s="458">
        <f ca="1">SUMIF(G:G,41,K:K)</f>
        <v>65202.541461586523</v>
      </c>
      <c r="E48" s="458">
        <f t="shared" ca="1" si="1"/>
        <v>1227082.0230004657</v>
      </c>
      <c r="F48" s="442"/>
      <c r="G48" s="470">
        <v>4</v>
      </c>
      <c r="H48" s="470">
        <v>41</v>
      </c>
      <c r="I48" s="455">
        <f t="shared" ca="1" si="5"/>
        <v>3854011.5246022143</v>
      </c>
      <c r="J48" s="455">
        <f t="array" ref="J48">IFERROR(INDEX('Retirement Calculator'!K:K,MATCH('Lorri 401b'!N48,'Retirement Calculator'!A:A,0),0),0)</f>
        <v>0</v>
      </c>
      <c r="K48" s="455">
        <f t="shared" ca="1" si="2"/>
        <v>16058.381352509225</v>
      </c>
      <c r="L48" s="455">
        <f t="shared" ca="1" si="3"/>
        <v>3870069.9059547237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1227082.0230004657</v>
      </c>
      <c r="C49" s="458">
        <f t="shared" si="0"/>
        <v>243384.31343260861</v>
      </c>
      <c r="D49" s="458">
        <f ca="1">SUMIF(G:G,42,K:K)</f>
        <v>56086.423839618874</v>
      </c>
      <c r="E49" s="458">
        <f t="shared" ca="1" si="1"/>
        <v>1039784.133407476</v>
      </c>
      <c r="F49" s="442"/>
      <c r="G49" s="470">
        <v>4</v>
      </c>
      <c r="H49" s="470">
        <v>42</v>
      </c>
      <c r="I49" s="455">
        <f t="shared" ca="1" si="5"/>
        <v>3870069.9059547237</v>
      </c>
      <c r="J49" s="455">
        <f t="array" ref="J49">IFERROR(INDEX('Retirement Calculator'!K:K,MATCH('Lorri 401b'!N49,'Retirement Calculator'!A:A,0),0),0)</f>
        <v>0</v>
      </c>
      <c r="K49" s="455">
        <f t="shared" ca="1" si="2"/>
        <v>16125.29127481135</v>
      </c>
      <c r="L49" s="455">
        <f t="shared" ca="1" si="3"/>
        <v>3886195.1972295349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1039784.133407476</v>
      </c>
      <c r="C50" s="458">
        <f t="shared" si="0"/>
        <v>243384.31343260861</v>
      </c>
      <c r="D50" s="458">
        <f ca="1">SUMIF(G:G,43,K:K)</f>
        <v>46503.908338798195</v>
      </c>
      <c r="E50" s="458">
        <f t="shared" ca="1" si="1"/>
        <v>842903.7283136656</v>
      </c>
      <c r="F50" s="442"/>
      <c r="G50" s="470">
        <v>4</v>
      </c>
      <c r="H50" s="470">
        <v>43</v>
      </c>
      <c r="I50" s="455">
        <f t="shared" ca="1" si="5"/>
        <v>3886195.1972295349</v>
      </c>
      <c r="J50" s="455">
        <f t="array" ref="J50">IFERROR(INDEX('Retirement Calculator'!K:K,MATCH('Lorri 401b'!N50,'Retirement Calculator'!A:A,0),0),0)</f>
        <v>0</v>
      </c>
      <c r="K50" s="455">
        <f t="shared" ca="1" si="2"/>
        <v>16192.479988456396</v>
      </c>
      <c r="L50" s="455">
        <f t="shared" ca="1" si="3"/>
        <v>3902387.6772179911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842903.7283136656</v>
      </c>
      <c r="C51" s="458">
        <f t="shared" si="0"/>
        <v>243384.31343260861</v>
      </c>
      <c r="D51" s="458">
        <f ca="1">SUMIF(G:G,44,K:K)</f>
        <v>36431.133158474375</v>
      </c>
      <c r="E51" s="458">
        <f t="shared" ca="1" si="1"/>
        <v>635950.54803953134</v>
      </c>
      <c r="F51" s="442"/>
      <c r="G51" s="470">
        <v>4</v>
      </c>
      <c r="H51" s="470">
        <v>44</v>
      </c>
      <c r="I51" s="455">
        <f t="shared" ca="1" si="5"/>
        <v>3902387.6772179911</v>
      </c>
      <c r="J51" s="455">
        <f t="array" ref="J51">IFERROR(INDEX('Retirement Calculator'!K:K,MATCH('Lorri 401b'!N51,'Retirement Calculator'!A:A,0),0),0)</f>
        <v>0</v>
      </c>
      <c r="K51" s="455">
        <f t="shared" ca="1" si="2"/>
        <v>16259.948655074963</v>
      </c>
      <c r="L51" s="455">
        <f t="shared" ca="1" si="3"/>
        <v>3918647.625873066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635950.54803953134</v>
      </c>
      <c r="C52" s="458">
        <f t="shared" si="0"/>
        <v>243384.31343260861</v>
      </c>
      <c r="D52" s="458">
        <f ca="1">SUMIF(G:G,45,K:K)</f>
        <v>25843.015682989178</v>
      </c>
      <c r="E52" s="458">
        <f t="shared" ca="1" si="1"/>
        <v>418409.25028991187</v>
      </c>
      <c r="F52" s="442"/>
      <c r="G52" s="470">
        <v>4</v>
      </c>
      <c r="H52" s="470">
        <v>45</v>
      </c>
      <c r="I52" s="455">
        <f t="shared" ca="1" si="5"/>
        <v>3918647.625873066</v>
      </c>
      <c r="J52" s="455">
        <f t="array" ref="J52">IFERROR(INDEX('Retirement Calculator'!K:K,MATCH('Lorri 401b'!N52,'Retirement Calculator'!A:A,0),0),0)</f>
        <v>0</v>
      </c>
      <c r="K52" s="455">
        <f t="shared" ca="1" si="2"/>
        <v>16327.698441137774</v>
      </c>
      <c r="L52" s="455">
        <f t="shared" ca="1" si="3"/>
        <v>3934975.3243142036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418409.25028991187</v>
      </c>
      <c r="C53" s="458">
        <f t="shared" si="0"/>
        <v>243384.31343260861</v>
      </c>
      <c r="D53" s="458">
        <f ca="1">SUMIF(G:G,46,K:K)</f>
        <v>14713.190022463439</v>
      </c>
      <c r="E53" s="458">
        <f t="shared" ca="1" si="1"/>
        <v>189738.1268797667</v>
      </c>
      <c r="F53" s="442"/>
      <c r="G53" s="470">
        <v>4</v>
      </c>
      <c r="H53" s="470">
        <v>46</v>
      </c>
      <c r="I53" s="455">
        <f t="shared" ca="1" si="5"/>
        <v>3934975.3243142036</v>
      </c>
      <c r="J53" s="455">
        <f t="array" ref="J53">IFERROR(INDEX('Retirement Calculator'!K:K,MATCH('Lorri 401b'!N53,'Retirement Calculator'!A:A,0),0),0)</f>
        <v>0</v>
      </c>
      <c r="K53" s="455">
        <f t="shared" ca="1" si="2"/>
        <v>16395.730517975848</v>
      </c>
      <c r="L53" s="455">
        <f t="shared" ca="1" si="3"/>
        <v>3951371.0548321796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189738.1268797667</v>
      </c>
      <c r="C54" s="458">
        <f t="shared" si="0"/>
        <v>243384.31343260861</v>
      </c>
      <c r="D54" s="458">
        <f ca="1">SUMIF(G:G,47,K:K)</f>
        <v>3013.9413580523851</v>
      </c>
      <c r="E54" s="458">
        <f t="shared" ca="1" si="1"/>
        <v>-50632.245194789532</v>
      </c>
      <c r="F54" s="442"/>
      <c r="G54" s="470">
        <v>4</v>
      </c>
      <c r="H54" s="470">
        <v>47</v>
      </c>
      <c r="I54" s="455">
        <f t="shared" ca="1" si="5"/>
        <v>3951371.0548321796</v>
      </c>
      <c r="J54" s="455">
        <f t="array" ref="J54">IFERROR(INDEX('Retirement Calculator'!K:K,MATCH('Lorri 401b'!N54,'Retirement Calculator'!A:A,0),0),0)</f>
        <v>0</v>
      </c>
      <c r="K54" s="455">
        <f t="shared" ca="1" si="2"/>
        <v>16464.046061800749</v>
      </c>
      <c r="L54" s="455">
        <f t="shared" ca="1" si="3"/>
        <v>3967835.1008939804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-50632.245194789532</v>
      </c>
      <c r="C55" s="458">
        <f t="shared" si="0"/>
        <v>243384.31343260861</v>
      </c>
      <c r="D55" s="458">
        <f ca="1">SUMIF(G:G,48,K:K)</f>
        <v>-9283.8630718202749</v>
      </c>
      <c r="E55" s="458">
        <f t="shared" ca="1" si="1"/>
        <v>-303300.42169921845</v>
      </c>
      <c r="F55" s="442"/>
      <c r="G55" s="470">
        <v>4</v>
      </c>
      <c r="H55" s="470">
        <v>48</v>
      </c>
      <c r="I55" s="455">
        <f t="shared" ca="1" si="5"/>
        <v>3967835.1008939804</v>
      </c>
      <c r="J55" s="455">
        <f t="array" ref="J55">IFERROR(INDEX('Retirement Calculator'!K:K,MATCH('Lorri 401b'!N55,'Retirement Calculator'!A:A,0),0),0)</f>
        <v>0</v>
      </c>
      <c r="K55" s="455">
        <f t="shared" ca="1" si="2"/>
        <v>16532.646253724917</v>
      </c>
      <c r="L55" s="455">
        <f t="shared" ca="1" si="3"/>
        <v>3984367.7471477054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-303300.42169921845</v>
      </c>
      <c r="C56" s="458">
        <f t="shared" si="0"/>
        <v>243384.31343260861</v>
      </c>
      <c r="D56" s="458">
        <f ca="1">SUMIF(G:G,49,K:K)</f>
        <v>-22210.846516103604</v>
      </c>
      <c r="E56" s="458">
        <f t="shared" ca="1" si="1"/>
        <v>-568895.58164793067</v>
      </c>
      <c r="F56" s="442"/>
      <c r="G56" s="470">
        <f>G55+1</f>
        <v>5</v>
      </c>
      <c r="H56" s="470">
        <v>49</v>
      </c>
      <c r="I56" s="455">
        <f t="shared" ca="1" si="5"/>
        <v>3984367.7471477054</v>
      </c>
      <c r="J56" s="455">
        <f t="array" ref="J56">IFERROR(INDEX('Retirement Calculator'!K:K,MATCH('Lorri 401b'!N56,'Retirement Calculator'!A:A,0),0),0)</f>
        <v>0</v>
      </c>
      <c r="K56" s="455">
        <f t="shared" ca="1" si="2"/>
        <v>16601.532279782106</v>
      </c>
      <c r="L56" s="455">
        <f t="shared" ca="1" si="3"/>
        <v>4000969.2794274874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-568895.58164793067</v>
      </c>
      <c r="C57" s="458">
        <f t="shared" si="0"/>
        <v>243384.31343260861</v>
      </c>
      <c r="D57" s="458">
        <f ca="1">SUMIF(G:G,50,K:K)</f>
        <v>-35799.198967282231</v>
      </c>
      <c r="E57" s="458">
        <f t="shared" ca="1" si="1"/>
        <v>-848079.09404782148</v>
      </c>
      <c r="F57" s="442"/>
      <c r="G57" s="470">
        <f t="shared" ref="G57:G67" si="8">G56</f>
        <v>5</v>
      </c>
      <c r="H57" s="470">
        <v>50</v>
      </c>
      <c r="I57" s="455">
        <f t="shared" ca="1" si="5"/>
        <v>4000969.2794274874</v>
      </c>
      <c r="J57" s="455">
        <f t="array" ref="J57">IFERROR(INDEX('Retirement Calculator'!K:K,MATCH('Lorri 401b'!N57,'Retirement Calculator'!A:A,0),0),0)</f>
        <v>0</v>
      </c>
      <c r="K57" s="455">
        <f t="shared" ca="1" si="2"/>
        <v>16670.705330947862</v>
      </c>
      <c r="L57" s="455">
        <f t="shared" ca="1" si="3"/>
        <v>4017639.9847584353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-848079.09404782148</v>
      </c>
      <c r="C58" s="458">
        <f t="shared" si="0"/>
        <v>243384.31343260861</v>
      </c>
      <c r="D58" s="458">
        <f ca="1">SUMIF(G:G,51,K:K)</f>
        <v>-50082.757318949058</v>
      </c>
      <c r="E58" s="458">
        <f t="shared" ca="1" si="1"/>
        <v>-1141546.1647993792</v>
      </c>
      <c r="F58" s="442"/>
      <c r="G58" s="470">
        <f t="shared" si="8"/>
        <v>5</v>
      </c>
      <c r="H58" s="470">
        <v>51</v>
      </c>
      <c r="I58" s="455">
        <f t="shared" ca="1" si="5"/>
        <v>4017639.9847584353</v>
      </c>
      <c r="J58" s="455">
        <f t="array" ref="J58">IFERROR(INDEX('Retirement Calculator'!K:K,MATCH('Lorri 401b'!N58,'Retirement Calculator'!A:A,0),0),0)</f>
        <v>0</v>
      </c>
      <c r="K58" s="455">
        <f t="shared" ca="1" si="2"/>
        <v>16740.166603160145</v>
      </c>
      <c r="L58" s="455">
        <f t="shared" ca="1" si="3"/>
        <v>4034380.1513615954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-1141546.1647993792</v>
      </c>
      <c r="C59" s="458">
        <f t="shared" si="0"/>
        <v>243384.31343260861</v>
      </c>
      <c r="D59" s="458">
        <f ca="1">SUMIF(G:G,52,K:K)</f>
        <v>-65097.089624391592</v>
      </c>
      <c r="E59" s="458">
        <f t="shared" ca="1" si="1"/>
        <v>-1450027.5678563796</v>
      </c>
      <c r="F59" s="442"/>
      <c r="G59" s="470">
        <f t="shared" si="8"/>
        <v>5</v>
      </c>
      <c r="H59" s="470">
        <v>52</v>
      </c>
      <c r="I59" s="455">
        <f t="shared" ca="1" si="5"/>
        <v>4034380.1513615954</v>
      </c>
      <c r="J59" s="455">
        <f t="array" ref="J59">IFERROR(INDEX('Retirement Calculator'!K:K,MATCH('Lorri 401b'!N59,'Retirement Calculator'!A:A,0),0),0)</f>
        <v>0</v>
      </c>
      <c r="K59" s="455">
        <f t="shared" ca="1" si="2"/>
        <v>16809.91729733998</v>
      </c>
      <c r="L59" s="455">
        <f t="shared" ca="1" si="3"/>
        <v>4051190.0686589354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-1450027.5678563796</v>
      </c>
      <c r="C60" s="458">
        <f t="shared" si="0"/>
        <v>243384.31343260861</v>
      </c>
      <c r="D60" s="458">
        <f ca="1">SUMIF(G:G,53,K:K)</f>
        <v>-80879.583666007587</v>
      </c>
      <c r="E60" s="458">
        <f t="shared" ca="1" si="1"/>
        <v>-1774291.4649549956</v>
      </c>
      <c r="F60" s="442"/>
      <c r="G60" s="470">
        <f t="shared" si="8"/>
        <v>5</v>
      </c>
      <c r="H60" s="470">
        <v>53</v>
      </c>
      <c r="I60" s="455">
        <f t="shared" ca="1" si="5"/>
        <v>4051190.0686589354</v>
      </c>
      <c r="J60" s="455">
        <f t="array" ref="J60">IFERROR(INDEX('Retirement Calculator'!K:K,MATCH('Lorri 401b'!N60,'Retirement Calculator'!A:A,0),0),0)</f>
        <v>0</v>
      </c>
      <c r="K60" s="455">
        <f t="shared" ca="1" si="2"/>
        <v>16879.958619412231</v>
      </c>
      <c r="L60" s="455">
        <f t="shared" ca="1" si="3"/>
        <v>4068070.0272783474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-1774291.4649549956</v>
      </c>
      <c r="C61" s="458">
        <f t="shared" si="0"/>
        <v>243384.31343260861</v>
      </c>
      <c r="D61" s="458">
        <f ca="1">SUMIF(G:G,54,K:K)</f>
        <v>-97469.540056099795</v>
      </c>
      <c r="E61" s="458">
        <f t="shared" ca="1" si="1"/>
        <v>-2115145.3184437039</v>
      </c>
      <c r="F61" s="442"/>
      <c r="G61" s="470">
        <f t="shared" si="8"/>
        <v>5</v>
      </c>
      <c r="H61" s="470">
        <v>54</v>
      </c>
      <c r="I61" s="455">
        <f t="shared" ca="1" si="5"/>
        <v>4068070.0272783474</v>
      </c>
      <c r="J61" s="455">
        <f t="array" ref="J61">IFERROR(INDEX('Retirement Calculator'!K:K,MATCH('Lorri 401b'!N61,'Retirement Calculator'!A:A,0),0),0)</f>
        <v>0</v>
      </c>
      <c r="K61" s="455">
        <f t="shared" ca="1" si="2"/>
        <v>16950.291780326446</v>
      </c>
      <c r="L61" s="455">
        <f t="shared" ca="1" si="3"/>
        <v>4085020.3190586739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-2115145.3184437039</v>
      </c>
      <c r="C62" s="458">
        <f t="shared" si="0"/>
        <v>243384.31343260861</v>
      </c>
      <c r="D62" s="458">
        <f ca="1">SUMIF(G:G,55,K:K)</f>
        <v>-114908.27010088429</v>
      </c>
      <c r="E62" s="458">
        <f t="shared" ca="1" si="1"/>
        <v>-2473437.9019771968</v>
      </c>
      <c r="F62" s="442"/>
      <c r="G62" s="470">
        <f t="shared" si="8"/>
        <v>5</v>
      </c>
      <c r="H62" s="470">
        <v>55</v>
      </c>
      <c r="I62" s="455">
        <f t="shared" ca="1" si="5"/>
        <v>4085020.3190586739</v>
      </c>
      <c r="J62" s="455">
        <f t="array" ref="J62">IFERROR(INDEX('Retirement Calculator'!K:K,MATCH('Lorri 401b'!N62,'Retirement Calculator'!A:A,0),0),0)</f>
        <v>0</v>
      </c>
      <c r="K62" s="455">
        <f t="shared" ca="1" si="2"/>
        <v>17020.917996077806</v>
      </c>
      <c r="L62" s="455">
        <f t="shared" ca="1" si="3"/>
        <v>4102041.2370547517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-2473437.9019771968</v>
      </c>
      <c r="C63" s="458">
        <f t="shared" si="0"/>
        <v>243384.31343260861</v>
      </c>
      <c r="D63" s="458">
        <f ca="1">SUMIF(G:G,56,K:K)</f>
        <v>-133239.19867140715</v>
      </c>
      <c r="E63" s="458">
        <f t="shared" ca="1" si="1"/>
        <v>-2850061.4140812126</v>
      </c>
      <c r="F63" s="442"/>
      <c r="G63" s="470">
        <f t="shared" si="8"/>
        <v>5</v>
      </c>
      <c r="H63" s="470">
        <v>56</v>
      </c>
      <c r="I63" s="455">
        <f t="shared" ca="1" si="5"/>
        <v>4102041.2370547517</v>
      </c>
      <c r="J63" s="455">
        <f t="array" ref="J63">IFERROR(INDEX('Retirement Calculator'!K:K,MATCH('Lorri 401b'!N63,'Retirement Calculator'!A:A,0),0),0)</f>
        <v>0</v>
      </c>
      <c r="K63" s="455">
        <f t="shared" ca="1" si="2"/>
        <v>17091.838487728135</v>
      </c>
      <c r="L63" s="455">
        <f t="shared" ca="1" si="3"/>
        <v>4119133.0755424798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-2850061.4140812126</v>
      </c>
      <c r="C64" s="458">
        <f t="shared" si="0"/>
        <v>243384.31343260861</v>
      </c>
      <c r="D64" s="458">
        <f ca="1">SUMIF(G:G,57,K:K)</f>
        <v>-152507.97233753244</v>
      </c>
      <c r="E64" s="458">
        <f t="shared" ca="1" si="1"/>
        <v>-3245953.6998513537</v>
      </c>
      <c r="F64" s="442"/>
      <c r="G64" s="470">
        <f t="shared" si="8"/>
        <v>5</v>
      </c>
      <c r="H64" s="470">
        <v>57</v>
      </c>
      <c r="I64" s="455">
        <f t="shared" ca="1" si="5"/>
        <v>4119133.0755424798</v>
      </c>
      <c r="J64" s="455">
        <f t="array" ref="J64">IFERROR(INDEX('Retirement Calculator'!K:K,MATCH('Lorri 401b'!N64,'Retirement Calculator'!A:A,0),0),0)</f>
        <v>0</v>
      </c>
      <c r="K64" s="455">
        <f t="shared" ca="1" si="2"/>
        <v>17163.054481427</v>
      </c>
      <c r="L64" s="455">
        <f t="shared" ca="1" si="3"/>
        <v>4136296.1300239069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-3245953.6998513537</v>
      </c>
      <c r="C65" s="458">
        <f t="shared" si="0"/>
        <v>243384.31343260861</v>
      </c>
      <c r="D65" s="458">
        <f ca="1">SUMIF(G:G,58,K:K)</f>
        <v>-172762.57303427029</v>
      </c>
      <c r="E65" s="458">
        <f t="shared" ca="1" si="1"/>
        <v>-3662100.5863182326</v>
      </c>
      <c r="F65" s="442"/>
      <c r="G65" s="470">
        <f t="shared" si="8"/>
        <v>5</v>
      </c>
      <c r="H65" s="470">
        <v>58</v>
      </c>
      <c r="I65" s="455">
        <f t="shared" ca="1" si="5"/>
        <v>4136296.1300239069</v>
      </c>
      <c r="J65" s="455">
        <f t="array" ref="J65">IFERROR(INDEX('Retirement Calculator'!K:K,MATCH('Lorri 401b'!N65,'Retirement Calculator'!A:A,0),0),0)</f>
        <v>0</v>
      </c>
      <c r="K65" s="455">
        <f t="shared" ca="1" si="2"/>
        <v>17234.567208432949</v>
      </c>
      <c r="L65" s="455">
        <f t="shared" ca="1" si="3"/>
        <v>4153530.69723234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-3662100.5863182326</v>
      </c>
      <c r="C66" s="458">
        <f t="shared" si="0"/>
        <v>243384.31343260861</v>
      </c>
      <c r="D66" s="458">
        <f ca="1">SUMIF(G:G,59,K:K)</f>
        <v>-194053.43754348997</v>
      </c>
      <c r="E66" s="458">
        <f t="shared" ca="1" si="1"/>
        <v>-4099538.3372943313</v>
      </c>
      <c r="F66" s="442"/>
      <c r="G66" s="470">
        <f t="shared" si="8"/>
        <v>5</v>
      </c>
      <c r="H66" s="470">
        <v>59</v>
      </c>
      <c r="I66" s="455">
        <f t="shared" ca="1" si="5"/>
        <v>4153530.69723234</v>
      </c>
      <c r="J66" s="455">
        <f t="array" ref="J66">IFERROR(INDEX('Retirement Calculator'!K:K,MATCH('Lorri 401b'!N66,'Retirement Calculator'!A:A,0),0),0)</f>
        <v>0</v>
      </c>
      <c r="K66" s="455">
        <f t="shared" ca="1" si="2"/>
        <v>17306.377905134752</v>
      </c>
      <c r="L66" s="455">
        <f t="shared" ca="1" si="3"/>
        <v>4170837.0751374746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-4099538.3372943313</v>
      </c>
      <c r="C67" s="458">
        <f t="shared" si="0"/>
        <v>243384.31343260861</v>
      </c>
      <c r="D67" s="458">
        <f t="shared" ref="D67:D71" ca="1" si="9">SUMIF(G:G,60,K:K)</f>
        <v>-216433.58308854411</v>
      </c>
      <c r="E67" s="458">
        <f t="shared" ca="1" si="1"/>
        <v>-4559356.2338154837</v>
      </c>
      <c r="F67" s="442"/>
      <c r="G67" s="470">
        <f t="shared" si="8"/>
        <v>5</v>
      </c>
      <c r="H67" s="470">
        <v>60</v>
      </c>
      <c r="I67" s="455">
        <f t="shared" ca="1" si="5"/>
        <v>4170837.0751374746</v>
      </c>
      <c r="J67" s="455">
        <f t="array" ref="J67">IFERROR(INDEX('Retirement Calculator'!K:K,MATCH('Lorri 401b'!N67,'Retirement Calculator'!A:A,0),0),0)</f>
        <v>0</v>
      </c>
      <c r="K67" s="455">
        <f t="shared" ca="1" si="2"/>
        <v>17378.48781307281</v>
      </c>
      <c r="L67" s="455">
        <f t="shared" ca="1" si="3"/>
        <v>4188215.5629505473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-4559356.2338154837</v>
      </c>
      <c r="C68" s="458">
        <f t="shared" si="0"/>
        <v>243384.31343260861</v>
      </c>
      <c r="D68" s="458">
        <f t="shared" ca="1" si="9"/>
        <v>-216433.58308854411</v>
      </c>
      <c r="E68" s="458">
        <f t="shared" ca="1" si="1"/>
        <v>-5019174.1303366367</v>
      </c>
      <c r="F68" s="442"/>
      <c r="G68" s="470">
        <f>G67+1</f>
        <v>6</v>
      </c>
      <c r="H68" s="470">
        <v>61</v>
      </c>
      <c r="I68" s="455">
        <f t="shared" ca="1" si="5"/>
        <v>4188215.5629505473</v>
      </c>
      <c r="J68" s="455">
        <f t="array" ref="J68">IFERROR(INDEX('Retirement Calculator'!K:K,MATCH('Lorri 401b'!N68,'Retirement Calculator'!A:A,0),0),0)</f>
        <v>0</v>
      </c>
      <c r="K68" s="455">
        <f t="shared" ca="1" si="2"/>
        <v>17450.898178960615</v>
      </c>
      <c r="L68" s="455">
        <f t="shared" ca="1" si="3"/>
        <v>4205666.461129508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-5019174.1303366367</v>
      </c>
      <c r="C69" s="458">
        <f t="shared" si="0"/>
        <v>243384.31343260861</v>
      </c>
      <c r="D69" s="458">
        <f t="shared" ca="1" si="9"/>
        <v>-216433.58308854411</v>
      </c>
      <c r="E69" s="458">
        <f t="shared" ca="1" si="1"/>
        <v>-5478992.0268577896</v>
      </c>
      <c r="F69" s="442"/>
      <c r="G69" s="470">
        <f t="shared" ref="G69:G79" si="10">G68</f>
        <v>6</v>
      </c>
      <c r="H69" s="470">
        <v>62</v>
      </c>
      <c r="I69" s="455">
        <f t="shared" ca="1" si="5"/>
        <v>4205666.461129508</v>
      </c>
      <c r="J69" s="455">
        <f t="array" ref="J69">IFERROR(INDEX('Retirement Calculator'!K:K,MATCH('Lorri 401b'!N69,'Retirement Calculator'!A:A,0),0),0)</f>
        <v>0</v>
      </c>
      <c r="K69" s="455">
        <f t="shared" ca="1" si="2"/>
        <v>17523.610254706284</v>
      </c>
      <c r="L69" s="455">
        <f t="shared" ca="1" si="3"/>
        <v>4223190.0713842139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-5478992.0268577896</v>
      </c>
      <c r="C70" s="458">
        <f t="shared" si="0"/>
        <v>243384.31343260861</v>
      </c>
      <c r="D70" s="458">
        <f t="shared" ca="1" si="9"/>
        <v>-216433.58308854411</v>
      </c>
      <c r="E70" s="458">
        <f t="shared" ca="1" si="1"/>
        <v>-5938809.9233789425</v>
      </c>
      <c r="F70" s="442"/>
      <c r="G70" s="470">
        <f t="shared" si="10"/>
        <v>6</v>
      </c>
      <c r="H70" s="470">
        <v>63</v>
      </c>
      <c r="I70" s="455">
        <f t="shared" ca="1" si="5"/>
        <v>4223190.0713842139</v>
      </c>
      <c r="J70" s="455">
        <f t="array" ref="J70">IFERROR(INDEX('Retirement Calculator'!K:K,MATCH('Lorri 401b'!N70,'Retirement Calculator'!A:A,0),0),0)</f>
        <v>0</v>
      </c>
      <c r="K70" s="455">
        <f t="shared" ca="1" si="2"/>
        <v>17596.625297434224</v>
      </c>
      <c r="L70" s="455">
        <f t="shared" ca="1" si="3"/>
        <v>4240786.6966816485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-5938809.9233789425</v>
      </c>
      <c r="C71" s="458">
        <f t="shared" si="0"/>
        <v>243384.31343260861</v>
      </c>
      <c r="D71" s="458">
        <f t="shared" ca="1" si="9"/>
        <v>-216433.58308854411</v>
      </c>
      <c r="E71" s="458">
        <f t="shared" ca="1" si="1"/>
        <v>-6398627.8199000955</v>
      </c>
      <c r="F71" s="442"/>
      <c r="G71" s="470">
        <f t="shared" si="10"/>
        <v>6</v>
      </c>
      <c r="H71" s="470">
        <v>64</v>
      </c>
      <c r="I71" s="455">
        <f t="shared" ca="1" si="5"/>
        <v>4240786.6966816485</v>
      </c>
      <c r="J71" s="455">
        <f t="array" ref="J71">IFERROR(INDEX('Retirement Calculator'!K:K,MATCH('Lorri 401b'!N71,'Retirement Calculator'!A:A,0),0),0)</f>
        <v>0</v>
      </c>
      <c r="K71" s="455">
        <f t="shared" ca="1" si="2"/>
        <v>17669.944569506868</v>
      </c>
      <c r="L71" s="455">
        <f t="shared" ca="1" si="3"/>
        <v>4258456.6412511552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42"/>
      <c r="C72" s="442"/>
      <c r="D72" s="442"/>
      <c r="E72" s="442"/>
      <c r="F72" s="442"/>
      <c r="G72" s="470">
        <f t="shared" si="10"/>
        <v>6</v>
      </c>
      <c r="H72" s="470">
        <v>65</v>
      </c>
      <c r="I72" s="455">
        <f t="shared" ca="1" si="5"/>
        <v>4258456.6412511552</v>
      </c>
      <c r="J72" s="455">
        <f t="array" ref="J72">IFERROR(INDEX('Retirement Calculator'!K:K,MATCH('Lorri 401b'!N72,'Retirement Calculator'!A:A,0),0),0)</f>
        <v>0</v>
      </c>
      <c r="K72" s="455">
        <f t="shared" ca="1" si="2"/>
        <v>17743.56933854648</v>
      </c>
      <c r="L72" s="455">
        <f t="shared" ca="1" si="3"/>
        <v>4276200.2105897013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42"/>
      <c r="C73" s="442"/>
      <c r="D73" s="442"/>
      <c r="E73" s="442"/>
      <c r="F73" s="442"/>
      <c r="G73" s="470">
        <f t="shared" si="10"/>
        <v>6</v>
      </c>
      <c r="H73" s="470">
        <v>66</v>
      </c>
      <c r="I73" s="455">
        <f t="shared" ca="1" si="5"/>
        <v>4276200.2105897013</v>
      </c>
      <c r="J73" s="455">
        <f t="array" ref="J73">IFERROR(INDEX('Retirement Calculator'!K:K,MATCH('Lorri 401b'!N73,'Retirement Calculator'!A:A,0),0),0)</f>
        <v>0</v>
      </c>
      <c r="K73" s="455">
        <f t="shared" ca="1" si="2"/>
        <v>17817.500877457089</v>
      </c>
      <c r="L73" s="455">
        <f t="shared" ca="1" si="3"/>
        <v>4294017.711467158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42"/>
      <c r="C74" s="442"/>
      <c r="D74" s="442"/>
      <c r="E74" s="442"/>
      <c r="F74" s="442"/>
      <c r="G74" s="470">
        <f t="shared" si="10"/>
        <v>6</v>
      </c>
      <c r="H74" s="470">
        <v>67</v>
      </c>
      <c r="I74" s="455">
        <f t="shared" ca="1" si="5"/>
        <v>4294017.711467158</v>
      </c>
      <c r="J74" s="455">
        <f t="array" ref="J74">IFERROR(INDEX('Retirement Calculator'!K:K,MATCH('Lorri 401b'!N74,'Retirement Calculator'!A:A,0),0),0)</f>
        <v>0</v>
      </c>
      <c r="K74" s="455">
        <f t="shared" ca="1" si="2"/>
        <v>17891.740464446491</v>
      </c>
      <c r="L74" s="455">
        <f t="shared" ca="1" si="3"/>
        <v>4311909.4519316042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42"/>
      <c r="C75" s="442"/>
      <c r="D75" s="442"/>
      <c r="E75" s="442"/>
      <c r="F75" s="442"/>
      <c r="G75" s="470">
        <f t="shared" si="10"/>
        <v>6</v>
      </c>
      <c r="H75" s="470">
        <v>68</v>
      </c>
      <c r="I75" s="455">
        <f t="shared" ca="1" si="5"/>
        <v>4311909.4519316042</v>
      </c>
      <c r="J75" s="455">
        <f t="array" ref="J75">IFERROR(INDEX('Retirement Calculator'!K:K,MATCH('Lorri 401b'!N75,'Retirement Calculator'!A:A,0),0),0)</f>
        <v>22025.926519384055</v>
      </c>
      <c r="K75" s="455">
        <f t="shared" ca="1" si="2"/>
        <v>17874.514689217584</v>
      </c>
      <c r="L75" s="455">
        <f t="shared" ca="1" si="3"/>
        <v>4307758.0401014378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42"/>
      <c r="C76" s="442"/>
      <c r="D76" s="442"/>
      <c r="E76" s="442"/>
      <c r="F76" s="442"/>
      <c r="G76" s="470">
        <f t="shared" si="10"/>
        <v>6</v>
      </c>
      <c r="H76" s="470">
        <v>69</v>
      </c>
      <c r="I76" s="455">
        <f t="shared" ca="1" si="5"/>
        <v>4307758.0401014378</v>
      </c>
      <c r="J76" s="455">
        <f t="array" ref="J76">IFERROR(INDEX('Retirement Calculator'!K:K,MATCH('Lorri 401b'!N76,'Retirement Calculator'!A:A,0),0),0)</f>
        <v>22025.926519384055</v>
      </c>
      <c r="K76" s="455">
        <f t="shared" ca="1" si="2"/>
        <v>17857.217139925226</v>
      </c>
      <c r="L76" s="455">
        <f t="shared" ca="1" si="3"/>
        <v>4303589.330721979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42"/>
      <c r="C77" s="442"/>
      <c r="D77" s="442"/>
      <c r="E77" s="442"/>
      <c r="F77" s="442"/>
      <c r="G77" s="470">
        <f t="shared" si="10"/>
        <v>6</v>
      </c>
      <c r="H77" s="470">
        <v>70</v>
      </c>
      <c r="I77" s="455">
        <f t="shared" ca="1" si="5"/>
        <v>4303589.330721979</v>
      </c>
      <c r="J77" s="455">
        <f t="array" ref="J77">IFERROR(INDEX('Retirement Calculator'!K:K,MATCH('Lorri 401b'!N77,'Retirement Calculator'!A:A,0),0),0)</f>
        <v>22025.926519384055</v>
      </c>
      <c r="K77" s="455">
        <f t="shared" ca="1" si="2"/>
        <v>17839.847517510814</v>
      </c>
      <c r="L77" s="455">
        <f t="shared" ca="1" si="3"/>
        <v>4299403.2517201062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42"/>
      <c r="C78" s="442"/>
      <c r="D78" s="442"/>
      <c r="E78" s="442"/>
      <c r="F78" s="442"/>
      <c r="G78" s="470">
        <f t="shared" si="10"/>
        <v>6</v>
      </c>
      <c r="H78" s="470">
        <v>71</v>
      </c>
      <c r="I78" s="455">
        <f t="shared" ca="1" si="5"/>
        <v>4299403.2517201062</v>
      </c>
      <c r="J78" s="455">
        <f t="array" ref="J78">IFERROR(INDEX('Retirement Calculator'!K:K,MATCH('Lorri 401b'!N78,'Retirement Calculator'!A:A,0),0),0)</f>
        <v>22025.926519384055</v>
      </c>
      <c r="K78" s="455">
        <f t="shared" ca="1" si="2"/>
        <v>17822.405521669676</v>
      </c>
      <c r="L78" s="455">
        <f t="shared" ca="1" si="3"/>
        <v>4295199.730722392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42"/>
      <c r="C79" s="442"/>
      <c r="D79" s="442"/>
      <c r="E79" s="442"/>
      <c r="F79" s="442"/>
      <c r="G79" s="470">
        <f t="shared" si="10"/>
        <v>6</v>
      </c>
      <c r="H79" s="470">
        <v>72</v>
      </c>
      <c r="I79" s="455">
        <f t="shared" ca="1" si="5"/>
        <v>4295199.730722392</v>
      </c>
      <c r="J79" s="455">
        <f t="array" ref="J79">IFERROR(INDEX('Retirement Calculator'!K:K,MATCH('Lorri 401b'!N79,'Retirement Calculator'!A:A,0),0),0)</f>
        <v>22025.926519384055</v>
      </c>
      <c r="K79" s="455">
        <f t="shared" ca="1" si="2"/>
        <v>17804.890850845866</v>
      </c>
      <c r="L79" s="455">
        <f t="shared" ca="1" si="3"/>
        <v>4290978.695053854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42"/>
      <c r="C80" s="442"/>
      <c r="D80" s="442"/>
      <c r="E80" s="442"/>
      <c r="F80" s="442"/>
      <c r="G80" s="470">
        <f>G79+1</f>
        <v>7</v>
      </c>
      <c r="H80" s="470">
        <v>73</v>
      </c>
      <c r="I80" s="455">
        <f t="shared" ca="1" si="5"/>
        <v>4290978.695053854</v>
      </c>
      <c r="J80" s="455">
        <f t="array" ref="J80">IFERROR(INDEX('Retirement Calculator'!K:K,MATCH('Lorri 401b'!N80,'Retirement Calculator'!A:A,0),0),0)</f>
        <v>22025.926519384055</v>
      </c>
      <c r="K80" s="455">
        <f t="shared" ca="1" si="2"/>
        <v>17787.303202226958</v>
      </c>
      <c r="L80" s="455">
        <f t="shared" ca="1" si="3"/>
        <v>4286740.0717366971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42"/>
      <c r="C81" s="442"/>
      <c r="D81" s="442"/>
      <c r="E81" s="442"/>
      <c r="F81" s="442"/>
      <c r="G81" s="470">
        <f t="shared" ref="G81:G91" si="11">G80</f>
        <v>7</v>
      </c>
      <c r="H81" s="470">
        <v>74</v>
      </c>
      <c r="I81" s="455">
        <f t="shared" ca="1" si="5"/>
        <v>4286740.0717366971</v>
      </c>
      <c r="J81" s="455">
        <f t="array" ref="J81">IFERROR(INDEX('Retirement Calculator'!K:K,MATCH('Lorri 401b'!N81,'Retirement Calculator'!A:A,0),0),0)</f>
        <v>22025.926519384055</v>
      </c>
      <c r="K81" s="455">
        <f t="shared" ca="1" si="2"/>
        <v>17769.642271738805</v>
      </c>
      <c r="L81" s="455">
        <f t="shared" ca="1" si="3"/>
        <v>4282483.7874890519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42"/>
      <c r="C82" s="442"/>
      <c r="D82" s="442"/>
      <c r="E82" s="442"/>
      <c r="F82" s="442"/>
      <c r="G82" s="470">
        <f t="shared" si="11"/>
        <v>7</v>
      </c>
      <c r="H82" s="470">
        <v>75</v>
      </c>
      <c r="I82" s="455">
        <f t="shared" ca="1" si="5"/>
        <v>4282483.7874890519</v>
      </c>
      <c r="J82" s="455">
        <f t="array" ref="J82">IFERROR(INDEX('Retirement Calculator'!K:K,MATCH('Lorri 401b'!N82,'Retirement Calculator'!A:A,0),0),0)</f>
        <v>22025.926519384055</v>
      </c>
      <c r="K82" s="455">
        <f t="shared" ca="1" si="2"/>
        <v>17751.907754040283</v>
      </c>
      <c r="L82" s="455">
        <f t="shared" ca="1" si="3"/>
        <v>4278209.7687237086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42"/>
      <c r="C83" s="442"/>
      <c r="D83" s="442"/>
      <c r="E83" s="442"/>
      <c r="F83" s="442"/>
      <c r="G83" s="470">
        <f t="shared" si="11"/>
        <v>7</v>
      </c>
      <c r="H83" s="470">
        <v>76</v>
      </c>
      <c r="I83" s="455">
        <f t="shared" ca="1" si="5"/>
        <v>4278209.7687237086</v>
      </c>
      <c r="J83" s="455">
        <f t="array" ref="J83">IFERROR(INDEX('Retirement Calculator'!K:K,MATCH('Lorri 401b'!N83,'Retirement Calculator'!A:A,0),0),0)</f>
        <v>22025.926519384055</v>
      </c>
      <c r="K83" s="455">
        <f t="shared" ca="1" si="2"/>
        <v>17734.09934251802</v>
      </c>
      <c r="L83" s="455">
        <f t="shared" ca="1" si="3"/>
        <v>4273917.9415468425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42"/>
      <c r="C84" s="442"/>
      <c r="D84" s="442"/>
      <c r="E84" s="442"/>
      <c r="F84" s="442"/>
      <c r="G84" s="470">
        <f t="shared" si="11"/>
        <v>7</v>
      </c>
      <c r="H84" s="470">
        <v>77</v>
      </c>
      <c r="I84" s="455">
        <f t="shared" ca="1" si="5"/>
        <v>4273917.9415468425</v>
      </c>
      <c r="J84" s="455">
        <f t="array" ref="J84">IFERROR(INDEX('Retirement Calculator'!K:K,MATCH('Lorri 401b'!N84,'Retirement Calculator'!A:A,0),0),0)</f>
        <v>22025.926519384055</v>
      </c>
      <c r="K84" s="455">
        <f t="shared" ca="1" si="2"/>
        <v>17716.216729281077</v>
      </c>
      <c r="L84" s="455">
        <f t="shared" ca="1" si="3"/>
        <v>4269608.2317567402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42"/>
      <c r="C85" s="442"/>
      <c r="D85" s="442"/>
      <c r="E85" s="442"/>
      <c r="F85" s="442"/>
      <c r="G85" s="470">
        <f t="shared" si="11"/>
        <v>7</v>
      </c>
      <c r="H85" s="470">
        <v>78</v>
      </c>
      <c r="I85" s="455">
        <f t="shared" ca="1" si="5"/>
        <v>4269608.2317567402</v>
      </c>
      <c r="J85" s="455">
        <f t="array" ref="J85">IFERROR(INDEX('Retirement Calculator'!K:K,MATCH('Lorri 401b'!N85,'Retirement Calculator'!A:A,0),0),0)</f>
        <v>22025.926519384055</v>
      </c>
      <c r="K85" s="455">
        <f t="shared" ca="1" si="2"/>
        <v>17698.259605155654</v>
      </c>
      <c r="L85" s="455">
        <f t="shared" ca="1" si="3"/>
        <v>4265280.5648425119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42"/>
      <c r="C86" s="442"/>
      <c r="D86" s="442"/>
      <c r="E86" s="442"/>
      <c r="F86" s="442"/>
      <c r="G86" s="470">
        <f t="shared" si="11"/>
        <v>7</v>
      </c>
      <c r="H86" s="470">
        <v>79</v>
      </c>
      <c r="I86" s="455">
        <f t="shared" ca="1" si="5"/>
        <v>4265280.5648425119</v>
      </c>
      <c r="J86" s="455">
        <f t="array" ref="J86">IFERROR(INDEX('Retirement Calculator'!K:K,MATCH('Lorri 401b'!N86,'Retirement Calculator'!A:A,0),0),0)</f>
        <v>22025.926519384055</v>
      </c>
      <c r="K86" s="455">
        <f t="shared" ca="1" si="2"/>
        <v>17680.227659679702</v>
      </c>
      <c r="L86" s="455">
        <f t="shared" ca="1" si="3"/>
        <v>4260934.8659828082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42"/>
      <c r="C87" s="442"/>
      <c r="D87" s="442"/>
      <c r="E87" s="442"/>
      <c r="F87" s="442"/>
      <c r="G87" s="470">
        <f t="shared" si="11"/>
        <v>7</v>
      </c>
      <c r="H87" s="470">
        <v>80</v>
      </c>
      <c r="I87" s="455">
        <f t="shared" ca="1" si="5"/>
        <v>4260934.8659828082</v>
      </c>
      <c r="J87" s="455">
        <f t="array" ref="J87">IFERROR(INDEX('Retirement Calculator'!K:K,MATCH('Lorri 401b'!N87,'Retirement Calculator'!A:A,0),0),0)</f>
        <v>22025.926519384055</v>
      </c>
      <c r="K87" s="455">
        <f t="shared" ca="1" si="2"/>
        <v>17662.120581097603</v>
      </c>
      <c r="L87" s="455">
        <f t="shared" ca="1" si="3"/>
        <v>4256571.0600445224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42"/>
      <c r="C88" s="442"/>
      <c r="D88" s="442"/>
      <c r="E88" s="442"/>
      <c r="F88" s="442"/>
      <c r="G88" s="470">
        <f t="shared" si="11"/>
        <v>7</v>
      </c>
      <c r="H88" s="470">
        <v>81</v>
      </c>
      <c r="I88" s="455">
        <f t="shared" ca="1" si="5"/>
        <v>4256571.0600445224</v>
      </c>
      <c r="J88" s="455">
        <f t="array" ref="J88">IFERROR(INDEX('Retirement Calculator'!K:K,MATCH('Lorri 401b'!N88,'Retirement Calculator'!A:A,0),0),0)</f>
        <v>22025.926519384055</v>
      </c>
      <c r="K88" s="455">
        <f t="shared" ca="1" si="2"/>
        <v>17643.938056354746</v>
      </c>
      <c r="L88" s="455">
        <f t="shared" ca="1" si="3"/>
        <v>4252189.0715814931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42"/>
      <c r="C89" s="442"/>
      <c r="D89" s="442"/>
      <c r="E89" s="442"/>
      <c r="F89" s="442"/>
      <c r="G89" s="470">
        <f t="shared" si="11"/>
        <v>7</v>
      </c>
      <c r="H89" s="470">
        <v>82</v>
      </c>
      <c r="I89" s="455">
        <f t="shared" ca="1" si="5"/>
        <v>4252189.0715814931</v>
      </c>
      <c r="J89" s="455">
        <f t="array" ref="J89">IFERROR(INDEX('Retirement Calculator'!K:K,MATCH('Lorri 401b'!N89,'Retirement Calculator'!A:A,0),0),0)</f>
        <v>22025.926519384055</v>
      </c>
      <c r="K89" s="455">
        <f t="shared" ca="1" si="2"/>
        <v>17625.679771092124</v>
      </c>
      <c r="L89" s="455">
        <f t="shared" ca="1" si="3"/>
        <v>4247788.8248332012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42"/>
      <c r="C90" s="442"/>
      <c r="D90" s="442"/>
      <c r="E90" s="442"/>
      <c r="F90" s="442"/>
      <c r="G90" s="470">
        <f t="shared" si="11"/>
        <v>7</v>
      </c>
      <c r="H90" s="470">
        <v>83</v>
      </c>
      <c r="I90" s="455">
        <f t="shared" ca="1" si="5"/>
        <v>4247788.8248332012</v>
      </c>
      <c r="J90" s="455">
        <f t="array" ref="J90">IFERROR(INDEX('Retirement Calculator'!K:K,MATCH('Lorri 401b'!N90,'Retirement Calculator'!A:A,0),0),0)</f>
        <v>22025.926519384055</v>
      </c>
      <c r="K90" s="455">
        <f t="shared" ca="1" si="2"/>
        <v>17607.345409640908</v>
      </c>
      <c r="L90" s="455">
        <f t="shared" ca="1" si="3"/>
        <v>4243370.2437234586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42"/>
      <c r="C91" s="442"/>
      <c r="D91" s="442"/>
      <c r="E91" s="442"/>
      <c r="F91" s="442"/>
      <c r="G91" s="470">
        <f t="shared" si="11"/>
        <v>7</v>
      </c>
      <c r="H91" s="470">
        <v>84</v>
      </c>
      <c r="I91" s="455">
        <f t="shared" ca="1" si="5"/>
        <v>4243370.2437234586</v>
      </c>
      <c r="J91" s="455">
        <f t="array" ref="J91">IFERROR(INDEX('Retirement Calculator'!K:K,MATCH('Lorri 401b'!N91,'Retirement Calculator'!A:A,0),0),0)</f>
        <v>22025.926519384055</v>
      </c>
      <c r="K91" s="455">
        <f t="shared" ca="1" si="2"/>
        <v>17588.934655016979</v>
      </c>
      <c r="L91" s="455">
        <f t="shared" ca="1" si="3"/>
        <v>4238933.2518590922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42"/>
      <c r="C92" s="442"/>
      <c r="D92" s="442"/>
      <c r="E92" s="442"/>
      <c r="F92" s="442"/>
      <c r="G92" s="470">
        <f>G91+1</f>
        <v>8</v>
      </c>
      <c r="H92" s="470">
        <v>85</v>
      </c>
      <c r="I92" s="455">
        <f t="shared" ca="1" si="5"/>
        <v>4238933.2518590922</v>
      </c>
      <c r="J92" s="455">
        <f t="array" ref="J92">IFERROR(INDEX('Retirement Calculator'!K:K,MATCH('Lorri 401b'!N92,'Retirement Calculator'!A:A,0),0),0)</f>
        <v>22025.926519384055</v>
      </c>
      <c r="K92" s="455">
        <f t="shared" ca="1" si="2"/>
        <v>17570.447188915452</v>
      </c>
      <c r="L92" s="455">
        <f t="shared" ca="1" si="3"/>
        <v>4234477.7725286242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42"/>
      <c r="C93" s="442"/>
      <c r="D93" s="442"/>
      <c r="E93" s="442"/>
      <c r="F93" s="442"/>
      <c r="G93" s="470">
        <f t="shared" ref="G93:G103" si="12">G92</f>
        <v>8</v>
      </c>
      <c r="H93" s="470">
        <v>86</v>
      </c>
      <c r="I93" s="455">
        <f t="shared" ca="1" si="5"/>
        <v>4234477.7725286242</v>
      </c>
      <c r="J93" s="455">
        <f t="array" ref="J93">IFERROR(INDEX('Retirement Calculator'!K:K,MATCH('Lorri 401b'!N93,'Retirement Calculator'!A:A,0),0),0)</f>
        <v>22025.926519384055</v>
      </c>
      <c r="K93" s="455">
        <f t="shared" ca="1" si="2"/>
        <v>17551.88269170517</v>
      </c>
      <c r="L93" s="455">
        <f t="shared" ca="1" si="3"/>
        <v>4230003.7287009461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42"/>
      <c r="C94" s="442"/>
      <c r="D94" s="442"/>
      <c r="E94" s="442"/>
      <c r="F94" s="442"/>
      <c r="G94" s="470">
        <f t="shared" si="12"/>
        <v>8</v>
      </c>
      <c r="H94" s="470">
        <v>87</v>
      </c>
      <c r="I94" s="455">
        <f t="shared" ca="1" si="5"/>
        <v>4230003.7287009461</v>
      </c>
      <c r="J94" s="455">
        <f t="array" ref="J94">IFERROR(INDEX('Retirement Calculator'!K:K,MATCH('Lorri 401b'!N94,'Retirement Calculator'!A:A,0),0),0)</f>
        <v>22025.926519384055</v>
      </c>
      <c r="K94" s="455">
        <f t="shared" ca="1" si="2"/>
        <v>17533.240842423176</v>
      </c>
      <c r="L94" s="455">
        <f t="shared" ca="1" si="3"/>
        <v>4225511.0430239858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42"/>
      <c r="C95" s="442"/>
      <c r="D95" s="442"/>
      <c r="E95" s="442"/>
      <c r="F95" s="442"/>
      <c r="G95" s="470">
        <f t="shared" si="12"/>
        <v>8</v>
      </c>
      <c r="H95" s="470">
        <v>88</v>
      </c>
      <c r="I95" s="455">
        <f t="shared" ca="1" si="5"/>
        <v>4225511.0430239858</v>
      </c>
      <c r="J95" s="455">
        <f t="array" ref="J95">IFERROR(INDEX('Retirement Calculator'!K:K,MATCH('Lorri 401b'!N95,'Retirement Calculator'!A:A,0),0),0)</f>
        <v>22025.926519384055</v>
      </c>
      <c r="K95" s="455">
        <f t="shared" ca="1" si="2"/>
        <v>17514.521318769177</v>
      </c>
      <c r="L95" s="455">
        <f t="shared" ca="1" si="3"/>
        <v>4220999.6378233712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42"/>
      <c r="C96" s="442"/>
      <c r="D96" s="442"/>
      <c r="E96" s="442"/>
      <c r="F96" s="442"/>
      <c r="G96" s="470">
        <f t="shared" si="12"/>
        <v>8</v>
      </c>
      <c r="H96" s="470">
        <v>89</v>
      </c>
      <c r="I96" s="455">
        <f t="shared" ca="1" si="5"/>
        <v>4220999.6378233712</v>
      </c>
      <c r="J96" s="455">
        <f t="array" ref="J96">IFERROR(INDEX('Retirement Calculator'!K:K,MATCH('Lorri 401b'!N96,'Retirement Calculator'!A:A,0),0),0)</f>
        <v>22025.926519384055</v>
      </c>
      <c r="K96" s="455">
        <f t="shared" ca="1" si="2"/>
        <v>17495.723797099949</v>
      </c>
      <c r="L96" s="455">
        <f t="shared" ca="1" si="3"/>
        <v>4216469.4351010872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42"/>
      <c r="C97" s="442"/>
      <c r="D97" s="442"/>
      <c r="E97" s="442"/>
      <c r="F97" s="442"/>
      <c r="G97" s="470">
        <f t="shared" si="12"/>
        <v>8</v>
      </c>
      <c r="H97" s="470">
        <v>90</v>
      </c>
      <c r="I97" s="455">
        <f t="shared" ca="1" si="5"/>
        <v>4216469.4351010872</v>
      </c>
      <c r="J97" s="455">
        <f t="array" ref="J97">IFERROR(INDEX('Retirement Calculator'!K:K,MATCH('Lorri 401b'!N97,'Retirement Calculator'!A:A,0),0),0)</f>
        <v>22025.926519384055</v>
      </c>
      <c r="K97" s="455">
        <f t="shared" ca="1" si="2"/>
        <v>17476.847952423763</v>
      </c>
      <c r="L97" s="455">
        <f t="shared" ca="1" si="3"/>
        <v>4211920.3565341271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42"/>
      <c r="C98" s="442"/>
      <c r="D98" s="442"/>
      <c r="E98" s="442"/>
      <c r="F98" s="442"/>
      <c r="G98" s="470">
        <f t="shared" si="12"/>
        <v>8</v>
      </c>
      <c r="H98" s="470">
        <v>91</v>
      </c>
      <c r="I98" s="455">
        <f t="shared" ca="1" si="5"/>
        <v>4211920.3565341271</v>
      </c>
      <c r="J98" s="455">
        <f t="array" ref="J98">IFERROR(INDEX('Retirement Calculator'!K:K,MATCH('Lorri 401b'!N98,'Retirement Calculator'!A:A,0),0),0)</f>
        <v>22025.926519384055</v>
      </c>
      <c r="K98" s="455">
        <f t="shared" ca="1" si="2"/>
        <v>17457.893458394763</v>
      </c>
      <c r="L98" s="455">
        <f t="shared" ca="1" si="3"/>
        <v>4207352.3234731378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42"/>
      <c r="C99" s="442"/>
      <c r="D99" s="442"/>
      <c r="E99" s="442"/>
      <c r="F99" s="442"/>
      <c r="G99" s="470">
        <f t="shared" si="12"/>
        <v>8</v>
      </c>
      <c r="H99" s="470">
        <v>92</v>
      </c>
      <c r="I99" s="455">
        <f t="shared" ca="1" si="5"/>
        <v>4207352.3234731378</v>
      </c>
      <c r="J99" s="455">
        <f t="array" ref="J99">IFERROR(INDEX('Retirement Calculator'!K:K,MATCH('Lorri 401b'!N99,'Retirement Calculator'!A:A,0),0),0)</f>
        <v>22025.926519384055</v>
      </c>
      <c r="K99" s="455">
        <f t="shared" ca="1" si="2"/>
        <v>17438.859987307304</v>
      </c>
      <c r="L99" s="455">
        <f t="shared" ca="1" si="3"/>
        <v>4202765.2569410605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42"/>
      <c r="C100" s="442"/>
      <c r="D100" s="442"/>
      <c r="E100" s="442"/>
      <c r="F100" s="442"/>
      <c r="G100" s="470">
        <f t="shared" si="12"/>
        <v>8</v>
      </c>
      <c r="H100" s="470">
        <v>93</v>
      </c>
      <c r="I100" s="455">
        <f t="shared" ca="1" si="5"/>
        <v>4202765.2569410605</v>
      </c>
      <c r="J100" s="455">
        <f t="array" ref="J100">IFERROR(INDEX('Retirement Calculator'!K:K,MATCH('Lorri 401b'!N100,'Retirement Calculator'!A:A,0),0),0)</f>
        <v>22025.926519384055</v>
      </c>
      <c r="K100" s="455">
        <f t="shared" ca="1" si="2"/>
        <v>17419.747210090318</v>
      </c>
      <c r="L100" s="455">
        <f t="shared" ca="1" si="3"/>
        <v>4198159.0776317669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42"/>
      <c r="C101" s="442"/>
      <c r="D101" s="442"/>
      <c r="E101" s="442"/>
      <c r="F101" s="442"/>
      <c r="G101" s="470">
        <f t="shared" si="12"/>
        <v>8</v>
      </c>
      <c r="H101" s="470">
        <v>94</v>
      </c>
      <c r="I101" s="455">
        <f t="shared" ca="1" si="5"/>
        <v>4198159.0776317669</v>
      </c>
      <c r="J101" s="455">
        <f t="array" ref="J101">IFERROR(INDEX('Retirement Calculator'!K:K,MATCH('Lorri 401b'!N101,'Retirement Calculator'!A:A,0),0),0)</f>
        <v>22025.926519384055</v>
      </c>
      <c r="K101" s="455">
        <f t="shared" ca="1" si="2"/>
        <v>17400.554796301596</v>
      </c>
      <c r="L101" s="455">
        <f t="shared" ca="1" si="3"/>
        <v>4193533.7059086845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42"/>
      <c r="C102" s="442"/>
      <c r="D102" s="442"/>
      <c r="E102" s="442"/>
      <c r="F102" s="442"/>
      <c r="G102" s="470">
        <f t="shared" si="12"/>
        <v>8</v>
      </c>
      <c r="H102" s="470">
        <v>95</v>
      </c>
      <c r="I102" s="455">
        <f t="shared" ca="1" si="5"/>
        <v>4193533.7059086845</v>
      </c>
      <c r="J102" s="455">
        <f t="array" ref="J102">IFERROR(INDEX('Retirement Calculator'!K:K,MATCH('Lorri 401b'!N102,'Retirement Calculator'!A:A,0),0),0)</f>
        <v>22025.926519384055</v>
      </c>
      <c r="K102" s="455">
        <f t="shared" ca="1" si="2"/>
        <v>17381.282414122088</v>
      </c>
      <c r="L102" s="455">
        <f t="shared" ca="1" si="3"/>
        <v>4188889.0618034224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42"/>
      <c r="C103" s="442"/>
      <c r="D103" s="442"/>
      <c r="E103" s="442"/>
      <c r="F103" s="442"/>
      <c r="G103" s="470">
        <f t="shared" si="12"/>
        <v>8</v>
      </c>
      <c r="H103" s="470">
        <v>96</v>
      </c>
      <c r="I103" s="455">
        <f t="shared" ca="1" si="5"/>
        <v>4188889.0618034224</v>
      </c>
      <c r="J103" s="455">
        <f t="array" ref="J103">IFERROR(INDEX('Retirement Calculator'!K:K,MATCH('Lorri 401b'!N103,'Retirement Calculator'!A:A,0),0),0)</f>
        <v>22025.926519384055</v>
      </c>
      <c r="K103" s="455">
        <f t="shared" ca="1" si="2"/>
        <v>17361.929730350159</v>
      </c>
      <c r="L103" s="455">
        <f t="shared" ca="1" si="3"/>
        <v>4184225.0650143884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42"/>
      <c r="C104" s="442"/>
      <c r="D104" s="442"/>
      <c r="E104" s="442"/>
      <c r="F104" s="442"/>
      <c r="G104" s="470">
        <f>G103+1</f>
        <v>9</v>
      </c>
      <c r="H104" s="470">
        <v>97</v>
      </c>
      <c r="I104" s="455">
        <f t="shared" ca="1" si="5"/>
        <v>4184225.0650143884</v>
      </c>
      <c r="J104" s="455">
        <f t="array" ref="J104">IFERROR(INDEX('Retirement Calculator'!K:K,MATCH('Lorri 401b'!N104,'Retirement Calculator'!A:A,0),0),0)</f>
        <v>22025.926519384055</v>
      </c>
      <c r="K104" s="455">
        <f t="shared" ca="1" si="2"/>
        <v>17342.496410395852</v>
      </c>
      <c r="L104" s="455">
        <f t="shared" ca="1" si="3"/>
        <v>4179541.6349054002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42"/>
      <c r="C105" s="442"/>
      <c r="D105" s="442"/>
      <c r="E105" s="442"/>
      <c r="F105" s="442"/>
      <c r="G105" s="470">
        <f t="shared" ref="G105:G115" si="13">G104</f>
        <v>9</v>
      </c>
      <c r="H105" s="470">
        <v>98</v>
      </c>
      <c r="I105" s="455">
        <f t="shared" ca="1" si="5"/>
        <v>4179541.6349054002</v>
      </c>
      <c r="J105" s="455">
        <f t="array" ref="J105">IFERROR(INDEX('Retirement Calculator'!K:K,MATCH('Lorri 401b'!N105,'Retirement Calculator'!A:A,0),0),0)</f>
        <v>20282.026119384056</v>
      </c>
      <c r="K105" s="455">
        <f t="shared" ca="1" si="2"/>
        <v>17330.248369941735</v>
      </c>
      <c r="L105" s="455">
        <f t="shared" ca="1" si="3"/>
        <v>4176589.8571559582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42"/>
      <c r="C106" s="442"/>
      <c r="D106" s="442"/>
      <c r="E106" s="442"/>
      <c r="F106" s="442"/>
      <c r="G106" s="470">
        <f t="shared" si="13"/>
        <v>9</v>
      </c>
      <c r="H106" s="470">
        <v>99</v>
      </c>
      <c r="I106" s="455">
        <f t="shared" ca="1" si="5"/>
        <v>4176589.8571559582</v>
      </c>
      <c r="J106" s="455">
        <f t="array" ref="J106">IFERROR(INDEX('Retirement Calculator'!K:K,MATCH('Lorri 401b'!N106,'Retirement Calculator'!A:A,0),0),0)</f>
        <v>20282.026119384056</v>
      </c>
      <c r="K106" s="455">
        <f t="shared" ca="1" si="2"/>
        <v>17317.949295985723</v>
      </c>
      <c r="L106" s="455">
        <f t="shared" ca="1" si="3"/>
        <v>4173625.7803325597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42"/>
      <c r="C107" s="442"/>
      <c r="D107" s="442"/>
      <c r="E107" s="442"/>
      <c r="F107" s="442"/>
      <c r="G107" s="470">
        <f t="shared" si="13"/>
        <v>9</v>
      </c>
      <c r="H107" s="470">
        <v>100</v>
      </c>
      <c r="I107" s="455">
        <f t="shared" ca="1" si="5"/>
        <v>4173625.7803325597</v>
      </c>
      <c r="J107" s="455">
        <f t="array" ref="J107">IFERROR(INDEX('Retirement Calculator'!K:K,MATCH('Lorri 401b'!N107,'Retirement Calculator'!A:A,0),0),0)</f>
        <v>20282.026119384056</v>
      </c>
      <c r="K107" s="455">
        <f t="shared" ca="1" si="2"/>
        <v>17305.598975888232</v>
      </c>
      <c r="L107" s="455">
        <f t="shared" ca="1" si="3"/>
        <v>4170649.3531890642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42"/>
      <c r="C108" s="442"/>
      <c r="D108" s="442"/>
      <c r="E108" s="442"/>
      <c r="F108" s="442"/>
      <c r="G108" s="470">
        <f t="shared" si="13"/>
        <v>9</v>
      </c>
      <c r="H108" s="470">
        <v>101</v>
      </c>
      <c r="I108" s="455">
        <f t="shared" ca="1" si="5"/>
        <v>4170649.3531890642</v>
      </c>
      <c r="J108" s="455">
        <f t="array" ref="J108">IFERROR(INDEX('Retirement Calculator'!K:K,MATCH('Lorri 401b'!N108,'Retirement Calculator'!A:A,0),0),0)</f>
        <v>20282.026119384056</v>
      </c>
      <c r="K108" s="455">
        <f t="shared" ca="1" si="2"/>
        <v>17293.197196123667</v>
      </c>
      <c r="L108" s="455">
        <f t="shared" ca="1" si="3"/>
        <v>4167660.5242658039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42"/>
      <c r="C109" s="442"/>
      <c r="D109" s="442"/>
      <c r="E109" s="442"/>
      <c r="F109" s="442"/>
      <c r="G109" s="470">
        <f t="shared" si="13"/>
        <v>9</v>
      </c>
      <c r="H109" s="470">
        <v>102</v>
      </c>
      <c r="I109" s="455">
        <f t="shared" ca="1" si="5"/>
        <v>4167660.5242658039</v>
      </c>
      <c r="J109" s="455">
        <f t="array" ref="J109">IFERROR(INDEX('Retirement Calculator'!K:K,MATCH('Lorri 401b'!N109,'Retirement Calculator'!A:A,0),0),0)</f>
        <v>20282.026119384056</v>
      </c>
      <c r="K109" s="455">
        <f t="shared" ca="1" si="2"/>
        <v>17280.743742276751</v>
      </c>
      <c r="L109" s="455">
        <f t="shared" ca="1" si="3"/>
        <v>4164659.2418886968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42"/>
      <c r="C110" s="442"/>
      <c r="D110" s="442"/>
      <c r="E110" s="442"/>
      <c r="F110" s="442"/>
      <c r="G110" s="470">
        <f t="shared" si="13"/>
        <v>9</v>
      </c>
      <c r="H110" s="470">
        <v>103</v>
      </c>
      <c r="I110" s="455">
        <f t="shared" ca="1" si="5"/>
        <v>4164659.2418886968</v>
      </c>
      <c r="J110" s="455">
        <f t="array" ref="J110">IFERROR(INDEX('Retirement Calculator'!K:K,MATCH('Lorri 401b'!N110,'Retirement Calculator'!A:A,0),0),0)</f>
        <v>20282.026119384056</v>
      </c>
      <c r="K110" s="455">
        <f t="shared" ca="1" si="2"/>
        <v>17268.238399038804</v>
      </c>
      <c r="L110" s="455">
        <f t="shared" ca="1" si="3"/>
        <v>4161645.4541683518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42"/>
      <c r="C111" s="442"/>
      <c r="D111" s="442"/>
      <c r="E111" s="442"/>
      <c r="F111" s="442"/>
      <c r="G111" s="470">
        <f t="shared" si="13"/>
        <v>9</v>
      </c>
      <c r="H111" s="470">
        <v>104</v>
      </c>
      <c r="I111" s="455">
        <f t="shared" ca="1" si="5"/>
        <v>4161645.4541683518</v>
      </c>
      <c r="J111" s="455">
        <f t="array" ref="J111">IFERROR(INDEX('Retirement Calculator'!K:K,MATCH('Lorri 401b'!N111,'Retirement Calculator'!A:A,0),0),0)</f>
        <v>20282.026119384056</v>
      </c>
      <c r="K111" s="455">
        <f t="shared" ca="1" si="2"/>
        <v>17255.680950204034</v>
      </c>
      <c r="L111" s="455">
        <f t="shared" ca="1" si="3"/>
        <v>4158619.1089991718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42"/>
      <c r="C112" s="442"/>
      <c r="D112" s="442"/>
      <c r="E112" s="442"/>
      <c r="F112" s="442"/>
      <c r="G112" s="470">
        <f t="shared" si="13"/>
        <v>9</v>
      </c>
      <c r="H112" s="470">
        <v>105</v>
      </c>
      <c r="I112" s="455">
        <f t="shared" ca="1" si="5"/>
        <v>4158619.1089991718</v>
      </c>
      <c r="J112" s="455">
        <f t="array" ref="J112">IFERROR(INDEX('Retirement Calculator'!K:K,MATCH('Lorri 401b'!N112,'Retirement Calculator'!A:A,0),0),0)</f>
        <v>20282.026119384056</v>
      </c>
      <c r="K112" s="455">
        <f t="shared" ca="1" si="2"/>
        <v>17243.071178665781</v>
      </c>
      <c r="L112" s="455">
        <f t="shared" ca="1" si="3"/>
        <v>4155580.1540584536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42"/>
      <c r="C113" s="442"/>
      <c r="D113" s="442"/>
      <c r="E113" s="442"/>
      <c r="F113" s="442"/>
      <c r="G113" s="470">
        <f t="shared" si="13"/>
        <v>9</v>
      </c>
      <c r="H113" s="470">
        <v>106</v>
      </c>
      <c r="I113" s="455">
        <f t="shared" ca="1" si="5"/>
        <v>4155580.1540584536</v>
      </c>
      <c r="J113" s="455">
        <f t="array" ref="J113">IFERROR(INDEX('Retirement Calculator'!K:K,MATCH('Lorri 401b'!N113,'Retirement Calculator'!A:A,0),0),0)</f>
        <v>20282.026119384056</v>
      </c>
      <c r="K113" s="455">
        <f t="shared" ca="1" si="2"/>
        <v>17230.408866412788</v>
      </c>
      <c r="L113" s="455">
        <f t="shared" ca="1" si="3"/>
        <v>4152528.5368054826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42"/>
      <c r="C114" s="442"/>
      <c r="D114" s="442"/>
      <c r="E114" s="442"/>
      <c r="F114" s="442"/>
      <c r="G114" s="470">
        <f t="shared" si="13"/>
        <v>9</v>
      </c>
      <c r="H114" s="470">
        <v>107</v>
      </c>
      <c r="I114" s="455">
        <f t="shared" ca="1" si="5"/>
        <v>4152528.5368054826</v>
      </c>
      <c r="J114" s="455">
        <f t="array" ref="J114">IFERROR(INDEX('Retirement Calculator'!K:K,MATCH('Lorri 401b'!N114,'Retirement Calculator'!A:A,0),0),0)</f>
        <v>20282.026119384056</v>
      </c>
      <c r="K114" s="455">
        <f t="shared" ca="1" si="2"/>
        <v>17217.69379452541</v>
      </c>
      <c r="L114" s="455">
        <f t="shared" ca="1" si="3"/>
        <v>4149464.2044806238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42"/>
      <c r="C115" s="442"/>
      <c r="D115" s="442"/>
      <c r="E115" s="442"/>
      <c r="F115" s="442"/>
      <c r="G115" s="470">
        <f t="shared" si="13"/>
        <v>9</v>
      </c>
      <c r="H115" s="470">
        <v>108</v>
      </c>
      <c r="I115" s="455">
        <f t="shared" ca="1" si="5"/>
        <v>4149464.2044806238</v>
      </c>
      <c r="J115" s="455">
        <f t="array" ref="J115">IFERROR(INDEX('Retirement Calculator'!K:K,MATCH('Lorri 401b'!N115,'Retirement Calculator'!A:A,0),0),0)</f>
        <v>20282.026119384056</v>
      </c>
      <c r="K115" s="455">
        <f t="shared" ca="1" si="2"/>
        <v>17204.925743171832</v>
      </c>
      <c r="L115" s="455">
        <f t="shared" ca="1" si="3"/>
        <v>4146387.1041044118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42"/>
      <c r="C116" s="442"/>
      <c r="D116" s="442"/>
      <c r="E116" s="442"/>
      <c r="F116" s="442"/>
      <c r="G116" s="470">
        <f>G115+1</f>
        <v>10</v>
      </c>
      <c r="H116" s="470">
        <v>109</v>
      </c>
      <c r="I116" s="455">
        <f t="shared" ca="1" si="5"/>
        <v>4146387.1041044118</v>
      </c>
      <c r="J116" s="455">
        <f t="array" ref="J116">IFERROR(INDEX('Retirement Calculator'!K:K,MATCH('Lorri 401b'!N116,'Retirement Calculator'!A:A,0),0),0)</f>
        <v>20282.026119384056</v>
      </c>
      <c r="K116" s="455">
        <f t="shared" ca="1" si="2"/>
        <v>17192.104491604281</v>
      </c>
      <c r="L116" s="455">
        <f t="shared" ca="1" si="3"/>
        <v>4143297.1824766323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42"/>
      <c r="C117" s="442"/>
      <c r="D117" s="442"/>
      <c r="E117" s="442"/>
      <c r="F117" s="442"/>
      <c r="G117" s="470">
        <f t="shared" ref="G117:G127" si="14">G116</f>
        <v>10</v>
      </c>
      <c r="H117" s="470">
        <v>110</v>
      </c>
      <c r="I117" s="455">
        <f t="shared" ca="1" si="5"/>
        <v>4143297.1824766323</v>
      </c>
      <c r="J117" s="455">
        <f t="array" ref="J117">IFERROR(INDEX('Retirement Calculator'!K:K,MATCH('Lorri 401b'!N117,'Retirement Calculator'!A:A,0),0),0)</f>
        <v>20282.026119384056</v>
      </c>
      <c r="K117" s="455">
        <f t="shared" ca="1" si="2"/>
        <v>17179.229818155203</v>
      </c>
      <c r="L117" s="455">
        <f t="shared" ca="1" si="3"/>
        <v>4140194.3861754034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42"/>
      <c r="C118" s="442"/>
      <c r="D118" s="442"/>
      <c r="E118" s="442"/>
      <c r="F118" s="442"/>
      <c r="G118" s="470">
        <f t="shared" si="14"/>
        <v>10</v>
      </c>
      <c r="H118" s="470">
        <v>111</v>
      </c>
      <c r="I118" s="455">
        <f t="shared" ca="1" si="5"/>
        <v>4140194.3861754034</v>
      </c>
      <c r="J118" s="455">
        <f t="array" ref="J118">IFERROR(INDEX('Retirement Calculator'!K:K,MATCH('Lorri 401b'!N118,'Retirement Calculator'!A:A,0),0),0)</f>
        <v>20282.026119384056</v>
      </c>
      <c r="K118" s="455">
        <f t="shared" ca="1" si="2"/>
        <v>17166.30150023341</v>
      </c>
      <c r="L118" s="455">
        <f t="shared" ca="1" si="3"/>
        <v>4137078.6615562527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42"/>
      <c r="C119" s="442"/>
      <c r="D119" s="442"/>
      <c r="E119" s="442"/>
      <c r="F119" s="442"/>
      <c r="G119" s="470">
        <f t="shared" si="14"/>
        <v>10</v>
      </c>
      <c r="H119" s="470">
        <v>112</v>
      </c>
      <c r="I119" s="455">
        <f t="shared" ca="1" si="5"/>
        <v>4137078.6615562527</v>
      </c>
      <c r="J119" s="455">
        <f t="array" ref="J119">IFERROR(INDEX('Retirement Calculator'!K:K,MATCH('Lorri 401b'!N119,'Retirement Calculator'!A:A,0),0),0)</f>
        <v>20282.026119384056</v>
      </c>
      <c r="K119" s="455">
        <f t="shared" ca="1" si="2"/>
        <v>17153.319314320288</v>
      </c>
      <c r="L119" s="455">
        <f t="shared" ca="1" si="3"/>
        <v>4133949.9547511889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42"/>
      <c r="C120" s="442"/>
      <c r="D120" s="442"/>
      <c r="E120" s="442"/>
      <c r="F120" s="442"/>
      <c r="G120" s="470">
        <f t="shared" si="14"/>
        <v>10</v>
      </c>
      <c r="H120" s="470">
        <v>113</v>
      </c>
      <c r="I120" s="455">
        <f t="shared" ca="1" si="5"/>
        <v>4133949.9547511889</v>
      </c>
      <c r="J120" s="455">
        <f t="array" ref="J120">IFERROR(INDEX('Retirement Calculator'!K:K,MATCH('Lorri 401b'!N120,'Retirement Calculator'!A:A,0),0),0)</f>
        <v>20282.026119384056</v>
      </c>
      <c r="K120" s="455">
        <f t="shared" ca="1" si="2"/>
        <v>17140.283035965855</v>
      </c>
      <c r="L120" s="455">
        <f t="shared" ca="1" si="3"/>
        <v>4130808.2116677705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42"/>
      <c r="C121" s="442"/>
      <c r="D121" s="442"/>
      <c r="E121" s="442"/>
      <c r="F121" s="442"/>
      <c r="G121" s="470">
        <f t="shared" si="14"/>
        <v>10</v>
      </c>
      <c r="H121" s="470">
        <v>114</v>
      </c>
      <c r="I121" s="455">
        <f t="shared" ca="1" si="5"/>
        <v>4130808.2116677705</v>
      </c>
      <c r="J121" s="455">
        <f t="array" ref="J121">IFERROR(INDEX('Retirement Calculator'!K:K,MATCH('Lorri 401b'!N121,'Retirement Calculator'!A:A,0),0),0)</f>
        <v>20282.026119384056</v>
      </c>
      <c r="K121" s="455">
        <f t="shared" ca="1" si="2"/>
        <v>17127.192439784943</v>
      </c>
      <c r="L121" s="455">
        <f t="shared" ca="1" si="3"/>
        <v>4127653.3779881713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42"/>
      <c r="C122" s="442"/>
      <c r="D122" s="442"/>
      <c r="E122" s="442"/>
      <c r="F122" s="442"/>
      <c r="G122" s="470">
        <f t="shared" si="14"/>
        <v>10</v>
      </c>
      <c r="H122" s="470">
        <v>115</v>
      </c>
      <c r="I122" s="455">
        <f t="shared" ca="1" si="5"/>
        <v>4127653.3779881713</v>
      </c>
      <c r="J122" s="455">
        <f t="array" ref="J122">IFERROR(INDEX('Retirement Calculator'!K:K,MATCH('Lorri 401b'!N122,'Retirement Calculator'!A:A,0),0),0)</f>
        <v>20282.026119384056</v>
      </c>
      <c r="K122" s="455">
        <f t="shared" ca="1" si="2"/>
        <v>17114.047299453279</v>
      </c>
      <c r="L122" s="455">
        <f t="shared" ca="1" si="3"/>
        <v>4124485.3991682404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42"/>
      <c r="C123" s="442"/>
      <c r="D123" s="442"/>
      <c r="E123" s="442"/>
      <c r="F123" s="442"/>
      <c r="G123" s="470">
        <f t="shared" si="14"/>
        <v>10</v>
      </c>
      <c r="H123" s="470">
        <v>116</v>
      </c>
      <c r="I123" s="455">
        <f t="shared" ca="1" si="5"/>
        <v>4124485.3991682404</v>
      </c>
      <c r="J123" s="455">
        <f t="array" ref="J123">IFERROR(INDEX('Retirement Calculator'!K:K,MATCH('Lorri 401b'!N123,'Retirement Calculator'!A:A,0),0),0)</f>
        <v>20282.026119384056</v>
      </c>
      <c r="K123" s="455">
        <f t="shared" ca="1" si="2"/>
        <v>17100.847387703569</v>
      </c>
      <c r="L123" s="455">
        <f t="shared" ca="1" si="3"/>
        <v>4121304.22043656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42"/>
      <c r="C124" s="442"/>
      <c r="D124" s="442"/>
      <c r="E124" s="442"/>
      <c r="F124" s="442"/>
      <c r="G124" s="470">
        <f t="shared" si="14"/>
        <v>10</v>
      </c>
      <c r="H124" s="470">
        <v>117</v>
      </c>
      <c r="I124" s="455">
        <f t="shared" ca="1" si="5"/>
        <v>4121304.22043656</v>
      </c>
      <c r="J124" s="455">
        <f t="array" ref="J124">IFERROR(INDEX('Retirement Calculator'!K:K,MATCH('Lorri 401b'!N124,'Retirement Calculator'!A:A,0),0),0)</f>
        <v>20282.026119384056</v>
      </c>
      <c r="K124" s="455">
        <f t="shared" ca="1" si="2"/>
        <v>17087.592476321566</v>
      </c>
      <c r="L124" s="455">
        <f t="shared" ca="1" si="3"/>
        <v>4118109.7867934974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42"/>
      <c r="C125" s="442"/>
      <c r="D125" s="442"/>
      <c r="E125" s="442"/>
      <c r="F125" s="442"/>
      <c r="G125" s="470">
        <f t="shared" si="14"/>
        <v>10</v>
      </c>
      <c r="H125" s="470">
        <v>118</v>
      </c>
      <c r="I125" s="455">
        <f t="shared" ca="1" si="5"/>
        <v>4118109.7867934974</v>
      </c>
      <c r="J125" s="455">
        <f t="array" ref="J125">IFERROR(INDEX('Retirement Calculator'!K:K,MATCH('Lorri 401b'!N125,'Retirement Calculator'!A:A,0),0),0)</f>
        <v>20282.026119384056</v>
      </c>
      <c r="K125" s="455">
        <f t="shared" ca="1" si="2"/>
        <v>17074.282336142136</v>
      </c>
      <c r="L125" s="455">
        <f t="shared" ca="1" si="3"/>
        <v>4114902.0430102553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42"/>
      <c r="C126" s="442"/>
      <c r="D126" s="442"/>
      <c r="E126" s="442"/>
      <c r="F126" s="442"/>
      <c r="G126" s="470">
        <f t="shared" si="14"/>
        <v>10</v>
      </c>
      <c r="H126" s="470">
        <v>119</v>
      </c>
      <c r="I126" s="455">
        <f t="shared" ca="1" si="5"/>
        <v>4114902.0430102553</v>
      </c>
      <c r="J126" s="455">
        <f t="array" ref="J126">IFERROR(INDEX('Retirement Calculator'!K:K,MATCH('Lorri 401b'!N126,'Retirement Calculator'!A:A,0),0),0)</f>
        <v>20282.026119384056</v>
      </c>
      <c r="K126" s="455">
        <f t="shared" ca="1" si="2"/>
        <v>17060.9167370453</v>
      </c>
      <c r="L126" s="455">
        <f t="shared" ca="1" si="3"/>
        <v>4111680.9336279165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42"/>
      <c r="C127" s="442"/>
      <c r="D127" s="442"/>
      <c r="E127" s="442"/>
      <c r="F127" s="442"/>
      <c r="G127" s="470">
        <f t="shared" si="14"/>
        <v>10</v>
      </c>
      <c r="H127" s="470">
        <v>120</v>
      </c>
      <c r="I127" s="455">
        <f t="shared" ca="1" si="5"/>
        <v>4111680.9336279165</v>
      </c>
      <c r="J127" s="455">
        <f t="array" ref="J127">IFERROR(INDEX('Retirement Calculator'!K:K,MATCH('Lorri 401b'!N127,'Retirement Calculator'!A:A,0),0),0)</f>
        <v>20282.026119384056</v>
      </c>
      <c r="K127" s="455">
        <f t="shared" ca="1" si="2"/>
        <v>17047.49544795222</v>
      </c>
      <c r="L127" s="455">
        <f t="shared" ca="1" si="3"/>
        <v>4108446.4029564848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42"/>
      <c r="C128" s="442"/>
      <c r="D128" s="442"/>
      <c r="E128" s="442"/>
      <c r="F128" s="442"/>
      <c r="G128" s="470">
        <f>G127+1</f>
        <v>11</v>
      </c>
      <c r="H128" s="470">
        <v>121</v>
      </c>
      <c r="I128" s="455">
        <f t="shared" ca="1" si="5"/>
        <v>4108446.4029564848</v>
      </c>
      <c r="J128" s="455">
        <f t="array" ref="J128">IFERROR(INDEX('Retirement Calculator'!K:K,MATCH('Lorri 401b'!N128,'Retirement Calculator'!A:A,0),0),0)</f>
        <v>20282.026119384056</v>
      </c>
      <c r="K128" s="455">
        <f t="shared" ca="1" si="2"/>
        <v>17034.018236821255</v>
      </c>
      <c r="L128" s="455">
        <f t="shared" ca="1" si="3"/>
        <v>4105198.3950739219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42"/>
      <c r="C129" s="442"/>
      <c r="D129" s="442"/>
      <c r="E129" s="442"/>
      <c r="F129" s="442"/>
      <c r="G129" s="470">
        <f t="shared" ref="G129:G139" si="15">G128</f>
        <v>11</v>
      </c>
      <c r="H129" s="470">
        <v>122</v>
      </c>
      <c r="I129" s="455">
        <f t="shared" ca="1" si="5"/>
        <v>4105198.3950739219</v>
      </c>
      <c r="J129" s="455">
        <f t="array" ref="J129">IFERROR(INDEX('Retirement Calculator'!K:K,MATCH('Lorri 401b'!N129,'Retirement Calculator'!A:A,0),0),0)</f>
        <v>20282.026119384056</v>
      </c>
      <c r="K129" s="455">
        <f t="shared" ca="1" si="2"/>
        <v>17020.484870643908</v>
      </c>
      <c r="L129" s="455">
        <f t="shared" ca="1" si="3"/>
        <v>4101936.8538251817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42"/>
      <c r="C130" s="442"/>
      <c r="D130" s="442"/>
      <c r="E130" s="442"/>
      <c r="F130" s="442"/>
      <c r="G130" s="470">
        <f t="shared" si="15"/>
        <v>11</v>
      </c>
      <c r="H130" s="470">
        <v>123</v>
      </c>
      <c r="I130" s="455">
        <f t="shared" ca="1" si="5"/>
        <v>4101936.8538251817</v>
      </c>
      <c r="J130" s="455">
        <f t="array" ref="J130">IFERROR(INDEX('Retirement Calculator'!K:K,MATCH('Lorri 401b'!N130,'Retirement Calculator'!A:A,0),0),0)</f>
        <v>20282.026119384056</v>
      </c>
      <c r="K130" s="455">
        <f t="shared" ca="1" si="2"/>
        <v>17006.895115440824</v>
      </c>
      <c r="L130" s="455">
        <f t="shared" ca="1" si="3"/>
        <v>4098661.7228212385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42"/>
      <c r="C131" s="442"/>
      <c r="D131" s="442"/>
      <c r="E131" s="442"/>
      <c r="F131" s="442"/>
      <c r="G131" s="470">
        <f t="shared" si="15"/>
        <v>11</v>
      </c>
      <c r="H131" s="470">
        <v>124</v>
      </c>
      <c r="I131" s="455">
        <f t="shared" ca="1" si="5"/>
        <v>4098661.7228212385</v>
      </c>
      <c r="J131" s="455">
        <f t="array" ref="J131">IFERROR(INDEX('Retirement Calculator'!K:K,MATCH('Lorri 401b'!N131,'Retirement Calculator'!A:A,0),0),0)</f>
        <v>20282.026119384056</v>
      </c>
      <c r="K131" s="455">
        <f t="shared" ca="1" si="2"/>
        <v>16993.248736257727</v>
      </c>
      <c r="L131" s="455">
        <f t="shared" ca="1" si="3"/>
        <v>4095372.9454381121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42"/>
      <c r="C132" s="442"/>
      <c r="D132" s="442"/>
      <c r="E132" s="442"/>
      <c r="F132" s="442"/>
      <c r="G132" s="470">
        <f t="shared" si="15"/>
        <v>11</v>
      </c>
      <c r="H132" s="470">
        <v>125</v>
      </c>
      <c r="I132" s="455">
        <f t="shared" ca="1" si="5"/>
        <v>4095372.9454381121</v>
      </c>
      <c r="J132" s="455">
        <f t="array" ref="J132">IFERROR(INDEX('Retirement Calculator'!K:K,MATCH('Lorri 401b'!N132,'Retirement Calculator'!A:A,0),0),0)</f>
        <v>20282.026119384056</v>
      </c>
      <c r="K132" s="455">
        <f t="shared" ca="1" si="2"/>
        <v>16979.545497161369</v>
      </c>
      <c r="L132" s="455">
        <f t="shared" ca="1" si="3"/>
        <v>4092070.4648158895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42"/>
      <c r="C133" s="442"/>
      <c r="D133" s="442"/>
      <c r="E133" s="442"/>
      <c r="F133" s="442"/>
      <c r="G133" s="470">
        <f t="shared" si="15"/>
        <v>11</v>
      </c>
      <c r="H133" s="470">
        <v>126</v>
      </c>
      <c r="I133" s="455">
        <f t="shared" ca="1" si="5"/>
        <v>4092070.4648158895</v>
      </c>
      <c r="J133" s="455">
        <f t="array" ref="J133">IFERROR(INDEX('Retirement Calculator'!K:K,MATCH('Lorri 401b'!N133,'Retirement Calculator'!A:A,0),0),0)</f>
        <v>20282.026119384056</v>
      </c>
      <c r="K133" s="455">
        <f t="shared" ca="1" si="2"/>
        <v>16965.785161235439</v>
      </c>
      <c r="L133" s="455">
        <f t="shared" ca="1" si="3"/>
        <v>4088754.2238577409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42"/>
      <c r="C134" s="442"/>
      <c r="D134" s="442"/>
      <c r="E134" s="442"/>
      <c r="F134" s="442"/>
      <c r="G134" s="470">
        <f t="shared" si="15"/>
        <v>11</v>
      </c>
      <c r="H134" s="470">
        <v>127</v>
      </c>
      <c r="I134" s="455">
        <f t="shared" ca="1" si="5"/>
        <v>4088754.2238577409</v>
      </c>
      <c r="J134" s="455">
        <f t="array" ref="J134">IFERROR(INDEX('Retirement Calculator'!K:K,MATCH('Lorri 401b'!N134,'Retirement Calculator'!A:A,0),0),0)</f>
        <v>20282.026119384056</v>
      </c>
      <c r="K134" s="455">
        <f t="shared" ca="1" si="2"/>
        <v>16951.967490576488</v>
      </c>
      <c r="L134" s="455">
        <f t="shared" ca="1" si="3"/>
        <v>4085424.1652289336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42"/>
      <c r="C135" s="442"/>
      <c r="D135" s="442"/>
      <c r="E135" s="442"/>
      <c r="F135" s="442"/>
      <c r="G135" s="470">
        <f t="shared" si="15"/>
        <v>11</v>
      </c>
      <c r="H135" s="470">
        <v>128</v>
      </c>
      <c r="I135" s="455">
        <f t="shared" ca="1" si="5"/>
        <v>4085424.1652289336</v>
      </c>
      <c r="J135" s="455">
        <f t="array" ref="J135">IFERROR(INDEX('Retirement Calculator'!K:K,MATCH('Lorri 401b'!N135,'Retirement Calculator'!A:A,0),0),0)</f>
        <v>20282.026119384056</v>
      </c>
      <c r="K135" s="455">
        <f t="shared" ca="1" si="2"/>
        <v>16938.092246289791</v>
      </c>
      <c r="L135" s="455">
        <f t="shared" ca="1" si="3"/>
        <v>4082080.2313558394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42"/>
      <c r="C136" s="442"/>
      <c r="D136" s="442"/>
      <c r="E136" s="442"/>
      <c r="F136" s="442"/>
      <c r="G136" s="470">
        <f t="shared" si="15"/>
        <v>11</v>
      </c>
      <c r="H136" s="470">
        <v>129</v>
      </c>
      <c r="I136" s="455">
        <f t="shared" ca="1" si="5"/>
        <v>4082080.2313558394</v>
      </c>
      <c r="J136" s="455">
        <f t="array" ref="J136">IFERROR(INDEX('Retirement Calculator'!K:K,MATCH('Lorri 401b'!N136,'Retirement Calculator'!A:A,0),0),0)</f>
        <v>20282.026119384056</v>
      </c>
      <c r="K136" s="455">
        <f t="shared" ca="1" si="2"/>
        <v>16924.159188485231</v>
      </c>
      <c r="L136" s="455">
        <f t="shared" ca="1" si="3"/>
        <v>4078722.3644249407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4078722.3644249407</v>
      </c>
      <c r="J137" s="455">
        <f t="array" ref="J137">IFERROR(INDEX('Retirement Calculator'!K:K,MATCH('Lorri 401b'!N137,'Retirement Calculator'!A:A,0),0),0)</f>
        <v>20282.026119384056</v>
      </c>
      <c r="K137" s="455">
        <f t="shared" ca="1" si="2"/>
        <v>16910.168076273152</v>
      </c>
      <c r="L137" s="455">
        <f t="shared" ca="1" si="3"/>
        <v>4075350.5063818297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4075350.5063818297</v>
      </c>
      <c r="J138" s="455">
        <f t="array" ref="J138">IFERROR(INDEX('Retirement Calculator'!K:K,MATCH('Lorri 401b'!N138,'Retirement Calculator'!A:A,0),0),0)</f>
        <v>20282.026119384056</v>
      </c>
      <c r="K138" s="455">
        <f t="shared" ca="1" si="2"/>
        <v>16896.118667760191</v>
      </c>
      <c r="L138" s="455">
        <f t="shared" ca="1" si="3"/>
        <v>4071964.5989302061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4071964.5989302061</v>
      </c>
      <c r="J139" s="455">
        <f t="array" ref="J139">IFERROR(INDEX('Retirement Calculator'!K:K,MATCH('Lorri 401b'!N139,'Retirement Calculator'!A:A,0),0),0)</f>
        <v>20282.026119384056</v>
      </c>
      <c r="K139" s="455">
        <f t="shared" ca="1" si="2"/>
        <v>16882.010720045095</v>
      </c>
      <c r="L139" s="455">
        <f t="shared" ca="1" si="3"/>
        <v>4068564.5835308675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4068564.5835308675</v>
      </c>
      <c r="J140" s="455">
        <f t="array" ref="J140">IFERROR(INDEX('Retirement Calculator'!K:K,MATCH('Lorri 401b'!N140,'Retirement Calculator'!A:A,0),0),0)</f>
        <v>20282.026119384056</v>
      </c>
      <c r="K140" s="455">
        <f t="shared" ca="1" si="2"/>
        <v>16867.843989214514</v>
      </c>
      <c r="L140" s="455">
        <f t="shared" ca="1" si="3"/>
        <v>4065150.4014006979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4065150.4014006979</v>
      </c>
      <c r="J141" s="455">
        <f t="array" ref="J141">IFERROR(INDEX('Retirement Calculator'!K:K,MATCH('Lorri 401b'!N141,'Retirement Calculator'!A:A,0),0),0)</f>
        <v>20282.026119384056</v>
      </c>
      <c r="K141" s="455">
        <f t="shared" ca="1" si="2"/>
        <v>16853.618230338809</v>
      </c>
      <c r="L141" s="455">
        <f t="shared" ca="1" si="3"/>
        <v>4061721.9935116526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4061721.9935116526</v>
      </c>
      <c r="J142" s="455">
        <f t="array" ref="J142">IFERROR(INDEX('Retirement Calculator'!K:K,MATCH('Lorri 401b'!N142,'Retirement Calculator'!A:A,0),0),0)</f>
        <v>20282.026119384056</v>
      </c>
      <c r="K142" s="455">
        <f t="shared" ca="1" si="2"/>
        <v>16839.333197467782</v>
      </c>
      <c r="L142" s="455">
        <f t="shared" ca="1" si="3"/>
        <v>4058279.3005897366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4058279.3005897366</v>
      </c>
      <c r="J143" s="455">
        <f t="array" ref="J143">IFERROR(INDEX('Retirement Calculator'!K:K,MATCH('Lorri 401b'!N143,'Retirement Calculator'!A:A,0),0),0)</f>
        <v>20282.026119384056</v>
      </c>
      <c r="K143" s="455">
        <f t="shared" ca="1" si="2"/>
        <v>16824.988643626468</v>
      </c>
      <c r="L143" s="455">
        <f t="shared" ca="1" si="3"/>
        <v>4054822.2631139793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4054822.2631139793</v>
      </c>
      <c r="J144" s="455">
        <f t="array" ref="J144">IFERROR(INDEX('Retirement Calculator'!K:K,MATCH('Lorri 401b'!N144,'Retirement Calculator'!A:A,0),0),0)</f>
        <v>20282.026119384056</v>
      </c>
      <c r="K144" s="455">
        <f t="shared" ca="1" si="2"/>
        <v>16810.584320810816</v>
      </c>
      <c r="L144" s="455">
        <f t="shared" ca="1" si="3"/>
        <v>4051350.8213154059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4051350.8213154059</v>
      </c>
      <c r="J145" s="455">
        <f t="array" ref="J145">IFERROR(INDEX('Retirement Calculator'!K:K,MATCH('Lorri 401b'!N145,'Retirement Calculator'!A:A,0),0),0)</f>
        <v>20282.026119384056</v>
      </c>
      <c r="K145" s="455">
        <f t="shared" ca="1" si="2"/>
        <v>16796.119979983425</v>
      </c>
      <c r="L145" s="455">
        <f t="shared" ca="1" si="3"/>
        <v>4047864.9151760051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4047864.9151760051</v>
      </c>
      <c r="J146" s="455">
        <f t="array" ref="J146">IFERROR(INDEX('Retirement Calculator'!K:K,MATCH('Lorri 401b'!N146,'Retirement Calculator'!A:A,0),0),0)</f>
        <v>20282.026119384056</v>
      </c>
      <c r="K146" s="455">
        <f t="shared" ca="1" si="2"/>
        <v>16781.595371069256</v>
      </c>
      <c r="L146" s="455">
        <f t="shared" ca="1" si="3"/>
        <v>4044364.4844276905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4044364.4844276905</v>
      </c>
      <c r="J147" s="455">
        <f t="array" ref="J147">IFERROR(INDEX('Retirement Calculator'!K:K,MATCH('Lorri 401b'!N147,'Retirement Calculator'!A:A,0),0),0)</f>
        <v>20282.026119384056</v>
      </c>
      <c r="K147" s="455">
        <f t="shared" ca="1" si="2"/>
        <v>16767.010242951274</v>
      </c>
      <c r="L147" s="455">
        <f t="shared" ca="1" si="3"/>
        <v>4040849.4685512576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4040849.4685512576</v>
      </c>
      <c r="J148" s="455">
        <f t="array" ref="J148">IFERROR(INDEX('Retirement Calculator'!K:K,MATCH('Lorri 401b'!N148,'Retirement Calculator'!A:A,0),0),0)</f>
        <v>20282.026119384056</v>
      </c>
      <c r="K148" s="455">
        <f t="shared" ca="1" si="2"/>
        <v>16752.364343466139</v>
      </c>
      <c r="L148" s="455">
        <f t="shared" ca="1" si="3"/>
        <v>4037319.8067753399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4037319.8067753399</v>
      </c>
      <c r="J149" s="455">
        <f t="array" ref="J149">IFERROR(INDEX('Retirement Calculator'!K:K,MATCH('Lorri 401b'!N149,'Retirement Calculator'!A:A,0),0),0)</f>
        <v>20282.026119384056</v>
      </c>
      <c r="K149" s="455">
        <f t="shared" ca="1" si="2"/>
        <v>16737.657419399817</v>
      </c>
      <c r="L149" s="455">
        <f t="shared" ca="1" si="3"/>
        <v>4033775.4380753557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4033775.4380753557</v>
      </c>
      <c r="J150" s="455">
        <f t="array" ref="J150">IFERROR(INDEX('Retirement Calculator'!K:K,MATCH('Lorri 401b'!N150,'Retirement Calculator'!A:A,0),0),0)</f>
        <v>20282.026119384056</v>
      </c>
      <c r="K150" s="455">
        <f t="shared" ca="1" si="2"/>
        <v>16722.889216483214</v>
      </c>
      <c r="L150" s="455">
        <f t="shared" ca="1" si="3"/>
        <v>4030216.3011724548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4030216.3011724548</v>
      </c>
      <c r="J151" s="455">
        <f t="array" ref="J151">IFERROR(INDEX('Retirement Calculator'!K:K,MATCH('Lorri 401b'!N151,'Retirement Calculator'!A:A,0),0),0)</f>
        <v>20282.026119384056</v>
      </c>
      <c r="K151" s="455">
        <f t="shared" ca="1" si="2"/>
        <v>16708.059479387794</v>
      </c>
      <c r="L151" s="455">
        <f t="shared" ca="1" si="3"/>
        <v>4026642.3345324588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4026642.3345324588</v>
      </c>
      <c r="J152" s="455">
        <f t="array" ref="J152">IFERROR(INDEX('Retirement Calculator'!K:K,MATCH('Lorri 401b'!N152,'Retirement Calculator'!A:A,0),0),0)</f>
        <v>20282.026119384056</v>
      </c>
      <c r="K152" s="455">
        <f t="shared" ca="1" si="2"/>
        <v>16693.167951721145</v>
      </c>
      <c r="L152" s="455">
        <f t="shared" ca="1" si="3"/>
        <v>4023053.476364796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4023053.476364796</v>
      </c>
      <c r="J153" s="455">
        <f t="array" ref="J153">IFERROR(INDEX('Retirement Calculator'!K:K,MATCH('Lorri 401b'!N153,'Retirement Calculator'!A:A,0),0),0)</f>
        <v>20282.026119384056</v>
      </c>
      <c r="K153" s="455">
        <f t="shared" ca="1" si="2"/>
        <v>16678.214376022552</v>
      </c>
      <c r="L153" s="455">
        <f t="shared" ca="1" si="3"/>
        <v>4019449.6646214346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4019449.6646214346</v>
      </c>
      <c r="J154" s="455">
        <f t="array" ref="J154">IFERROR(INDEX('Retirement Calculator'!K:K,MATCH('Lorri 401b'!N154,'Retirement Calculator'!A:A,0),0),0)</f>
        <v>20282.026119384056</v>
      </c>
      <c r="K154" s="455">
        <f t="shared" ca="1" si="2"/>
        <v>16663.198493758544</v>
      </c>
      <c r="L154" s="455">
        <f t="shared" ca="1" si="3"/>
        <v>4015830.8369958093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4015830.8369958093</v>
      </c>
      <c r="J155" s="455">
        <f t="array" ref="J155">IFERROR(INDEX('Retirement Calculator'!K:K,MATCH('Lorri 401b'!N155,'Retirement Calculator'!A:A,0),0),0)</f>
        <v>20282.026119384056</v>
      </c>
      <c r="K155" s="455">
        <f t="shared" ca="1" si="2"/>
        <v>16648.120045318439</v>
      </c>
      <c r="L155" s="455">
        <f t="shared" ca="1" si="3"/>
        <v>4012196.9309217436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4012196.9309217436</v>
      </c>
      <c r="J156" s="455">
        <f t="array" ref="J156">IFERROR(INDEX('Retirement Calculator'!K:K,MATCH('Lorri 401b'!N156,'Retirement Calculator'!A:A,0),0),0)</f>
        <v>20282.026119384056</v>
      </c>
      <c r="K156" s="455">
        <f t="shared" ca="1" si="2"/>
        <v>16632.978770009835</v>
      </c>
      <c r="L156" s="455">
        <f t="shared" ca="1" si="3"/>
        <v>4008547.8835723693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4008547.8835723693</v>
      </c>
      <c r="J157" s="455">
        <f t="array" ref="J157">IFERROR(INDEX('Retirement Calculator'!K:K,MATCH('Lorri 401b'!N157,'Retirement Calculator'!A:A,0),0),0)</f>
        <v>20282.026119384056</v>
      </c>
      <c r="K157" s="455">
        <f t="shared" ca="1" si="2"/>
        <v>16617.774406054104</v>
      </c>
      <c r="L157" s="455">
        <f t="shared" ca="1" si="3"/>
        <v>4004883.6318590394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4004883.6318590394</v>
      </c>
      <c r="J158" s="455">
        <f t="array" ref="J158">IFERROR(INDEX('Retirement Calculator'!K:K,MATCH('Lorri 401b'!N158,'Retirement Calculator'!A:A,0),0),0)</f>
        <v>20282.026119384056</v>
      </c>
      <c r="K158" s="455">
        <f t="shared" ca="1" si="2"/>
        <v>16602.506690581897</v>
      </c>
      <c r="L158" s="455">
        <f t="shared" ca="1" si="3"/>
        <v>4001204.1124302372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4001204.1124302372</v>
      </c>
      <c r="J159" s="455">
        <f t="array" ref="J159">IFERROR(INDEX('Retirement Calculator'!K:K,MATCH('Lorri 401b'!N159,'Retirement Calculator'!A:A,0),0),0)</f>
        <v>20282.026119384056</v>
      </c>
      <c r="K159" s="455">
        <f t="shared" ca="1" si="2"/>
        <v>16587.175359628553</v>
      </c>
      <c r="L159" s="455">
        <f t="shared" ca="1" si="3"/>
        <v>3997509.2616704819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3997509.2616704819</v>
      </c>
      <c r="J160" s="455">
        <f t="array" ref="J160">IFERROR(INDEX('Retirement Calculator'!K:K,MATCH('Lorri 401b'!N160,'Retirement Calculator'!A:A,0),0),0)</f>
        <v>20282.026119384056</v>
      </c>
      <c r="K160" s="455">
        <f t="shared" ca="1" si="2"/>
        <v>16571.780148129576</v>
      </c>
      <c r="L160" s="455">
        <f t="shared" ca="1" si="3"/>
        <v>3993799.0156992273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3993799.0156992273</v>
      </c>
      <c r="J161" s="455">
        <f t="array" ref="J161">IFERROR(INDEX('Retirement Calculator'!K:K,MATCH('Lorri 401b'!N161,'Retirement Calculator'!A:A,0),0),0)</f>
        <v>20282.026119384056</v>
      </c>
      <c r="K161" s="455">
        <f t="shared" ca="1" si="2"/>
        <v>16556.320789916012</v>
      </c>
      <c r="L161" s="455">
        <f t="shared" ca="1" si="3"/>
        <v>3990073.3103697593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3990073.3103697593</v>
      </c>
      <c r="J162" s="455">
        <f t="array" ref="J162">IFERROR(INDEX('Retirement Calculator'!K:K,MATCH('Lorri 401b'!N162,'Retirement Calculator'!A:A,0),0),0)</f>
        <v>20282.026119384056</v>
      </c>
      <c r="K162" s="455">
        <f t="shared" ca="1" si="2"/>
        <v>16540.797017709898</v>
      </c>
      <c r="L162" s="455">
        <f t="shared" ca="1" si="3"/>
        <v>3986332.0812680852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3986332.0812680852</v>
      </c>
      <c r="J163" s="455">
        <f t="array" ref="J163">IFERROR(INDEX('Retirement Calculator'!K:K,MATCH('Lorri 401b'!N163,'Retirement Calculator'!A:A,0),0),0)</f>
        <v>20282.026119384056</v>
      </c>
      <c r="K163" s="455">
        <f t="shared" ca="1" si="2"/>
        <v>16525.208563119588</v>
      </c>
      <c r="L163" s="455">
        <f t="shared" ca="1" si="3"/>
        <v>3982575.2637118208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3982575.2637118208</v>
      </c>
      <c r="J164" s="455">
        <f t="array" ref="J164">IFERROR(INDEX('Retirement Calculator'!K:K,MATCH('Lorri 401b'!N164,'Retirement Calculator'!A:A,0),0),0)</f>
        <v>20282.026119384056</v>
      </c>
      <c r="K164" s="455">
        <f t="shared" ca="1" si="2"/>
        <v>16509.555156635153</v>
      </c>
      <c r="L164" s="455">
        <f t="shared" ca="1" si="3"/>
        <v>3978802.792749072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3978802.792749072</v>
      </c>
      <c r="J165" s="455">
        <f t="array" ref="J165">IFERROR(INDEX('Retirement Calculator'!K:K,MATCH('Lorri 401b'!N165,'Retirement Calculator'!A:A,0),0),0)</f>
        <v>20282.026119384056</v>
      </c>
      <c r="K165" s="455">
        <f t="shared" ca="1" si="2"/>
        <v>16493.836527623698</v>
      </c>
      <c r="L165" s="455">
        <f t="shared" ca="1" si="3"/>
        <v>3975014.6031573117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3975014.6031573117</v>
      </c>
      <c r="J166" s="455">
        <f t="array" ref="J166">IFERROR(INDEX('Retirement Calculator'!K:K,MATCH('Lorri 401b'!N166,'Retirement Calculator'!A:A,0),0),0)</f>
        <v>20282.026119384056</v>
      </c>
      <c r="K166" s="455">
        <f t="shared" ca="1" si="2"/>
        <v>16478.052404324699</v>
      </c>
      <c r="L166" s="455">
        <f t="shared" ca="1" si="3"/>
        <v>3971210.6294422522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3971210.6294422522</v>
      </c>
      <c r="J167" s="455">
        <f t="array" ref="J167">IFERROR(INDEX('Retirement Calculator'!K:K,MATCH('Lorri 401b'!N167,'Retirement Calculator'!A:A,0),0),0)</f>
        <v>20282.026119384056</v>
      </c>
      <c r="K167" s="455">
        <f t="shared" ca="1" si="2"/>
        <v>16462.202513845285</v>
      </c>
      <c r="L167" s="455">
        <f t="shared" ca="1" si="3"/>
        <v>3967390.8058367134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3967390.8058367134</v>
      </c>
      <c r="J168" s="455">
        <f t="array" ref="J168">IFERROR(INDEX('Retirement Calculator'!K:K,MATCH('Lorri 401b'!N168,'Retirement Calculator'!A:A,0),0),0)</f>
        <v>20282.026119384056</v>
      </c>
      <c r="K168" s="455">
        <f t="shared" ca="1" si="2"/>
        <v>16446.286582155539</v>
      </c>
      <c r="L168" s="455">
        <f t="shared" ca="1" si="3"/>
        <v>3963555.066299485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3963555.066299485</v>
      </c>
      <c r="J169" s="455">
        <f t="array" ref="J169">IFERROR(INDEX('Retirement Calculator'!K:K,MATCH('Lorri 401b'!N169,'Retirement Calculator'!A:A,0),0),0)</f>
        <v>20282.026119384056</v>
      </c>
      <c r="K169" s="455">
        <f t="shared" ca="1" si="2"/>
        <v>16430.304334083754</v>
      </c>
      <c r="L169" s="455">
        <f t="shared" ca="1" si="3"/>
        <v>3959703.3445141846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3959703.3445141846</v>
      </c>
      <c r="J170" s="455">
        <f t="array" ref="J170">IFERROR(INDEX('Retirement Calculator'!K:K,MATCH('Lorri 401b'!N170,'Retirement Calculator'!A:A,0),0),0)</f>
        <v>20282.026119384056</v>
      </c>
      <c r="K170" s="455">
        <f t="shared" ca="1" si="2"/>
        <v>16414.25549331167</v>
      </c>
      <c r="L170" s="455">
        <f t="shared" ca="1" si="3"/>
        <v>3955835.5738881123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3955835.5738881123</v>
      </c>
      <c r="J171" s="455">
        <f t="array" ref="J171">IFERROR(INDEX('Retirement Calculator'!K:K,MATCH('Lorri 401b'!N171,'Retirement Calculator'!A:A,0),0),0)</f>
        <v>20282.026119384056</v>
      </c>
      <c r="K171" s="455">
        <f t="shared" ca="1" si="2"/>
        <v>16398.139782369701</v>
      </c>
      <c r="L171" s="455">
        <f t="shared" ca="1" si="3"/>
        <v>3951951.6875510979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3951951.6875510979</v>
      </c>
      <c r="J172" s="455">
        <f t="array" ref="J172">IFERROR(INDEX('Retirement Calculator'!K:K,MATCH('Lorri 401b'!N172,'Retirement Calculator'!A:A,0),0),0)</f>
        <v>20282.026119384056</v>
      </c>
      <c r="K172" s="455">
        <f t="shared" ca="1" si="2"/>
        <v>16381.956922632142</v>
      </c>
      <c r="L172" s="455">
        <f t="shared" ca="1" si="3"/>
        <v>3948051.6183543461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3948051.6183543461</v>
      </c>
      <c r="J173" s="455">
        <f t="array" ref="J173">IFERROR(INDEX('Retirement Calculator'!K:K,MATCH('Lorri 401b'!N173,'Retirement Calculator'!A:A,0),0),0)</f>
        <v>20282.026119384056</v>
      </c>
      <c r="K173" s="455">
        <f t="shared" ca="1" si="2"/>
        <v>16365.706634312342</v>
      </c>
      <c r="L173" s="455">
        <f t="shared" ca="1" si="3"/>
        <v>3944135.2988692746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3944135.2988692746</v>
      </c>
      <c r="J174" s="455">
        <f t="array" ref="J174">IFERROR(INDEX('Retirement Calculator'!K:K,MATCH('Lorri 401b'!N174,'Retirement Calculator'!A:A,0),0),0)</f>
        <v>20282.026119384056</v>
      </c>
      <c r="K174" s="455">
        <f t="shared" ca="1" si="2"/>
        <v>16349.388636457878</v>
      </c>
      <c r="L174" s="455">
        <f t="shared" ca="1" si="3"/>
        <v>3940202.6613863483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3940202.6613863483</v>
      </c>
      <c r="J175" s="455">
        <f t="array" ref="J175">IFERROR(INDEX('Retirement Calculator'!K:K,MATCH('Lorri 401b'!N175,'Retirement Calculator'!A:A,0),0),0)</f>
        <v>20282.026119384056</v>
      </c>
      <c r="K175" s="455">
        <f t="shared" ca="1" si="2"/>
        <v>16333.002646945682</v>
      </c>
      <c r="L175" s="455">
        <f t="shared" ca="1" si="3"/>
        <v>3936253.6379139102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3936253.6379139102</v>
      </c>
      <c r="J176" s="455">
        <f t="array" ref="J176">IFERROR(INDEX('Retirement Calculator'!K:K,MATCH('Lorri 401b'!N176,'Retirement Calculator'!A:A,0),0),0)</f>
        <v>20282.026119384056</v>
      </c>
      <c r="K176" s="455">
        <f t="shared" ca="1" si="2"/>
        <v>16316.548382477193</v>
      </c>
      <c r="L176" s="455">
        <f t="shared" ca="1" si="3"/>
        <v>3932288.1601770036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3932288.1601770036</v>
      </c>
      <c r="J177" s="455">
        <f t="array" ref="J177">IFERROR(INDEX('Retirement Calculator'!K:K,MATCH('Lorri 401b'!N177,'Retirement Calculator'!A:A,0),0),0)</f>
        <v>20282.026119384056</v>
      </c>
      <c r="K177" s="455">
        <f t="shared" ca="1" si="2"/>
        <v>16300.025558573412</v>
      </c>
      <c r="L177" s="455">
        <f t="shared" ca="1" si="3"/>
        <v>3928306.1596161928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3928306.1596161928</v>
      </c>
      <c r="J178" s="455">
        <f t="array" ref="J178">IFERROR(INDEX('Retirement Calculator'!K:K,MATCH('Lorri 401b'!N178,'Retirement Calculator'!A:A,0),0),0)</f>
        <v>20282.026119384056</v>
      </c>
      <c r="K178" s="455">
        <f t="shared" ca="1" si="2"/>
        <v>16283.433889570037</v>
      </c>
      <c r="L178" s="455">
        <f t="shared" ca="1" si="3"/>
        <v>3924307.567386379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3924307.567386379</v>
      </c>
      <c r="J179" s="455">
        <f t="array" ref="J179">IFERROR(INDEX('Retirement Calculator'!K:K,MATCH('Lorri 401b'!N179,'Retirement Calculator'!A:A,0),0),0)</f>
        <v>20282.026119384056</v>
      </c>
      <c r="K179" s="455">
        <f t="shared" ca="1" si="2"/>
        <v>16266.773088612479</v>
      </c>
      <c r="L179" s="455">
        <f t="shared" ca="1" si="3"/>
        <v>3920292.3143556076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3920292.3143556076</v>
      </c>
      <c r="J180" s="455">
        <f t="array" ref="J180">IFERROR(INDEX('Retirement Calculator'!K:K,MATCH('Lorri 401b'!N180,'Retirement Calculator'!A:A,0),0),0)</f>
        <v>20282.026119384056</v>
      </c>
      <c r="K180" s="455">
        <f t="shared" ca="1" si="2"/>
        <v>16250.042867650933</v>
      </c>
      <c r="L180" s="455">
        <f t="shared" ca="1" si="3"/>
        <v>3916260.3311038744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3916260.3311038744</v>
      </c>
      <c r="J181" s="455">
        <f t="array" ref="J181">IFERROR(INDEX('Retirement Calculator'!K:K,MATCH('Lorri 401b'!N181,'Retirement Calculator'!A:A,0),0),0)</f>
        <v>20282.026119384056</v>
      </c>
      <c r="K181" s="455">
        <f t="shared" ca="1" si="2"/>
        <v>16233.242937435376</v>
      </c>
      <c r="L181" s="455">
        <f t="shared" ca="1" si="3"/>
        <v>3912211.5479219258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3912211.5479219258</v>
      </c>
      <c r="J182" s="455">
        <f t="array" ref="J182">IFERROR(INDEX('Retirement Calculator'!K:K,MATCH('Lorri 401b'!N182,'Retirement Calculator'!A:A,0),0),0)</f>
        <v>20282.026119384056</v>
      </c>
      <c r="K182" s="455">
        <f t="shared" ca="1" si="2"/>
        <v>16216.373007510592</v>
      </c>
      <c r="L182" s="455">
        <f t="shared" ca="1" si="3"/>
        <v>3908145.8948100526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3908145.8948100526</v>
      </c>
      <c r="J183" s="455">
        <f t="array" ref="J183">IFERROR(INDEX('Retirement Calculator'!K:K,MATCH('Lorri 401b'!N183,'Retirement Calculator'!A:A,0),0),0)</f>
        <v>20282.026119384056</v>
      </c>
      <c r="K183" s="455">
        <f t="shared" ca="1" si="2"/>
        <v>16199.432786211119</v>
      </c>
      <c r="L183" s="455">
        <f t="shared" ca="1" si="3"/>
        <v>3904063.3014768795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3904063.3014768795</v>
      </c>
      <c r="J184" s="455">
        <f t="array" ref="J184">IFERROR(INDEX('Retirement Calculator'!K:K,MATCH('Lorri 401b'!N184,'Retirement Calculator'!A:A,0),0),0)</f>
        <v>20282.026119384056</v>
      </c>
      <c r="K184" s="455">
        <f t="shared" ca="1" si="2"/>
        <v>16182.421980656231</v>
      </c>
      <c r="L184" s="455">
        <f t="shared" ca="1" si="3"/>
        <v>3899963.6973381517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3899963.6973381517</v>
      </c>
      <c r="J185" s="455">
        <f t="array" ref="J185">IFERROR(INDEX('Retirement Calculator'!K:K,MATCH('Lorri 401b'!N185,'Retirement Calculator'!A:A,0),0),0)</f>
        <v>20282.026119384056</v>
      </c>
      <c r="K185" s="455">
        <f t="shared" ca="1" si="2"/>
        <v>16165.340296744864</v>
      </c>
      <c r="L185" s="455">
        <f t="shared" ca="1" si="3"/>
        <v>3895847.0115155126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3895847.0115155126</v>
      </c>
      <c r="J186" s="455">
        <f t="array" ref="J186">IFERROR(INDEX('Retirement Calculator'!K:K,MATCH('Lorri 401b'!N186,'Retirement Calculator'!A:A,0),0),0)</f>
        <v>20282.026119384056</v>
      </c>
      <c r="K186" s="455">
        <f t="shared" ca="1" si="2"/>
        <v>16148.187439150537</v>
      </c>
      <c r="L186" s="455">
        <f t="shared" ca="1" si="3"/>
        <v>3891713.1728352793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3891713.1728352793</v>
      </c>
      <c r="J187" s="455">
        <f t="array" ref="J187">IFERROR(INDEX('Retirement Calculator'!K:K,MATCH('Lorri 401b'!N187,'Retirement Calculator'!A:A,0),0),0)</f>
        <v>20282.026119384056</v>
      </c>
      <c r="K187" s="455">
        <f t="shared" ca="1" si="2"/>
        <v>16130.96311131623</v>
      </c>
      <c r="L187" s="455">
        <f t="shared" ca="1" si="3"/>
        <v>3887562.1098272116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3887562.1098272116</v>
      </c>
      <c r="J188" s="455">
        <f t="array" ref="J188">IFERROR(INDEX('Retirement Calculator'!K:K,MATCH('Lorri 401b'!N188,'Retirement Calculator'!A:A,0),0),0)</f>
        <v>20282.026119384056</v>
      </c>
      <c r="K188" s="455">
        <f t="shared" ca="1" si="2"/>
        <v>16113.66701544928</v>
      </c>
      <c r="L188" s="455">
        <f t="shared" ca="1" si="3"/>
        <v>3883393.7507232768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3883393.7507232768</v>
      </c>
      <c r="J189" s="455">
        <f t="array" ref="J189">IFERROR(INDEX('Retirement Calculator'!K:K,MATCH('Lorri 401b'!N189,'Retirement Calculator'!A:A,0),0),0)</f>
        <v>20282.026119384056</v>
      </c>
      <c r="K189" s="455">
        <f t="shared" ca="1" si="2"/>
        <v>16096.29885251622</v>
      </c>
      <c r="L189" s="455">
        <f t="shared" ca="1" si="3"/>
        <v>3879208.0234564091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3879208.0234564091</v>
      </c>
      <c r="J190" s="455">
        <f t="array" ref="J190">IFERROR(INDEX('Retirement Calculator'!K:K,MATCH('Lorri 401b'!N190,'Retirement Calculator'!A:A,0),0),0)</f>
        <v>20282.026119384056</v>
      </c>
      <c r="K190" s="455">
        <f t="shared" ca="1" si="2"/>
        <v>16078.858322237604</v>
      </c>
      <c r="L190" s="455">
        <f t="shared" ca="1" si="3"/>
        <v>3875004.8556592627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3875004.8556592627</v>
      </c>
      <c r="J191" s="455">
        <f t="array" ref="J191">IFERROR(INDEX('Retirement Calculator'!K:K,MATCH('Lorri 401b'!N191,'Retirement Calculator'!A:A,0),0),0)</f>
        <v>20282.026119384056</v>
      </c>
      <c r="K191" s="455">
        <f t="shared" ca="1" si="2"/>
        <v>16061.345123082829</v>
      </c>
      <c r="L191" s="455">
        <f t="shared" ca="1" si="3"/>
        <v>3870784.1746629616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3870784.1746629616</v>
      </c>
      <c r="J192" s="455">
        <f t="array" ref="J192">IFERROR(INDEX('Retirement Calculator'!K:K,MATCH('Lorri 401b'!N192,'Retirement Calculator'!A:A,0),0),0)</f>
        <v>20282.026119384056</v>
      </c>
      <c r="K192" s="455">
        <f t="shared" ca="1" si="2"/>
        <v>16043.758952264905</v>
      </c>
      <c r="L192" s="455">
        <f t="shared" ca="1" si="3"/>
        <v>3866545.9074958423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3866545.9074958423</v>
      </c>
      <c r="J193" s="455">
        <f t="array" ref="J193">IFERROR(INDEX('Retirement Calculator'!K:K,MATCH('Lorri 401b'!N193,'Retirement Calculator'!A:A,0),0),0)</f>
        <v>20282.026119384056</v>
      </c>
      <c r="K193" s="455">
        <f t="shared" ca="1" si="2"/>
        <v>16026.099505735243</v>
      </c>
      <c r="L193" s="455">
        <f t="shared" ca="1" si="3"/>
        <v>3862289.9808821934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3862289.9808821934</v>
      </c>
      <c r="J194" s="455">
        <f t="array" ref="J194">IFERROR(INDEX('Retirement Calculator'!K:K,MATCH('Lorri 401b'!N194,'Retirement Calculator'!A:A,0),0),0)</f>
        <v>20282.026119384056</v>
      </c>
      <c r="K194" s="455">
        <f t="shared" ca="1" si="2"/>
        <v>16008.366478178372</v>
      </c>
      <c r="L194" s="455">
        <f t="shared" ca="1" si="3"/>
        <v>3858016.3212409876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3858016.3212409876</v>
      </c>
      <c r="J195" s="455">
        <f t="array" ref="J195">IFERROR(INDEX('Retirement Calculator'!K:K,MATCH('Lorri 401b'!N195,'Retirement Calculator'!A:A,0),0),0)</f>
        <v>20282.026119384056</v>
      </c>
      <c r="K195" s="455">
        <f t="shared" ca="1" si="2"/>
        <v>15990.559563006682</v>
      </c>
      <c r="L195" s="455">
        <f t="shared" ca="1" si="3"/>
        <v>3853724.8546846104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3853724.8546846104</v>
      </c>
      <c r="J196" s="455">
        <f t="array" ref="J196">IFERROR(INDEX('Retirement Calculator'!K:K,MATCH('Lorri 401b'!N196,'Retirement Calculator'!A:A,0),0),0)</f>
        <v>20282.026119384056</v>
      </c>
      <c r="K196" s="455">
        <f t="shared" ca="1" si="2"/>
        <v>15972.67845235511</v>
      </c>
      <c r="L196" s="455">
        <f t="shared" ca="1" si="3"/>
        <v>3849415.5070175817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3849415.5070175817</v>
      </c>
      <c r="J197" s="455">
        <f t="array" ref="J197">IFERROR(INDEX('Retirement Calculator'!K:K,MATCH('Lorri 401b'!N197,'Retirement Calculator'!A:A,0),0),0)</f>
        <v>20282.026119384056</v>
      </c>
      <c r="K197" s="455">
        <f t="shared" ca="1" si="2"/>
        <v>15954.722837075824</v>
      </c>
      <c r="L197" s="455">
        <f t="shared" ca="1" si="3"/>
        <v>3845088.2037352733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3845088.2037352733</v>
      </c>
      <c r="J198" s="455">
        <f t="array" ref="J198">IFERROR(INDEX('Retirement Calculator'!K:K,MATCH('Lorri 401b'!N198,'Retirement Calculator'!A:A,0),0),0)</f>
        <v>20282.026119384056</v>
      </c>
      <c r="K198" s="455">
        <f t="shared" ca="1" si="2"/>
        <v>15936.692406732873</v>
      </c>
      <c r="L198" s="455">
        <f t="shared" ca="1" si="3"/>
        <v>3840742.8700226224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3840742.8700226224</v>
      </c>
      <c r="J199" s="455">
        <f t="array" ref="J199">IFERROR(INDEX('Retirement Calculator'!K:K,MATCH('Lorri 401b'!N199,'Retirement Calculator'!A:A,0),0),0)</f>
        <v>20282.026119384056</v>
      </c>
      <c r="K199" s="455">
        <f t="shared" ca="1" si="2"/>
        <v>15918.586849596826</v>
      </c>
      <c r="L199" s="455">
        <f t="shared" ca="1" si="3"/>
        <v>3836379.4307528352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3836379.4307528352</v>
      </c>
      <c r="J200" s="455">
        <f t="array" ref="J200">IFERROR(INDEX('Retirement Calculator'!K:K,MATCH('Lorri 401b'!N200,'Retirement Calculator'!A:A,0),0),0)</f>
        <v>20282.026119384056</v>
      </c>
      <c r="K200" s="455">
        <f t="shared" ca="1" si="2"/>
        <v>15900.40585263938</v>
      </c>
      <c r="L200" s="455">
        <f t="shared" ca="1" si="3"/>
        <v>3831997.8104860908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3831997.8104860908</v>
      </c>
      <c r="J201" s="455">
        <f t="array" ref="J201">IFERROR(INDEX('Retirement Calculator'!K:K,MATCH('Lorri 401b'!N201,'Retirement Calculator'!A:A,0),0),0)</f>
        <v>20282.026119384056</v>
      </c>
      <c r="K201" s="455">
        <f t="shared" ca="1" si="2"/>
        <v>15882.149101527944</v>
      </c>
      <c r="L201" s="455">
        <f t="shared" ca="1" si="3"/>
        <v>3827597.9334682347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3827597.9334682347</v>
      </c>
      <c r="J202" s="455">
        <f t="array" ref="J202">IFERROR(INDEX('Retirement Calculator'!K:K,MATCH('Lorri 401b'!N202,'Retirement Calculator'!A:A,0),0),0)</f>
        <v>20282.026119384056</v>
      </c>
      <c r="K202" s="455">
        <f t="shared" ca="1" si="2"/>
        <v>15863.816280620211</v>
      </c>
      <c r="L202" s="455">
        <f t="shared" ca="1" si="3"/>
        <v>3823179.7236294709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3823179.7236294709</v>
      </c>
      <c r="J203" s="455">
        <f t="array" ref="J203">IFERROR(INDEX('Retirement Calculator'!K:K,MATCH('Lorri 401b'!N203,'Retirement Calculator'!A:A,0),0),0)</f>
        <v>20282.026119384056</v>
      </c>
      <c r="K203" s="455">
        <f t="shared" ca="1" si="2"/>
        <v>15845.407072958693</v>
      </c>
      <c r="L203" s="455">
        <f t="shared" ca="1" si="3"/>
        <v>3818743.1045830455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3818743.1045830455</v>
      </c>
      <c r="J204" s="455">
        <f t="array" ref="J204">IFERROR(INDEX('Retirement Calculator'!K:K,MATCH('Lorri 401b'!N204,'Retirement Calculator'!A:A,0),0),0)</f>
        <v>20282.026119384056</v>
      </c>
      <c r="K204" s="455">
        <f t="shared" ca="1" si="2"/>
        <v>15826.921160265256</v>
      </c>
      <c r="L204" s="455">
        <f t="shared" ca="1" si="3"/>
        <v>3814287.9996239268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3814287.9996239268</v>
      </c>
      <c r="J205" s="455">
        <f t="array" ref="J205">IFERROR(INDEX('Retirement Calculator'!K:K,MATCH('Lorri 401b'!N205,'Retirement Calculator'!A:A,0),0),0)</f>
        <v>20282.026119384056</v>
      </c>
      <c r="K205" s="455">
        <f t="shared" ca="1" si="2"/>
        <v>15808.358222935596</v>
      </c>
      <c r="L205" s="455">
        <f t="shared" ca="1" si="3"/>
        <v>3809814.3317274787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3809814.3317274787</v>
      </c>
      <c r="J206" s="455">
        <f t="array" ref="J206">IFERROR(INDEX('Retirement Calculator'!K:K,MATCH('Lorri 401b'!N206,'Retirement Calculator'!A:A,0),0),0)</f>
        <v>20282.026119384056</v>
      </c>
      <c r="K206" s="455">
        <f t="shared" ca="1" si="2"/>
        <v>15789.717940033728</v>
      </c>
      <c r="L206" s="455">
        <f t="shared" ca="1" si="3"/>
        <v>3805322.0235481285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3805322.0235481285</v>
      </c>
      <c r="J207" s="455">
        <f t="array" ref="J207">IFERROR(INDEX('Retirement Calculator'!K:K,MATCH('Lorri 401b'!N207,'Retirement Calculator'!A:A,0),0),0)</f>
        <v>20282.026119384056</v>
      </c>
      <c r="K207" s="455">
        <f t="shared" ca="1" si="2"/>
        <v>15770.999989286438</v>
      </c>
      <c r="L207" s="455">
        <f t="shared" ca="1" si="3"/>
        <v>3800810.9974180311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3800810.9974180311</v>
      </c>
      <c r="J208" s="455">
        <f t="array" ref="J208">IFERROR(INDEX('Retirement Calculator'!K:K,MATCH('Lorri 401b'!N208,'Retirement Calculator'!A:A,0),0),0)</f>
        <v>20282.026119384056</v>
      </c>
      <c r="K208" s="455">
        <f t="shared" ca="1" si="2"/>
        <v>15752.204047077697</v>
      </c>
      <c r="L208" s="455">
        <f t="shared" ca="1" si="3"/>
        <v>3796281.1753457249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3796281.1753457249</v>
      </c>
      <c r="J209" s="455">
        <f t="array" ref="J209">IFERROR(INDEX('Retirement Calculator'!K:K,MATCH('Lorri 401b'!N209,'Retirement Calculator'!A:A,0),0),0)</f>
        <v>20282.026119384056</v>
      </c>
      <c r="K209" s="455">
        <f t="shared" ca="1" si="2"/>
        <v>15733.329788443087</v>
      </c>
      <c r="L209" s="455">
        <f t="shared" ca="1" si="3"/>
        <v>3791732.4790147841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3791732.4790147841</v>
      </c>
      <c r="J210" s="455">
        <f t="array" ref="J210">IFERROR(INDEX('Retirement Calculator'!K:K,MATCH('Lorri 401b'!N210,'Retirement Calculator'!A:A,0),0),0)</f>
        <v>20282.026119384056</v>
      </c>
      <c r="K210" s="455">
        <f t="shared" ca="1" si="2"/>
        <v>15714.376887064167</v>
      </c>
      <c r="L210" s="455">
        <f t="shared" ca="1" si="3"/>
        <v>3787164.8297824641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3787164.8297824641</v>
      </c>
      <c r="J211" s="455">
        <f t="array" ref="J211">IFERROR(INDEX('Retirement Calculator'!K:K,MATCH('Lorri 401b'!N211,'Retirement Calculator'!A:A,0),0),0)</f>
        <v>20282.026119384056</v>
      </c>
      <c r="K211" s="455">
        <f t="shared" ca="1" si="2"/>
        <v>15695.345015262834</v>
      </c>
      <c r="L211" s="455">
        <f t="shared" ca="1" si="3"/>
        <v>3782578.1486783428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3782578.1486783428</v>
      </c>
      <c r="J212" s="455">
        <f t="array" ref="J212">IFERROR(INDEX('Retirement Calculator'!K:K,MATCH('Lorri 401b'!N212,'Retirement Calculator'!A:A,0),0),0)</f>
        <v>20282.026119384056</v>
      </c>
      <c r="K212" s="455">
        <f t="shared" ca="1" si="2"/>
        <v>15676.233843995662</v>
      </c>
      <c r="L212" s="455">
        <f t="shared" ca="1" si="3"/>
        <v>3777972.3564029546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3777972.3564029546</v>
      </c>
      <c r="J213" s="455">
        <f t="array" ref="J213">IFERROR(INDEX('Retirement Calculator'!K:K,MATCH('Lorri 401b'!N213,'Retirement Calculator'!A:A,0),0),0)</f>
        <v>20282.026119384056</v>
      </c>
      <c r="K213" s="455">
        <f t="shared" ca="1" si="2"/>
        <v>15657.043042848209</v>
      </c>
      <c r="L213" s="455">
        <f t="shared" ca="1" si="3"/>
        <v>3773347.3733264189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3773347.3733264189</v>
      </c>
      <c r="J214" s="455">
        <f t="array" ref="J214">IFERROR(INDEX('Retirement Calculator'!K:K,MATCH('Lorri 401b'!N214,'Retirement Calculator'!A:A,0),0),0)</f>
        <v>20282.026119384056</v>
      </c>
      <c r="K214" s="455">
        <f t="shared" ca="1" si="2"/>
        <v>15637.77228002931</v>
      </c>
      <c r="L214" s="455">
        <f t="shared" ca="1" si="3"/>
        <v>3768703.1194870644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3768703.1194870644</v>
      </c>
      <c r="J215" s="455">
        <f t="array" ref="J215">IFERROR(INDEX('Retirement Calculator'!K:K,MATCH('Lorri 401b'!N215,'Retirement Calculator'!A:A,0),0),0)</f>
        <v>20282.026119384056</v>
      </c>
      <c r="K215" s="455">
        <f t="shared" ca="1" si="2"/>
        <v>15618.421222365336</v>
      </c>
      <c r="L215" s="455">
        <f t="shared" ca="1" si="3"/>
        <v>3764039.5145900459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3764039.5145900459</v>
      </c>
      <c r="J216" s="455">
        <f t="array" ref="J216">IFERROR(INDEX('Retirement Calculator'!K:K,MATCH('Lorri 401b'!N216,'Retirement Calculator'!A:A,0),0),0)</f>
        <v>20282.026119384056</v>
      </c>
      <c r="K216" s="455">
        <f t="shared" ca="1" si="2"/>
        <v>15598.989535294422</v>
      </c>
      <c r="L216" s="455">
        <f t="shared" ca="1" si="3"/>
        <v>3759356.4780059564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3759356.4780059564</v>
      </c>
      <c r="J217" s="455">
        <f t="array" ref="J217">IFERROR(INDEX('Retirement Calculator'!K:K,MATCH('Lorri 401b'!N217,'Retirement Calculator'!A:A,0),0),0)</f>
        <v>20282.026119384056</v>
      </c>
      <c r="K217" s="455">
        <f t="shared" ca="1" si="2"/>
        <v>15579.476882860716</v>
      </c>
      <c r="L217" s="455">
        <f t="shared" ca="1" si="3"/>
        <v>3754653.9287694329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3754653.9287694329</v>
      </c>
      <c r="J218" s="455">
        <f t="array" ref="J218">IFERROR(INDEX('Retirement Calculator'!K:K,MATCH('Lorri 401b'!N218,'Retirement Calculator'!A:A,0),0),0)</f>
        <v>20282.026119384056</v>
      </c>
      <c r="K218" s="455">
        <f t="shared" ca="1" si="2"/>
        <v>15559.882927708537</v>
      </c>
      <c r="L218" s="455">
        <f t="shared" ca="1" si="3"/>
        <v>3749931.7855777573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3749931.7855777573</v>
      </c>
      <c r="J219" s="455">
        <f t="array" ref="J219">IFERROR(INDEX('Retirement Calculator'!K:K,MATCH('Lorri 401b'!N219,'Retirement Calculator'!A:A,0),0),0)</f>
        <v>20282.026119384056</v>
      </c>
      <c r="K219" s="455">
        <f t="shared" ca="1" si="2"/>
        <v>15540.207331076554</v>
      </c>
      <c r="L219" s="455">
        <f t="shared" ca="1" si="3"/>
        <v>3745189.96678945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3745189.96678945</v>
      </c>
      <c r="J220" s="455">
        <f t="array" ref="J220">IFERROR(INDEX('Retirement Calculator'!K:K,MATCH('Lorri 401b'!N220,'Retirement Calculator'!A:A,0),0),0)</f>
        <v>20282.026119384056</v>
      </c>
      <c r="K220" s="455">
        <f t="shared" ca="1" si="2"/>
        <v>15520.449752791941</v>
      </c>
      <c r="L220" s="455">
        <f t="shared" ca="1" si="3"/>
        <v>3740428.3904228578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3740428.3904228578</v>
      </c>
      <c r="J221" s="455">
        <f t="array" ref="J221">IFERROR(INDEX('Retirement Calculator'!K:K,MATCH('Lorri 401b'!N221,'Retirement Calculator'!A:A,0),0),0)</f>
        <v>20282.026119384056</v>
      </c>
      <c r="K221" s="455">
        <f t="shared" ca="1" si="2"/>
        <v>15500.609851264475</v>
      </c>
      <c r="L221" s="455">
        <f t="shared" ca="1" si="3"/>
        <v>3735646.9741547382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3735646.9741547382</v>
      </c>
      <c r="J222" s="455">
        <f t="array" ref="J222">IFERROR(INDEX('Retirement Calculator'!K:K,MATCH('Lorri 401b'!N222,'Retirement Calculator'!A:A,0),0),0)</f>
        <v>20282.026119384056</v>
      </c>
      <c r="K222" s="455">
        <f t="shared" ca="1" si="2"/>
        <v>15480.687283480642</v>
      </c>
      <c r="L222" s="455">
        <f t="shared" ca="1" si="3"/>
        <v>3730845.6353188348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3730845.6353188348</v>
      </c>
      <c r="J223" s="455">
        <f t="array" ref="J223">IFERROR(INDEX('Retirement Calculator'!K:K,MATCH('Lorri 401b'!N223,'Retirement Calculator'!A:A,0),0),0)</f>
        <v>20282.026119384056</v>
      </c>
      <c r="K223" s="455">
        <f t="shared" ca="1" si="2"/>
        <v>15460.681704997711</v>
      </c>
      <c r="L223" s="455">
        <f t="shared" ca="1" si="3"/>
        <v>3726024.2909044484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3726024.2909044484</v>
      </c>
      <c r="J224" s="455">
        <f t="array" ref="J224">IFERROR(INDEX('Retirement Calculator'!K:K,MATCH('Lorri 401b'!N224,'Retirement Calculator'!A:A,0),0),0)</f>
        <v>20282.026119384056</v>
      </c>
      <c r="K224" s="455">
        <f t="shared" ca="1" si="2"/>
        <v>15440.592769937768</v>
      </c>
      <c r="L224" s="455">
        <f t="shared" ca="1" si="3"/>
        <v>3721182.857555002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3721182.857555002</v>
      </c>
      <c r="J225" s="455">
        <f t="array" ref="J225">IFERROR(INDEX('Retirement Calculator'!K:K,MATCH('Lorri 401b'!N225,'Retirement Calculator'!A:A,0),0),0)</f>
        <v>20282.026119384056</v>
      </c>
      <c r="K225" s="455">
        <f t="shared" ca="1" si="2"/>
        <v>15420.420130981742</v>
      </c>
      <c r="L225" s="455">
        <f t="shared" ca="1" si="3"/>
        <v>3716321.2515665996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3716321.2515665996</v>
      </c>
      <c r="J226" s="455">
        <f t="array" ref="J226">IFERROR(INDEX('Retirement Calculator'!K:K,MATCH('Lorri 401b'!N226,'Retirement Calculator'!A:A,0),0),0)</f>
        <v>20282.026119384056</v>
      </c>
      <c r="K226" s="455">
        <f t="shared" ca="1" si="2"/>
        <v>15400.163439363398</v>
      </c>
      <c r="L226" s="455">
        <f t="shared" ca="1" si="3"/>
        <v>3711439.3888865788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3711439.3888865788</v>
      </c>
      <c r="J227" s="455">
        <f t="array" ref="J227">IFERROR(INDEX('Retirement Calculator'!K:K,MATCH('Lorri 401b'!N227,'Retirement Calculator'!A:A,0),0),0)</f>
        <v>20282.026119384056</v>
      </c>
      <c r="K227" s="455">
        <f t="shared" ca="1" si="2"/>
        <v>15379.822344863313</v>
      </c>
      <c r="L227" s="455">
        <f t="shared" ca="1" si="3"/>
        <v>3706537.1851120582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3706537.1851120582</v>
      </c>
      <c r="J228" s="455">
        <f t="array" ref="J228">IFERROR(INDEX('Retirement Calculator'!K:K,MATCH('Lorri 401b'!N228,'Retirement Calculator'!A:A,0),0),0)</f>
        <v>20282.026119384056</v>
      </c>
      <c r="K228" s="455">
        <f t="shared" ca="1" si="2"/>
        <v>15359.39649580281</v>
      </c>
      <c r="L228" s="455">
        <f t="shared" ca="1" si="3"/>
        <v>3701614.555488477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3701614.555488477</v>
      </c>
      <c r="J229" s="455">
        <f t="array" ref="J229">IFERROR(INDEX('Retirement Calculator'!K:K,MATCH('Lorri 401b'!N229,'Retirement Calculator'!A:A,0),0),0)</f>
        <v>20282.026119384056</v>
      </c>
      <c r="K229" s="455">
        <f t="shared" ca="1" si="2"/>
        <v>15338.885539037887</v>
      </c>
      <c r="L229" s="455">
        <f t="shared" ca="1" si="3"/>
        <v>3696671.4149081311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3696671.4149081311</v>
      </c>
      <c r="J230" s="455">
        <f t="array" ref="J230">IFERROR(INDEX('Retirement Calculator'!K:K,MATCH('Lorri 401b'!N230,'Retirement Calculator'!A:A,0),0),0)</f>
        <v>20282.026119384056</v>
      </c>
      <c r="K230" s="455">
        <f t="shared" ca="1" si="2"/>
        <v>15318.289119953111</v>
      </c>
      <c r="L230" s="455">
        <f t="shared" ca="1" si="3"/>
        <v>3691707.6779087004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3691707.6779087004</v>
      </c>
      <c r="J231" s="455">
        <f t="array" ref="J231">IFERROR(INDEX('Retirement Calculator'!K:K,MATCH('Lorri 401b'!N231,'Retirement Calculator'!A:A,0),0),0)</f>
        <v>20282.026119384056</v>
      </c>
      <c r="K231" s="455">
        <f t="shared" ca="1" si="2"/>
        <v>15297.606882455482</v>
      </c>
      <c r="L231" s="455">
        <f t="shared" ca="1" si="3"/>
        <v>3686723.2586717717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3686723.2586717717</v>
      </c>
      <c r="J232" s="455">
        <f t="array" ref="J232">IFERROR(INDEX('Retirement Calculator'!K:K,MATCH('Lorri 401b'!N232,'Retirement Calculator'!A:A,0),0),0)</f>
        <v>20282.026119384056</v>
      </c>
      <c r="K232" s="455">
        <f t="shared" ca="1" si="2"/>
        <v>15276.838468968283</v>
      </c>
      <c r="L232" s="455">
        <f t="shared" ca="1" si="3"/>
        <v>3681718.0710213562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3681718.0710213562</v>
      </c>
      <c r="J233" s="455">
        <f t="array" ref="J233">IFERROR(INDEX('Retirement Calculator'!K:K,MATCH('Lorri 401b'!N233,'Retirement Calculator'!A:A,0),0),0)</f>
        <v>20282.026119384056</v>
      </c>
      <c r="K233" s="455">
        <f t="shared" ca="1" si="2"/>
        <v>15255.983520424883</v>
      </c>
      <c r="L233" s="455">
        <f t="shared" ca="1" si="3"/>
        <v>3676692.0284223971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3676692.0284223971</v>
      </c>
      <c r="J234" s="455">
        <f t="array" ref="J234">IFERROR(INDEX('Retirement Calculator'!K:K,MATCH('Lorri 401b'!N234,'Retirement Calculator'!A:A,0),0),0)</f>
        <v>20282.026119384056</v>
      </c>
      <c r="K234" s="455">
        <f t="shared" ca="1" si="2"/>
        <v>15235.041676262554</v>
      </c>
      <c r="L234" s="455">
        <f t="shared" ca="1" si="3"/>
        <v>3671645.0439792755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3671645.0439792755</v>
      </c>
      <c r="J235" s="455">
        <f t="array" ref="J235">IFERROR(INDEX('Retirement Calculator'!K:K,MATCH('Lorri 401b'!N235,'Retirement Calculator'!A:A,0),0),0)</f>
        <v>20282.026119384056</v>
      </c>
      <c r="K235" s="455">
        <f t="shared" ca="1" si="2"/>
        <v>15214.012574416216</v>
      </c>
      <c r="L235" s="455">
        <f t="shared" ca="1" si="3"/>
        <v>3666577.0304343076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3666577.0304343076</v>
      </c>
      <c r="J236" s="455">
        <f t="array" ref="J236">IFERROR(INDEX('Retirement Calculator'!K:K,MATCH('Lorri 401b'!N236,'Retirement Calculator'!A:A,0),0),0)</f>
        <v>20282.026119384056</v>
      </c>
      <c r="K236" s="455">
        <f t="shared" ca="1" si="2"/>
        <v>15192.895851312182</v>
      </c>
      <c r="L236" s="455">
        <f t="shared" ca="1" si="3"/>
        <v>3661487.9001662359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3661487.9001662359</v>
      </c>
      <c r="J237" s="455">
        <f t="array" ref="J237">IFERROR(INDEX('Retirement Calculator'!K:K,MATCH('Lorri 401b'!N237,'Retirement Calculator'!A:A,0),0),0)</f>
        <v>20282.026119384056</v>
      </c>
      <c r="K237" s="455">
        <f t="shared" ca="1" si="2"/>
        <v>15171.691141861882</v>
      </c>
      <c r="L237" s="455">
        <f t="shared" ca="1" si="3"/>
        <v>3656377.5651887138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3656377.5651887138</v>
      </c>
      <c r="J238" s="455">
        <f t="array" ref="J238">IFERROR(INDEX('Retirement Calculator'!K:K,MATCH('Lorri 401b'!N238,'Retirement Calculator'!A:A,0),0),0)</f>
        <v>20282.026119384056</v>
      </c>
      <c r="K238" s="455">
        <f t="shared" ca="1" si="2"/>
        <v>15150.398079455539</v>
      </c>
      <c r="L238" s="455">
        <f t="shared" ca="1" si="3"/>
        <v>3651245.9371487852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3651245.9371487852</v>
      </c>
      <c r="J239" s="455">
        <f t="array" ref="J239">IFERROR(INDEX('Retirement Calculator'!K:K,MATCH('Lorri 401b'!N239,'Retirement Calculator'!A:A,0),0),0)</f>
        <v>20282.026119384056</v>
      </c>
      <c r="K239" s="455">
        <f t="shared" ca="1" si="2"/>
        <v>15129.016295955838</v>
      </c>
      <c r="L239" s="455">
        <f t="shared" ca="1" si="3"/>
        <v>3646092.9273253572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3646092.9273253572</v>
      </c>
      <c r="J240" s="455">
        <f t="array" ref="J240">IFERROR(INDEX('Retirement Calculator'!K:K,MATCH('Lorri 401b'!N240,'Retirement Calculator'!A:A,0),0),0)</f>
        <v>20282.026119384056</v>
      </c>
      <c r="K240" s="455">
        <f t="shared" ca="1" si="2"/>
        <v>15107.545421691555</v>
      </c>
      <c r="L240" s="455">
        <f t="shared" ca="1" si="3"/>
        <v>3640918.4466276648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3640918.4466276648</v>
      </c>
      <c r="J241" s="455">
        <f t="array" ref="J241">IFERROR(INDEX('Retirement Calculator'!K:K,MATCH('Lorri 401b'!N241,'Retirement Calculator'!A:A,0),0),0)</f>
        <v>20282.026119384056</v>
      </c>
      <c r="K241" s="455">
        <f t="shared" ca="1" si="2"/>
        <v>15085.985085451168</v>
      </c>
      <c r="L241" s="455">
        <f t="shared" ca="1" si="3"/>
        <v>3635722.4055937319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3635722.4055937319</v>
      </c>
      <c r="J242" s="455">
        <f t="array" ref="J242">IFERROR(INDEX('Retirement Calculator'!K:K,MATCH('Lorri 401b'!N242,'Retirement Calculator'!A:A,0),0),0)</f>
        <v>20282.026119384056</v>
      </c>
      <c r="K242" s="455">
        <f t="shared" ca="1" si="2"/>
        <v>15064.334914476451</v>
      </c>
      <c r="L242" s="455">
        <f t="shared" ca="1" si="3"/>
        <v>3630504.7143888245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3630504.7143888245</v>
      </c>
      <c r="J243" s="455">
        <f t="array" ref="J243">IFERROR(INDEX('Retirement Calculator'!K:K,MATCH('Lorri 401b'!N243,'Retirement Calculator'!A:A,0),0),0)</f>
        <v>20282.026119384056</v>
      </c>
      <c r="K243" s="455">
        <f t="shared" ca="1" si="2"/>
        <v>15042.594534456</v>
      </c>
      <c r="L243" s="455">
        <f t="shared" ca="1" si="3"/>
        <v>3625265.2828038963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3625265.2828038963</v>
      </c>
      <c r="J244" s="455">
        <f t="array" ref="J244">IFERROR(INDEX('Retirement Calculator'!K:K,MATCH('Lorri 401b'!N244,'Retirement Calculator'!A:A,0),0),0)</f>
        <v>20282.026119384056</v>
      </c>
      <c r="K244" s="455">
        <f t="shared" ca="1" si="2"/>
        <v>15020.763569518804</v>
      </c>
      <c r="L244" s="455">
        <f t="shared" ca="1" si="3"/>
        <v>3620004.0202540313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3620004.0202540313</v>
      </c>
      <c r="J245" s="455">
        <f t="array" ref="J245">IFERROR(INDEX('Retirement Calculator'!K:K,MATCH('Lorri 401b'!N245,'Retirement Calculator'!A:A,0),0),0)</f>
        <v>20282.026119384056</v>
      </c>
      <c r="K245" s="455">
        <f t="shared" ca="1" si="2"/>
        <v>14998.841642227695</v>
      </c>
      <c r="L245" s="455">
        <f t="shared" ca="1" si="3"/>
        <v>3614720.8357768748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3614720.8357768748</v>
      </c>
      <c r="J246" s="455">
        <f t="array" ref="J246">IFERROR(INDEX('Retirement Calculator'!K:K,MATCH('Lorri 401b'!N246,'Retirement Calculator'!A:A,0),0),0)</f>
        <v>20282.026119384056</v>
      </c>
      <c r="K246" s="455">
        <f t="shared" ca="1" si="2"/>
        <v>14976.828373572878</v>
      </c>
      <c r="L246" s="455">
        <f t="shared" ca="1" si="3"/>
        <v>3609415.6380310636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3609415.6380310636</v>
      </c>
      <c r="J247" s="455">
        <f t="array" ref="J247">IFERROR(INDEX('Retirement Calculator'!K:K,MATCH('Lorri 401b'!N247,'Retirement Calculator'!A:A,0),0),0)</f>
        <v>20282.026119384056</v>
      </c>
      <c r="K247" s="455">
        <f t="shared" ca="1" si="2"/>
        <v>14954.723382965332</v>
      </c>
      <c r="L247" s="455">
        <f t="shared" ca="1" si="3"/>
        <v>3604088.3352946448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3604088.3352946448</v>
      </c>
      <c r="J248" s="455">
        <f t="array" ref="J248">IFERROR(INDEX('Retirement Calculator'!K:K,MATCH('Lorri 401b'!N248,'Retirement Calculator'!A:A,0),0),0)</f>
        <v>20282.026119384056</v>
      </c>
      <c r="K248" s="455">
        <f t="shared" ca="1" si="2"/>
        <v>14932.526288230254</v>
      </c>
      <c r="L248" s="455">
        <f t="shared" ca="1" si="3"/>
        <v>3598738.8354634913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3598738.8354634913</v>
      </c>
      <c r="J249" s="455">
        <f t="array" ref="J249">IFERROR(INDEX('Retirement Calculator'!K:K,MATCH('Lorri 401b'!N249,'Retirement Calculator'!A:A,0),0),0)</f>
        <v>20282.026119384056</v>
      </c>
      <c r="K249" s="455">
        <f t="shared" ca="1" si="2"/>
        <v>14910.236705600446</v>
      </c>
      <c r="L249" s="455">
        <f t="shared" ca="1" si="3"/>
        <v>3593367.0460497076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3593367.0460497076</v>
      </c>
      <c r="J250" s="455">
        <f t="array" ref="J250">IFERROR(INDEX('Retirement Calculator'!K:K,MATCH('Lorri 401b'!N250,'Retirement Calculator'!A:A,0),0),0)</f>
        <v>20282.026119384056</v>
      </c>
      <c r="K250" s="455">
        <f t="shared" ca="1" si="2"/>
        <v>14887.854249709681</v>
      </c>
      <c r="L250" s="455">
        <f t="shared" ca="1" si="3"/>
        <v>3587972.8741800333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3587972.8741800333</v>
      </c>
      <c r="J251" s="455">
        <f t="array" ref="J251">IFERROR(INDEX('Retirement Calculator'!K:K,MATCH('Lorri 401b'!N251,'Retirement Calculator'!A:A,0),0),0)</f>
        <v>20282.026119384056</v>
      </c>
      <c r="K251" s="455">
        <f t="shared" ca="1" si="2"/>
        <v>14865.378533586039</v>
      </c>
      <c r="L251" s="455">
        <f t="shared" ca="1" si="3"/>
        <v>3582556.2265942353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3582556.2265942353</v>
      </c>
      <c r="J252" s="455">
        <f t="array" ref="J252">IFERROR(INDEX('Retirement Calculator'!K:K,MATCH('Lorri 401b'!N252,'Retirement Calculator'!A:A,0),0),0)</f>
        <v>20282.026119384056</v>
      </c>
      <c r="K252" s="455">
        <f t="shared" ca="1" si="2"/>
        <v>14842.809168645214</v>
      </c>
      <c r="L252" s="455">
        <f t="shared" ca="1" si="3"/>
        <v>3577117.0096434965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3577117.0096434965</v>
      </c>
      <c r="J253" s="455">
        <f t="array" ref="J253">IFERROR(INDEX('Retirement Calculator'!K:K,MATCH('Lorri 401b'!N253,'Retirement Calculator'!A:A,0),0),0)</f>
        <v>20282.026119384056</v>
      </c>
      <c r="K253" s="455">
        <f t="shared" ca="1" si="2"/>
        <v>14820.145764683804</v>
      </c>
      <c r="L253" s="455">
        <f t="shared" ca="1" si="3"/>
        <v>3571655.1292887963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3571655.1292887963</v>
      </c>
      <c r="J254" s="455">
        <f t="array" ref="J254">IFERROR(INDEX('Retirement Calculator'!K:K,MATCH('Lorri 401b'!N254,'Retirement Calculator'!A:A,0),0),0)</f>
        <v>20282.026119384056</v>
      </c>
      <c r="K254" s="455">
        <f t="shared" ca="1" si="2"/>
        <v>14797.387929872551</v>
      </c>
      <c r="L254" s="455">
        <f t="shared" ca="1" si="3"/>
        <v>3566170.491099285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3566170.491099285</v>
      </c>
      <c r="J255" s="455">
        <f t="array" ref="J255">IFERROR(INDEX('Retirement Calculator'!K:K,MATCH('Lorri 401b'!N255,'Retirement Calculator'!A:A,0),0),0)</f>
        <v>20282.026119384056</v>
      </c>
      <c r="K255" s="455">
        <f t="shared" ca="1" si="2"/>
        <v>14774.535270749588</v>
      </c>
      <c r="L255" s="455">
        <f t="shared" ca="1" si="3"/>
        <v>3560663.0002506506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3560663.0002506506</v>
      </c>
      <c r="J256" s="455">
        <f t="array" ref="J256">IFERROR(INDEX('Retirement Calculator'!K:K,MATCH('Lorri 401b'!N256,'Retirement Calculator'!A:A,0),0),0)</f>
        <v>20282.026119384056</v>
      </c>
      <c r="K256" s="455">
        <f t="shared" ca="1" si="2"/>
        <v>14751.587392213611</v>
      </c>
      <c r="L256" s="455">
        <f t="shared" ca="1" si="3"/>
        <v>3555132.5615234803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3555132.5615234803</v>
      </c>
      <c r="J257" s="455">
        <f t="array" ref="J257">IFERROR(INDEX('Retirement Calculator'!K:K,MATCH('Lorri 401b'!N257,'Retirement Calculator'!A:A,0),0),0)</f>
        <v>20282.026119384056</v>
      </c>
      <c r="K257" s="455">
        <f t="shared" ca="1" si="2"/>
        <v>14728.543897517067</v>
      </c>
      <c r="L257" s="455">
        <f t="shared" ca="1" si="3"/>
        <v>3549579.0793016134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3549579.0793016134</v>
      </c>
      <c r="J258" s="455">
        <f t="array" ref="J258">IFERROR(INDEX('Retirement Calculator'!K:K,MATCH('Lorri 401b'!N258,'Retirement Calculator'!A:A,0),0),0)</f>
        <v>20282.026119384056</v>
      </c>
      <c r="K258" s="455">
        <f t="shared" ca="1" si="2"/>
        <v>14705.404388259289</v>
      </c>
      <c r="L258" s="455">
        <f t="shared" ca="1" si="3"/>
        <v>3544002.4575704886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3544002.4575704886</v>
      </c>
      <c r="J259" s="455">
        <f t="array" ref="J259">IFERROR(INDEX('Retirement Calculator'!K:K,MATCH('Lorri 401b'!N259,'Retirement Calculator'!A:A,0),0),0)</f>
        <v>20282.026119384056</v>
      </c>
      <c r="K259" s="455">
        <f t="shared" ca="1" si="2"/>
        <v>14682.168464379602</v>
      </c>
      <c r="L259" s="455">
        <f t="shared" ca="1" si="3"/>
        <v>3538402.599915484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3538402.599915484</v>
      </c>
      <c r="J260" s="455">
        <f t="array" ref="J260">IFERROR(INDEX('Retirement Calculator'!K:K,MATCH('Lorri 401b'!N260,'Retirement Calculator'!A:A,0),0),0)</f>
        <v>20282.026119384056</v>
      </c>
      <c r="K260" s="455">
        <f t="shared" ca="1" si="2"/>
        <v>14658.835724150416</v>
      </c>
      <c r="L260" s="455">
        <f t="shared" ca="1" si="3"/>
        <v>3532779.4095202503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3532779.4095202503</v>
      </c>
      <c r="J261" s="455">
        <f t="array" ref="J261">IFERROR(INDEX('Retirement Calculator'!K:K,MATCH('Lorri 401b'!N261,'Retirement Calculator'!A:A,0),0),0)</f>
        <v>20282.026119384056</v>
      </c>
      <c r="K261" s="455">
        <f t="shared" ca="1" si="2"/>
        <v>14635.405764170277</v>
      </c>
      <c r="L261" s="455">
        <f t="shared" ca="1" si="3"/>
        <v>3527132.7891650368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3527132.7891650368</v>
      </c>
      <c r="J262" s="455">
        <f t="array" ref="J262">IFERROR(INDEX('Retirement Calculator'!K:K,MATCH('Lorri 401b'!N262,'Retirement Calculator'!A:A,0),0),0)</f>
        <v>20282.026119384056</v>
      </c>
      <c r="K262" s="455">
        <f t="shared" ca="1" si="2"/>
        <v>14611.878179356887</v>
      </c>
      <c r="L262" s="455">
        <f t="shared" ca="1" si="3"/>
        <v>3521462.6412250097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3521462.6412250097</v>
      </c>
      <c r="J263" s="455">
        <f t="array" ref="J263">IFERROR(INDEX('Retirement Calculator'!K:K,MATCH('Lorri 401b'!N263,'Retirement Calculator'!A:A,0),0),0)</f>
        <v>20282.026119384056</v>
      </c>
      <c r="K263" s="455">
        <f t="shared" ref="K263:K517" ca="1" si="27">IPMT(M263/12,1,12,-I263+J263,,0)</f>
        <v>14588.252562940104</v>
      </c>
      <c r="L263" s="455">
        <f t="shared" ref="L263:L517" ca="1" si="28">I263-J263+K263</f>
        <v>3515768.8676685658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3515768.8676685658</v>
      </c>
      <c r="J264" s="455">
        <f t="array" ref="J264">IFERROR(INDEX('Retirement Calculator'!K:K,MATCH('Lorri 401b'!N264,'Retirement Calculator'!A:A,0),0),0)</f>
        <v>20282.026119384056</v>
      </c>
      <c r="K264" s="455">
        <f t="shared" ca="1" si="27"/>
        <v>14564.528506454924</v>
      </c>
      <c r="L264" s="455">
        <f t="shared" ca="1" si="28"/>
        <v>3510051.3700556369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3510051.3700556369</v>
      </c>
      <c r="J265" s="455">
        <f t="array" ref="J265">IFERROR(INDEX('Retirement Calculator'!K:K,MATCH('Lorri 401b'!N265,'Retirement Calculator'!A:A,0),0),0)</f>
        <v>20282.026119384056</v>
      </c>
      <c r="K265" s="455">
        <f t="shared" ca="1" si="27"/>
        <v>14540.705599734387</v>
      </c>
      <c r="L265" s="455">
        <f t="shared" ca="1" si="28"/>
        <v>3504310.0495359874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3504310.0495359874</v>
      </c>
      <c r="J266" s="455">
        <f t="array" ref="J266">IFERROR(INDEX('Retirement Calculator'!K:K,MATCH('Lorri 401b'!N266,'Retirement Calculator'!A:A,0),0),0)</f>
        <v>20282.026119384056</v>
      </c>
      <c r="K266" s="455">
        <f t="shared" ca="1" si="27"/>
        <v>14516.783430902515</v>
      </c>
      <c r="L266" s="455">
        <f t="shared" ca="1" si="28"/>
        <v>3498544.8068475057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3498544.8068475057</v>
      </c>
      <c r="J267" s="455">
        <f t="array" ref="J267">IFERROR(INDEX('Retirement Calculator'!K:K,MATCH('Lorri 401b'!N267,'Retirement Calculator'!A:A,0),0),0)</f>
        <v>20282.026119384056</v>
      </c>
      <c r="K267" s="455">
        <f t="shared" ca="1" si="27"/>
        <v>14492.761586367174</v>
      </c>
      <c r="L267" s="455">
        <f t="shared" ca="1" si="28"/>
        <v>3492755.5423144889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3492755.5423144889</v>
      </c>
      <c r="J268" s="455">
        <f t="array" ref="J268">IFERROR(INDEX('Retirement Calculator'!K:K,MATCH('Lorri 401b'!N268,'Retirement Calculator'!A:A,0),0),0)</f>
        <v>20282.026119384056</v>
      </c>
      <c r="K268" s="455">
        <f t="shared" ca="1" si="27"/>
        <v>14468.639650812936</v>
      </c>
      <c r="L268" s="455">
        <f t="shared" ca="1" si="28"/>
        <v>3486942.1558459178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3486942.1558459178</v>
      </c>
      <c r="J269" s="455">
        <f t="array" ref="J269">IFERROR(INDEX('Retirement Calculator'!K:K,MATCH('Lorri 401b'!N269,'Retirement Calculator'!A:A,0),0),0)</f>
        <v>20282.026119384056</v>
      </c>
      <c r="K269" s="455">
        <f t="shared" ca="1" si="27"/>
        <v>14444.417207193888</v>
      </c>
      <c r="L269" s="455">
        <f t="shared" ca="1" si="28"/>
        <v>3481104.5469337278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3481104.5469337278</v>
      </c>
      <c r="J270" s="455">
        <f t="array" ref="J270">IFERROR(INDEX('Retirement Calculator'!K:K,MATCH('Lorri 401b'!N270,'Retirement Calculator'!A:A,0),0),0)</f>
        <v>20282.026119384056</v>
      </c>
      <c r="K270" s="455">
        <f t="shared" ca="1" si="27"/>
        <v>14420.093836726433</v>
      </c>
      <c r="L270" s="455">
        <f t="shared" ca="1" si="28"/>
        <v>3475242.6146510704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3475242.6146510704</v>
      </c>
      <c r="J271" s="455">
        <f t="array" ref="J271">IFERROR(INDEX('Retirement Calculator'!K:K,MATCH('Lorri 401b'!N271,'Retirement Calculator'!A:A,0),0),0)</f>
        <v>20282.026119384056</v>
      </c>
      <c r="K271" s="455">
        <f t="shared" ca="1" si="27"/>
        <v>14395.669118882026</v>
      </c>
      <c r="L271" s="455">
        <f t="shared" ca="1" si="28"/>
        <v>3469356.2576505686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3469356.2576505686</v>
      </c>
      <c r="J272" s="455">
        <f t="array" ref="J272">IFERROR(INDEX('Retirement Calculator'!K:K,MATCH('Lorri 401b'!N272,'Retirement Calculator'!A:A,0),0),0)</f>
        <v>20282.026119384056</v>
      </c>
      <c r="K272" s="455">
        <f t="shared" ca="1" si="27"/>
        <v>14371.142631379938</v>
      </c>
      <c r="L272" s="455">
        <f t="shared" ca="1" si="28"/>
        <v>3463445.3741625645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3463445.3741625645</v>
      </c>
      <c r="J273" s="455">
        <f t="array" ref="J273">IFERROR(INDEX('Retirement Calculator'!K:K,MATCH('Lorri 401b'!N273,'Retirement Calculator'!A:A,0),0),0)</f>
        <v>20282.026119384056</v>
      </c>
      <c r="K273" s="455">
        <f t="shared" ca="1" si="27"/>
        <v>14346.513950179919</v>
      </c>
      <c r="L273" s="455">
        <f t="shared" ca="1" si="28"/>
        <v>3457509.8619933603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3457509.8619933603</v>
      </c>
      <c r="J274" s="455">
        <f t="array" ref="J274">IFERROR(INDEX('Retirement Calculator'!K:K,MATCH('Lorri 401b'!N274,'Retirement Calculator'!A:A,0),0),0)</f>
        <v>20282.026119384056</v>
      </c>
      <c r="K274" s="455">
        <f t="shared" ca="1" si="27"/>
        <v>14321.782649474901</v>
      </c>
      <c r="L274" s="455">
        <f t="shared" ca="1" si="28"/>
        <v>3451549.618523451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3451549.618523451</v>
      </c>
      <c r="J275" s="455">
        <f t="array" ref="J275">IFERROR(INDEX('Retirement Calculator'!K:K,MATCH('Lorri 401b'!N275,'Retirement Calculator'!A:A,0),0),0)</f>
        <v>20282.026119384056</v>
      </c>
      <c r="K275" s="455">
        <f t="shared" ca="1" si="27"/>
        <v>14296.948301683613</v>
      </c>
      <c r="L275" s="455">
        <f t="shared" ca="1" si="28"/>
        <v>3445564.5407057507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3445564.5407057507</v>
      </c>
      <c r="J276" s="455">
        <f t="array" ref="J276">IFERROR(INDEX('Retirement Calculator'!K:K,MATCH('Lorri 401b'!N276,'Retirement Calculator'!A:A,0),0),0)</f>
        <v>20282.026119384056</v>
      </c>
      <c r="K276" s="455">
        <f t="shared" ca="1" si="27"/>
        <v>14272.010477443195</v>
      </c>
      <c r="L276" s="455">
        <f t="shared" ca="1" si="28"/>
        <v>3439554.5250638099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3439554.5250638099</v>
      </c>
      <c r="J277" s="455">
        <f t="array" ref="J277">IFERROR(INDEX('Retirement Calculator'!K:K,MATCH('Lorri 401b'!N277,'Retirement Calculator'!A:A,0),0),0)</f>
        <v>20282.026119384056</v>
      </c>
      <c r="K277" s="455">
        <f t="shared" ca="1" si="27"/>
        <v>14246.968745601773</v>
      </c>
      <c r="L277" s="455">
        <f t="shared" ca="1" si="28"/>
        <v>3433519.4676900278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3433519.4676900278</v>
      </c>
      <c r="J278" s="455">
        <f t="array" ref="J278">IFERROR(INDEX('Retirement Calculator'!K:K,MATCH('Lorri 401b'!N278,'Retirement Calculator'!A:A,0),0),0)</f>
        <v>20282.026119384056</v>
      </c>
      <c r="K278" s="455">
        <f t="shared" ca="1" si="27"/>
        <v>14221.822673211016</v>
      </c>
      <c r="L278" s="455">
        <f t="shared" ca="1" si="28"/>
        <v>3427459.2642438547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3427459.2642438547</v>
      </c>
      <c r="J279" s="455">
        <f t="array" ref="J279">IFERROR(INDEX('Retirement Calculator'!K:K,MATCH('Lorri 401b'!N279,'Retirement Calculator'!A:A,0),0),0)</f>
        <v>20282.026119384056</v>
      </c>
      <c r="K279" s="455">
        <f t="shared" ca="1" si="27"/>
        <v>14196.571825518629</v>
      </c>
      <c r="L279" s="455">
        <f t="shared" ca="1" si="28"/>
        <v>3421373.8099499894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3421373.8099499894</v>
      </c>
      <c r="J280" s="455">
        <f t="array" ref="J280">IFERROR(INDEX('Retirement Calculator'!K:K,MATCH('Lorri 401b'!N280,'Retirement Calculator'!A:A,0),0),0)</f>
        <v>20282.026119384056</v>
      </c>
      <c r="K280" s="455">
        <f t="shared" ca="1" si="27"/>
        <v>14171.215765960855</v>
      </c>
      <c r="L280" s="455">
        <f t="shared" ca="1" si="28"/>
        <v>3415262.9995965664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3415262.9995965664</v>
      </c>
      <c r="J281" s="455">
        <f t="array" ref="J281">IFERROR(INDEX('Retirement Calculator'!K:K,MATCH('Lorri 401b'!N281,'Retirement Calculator'!A:A,0),0),0)</f>
        <v>20282.026119384056</v>
      </c>
      <c r="K281" s="455">
        <f t="shared" ca="1" si="27"/>
        <v>14145.754056154927</v>
      </c>
      <c r="L281" s="455">
        <f t="shared" ca="1" si="28"/>
        <v>3409126.7275333372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3409126.7275333372</v>
      </c>
      <c r="J282" s="455">
        <f t="array" ref="J282">IFERROR(INDEX('Retirement Calculator'!K:K,MATCH('Lorri 401b'!N282,'Retirement Calculator'!A:A,0),0),0)</f>
        <v>20282.026119384056</v>
      </c>
      <c r="K282" s="455">
        <f t="shared" ca="1" si="27"/>
        <v>14120.186255891471</v>
      </c>
      <c r="L282" s="455">
        <f t="shared" ca="1" si="28"/>
        <v>3402964.8876698446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3402964.8876698446</v>
      </c>
      <c r="J283" s="455">
        <f t="array" ref="J283">IFERROR(INDEX('Retirement Calculator'!K:K,MATCH('Lorri 401b'!N283,'Retirement Calculator'!A:A,0),0),0)</f>
        <v>20282.026119384056</v>
      </c>
      <c r="K283" s="455">
        <f t="shared" ca="1" si="27"/>
        <v>14094.511923126916</v>
      </c>
      <c r="L283" s="455">
        <f t="shared" ca="1" si="28"/>
        <v>3396777.3734735874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3396777.3734735874</v>
      </c>
      <c r="J284" s="455">
        <f t="array" ref="J284">IFERROR(INDEX('Retirement Calculator'!K:K,MATCH('Lorri 401b'!N284,'Retirement Calculator'!A:A,0),0),0)</f>
        <v>20282.026119384056</v>
      </c>
      <c r="K284" s="455">
        <f t="shared" ca="1" si="27"/>
        <v>14068.730613975848</v>
      </c>
      <c r="L284" s="455">
        <f t="shared" ca="1" si="28"/>
        <v>3390564.0779681792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3390564.0779681792</v>
      </c>
      <c r="J285" s="455">
        <f t="array" ref="J285">IFERROR(INDEX('Retirement Calculator'!K:K,MATCH('Lorri 401b'!N285,'Retirement Calculator'!A:A,0),0),0)</f>
        <v>20282.026119384056</v>
      </c>
      <c r="K285" s="455">
        <f t="shared" ca="1" si="27"/>
        <v>14042.841882703313</v>
      </c>
      <c r="L285" s="455">
        <f t="shared" ca="1" si="28"/>
        <v>3384324.8937314986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3384324.8937314986</v>
      </c>
      <c r="J286" s="455">
        <f t="array" ref="J286">IFERROR(INDEX('Retirement Calculator'!K:K,MATCH('Lorri 401b'!N286,'Retirement Calculator'!A:A,0),0),0)</f>
        <v>20282.026119384056</v>
      </c>
      <c r="K286" s="455">
        <f t="shared" ca="1" si="27"/>
        <v>14016.845281717144</v>
      </c>
      <c r="L286" s="455">
        <f t="shared" ca="1" si="28"/>
        <v>3378059.712893832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3378059.712893832</v>
      </c>
      <c r="J287" s="455">
        <f t="array" ref="J287">IFERROR(INDEX('Retirement Calculator'!K:K,MATCH('Lorri 401b'!N287,'Retirement Calculator'!A:A,0),0),0)</f>
        <v>20282.026119384056</v>
      </c>
      <c r="K287" s="455">
        <f t="shared" ca="1" si="27"/>
        <v>13990.740361560198</v>
      </c>
      <c r="L287" s="455">
        <f t="shared" ca="1" si="28"/>
        <v>3371768.4271360082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3371768.4271360082</v>
      </c>
      <c r="J288" s="455">
        <f t="array" ref="J288">IFERROR(INDEX('Retirement Calculator'!K:K,MATCH('Lorri 401b'!N288,'Retirement Calculator'!A:A,0),0),0)</f>
        <v>20282.026119384056</v>
      </c>
      <c r="K288" s="455">
        <f t="shared" ca="1" si="27"/>
        <v>13964.5266709026</v>
      </c>
      <c r="L288" s="455">
        <f t="shared" ca="1" si="28"/>
        <v>3365450.9276875267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3365450.9276875267</v>
      </c>
      <c r="J289" s="455">
        <f t="array" ref="J289">IFERROR(INDEX('Retirement Calculator'!K:K,MATCH('Lorri 401b'!N289,'Retirement Calculator'!A:A,0),0),0)</f>
        <v>20282.026119384056</v>
      </c>
      <c r="K289" s="455">
        <f t="shared" ca="1" si="27"/>
        <v>13938.203756533927</v>
      </c>
      <c r="L289" s="455">
        <f t="shared" ca="1" si="28"/>
        <v>3359107.1053246767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3359107.1053246767</v>
      </c>
      <c r="J290" s="455">
        <f t="array" ref="J290">IFERROR(INDEX('Retirement Calculator'!K:K,MATCH('Lorri 401b'!N290,'Retirement Calculator'!A:A,0),0),0)</f>
        <v>20282.026119384056</v>
      </c>
      <c r="K290" s="455">
        <f t="shared" ca="1" si="27"/>
        <v>13911.771163355386</v>
      </c>
      <c r="L290" s="455">
        <f t="shared" ca="1" si="28"/>
        <v>3352736.8503686483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3352736.8503686483</v>
      </c>
      <c r="J291" s="455">
        <f t="array" ref="J291">IFERROR(INDEX('Retirement Calculator'!K:K,MATCH('Lorri 401b'!N291,'Retirement Calculator'!A:A,0),0),0)</f>
        <v>20282.026119384056</v>
      </c>
      <c r="K291" s="455">
        <f t="shared" ca="1" si="27"/>
        <v>13885.228434371937</v>
      </c>
      <c r="L291" s="455">
        <f t="shared" ca="1" si="28"/>
        <v>3346340.0526836361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3346340.0526836361</v>
      </c>
      <c r="J292" s="455">
        <f t="array" ref="J292">IFERROR(INDEX('Retirement Calculator'!K:K,MATCH('Lorri 401b'!N292,'Retirement Calculator'!A:A,0),0),0)</f>
        <v>20282.026119384056</v>
      </c>
      <c r="K292" s="455">
        <f t="shared" ca="1" si="27"/>
        <v>13858.575110684384</v>
      </c>
      <c r="L292" s="455">
        <f t="shared" ca="1" si="28"/>
        <v>3339916.6016749367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3339916.6016749367</v>
      </c>
      <c r="J293" s="455">
        <f t="array" ref="J293">IFERROR(INDEX('Retirement Calculator'!K:K,MATCH('Lorri 401b'!N293,'Retirement Calculator'!A:A,0),0),0)</f>
        <v>20282.026119384056</v>
      </c>
      <c r="K293" s="455">
        <f t="shared" ca="1" si="27"/>
        <v>13831.81073148147</v>
      </c>
      <c r="L293" s="455">
        <f t="shared" ca="1" si="28"/>
        <v>3333466.386287034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3333466.386287034</v>
      </c>
      <c r="J294" s="455">
        <f t="array" ref="J294">IFERROR(INDEX('Retirement Calculator'!K:K,MATCH('Lorri 401b'!N294,'Retirement Calculator'!A:A,0),0),0)</f>
        <v>20282.026119384056</v>
      </c>
      <c r="K294" s="455">
        <f t="shared" ca="1" si="27"/>
        <v>13804.934834031876</v>
      </c>
      <c r="L294" s="455">
        <f t="shared" ca="1" si="28"/>
        <v>3326989.2950016819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3326989.2950016819</v>
      </c>
      <c r="J295" s="455">
        <f t="array" ref="J295">IFERROR(INDEX('Retirement Calculator'!K:K,MATCH('Lorri 401b'!N295,'Retirement Calculator'!A:A,0),0),0)</f>
        <v>20282.026119384056</v>
      </c>
      <c r="K295" s="455">
        <f t="shared" ca="1" si="27"/>
        <v>13777.946953676241</v>
      </c>
      <c r="L295" s="455">
        <f t="shared" ca="1" si="28"/>
        <v>3320485.2158359741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3320485.2158359741</v>
      </c>
      <c r="J296" s="455">
        <f t="array" ref="J296">IFERROR(INDEX('Retirement Calculator'!K:K,MATCH('Lorri 401b'!N296,'Retirement Calculator'!A:A,0),0),0)</f>
        <v>20282.026119384056</v>
      </c>
      <c r="K296" s="455">
        <f t="shared" ca="1" si="27"/>
        <v>13750.846623819125</v>
      </c>
      <c r="L296" s="455">
        <f t="shared" ca="1" si="28"/>
        <v>3313954.0363404094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3313954.0363404094</v>
      </c>
      <c r="J297" s="455">
        <f t="array" ref="J297">IFERROR(INDEX('Retirement Calculator'!K:K,MATCH('Lorri 401b'!N297,'Retirement Calculator'!A:A,0),0),0)</f>
        <v>20282.026119384056</v>
      </c>
      <c r="K297" s="455">
        <f t="shared" ca="1" si="27"/>
        <v>13723.633375920939</v>
      </c>
      <c r="L297" s="455">
        <f t="shared" ca="1" si="28"/>
        <v>3307395.6435969463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3307395.6435969463</v>
      </c>
      <c r="J298" s="455">
        <f t="array" ref="J298">IFERROR(INDEX('Retirement Calculator'!K:K,MATCH('Lorri 401b'!N298,'Retirement Calculator'!A:A,0),0),0)</f>
        <v>20282.026119384056</v>
      </c>
      <c r="K298" s="455">
        <f t="shared" ca="1" si="27"/>
        <v>13696.306739489843</v>
      </c>
      <c r="L298" s="455">
        <f t="shared" ca="1" si="28"/>
        <v>3300809.9242170523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3300809.9242170523</v>
      </c>
      <c r="J299" s="455">
        <f t="array" ref="J299">IFERROR(INDEX('Retirement Calculator'!K:K,MATCH('Lorri 401b'!N299,'Retirement Calculator'!A:A,0),0),0)</f>
        <v>20282.026119384056</v>
      </c>
      <c r="K299" s="455">
        <f t="shared" ca="1" si="27"/>
        <v>13668.866242073618</v>
      </c>
      <c r="L299" s="455">
        <f t="shared" ca="1" si="28"/>
        <v>3294196.7643397418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3294196.7643397418</v>
      </c>
      <c r="J300" s="455">
        <f t="array" ref="J300">IFERROR(INDEX('Retirement Calculator'!K:K,MATCH('Lorri 401b'!N300,'Retirement Calculator'!A:A,0),0),0)</f>
        <v>20282.026119384056</v>
      </c>
      <c r="K300" s="455">
        <f t="shared" ca="1" si="27"/>
        <v>13641.311409251493</v>
      </c>
      <c r="L300" s="455">
        <f t="shared" ca="1" si="28"/>
        <v>3287556.0496296091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3287556.0496296091</v>
      </c>
      <c r="J301" s="455">
        <f t="array" ref="J301">IFERROR(INDEX('Retirement Calculator'!K:K,MATCH('Lorri 401b'!N301,'Retirement Calculator'!A:A,0),0),0)</f>
        <v>20282.026119384056</v>
      </c>
      <c r="K301" s="455">
        <f t="shared" ca="1" si="27"/>
        <v>13613.64176462594</v>
      </c>
      <c r="L301" s="455">
        <f t="shared" ca="1" si="28"/>
        <v>3280887.665274851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3280887.665274851</v>
      </c>
      <c r="J302" s="455">
        <f t="array" ref="J302">IFERROR(INDEX('Retirement Calculator'!K:K,MATCH('Lorri 401b'!N302,'Retirement Calculator'!A:A,0),0),0)</f>
        <v>20282.026119384056</v>
      </c>
      <c r="K302" s="455">
        <f t="shared" ca="1" si="27"/>
        <v>13585.856829814446</v>
      </c>
      <c r="L302" s="455">
        <f t="shared" ca="1" si="28"/>
        <v>3274191.4959852817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3274191.4959852817</v>
      </c>
      <c r="J303" s="455">
        <f t="array" ref="J303">IFERROR(INDEX('Retirement Calculator'!K:K,MATCH('Lorri 401b'!N303,'Retirement Calculator'!A:A,0),0),0)</f>
        <v>20282.026119384056</v>
      </c>
      <c r="K303" s="455">
        <f t="shared" ca="1" si="27"/>
        <v>13557.95612444124</v>
      </c>
      <c r="L303" s="455">
        <f t="shared" ca="1" si="28"/>
        <v>3267467.4259903389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3267467.4259903389</v>
      </c>
      <c r="J304" s="455">
        <f t="array" ref="J304">IFERROR(INDEX('Retirement Calculator'!K:K,MATCH('Lorri 401b'!N304,'Retirement Calculator'!A:A,0),0),0)</f>
        <v>20282.026119384056</v>
      </c>
      <c r="K304" s="455">
        <f t="shared" ca="1" si="27"/>
        <v>13529.939166128979</v>
      </c>
      <c r="L304" s="455">
        <f t="shared" ca="1" si="28"/>
        <v>3260715.339037084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3260715.339037084</v>
      </c>
      <c r="J305" s="455">
        <f t="array" ref="J305">IFERROR(INDEX('Retirement Calculator'!K:K,MATCH('Lorri 401b'!N305,'Retirement Calculator'!A:A,0),0),0)</f>
        <v>20282.026119384056</v>
      </c>
      <c r="K305" s="455">
        <f t="shared" ca="1" si="27"/>
        <v>13501.805470490417</v>
      </c>
      <c r="L305" s="455">
        <f t="shared" ca="1" si="28"/>
        <v>3253935.1183881904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3253935.1183881904</v>
      </c>
      <c r="J306" s="455">
        <f t="array" ref="J306">IFERROR(INDEX('Retirement Calculator'!K:K,MATCH('Lorri 401b'!N306,'Retirement Calculator'!A:A,0),0),0)</f>
        <v>20282.026119384056</v>
      </c>
      <c r="K306" s="455">
        <f t="shared" ca="1" si="27"/>
        <v>13473.554551120027</v>
      </c>
      <c r="L306" s="455">
        <f t="shared" ca="1" si="28"/>
        <v>3247126.6468199263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3247126.6468199263</v>
      </c>
      <c r="J307" s="455">
        <f t="array" ref="J307">IFERROR(INDEX('Retirement Calculator'!K:K,MATCH('Lorri 401b'!N307,'Retirement Calculator'!A:A,0),0),0)</f>
        <v>20282.026119384056</v>
      </c>
      <c r="K307" s="455">
        <f t="shared" ca="1" si="27"/>
        <v>13445.185919585592</v>
      </c>
      <c r="L307" s="455">
        <f t="shared" ca="1" si="28"/>
        <v>3240289.806620128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3240289.806620128</v>
      </c>
      <c r="J308" s="455">
        <f t="array" ref="J308">IFERROR(INDEX('Retirement Calculator'!K:K,MATCH('Lorri 401b'!N308,'Retirement Calculator'!A:A,0),0),0)</f>
        <v>20282.026119384056</v>
      </c>
      <c r="K308" s="455">
        <f t="shared" ca="1" si="27"/>
        <v>13416.699085419767</v>
      </c>
      <c r="L308" s="455">
        <f t="shared" ca="1" si="28"/>
        <v>3233424.479586164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3233424.479586164</v>
      </c>
      <c r="J309" s="455">
        <f t="array" ref="J309">IFERROR(INDEX('Retirement Calculator'!K:K,MATCH('Lorri 401b'!N309,'Retirement Calculator'!A:A,0),0),0)</f>
        <v>20282.026119384056</v>
      </c>
      <c r="K309" s="455">
        <f t="shared" ca="1" si="27"/>
        <v>13388.093556111584</v>
      </c>
      <c r="L309" s="455">
        <f t="shared" ca="1" si="28"/>
        <v>3226530.5470228917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3226530.5470228917</v>
      </c>
      <c r="J310" s="455">
        <f t="array" ref="J310">IFERROR(INDEX('Retirement Calculator'!K:K,MATCH('Lorri 401b'!N310,'Retirement Calculator'!A:A,0),0),0)</f>
        <v>20282.026119384056</v>
      </c>
      <c r="K310" s="455">
        <f t="shared" ca="1" si="27"/>
        <v>13359.368837097949</v>
      </c>
      <c r="L310" s="455">
        <f t="shared" ca="1" si="28"/>
        <v>3219607.8897406058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3219607.8897406058</v>
      </c>
      <c r="J311" s="455">
        <f t="array" ref="J311">IFERROR(INDEX('Retirement Calculator'!K:K,MATCH('Lorri 401b'!N311,'Retirement Calculator'!A:A,0),0),0)</f>
        <v>20282.026119384056</v>
      </c>
      <c r="K311" s="455">
        <f t="shared" ca="1" si="27"/>
        <v>13330.524431755091</v>
      </c>
      <c r="L311" s="455">
        <f t="shared" ca="1" si="28"/>
        <v>3212656.3880529772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3212656.3880529772</v>
      </c>
      <c r="J312" s="455">
        <f t="array" ref="J312">IFERROR(INDEX('Retirement Calculator'!K:K,MATCH('Lorri 401b'!N312,'Retirement Calculator'!A:A,0),0),0)</f>
        <v>20282.026119384056</v>
      </c>
      <c r="K312" s="455">
        <f t="shared" ca="1" si="27"/>
        <v>13301.559841389972</v>
      </c>
      <c r="L312" s="455">
        <f t="shared" ca="1" si="28"/>
        <v>3205675.9217749829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3205675.9217749829</v>
      </c>
      <c r="J313" s="455">
        <f t="array" ref="J313">IFERROR(INDEX('Retirement Calculator'!K:K,MATCH('Lorri 401b'!N313,'Retirement Calculator'!A:A,0),0),0)</f>
        <v>20282.026119384056</v>
      </c>
      <c r="K313" s="455">
        <f t="shared" ca="1" si="27"/>
        <v>13272.474565231661</v>
      </c>
      <c r="L313" s="455">
        <f t="shared" ca="1" si="28"/>
        <v>3198666.3702208307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3198666.3702208307</v>
      </c>
      <c r="J314" s="455">
        <f t="array" ref="J314">IFERROR(INDEX('Retirement Calculator'!K:K,MATCH('Lorri 401b'!N314,'Retirement Calculator'!A:A,0),0),0)</f>
        <v>20282.026119384056</v>
      </c>
      <c r="K314" s="455">
        <f t="shared" ca="1" si="27"/>
        <v>13243.268100422694</v>
      </c>
      <c r="L314" s="455">
        <f t="shared" ca="1" si="28"/>
        <v>3191627.6122018695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3191627.6122018695</v>
      </c>
      <c r="J315" s="455">
        <f t="array" ref="J315">IFERROR(INDEX('Retirement Calculator'!K:K,MATCH('Lorri 401b'!N315,'Retirement Calculator'!A:A,0),0),0)</f>
        <v>20282.026119384056</v>
      </c>
      <c r="K315" s="455">
        <f t="shared" ca="1" si="27"/>
        <v>13213.939942010356</v>
      </c>
      <c r="L315" s="455">
        <f t="shared" ca="1" si="28"/>
        <v>3184559.5260244957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3184559.5260244957</v>
      </c>
      <c r="J316" s="455">
        <f t="array" ref="J316">IFERROR(INDEX('Retirement Calculator'!K:K,MATCH('Lorri 401b'!N316,'Retirement Calculator'!A:A,0),0),0)</f>
        <v>20282.026119384056</v>
      </c>
      <c r="K316" s="455">
        <f t="shared" ca="1" si="27"/>
        <v>13184.489582937966</v>
      </c>
      <c r="L316" s="455">
        <f t="shared" ca="1" si="28"/>
        <v>3177461.9894880499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3177461.9894880499</v>
      </c>
      <c r="J317" s="455">
        <f t="array" ref="J317">IFERROR(INDEX('Retirement Calculator'!K:K,MATCH('Lorri 401b'!N317,'Retirement Calculator'!A:A,0),0),0)</f>
        <v>20282.026119384056</v>
      </c>
      <c r="K317" s="455">
        <f t="shared" ca="1" si="27"/>
        <v>13154.916514036107</v>
      </c>
      <c r="L317" s="455">
        <f t="shared" ca="1" si="28"/>
        <v>3170334.8798827021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3170334.8798827021</v>
      </c>
      <c r="J318" s="455">
        <f t="array" ref="J318">IFERROR(INDEX('Retirement Calculator'!K:K,MATCH('Lorri 401b'!N318,'Retirement Calculator'!A:A,0),0),0)</f>
        <v>20282.026119384056</v>
      </c>
      <c r="K318" s="455">
        <f t="shared" ca="1" si="27"/>
        <v>13125.220224013825</v>
      </c>
      <c r="L318" s="455">
        <f t="shared" ca="1" si="28"/>
        <v>3163178.0739873322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3163178.0739873322</v>
      </c>
      <c r="J319" s="455">
        <f t="array" ref="J319">IFERROR(INDEX('Retirement Calculator'!K:K,MATCH('Lorri 401b'!N319,'Retirement Calculator'!A:A,0),0),0)</f>
        <v>20282.026119384056</v>
      </c>
      <c r="K319" s="455">
        <f t="shared" ca="1" si="27"/>
        <v>13095.400199449785</v>
      </c>
      <c r="L319" s="455">
        <f t="shared" ca="1" si="28"/>
        <v>3155991.4480673978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3155991.4480673978</v>
      </c>
      <c r="J320" s="455">
        <f t="array" ref="J320">IFERROR(INDEX('Retirement Calculator'!K:K,MATCH('Lorri 401b'!N320,'Retirement Calculator'!A:A,0),0),0)</f>
        <v>20282.026119384056</v>
      </c>
      <c r="K320" s="455">
        <f t="shared" ca="1" si="27"/>
        <v>13065.455924783391</v>
      </c>
      <c r="L320" s="455">
        <f t="shared" ca="1" si="28"/>
        <v>3148774.8778727972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3148774.8778727972</v>
      </c>
      <c r="J321" s="455">
        <f t="array" ref="J321">IFERROR(INDEX('Retirement Calculator'!K:K,MATCH('Lorri 401b'!N321,'Retirement Calculator'!A:A,0),0),0)</f>
        <v>20282.026119384056</v>
      </c>
      <c r="K321" s="455">
        <f t="shared" ca="1" si="27"/>
        <v>13035.386882305887</v>
      </c>
      <c r="L321" s="455">
        <f t="shared" ca="1" si="28"/>
        <v>3141528.2386357193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3141528.2386357193</v>
      </c>
      <c r="J322" s="455">
        <f t="array" ref="J322">IFERROR(INDEX('Retirement Calculator'!K:K,MATCH('Lorri 401b'!N322,'Retirement Calculator'!A:A,0),0),0)</f>
        <v>20282.026119384056</v>
      </c>
      <c r="K322" s="455">
        <f t="shared" ca="1" si="27"/>
        <v>13005.192552151397</v>
      </c>
      <c r="L322" s="455">
        <f t="shared" ca="1" si="28"/>
        <v>3134251.4050684869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3134251.4050684869</v>
      </c>
      <c r="J323" s="455">
        <f t="array" ref="J323">IFERROR(INDEX('Retirement Calculator'!K:K,MATCH('Lorri 401b'!N323,'Retirement Calculator'!A:A,0),0),0)</f>
        <v>20282.026119384056</v>
      </c>
      <c r="K323" s="455">
        <f t="shared" ca="1" si="27"/>
        <v>12974.872412287928</v>
      </c>
      <c r="L323" s="455">
        <f t="shared" ca="1" si="28"/>
        <v>3126944.251361391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3126944.251361391</v>
      </c>
      <c r="J324" s="455">
        <f t="array" ref="J324">IFERROR(INDEX('Retirement Calculator'!K:K,MATCH('Lorri 401b'!N324,'Retirement Calculator'!A:A,0),0),0)</f>
        <v>20282.026119384056</v>
      </c>
      <c r="K324" s="455">
        <f t="shared" ca="1" si="27"/>
        <v>12944.425938508362</v>
      </c>
      <c r="L324" s="455">
        <f t="shared" ca="1" si="28"/>
        <v>3119606.6511805155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3119606.6511805155</v>
      </c>
      <c r="J325" s="455">
        <f t="array" ref="J325">IFERROR(INDEX('Retirement Calculator'!K:K,MATCH('Lorri 401b'!N325,'Retirement Calculator'!A:A,0),0),0)</f>
        <v>20282.026119384056</v>
      </c>
      <c r="K325" s="455">
        <f t="shared" ca="1" si="27"/>
        <v>12913.852604421381</v>
      </c>
      <c r="L325" s="455">
        <f t="shared" ca="1" si="28"/>
        <v>3112238.4776655529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3112238.4776655529</v>
      </c>
      <c r="J326" s="455">
        <f t="array" ref="J326">IFERROR(INDEX('Retirement Calculator'!K:K,MATCH('Lorri 401b'!N326,'Retirement Calculator'!A:A,0),0),0)</f>
        <v>20282.026119384056</v>
      </c>
      <c r="K326" s="455">
        <f t="shared" ca="1" si="27"/>
        <v>12883.151881442371</v>
      </c>
      <c r="L326" s="455">
        <f t="shared" ca="1" si="28"/>
        <v>3104839.6034276113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3104839.6034276113</v>
      </c>
      <c r="J327" s="455">
        <f t="array" ref="J327">IFERROR(INDEX('Retirement Calculator'!K:K,MATCH('Lorri 401b'!N327,'Retirement Calculator'!A:A,0),0),0)</f>
        <v>20282.026119384056</v>
      </c>
      <c r="K327" s="455">
        <f t="shared" ca="1" si="27"/>
        <v>12852.32323878428</v>
      </c>
      <c r="L327" s="455">
        <f t="shared" ca="1" si="28"/>
        <v>3097409.9005470118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3097409.9005470118</v>
      </c>
      <c r="J328" s="455">
        <f t="array" ref="J328">IFERROR(INDEX('Retirement Calculator'!K:K,MATCH('Lorri 401b'!N328,'Retirement Calculator'!A:A,0),0),0)</f>
        <v>20282.026119384056</v>
      </c>
      <c r="K328" s="455">
        <f t="shared" ca="1" si="27"/>
        <v>12821.366143448449</v>
      </c>
      <c r="L328" s="455">
        <f t="shared" ca="1" si="28"/>
        <v>3089949.2405710761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3089949.2405710761</v>
      </c>
      <c r="J329" s="455">
        <f t="array" ref="J329">IFERROR(INDEX('Retirement Calculator'!K:K,MATCH('Lorri 401b'!N329,'Retirement Calculator'!A:A,0),0),0)</f>
        <v>20282.026119384056</v>
      </c>
      <c r="K329" s="455">
        <f t="shared" ca="1" si="27"/>
        <v>12790.280060215384</v>
      </c>
      <c r="L329" s="455">
        <f t="shared" ca="1" si="28"/>
        <v>3082457.4945119075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3082457.4945119075</v>
      </c>
      <c r="J330" s="455">
        <f t="array" ref="J330">IFERROR(INDEX('Retirement Calculator'!K:K,MATCH('Lorri 401b'!N330,'Retirement Calculator'!A:A,0),0),0)</f>
        <v>20282.026119384056</v>
      </c>
      <c r="K330" s="455">
        <f t="shared" ca="1" si="27"/>
        <v>12759.064451635515</v>
      </c>
      <c r="L330" s="455">
        <f t="shared" ca="1" si="28"/>
        <v>3074934.5328441588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3074934.5328441588</v>
      </c>
      <c r="J331" s="455">
        <f t="array" ref="J331">IFERROR(INDEX('Retirement Calculator'!K:K,MATCH('Lorri 401b'!N331,'Retirement Calculator'!A:A,0),0),0)</f>
        <v>20282.026119384056</v>
      </c>
      <c r="K331" s="455">
        <f t="shared" ca="1" si="27"/>
        <v>12727.718778019895</v>
      </c>
      <c r="L331" s="455">
        <f t="shared" ca="1" si="28"/>
        <v>3067380.2255027946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3067380.2255027946</v>
      </c>
      <c r="J332" s="455">
        <f t="array" ref="J332">IFERROR(INDEX('Retirement Calculator'!K:K,MATCH('Lorri 401b'!N332,'Retirement Calculator'!A:A,0),0),0)</f>
        <v>20282.026119384056</v>
      </c>
      <c r="K332" s="455">
        <f t="shared" ca="1" si="27"/>
        <v>12696.242497430878</v>
      </c>
      <c r="L332" s="455">
        <f t="shared" ca="1" si="28"/>
        <v>3059794.4418808413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3059794.4418808413</v>
      </c>
      <c r="J333" s="455">
        <f t="array" ref="J333">IFERROR(INDEX('Retirement Calculator'!K:K,MATCH('Lorri 401b'!N333,'Retirement Calculator'!A:A,0),0),0)</f>
        <v>20282.026119384056</v>
      </c>
      <c r="K333" s="455">
        <f t="shared" ca="1" si="27"/>
        <v>12664.635065672739</v>
      </c>
      <c r="L333" s="455">
        <f t="shared" ca="1" si="28"/>
        <v>3052177.0508271302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3052177.0508271302</v>
      </c>
      <c r="J334" s="455">
        <f t="array" ref="J334">IFERROR(INDEX('Retirement Calculator'!K:K,MATCH('Lorri 401b'!N334,'Retirement Calculator'!A:A,0),0),0)</f>
        <v>20282.026119384056</v>
      </c>
      <c r="K334" s="455">
        <f t="shared" ca="1" si="27"/>
        <v>12632.895936282275</v>
      </c>
      <c r="L334" s="455">
        <f t="shared" ca="1" si="28"/>
        <v>3044527.9206440286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3044527.9206440286</v>
      </c>
      <c r="J335" s="455">
        <f t="array" ref="J335">IFERROR(INDEX('Retirement Calculator'!K:K,MATCH('Lorri 401b'!N335,'Retirement Calculator'!A:A,0),0),0)</f>
        <v>20282.026119384056</v>
      </c>
      <c r="K335" s="455">
        <f t="shared" ca="1" si="27"/>
        <v>12601.024560519352</v>
      </c>
      <c r="L335" s="455">
        <f t="shared" ca="1" si="28"/>
        <v>3036846.9190851641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3036846.9190851641</v>
      </c>
      <c r="J336" s="455">
        <f t="array" ref="J336">IFERROR(INDEX('Retirement Calculator'!K:K,MATCH('Lorri 401b'!N336,'Retirement Calculator'!A:A,0),0),0)</f>
        <v>20282.026119384056</v>
      </c>
      <c r="K336" s="455">
        <f t="shared" ca="1" si="27"/>
        <v>12569.020387357417</v>
      </c>
      <c r="L336" s="455">
        <f t="shared" ca="1" si="28"/>
        <v>3029133.9133531377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3029133.9133531377</v>
      </c>
      <c r="J337" s="455">
        <f t="array" ref="J337">IFERROR(INDEX('Retirement Calculator'!K:K,MATCH('Lorri 401b'!N337,'Retirement Calculator'!A:A,0),0),0)</f>
        <v>20282.026119384056</v>
      </c>
      <c r="K337" s="455">
        <f t="shared" ca="1" si="27"/>
        <v>12536.882863473973</v>
      </c>
      <c r="L337" s="455">
        <f t="shared" ca="1" si="28"/>
        <v>3021388.7700972278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3021388.7700972278</v>
      </c>
      <c r="J338" s="455">
        <f t="array" ref="J338">IFERROR(INDEX('Retirement Calculator'!K:K,MATCH('Lorri 401b'!N338,'Retirement Calculator'!A:A,0),0),0)</f>
        <v>20282.026119384056</v>
      </c>
      <c r="K338" s="455">
        <f t="shared" ca="1" si="27"/>
        <v>12504.611433241016</v>
      </c>
      <c r="L338" s="455">
        <f t="shared" ca="1" si="28"/>
        <v>3013611.3554110848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3013611.3554110848</v>
      </c>
      <c r="J339" s="455">
        <f t="array" ref="J339">IFERROR(INDEX('Retirement Calculator'!K:K,MATCH('Lorri 401b'!N339,'Retirement Calculator'!A:A,0),0),0)</f>
        <v>20282.026119384056</v>
      </c>
      <c r="K339" s="455">
        <f t="shared" ca="1" si="27"/>
        <v>12472.20553871542</v>
      </c>
      <c r="L339" s="455">
        <f t="shared" ca="1" si="28"/>
        <v>3005801.5348304161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3005801.5348304161</v>
      </c>
      <c r="J340" s="455">
        <f t="array" ref="J340">IFERROR(INDEX('Retirement Calculator'!K:K,MATCH('Lorri 401b'!N340,'Retirement Calculator'!A:A,0),0),0)</f>
        <v>20282.026119384056</v>
      </c>
      <c r="K340" s="455">
        <f t="shared" ca="1" si="27"/>
        <v>12439.6646196293</v>
      </c>
      <c r="L340" s="455">
        <f t="shared" ca="1" si="28"/>
        <v>2997959.1733306614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2997959.1733306614</v>
      </c>
      <c r="J341" s="455">
        <f t="array" ref="J341">IFERROR(INDEX('Retirement Calculator'!K:K,MATCH('Lorri 401b'!N341,'Retirement Calculator'!A:A,0),0),0)</f>
        <v>20282.026119384056</v>
      </c>
      <c r="K341" s="455">
        <f t="shared" ca="1" si="27"/>
        <v>12406.988113380323</v>
      </c>
      <c r="L341" s="455">
        <f t="shared" ca="1" si="28"/>
        <v>2990084.1353246579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2990084.1353246579</v>
      </c>
      <c r="J342" s="455">
        <f t="array" ref="J342">IFERROR(INDEX('Retirement Calculator'!K:K,MATCH('Lorri 401b'!N342,'Retirement Calculator'!A:A,0),0),0)</f>
        <v>20282.026119384056</v>
      </c>
      <c r="K342" s="455">
        <f t="shared" ca="1" si="27"/>
        <v>12374.175455021974</v>
      </c>
      <c r="L342" s="455">
        <f t="shared" ca="1" si="28"/>
        <v>2982176.284660296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2982176.284660296</v>
      </c>
      <c r="J343" s="455">
        <f t="array" ref="J343">IFERROR(INDEX('Retirement Calculator'!K:K,MATCH('Lorri 401b'!N343,'Retirement Calculator'!A:A,0),0),0)</f>
        <v>20282.026119384056</v>
      </c>
      <c r="K343" s="455">
        <f t="shared" ca="1" si="27"/>
        <v>12341.226077253799</v>
      </c>
      <c r="L343" s="455">
        <f t="shared" ca="1" si="28"/>
        <v>2974235.484618166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2974235.484618166</v>
      </c>
      <c r="J344" s="455">
        <f t="array" ref="J344">IFERROR(INDEX('Retirement Calculator'!K:K,MATCH('Lorri 401b'!N344,'Retirement Calculator'!A:A,0),0),0)</f>
        <v>20282.026119384056</v>
      </c>
      <c r="K344" s="455">
        <f t="shared" ca="1" si="27"/>
        <v>12308.139410411592</v>
      </c>
      <c r="L344" s="455">
        <f t="shared" ca="1" si="28"/>
        <v>2966261.5979091935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2966261.5979091935</v>
      </c>
      <c r="J345" s="455">
        <f t="array" ref="J345">IFERROR(INDEX('Retirement Calculator'!K:K,MATCH('Lorri 401b'!N345,'Retirement Calculator'!A:A,0),0),0)</f>
        <v>20282.026119384056</v>
      </c>
      <c r="K345" s="455">
        <f t="shared" ca="1" si="27"/>
        <v>12274.914882457539</v>
      </c>
      <c r="L345" s="455">
        <f t="shared" ca="1" si="28"/>
        <v>2958254.4866722669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2958254.4866722669</v>
      </c>
      <c r="J346" s="455">
        <f t="array" ref="J346">IFERROR(INDEX('Retirement Calculator'!K:K,MATCH('Lorri 401b'!N346,'Retirement Calculator'!A:A,0),0),0)</f>
        <v>20282.026119384056</v>
      </c>
      <c r="K346" s="455">
        <f t="shared" ca="1" si="27"/>
        <v>12241.551918970345</v>
      </c>
      <c r="L346" s="455">
        <f t="shared" ca="1" si="28"/>
        <v>2950214.0124718533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2950214.0124718533</v>
      </c>
      <c r="J347" s="455">
        <f t="array" ref="J347">IFERROR(INDEX('Retirement Calculator'!K:K,MATCH('Lorri 401b'!N347,'Retirement Calculator'!A:A,0),0),0)</f>
        <v>20282.026119384056</v>
      </c>
      <c r="K347" s="455">
        <f t="shared" ca="1" si="27"/>
        <v>12208.049943135289</v>
      </c>
      <c r="L347" s="455">
        <f t="shared" ca="1" si="28"/>
        <v>2942140.0362956044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2942140.0362956044</v>
      </c>
      <c r="J348" s="455">
        <f t="array" ref="J348">IFERROR(INDEX('Retirement Calculator'!K:K,MATCH('Lorri 401b'!N348,'Retirement Calculator'!A:A,0),0),0)</f>
        <v>20282.026119384056</v>
      </c>
      <c r="K348" s="455">
        <f t="shared" ca="1" si="27"/>
        <v>12174.408375734252</v>
      </c>
      <c r="L348" s="455">
        <f t="shared" ca="1" si="28"/>
        <v>2934032.4185519549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2934032.4185519549</v>
      </c>
      <c r="J349" s="455">
        <f t="array" ref="J349">IFERROR(INDEX('Retirement Calculator'!K:K,MATCH('Lorri 401b'!N349,'Retirement Calculator'!A:A,0),0),0)</f>
        <v>20282.026119384056</v>
      </c>
      <c r="K349" s="455">
        <f t="shared" ca="1" si="27"/>
        <v>12140.626635135712</v>
      </c>
      <c r="L349" s="455">
        <f t="shared" ca="1" si="28"/>
        <v>2925891.0190677065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2925891.0190677065</v>
      </c>
      <c r="J350" s="455">
        <f t="array" ref="J350">IFERROR(INDEX('Retirement Calculator'!K:K,MATCH('Lorri 401b'!N350,'Retirement Calculator'!A:A,0),0),0)</f>
        <v>20282.026119384056</v>
      </c>
      <c r="K350" s="455">
        <f t="shared" ca="1" si="27"/>
        <v>12106.704137284678</v>
      </c>
      <c r="L350" s="455">
        <f t="shared" ca="1" si="28"/>
        <v>2917715.6970856073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2917715.6970856073</v>
      </c>
      <c r="J351" s="455">
        <f t="array" ref="J351">IFERROR(INDEX('Retirement Calculator'!K:K,MATCH('Lorri 401b'!N351,'Retirement Calculator'!A:A,0),0),0)</f>
        <v>20282.026119384056</v>
      </c>
      <c r="K351" s="455">
        <f t="shared" ca="1" si="27"/>
        <v>12072.640295692598</v>
      </c>
      <c r="L351" s="455">
        <f t="shared" ca="1" si="28"/>
        <v>2909506.3112619161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2909506.3112619161</v>
      </c>
      <c r="J352" s="455">
        <f t="array" ref="J352">IFERROR(INDEX('Retirement Calculator'!K:K,MATCH('Lorri 401b'!N352,'Retirement Calculator'!A:A,0),0),0)</f>
        <v>20282.026119384056</v>
      </c>
      <c r="K352" s="455">
        <f t="shared" ca="1" si="27"/>
        <v>12038.434521427216</v>
      </c>
      <c r="L352" s="455">
        <f t="shared" ca="1" si="28"/>
        <v>2901262.7196639595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2901262.7196639595</v>
      </c>
      <c r="J353" s="455">
        <f t="array" ref="J353">IFERROR(INDEX('Retirement Calculator'!K:K,MATCH('Lorri 401b'!N353,'Retirement Calculator'!A:A,0),0),0)</f>
        <v>20282.026119384056</v>
      </c>
      <c r="K353" s="455">
        <f t="shared" ca="1" si="27"/>
        <v>12004.086223102398</v>
      </c>
      <c r="L353" s="455">
        <f t="shared" ca="1" si="28"/>
        <v>2892984.7797676777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2892984.7797676777</v>
      </c>
      <c r="J354" s="455">
        <f t="array" ref="J354">IFERROR(INDEX('Retirement Calculator'!K:K,MATCH('Lorri 401b'!N354,'Retirement Calculator'!A:A,0),0),0)</f>
        <v>20282.026119384056</v>
      </c>
      <c r="K354" s="455">
        <f t="shared" ca="1" si="27"/>
        <v>11969.59480686789</v>
      </c>
      <c r="L354" s="455">
        <f t="shared" ca="1" si="28"/>
        <v>2884672.3484551618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2884672.3484551618</v>
      </c>
      <c r="J355" s="455">
        <f t="array" ref="J355">IFERROR(INDEX('Retirement Calculator'!K:K,MATCH('Lorri 401b'!N355,'Retirement Calculator'!A:A,0),0),0)</f>
        <v>20282.026119384056</v>
      </c>
      <c r="K355" s="455">
        <f t="shared" ca="1" si="27"/>
        <v>11934.959676399074</v>
      </c>
      <c r="L355" s="455">
        <f t="shared" ca="1" si="28"/>
        <v>2876325.2820121767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2876325.2820121767</v>
      </c>
      <c r="J356" s="455">
        <f t="array" ref="J356">IFERROR(INDEX('Retirement Calculator'!K:K,MATCH('Lorri 401b'!N356,'Retirement Calculator'!A:A,0),0),0)</f>
        <v>20282.026119384056</v>
      </c>
      <c r="K356" s="455">
        <f t="shared" ca="1" si="27"/>
        <v>11900.180232886636</v>
      </c>
      <c r="L356" s="455">
        <f t="shared" ca="1" si="28"/>
        <v>2867943.4361256794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2867943.4361256794</v>
      </c>
      <c r="J357" s="455">
        <f t="array" ref="J357">IFERROR(INDEX('Retirement Calculator'!K:K,MATCH('Lorri 401b'!N357,'Retirement Calculator'!A:A,0),0),0)</f>
        <v>20282.026119384056</v>
      </c>
      <c r="K357" s="455">
        <f t="shared" ca="1" si="27"/>
        <v>11865.255875026231</v>
      </c>
      <c r="L357" s="455">
        <f t="shared" ca="1" si="28"/>
        <v>2859526.6658813218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2859526.6658813218</v>
      </c>
      <c r="J358" s="455">
        <f t="array" ref="J358">IFERROR(INDEX('Retirement Calculator'!K:K,MATCH('Lorri 401b'!N358,'Retirement Calculator'!A:A,0),0),0)</f>
        <v>20282.026119384056</v>
      </c>
      <c r="K358" s="455">
        <f t="shared" ca="1" si="27"/>
        <v>11830.185999008074</v>
      </c>
      <c r="L358" s="455">
        <f t="shared" ca="1" si="28"/>
        <v>2851074.8257609457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2851074.8257609457</v>
      </c>
      <c r="J359" s="455">
        <f t="array" ref="J359">IFERROR(INDEX('Retirement Calculator'!K:K,MATCH('Lorri 401b'!N359,'Retirement Calculator'!A:A,0),0),0)</f>
        <v>20282.026119384056</v>
      </c>
      <c r="K359" s="455">
        <f t="shared" ca="1" si="27"/>
        <v>11794.969998506507</v>
      </c>
      <c r="L359" s="455">
        <f t="shared" ca="1" si="28"/>
        <v>2842587.7696400681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2842587.7696400681</v>
      </c>
      <c r="J360" s="455">
        <f t="array" ref="J360">IFERROR(INDEX('Retirement Calculator'!K:K,MATCH('Lorri 401b'!N360,'Retirement Calculator'!A:A,0),0),0)</f>
        <v>20282.026119384056</v>
      </c>
      <c r="K360" s="455">
        <f t="shared" ca="1" si="27"/>
        <v>11759.607264669517</v>
      </c>
      <c r="L360" s="455">
        <f t="shared" ca="1" si="28"/>
        <v>2834065.3507853537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2834065.3507853537</v>
      </c>
      <c r="J361" s="455">
        <f t="array" ref="J361">IFERROR(INDEX('Retirement Calculator'!K:K,MATCH('Lorri 401b'!N361,'Retirement Calculator'!A:A,0),0),0)</f>
        <v>20282.026119384056</v>
      </c>
      <c r="K361" s="455">
        <f t="shared" ca="1" si="27"/>
        <v>11724.097186108207</v>
      </c>
      <c r="L361" s="455">
        <f t="shared" ca="1" si="28"/>
        <v>2825507.4218520778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2825507.4218520778</v>
      </c>
      <c r="J362" s="455">
        <f t="array" ref="J362">IFERROR(INDEX('Retirement Calculator'!K:K,MATCH('Lorri 401b'!N362,'Retirement Calculator'!A:A,0),0),0)</f>
        <v>20282.026119384056</v>
      </c>
      <c r="K362" s="455">
        <f t="shared" ca="1" si="27"/>
        <v>11688.439148886224</v>
      </c>
      <c r="L362" s="455">
        <f t="shared" ca="1" si="28"/>
        <v>2816913.83488158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2816913.83488158</v>
      </c>
      <c r="J363" s="455">
        <f t="array" ref="J363">IFERROR(INDEX('Retirement Calculator'!K:K,MATCH('Lorri 401b'!N363,'Retirement Calculator'!A:A,0),0),0)</f>
        <v>20282.026119384056</v>
      </c>
      <c r="K363" s="455">
        <f t="shared" ca="1" si="27"/>
        <v>11652.632536509151</v>
      </c>
      <c r="L363" s="455">
        <f t="shared" ca="1" si="28"/>
        <v>2808284.4412987051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2808284.4412987051</v>
      </c>
      <c r="J364" s="455">
        <f t="array" ref="J364">IFERROR(INDEX('Retirement Calculator'!K:K,MATCH('Lorri 401b'!N364,'Retirement Calculator'!A:A,0),0),0)</f>
        <v>20282.026119384056</v>
      </c>
      <c r="K364" s="455">
        <f t="shared" ca="1" si="27"/>
        <v>11616.676729913837</v>
      </c>
      <c r="L364" s="455">
        <f t="shared" ca="1" si="28"/>
        <v>2799619.0919092349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2799619.0919092349</v>
      </c>
      <c r="J365" s="455">
        <f t="array" ref="J365">IFERROR(INDEX('Retirement Calculator'!K:K,MATCH('Lorri 401b'!N365,'Retirement Calculator'!A:A,0),0),0)</f>
        <v>20282.026119384056</v>
      </c>
      <c r="K365" s="455">
        <f t="shared" ca="1" si="27"/>
        <v>11580.571107457712</v>
      </c>
      <c r="L365" s="455">
        <f t="shared" ca="1" si="28"/>
        <v>2790917.6368973088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2790917.6368973088</v>
      </c>
      <c r="J366" s="455">
        <f t="array" ref="J366">IFERROR(INDEX('Retirement Calculator'!K:K,MATCH('Lorri 401b'!N366,'Retirement Calculator'!A:A,0),0),0)</f>
        <v>20282.026119384056</v>
      </c>
      <c r="K366" s="455">
        <f t="shared" ca="1" si="27"/>
        <v>11544.31504490802</v>
      </c>
      <c r="L366" s="455">
        <f t="shared" ca="1" si="28"/>
        <v>2782179.9258228326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2782179.9258228326</v>
      </c>
      <c r="J367" s="455">
        <f t="array" ref="J367">IFERROR(INDEX('Retirement Calculator'!K:K,MATCH('Lorri 401b'!N367,'Retirement Calculator'!A:A,0),0),0)</f>
        <v>20282.026119384056</v>
      </c>
      <c r="K367" s="455">
        <f t="shared" ca="1" si="27"/>
        <v>11507.907915431037</v>
      </c>
      <c r="L367" s="455">
        <f t="shared" ca="1" si="28"/>
        <v>2773405.8076188797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2773405.8076188797</v>
      </c>
      <c r="J368" s="455">
        <f t="array" ref="J368">IFERROR(INDEX('Retirement Calculator'!K:K,MATCH('Lorri 401b'!N368,'Retirement Calculator'!A:A,0),0),0)</f>
        <v>20282.026119384056</v>
      </c>
      <c r="K368" s="455">
        <f t="shared" ca="1" si="27"/>
        <v>11471.349089581232</v>
      </c>
      <c r="L368" s="455">
        <f t="shared" ca="1" si="28"/>
        <v>2764595.1305890768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2764595.1305890768</v>
      </c>
      <c r="J369" s="455">
        <f t="array" ref="J369">IFERROR(INDEX('Retirement Calculator'!K:K,MATCH('Lorri 401b'!N369,'Retirement Calculator'!A:A,0),0),0)</f>
        <v>20282.026119384056</v>
      </c>
      <c r="K369" s="455">
        <f t="shared" ca="1" si="27"/>
        <v>11434.637935290386</v>
      </c>
      <c r="L369" s="455">
        <f t="shared" ca="1" si="28"/>
        <v>2755747.7424049834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2755747.7424049834</v>
      </c>
      <c r="J370" s="455">
        <f t="array" ref="J370">IFERROR(INDEX('Retirement Calculator'!K:K,MATCH('Lorri 401b'!N370,'Retirement Calculator'!A:A,0),0),0)</f>
        <v>20282.026119384056</v>
      </c>
      <c r="K370" s="455">
        <f t="shared" ca="1" si="27"/>
        <v>11397.773817856663</v>
      </c>
      <c r="L370" s="455">
        <f t="shared" ca="1" si="28"/>
        <v>2746863.4901034562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2746863.4901034562</v>
      </c>
      <c r="J371" s="455">
        <f t="array" ref="J371">IFERROR(INDEX('Retirement Calculator'!K:K,MATCH('Lorri 401b'!N371,'Retirement Calculator'!A:A,0),0),0)</f>
        <v>20282.026119384056</v>
      </c>
      <c r="K371" s="455">
        <f t="shared" ca="1" si="27"/>
        <v>11360.756099933635</v>
      </c>
      <c r="L371" s="455">
        <f t="shared" ca="1" si="28"/>
        <v>2737942.220084006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2737942.220084006</v>
      </c>
      <c r="J372" s="455">
        <f t="array" ref="J372">IFERROR(INDEX('Retirement Calculator'!K:K,MATCH('Lorri 401b'!N372,'Retirement Calculator'!A:A,0),0),0)</f>
        <v>20282.026119384056</v>
      </c>
      <c r="K372" s="455">
        <f t="shared" ca="1" si="27"/>
        <v>11323.584141519259</v>
      </c>
      <c r="L372" s="455">
        <f t="shared" ca="1" si="28"/>
        <v>2728983.7781061414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2728983.7781061414</v>
      </c>
      <c r="J373" s="455">
        <f t="array" ref="J373">IFERROR(INDEX('Retirement Calculator'!K:K,MATCH('Lorri 401b'!N373,'Retirement Calculator'!A:A,0),0),0)</f>
        <v>20282.026119384056</v>
      </c>
      <c r="K373" s="455">
        <f t="shared" ca="1" si="27"/>
        <v>11286.257299944822</v>
      </c>
      <c r="L373" s="455">
        <f t="shared" ca="1" si="28"/>
        <v>2719988.0092867021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2719988.0092867021</v>
      </c>
      <c r="J374" s="455">
        <f t="array" ref="J374">IFERROR(INDEX('Retirement Calculator'!K:K,MATCH('Lorri 401b'!N374,'Retirement Calculator'!A:A,0),0),0)</f>
        <v>20282.026119384056</v>
      </c>
      <c r="K374" s="455">
        <f t="shared" ca="1" si="27"/>
        <v>11248.774929863826</v>
      </c>
      <c r="L374" s="455">
        <f t="shared" ca="1" si="28"/>
        <v>2710954.758097182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2710954.758097182</v>
      </c>
      <c r="J375" s="455">
        <f t="array" ref="J375">IFERROR(INDEX('Retirement Calculator'!K:K,MATCH('Lorri 401b'!N375,'Retirement Calculator'!A:A,0),0),0)</f>
        <v>20282.026119384056</v>
      </c>
      <c r="K375" s="455">
        <f t="shared" ca="1" si="27"/>
        <v>11211.136383240824</v>
      </c>
      <c r="L375" s="455">
        <f t="shared" ca="1" si="28"/>
        <v>2701883.8683610391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2701883.8683610391</v>
      </c>
      <c r="J376" s="455">
        <f t="array" ref="J376">IFERROR(INDEX('Retirement Calculator'!K:K,MATCH('Lorri 401b'!N376,'Retirement Calculator'!A:A,0),0),0)</f>
        <v>20282.026119384056</v>
      </c>
      <c r="K376" s="455">
        <f t="shared" ca="1" si="27"/>
        <v>11173.341009340229</v>
      </c>
      <c r="L376" s="455">
        <f t="shared" ca="1" si="28"/>
        <v>2692775.1832509954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2692775.1832509954</v>
      </c>
      <c r="J377" s="455">
        <f t="array" ref="J377">IFERROR(INDEX('Retirement Calculator'!K:K,MATCH('Lorri 401b'!N377,'Retirement Calculator'!A:A,0),0),0)</f>
        <v>20282.026119384056</v>
      </c>
      <c r="K377" s="455">
        <f t="shared" ca="1" si="27"/>
        <v>11135.388154715047</v>
      </c>
      <c r="L377" s="455">
        <f t="shared" ca="1" si="28"/>
        <v>2683628.5452863262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2683628.5452863262</v>
      </c>
      <c r="J378" s="455">
        <f t="array" ref="J378">IFERROR(INDEX('Retirement Calculator'!K:K,MATCH('Lorri 401b'!N378,'Retirement Calculator'!A:A,0),0),0)</f>
        <v>20282.026119384056</v>
      </c>
      <c r="K378" s="455">
        <f t="shared" ca="1" si="27"/>
        <v>11097.277163195593</v>
      </c>
      <c r="L378" s="455">
        <f t="shared" ca="1" si="28"/>
        <v>2674443.7963301376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2674443.7963301376</v>
      </c>
      <c r="J379" s="455">
        <f t="array" ref="J379">IFERROR(INDEX('Retirement Calculator'!K:K,MATCH('Lorri 401b'!N379,'Retirement Calculator'!A:A,0),0),0)</f>
        <v>20282.026119384056</v>
      </c>
      <c r="K379" s="455">
        <f t="shared" ca="1" si="27"/>
        <v>11059.00737587814</v>
      </c>
      <c r="L379" s="455">
        <f t="shared" ca="1" si="28"/>
        <v>2665220.7775866319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2665220.7775866319</v>
      </c>
      <c r="J380" s="455">
        <f t="array" ref="J380">IFERROR(INDEX('Retirement Calculator'!K:K,MATCH('Lorri 401b'!N380,'Retirement Calculator'!A:A,0),0),0)</f>
        <v>20282.026119384056</v>
      </c>
      <c r="K380" s="455">
        <f t="shared" ca="1" si="27"/>
        <v>11020.578131113532</v>
      </c>
      <c r="L380" s="455">
        <f t="shared" ca="1" si="28"/>
        <v>2655959.3295983616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2655959.3295983616</v>
      </c>
      <c r="J381" s="455">
        <f t="array" ref="J381">IFERROR(INDEX('Retirement Calculator'!K:K,MATCH('Lorri 401b'!N381,'Retirement Calculator'!A:A,0),0),0)</f>
        <v>20282.026119384056</v>
      </c>
      <c r="K381" s="455">
        <f t="shared" ca="1" si="27"/>
        <v>10981.98876449574</v>
      </c>
      <c r="L381" s="455">
        <f t="shared" ca="1" si="28"/>
        <v>2646659.2922434732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2646659.2922434732</v>
      </c>
      <c r="J382" s="455">
        <f t="array" ref="J382">IFERROR(INDEX('Retirement Calculator'!K:K,MATCH('Lorri 401b'!N382,'Retirement Calculator'!A:A,0),0),0)</f>
        <v>20282.026119384056</v>
      </c>
      <c r="K382" s="455">
        <f t="shared" ca="1" si="27"/>
        <v>10943.238608850372</v>
      </c>
      <c r="L382" s="455">
        <f t="shared" ca="1" si="28"/>
        <v>2637320.5047329394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2637320.5047329394</v>
      </c>
      <c r="J383" s="455">
        <f t="array" ref="J383">IFERROR(INDEX('Retirement Calculator'!K:K,MATCH('Lorri 401b'!N383,'Retirement Calculator'!A:A,0),0),0)</f>
        <v>20282.026119384056</v>
      </c>
      <c r="K383" s="455">
        <f t="shared" ca="1" si="27"/>
        <v>10904.326994223147</v>
      </c>
      <c r="L383" s="455">
        <f t="shared" ca="1" si="28"/>
        <v>2627942.8056077785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2627942.8056077785</v>
      </c>
      <c r="J384" s="455">
        <f t="array" ref="J384">IFERROR(INDEX('Retirement Calculator'!K:K,MATCH('Lorri 401b'!N384,'Retirement Calculator'!A:A,0),0),0)</f>
        <v>20282.026119384056</v>
      </c>
      <c r="K384" s="455">
        <f t="shared" ca="1" si="27"/>
        <v>10865.25324786831</v>
      </c>
      <c r="L384" s="455">
        <f t="shared" ca="1" si="28"/>
        <v>2618526.0327362628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2618526.0327362628</v>
      </c>
      <c r="J385" s="455">
        <f t="array" ref="J385">IFERROR(INDEX('Retirement Calculator'!K:K,MATCH('Lorri 401b'!N385,'Retirement Calculator'!A:A,0),0),0)</f>
        <v>20282.026119384056</v>
      </c>
      <c r="K385" s="455">
        <f t="shared" ca="1" si="27"/>
        <v>10826.016694236994</v>
      </c>
      <c r="L385" s="455">
        <f t="shared" ca="1" si="28"/>
        <v>2609070.0233111158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2609070.0233111158</v>
      </c>
      <c r="J386" s="455">
        <f t="array" ref="J386">IFERROR(INDEX('Retirement Calculator'!K:K,MATCH('Lorri 401b'!N386,'Retirement Calculator'!A:A,0),0),0)</f>
        <v>20282.026119384056</v>
      </c>
      <c r="K386" s="455">
        <f t="shared" ca="1" si="27"/>
        <v>10786.61665496555</v>
      </c>
      <c r="L386" s="455">
        <f t="shared" ca="1" si="28"/>
        <v>2599574.6138466974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2599574.6138466974</v>
      </c>
      <c r="J387" s="455">
        <f t="array" ref="J387">IFERROR(INDEX('Retirement Calculator'!K:K,MATCH('Lorri 401b'!N387,'Retirement Calculator'!A:A,0),0),0)</f>
        <v>20282.026119384056</v>
      </c>
      <c r="K387" s="455">
        <f t="shared" ca="1" si="27"/>
        <v>10747.052448863806</v>
      </c>
      <c r="L387" s="455">
        <f t="shared" ca="1" si="28"/>
        <v>2590039.640176177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2590039.640176177</v>
      </c>
      <c r="J388" s="455">
        <f t="array" ref="J388">IFERROR(INDEX('Retirement Calculator'!K:K,MATCH('Lorri 401b'!N388,'Retirement Calculator'!A:A,0),0),0)</f>
        <v>20282.026119384056</v>
      </c>
      <c r="K388" s="455">
        <f t="shared" ca="1" si="27"/>
        <v>10707.323391903305</v>
      </c>
      <c r="L388" s="455">
        <f t="shared" ca="1" si="28"/>
        <v>2580464.9374486962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2580464.9374486962</v>
      </c>
      <c r="J389" s="455">
        <f t="array" ref="J389">IFERROR(INDEX('Retirement Calculator'!K:K,MATCH('Lorri 401b'!N389,'Retirement Calculator'!A:A,0),0),0)</f>
        <v>20282.026119384056</v>
      </c>
      <c r="K389" s="455">
        <f t="shared" ca="1" si="27"/>
        <v>10667.428797205468</v>
      </c>
      <c r="L389" s="455">
        <f t="shared" ca="1" si="28"/>
        <v>2570850.3401265177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2570850.3401265177</v>
      </c>
      <c r="J390" s="455">
        <f t="array" ref="J390">IFERROR(INDEX('Retirement Calculator'!K:K,MATCH('Lorri 401b'!N390,'Retirement Calculator'!A:A,0),0),0)</f>
        <v>20282.026119384056</v>
      </c>
      <c r="K390" s="455">
        <f t="shared" ca="1" si="27"/>
        <v>10627.367975029723</v>
      </c>
      <c r="L390" s="455">
        <f t="shared" ca="1" si="28"/>
        <v>2561195.6819821633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2561195.6819821633</v>
      </c>
      <c r="J391" s="455">
        <f t="array" ref="J391">IFERROR(INDEX('Retirement Calculator'!K:K,MATCH('Lorri 401b'!N391,'Retirement Calculator'!A:A,0),0),0)</f>
        <v>20282.026119384056</v>
      </c>
      <c r="K391" s="455">
        <f t="shared" ca="1" si="27"/>
        <v>10587.14023276158</v>
      </c>
      <c r="L391" s="455">
        <f t="shared" ca="1" si="28"/>
        <v>2551500.7960955407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2551500.7960955407</v>
      </c>
      <c r="J392" s="455">
        <f t="array" ref="J392">IFERROR(INDEX('Retirement Calculator'!K:K,MATCH('Lorri 401b'!N392,'Retirement Calculator'!A:A,0),0),0)</f>
        <v>20282.026119384056</v>
      </c>
      <c r="K392" s="455">
        <f t="shared" ca="1" si="27"/>
        <v>10546.744874900653</v>
      </c>
      <c r="L392" s="455">
        <f t="shared" ca="1" si="28"/>
        <v>2541765.5148510574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2541765.5148510574</v>
      </c>
      <c r="J393" s="455">
        <f t="array" ref="J393">IFERROR(INDEX('Retirement Calculator'!K:K,MATCH('Lorri 401b'!N393,'Retirement Calculator'!A:A,0),0),0)</f>
        <v>20282.026119384056</v>
      </c>
      <c r="K393" s="455">
        <f t="shared" ca="1" si="27"/>
        <v>10506.18120304864</v>
      </c>
      <c r="L393" s="455">
        <f t="shared" ca="1" si="28"/>
        <v>2531989.6699347221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2531989.6699347221</v>
      </c>
      <c r="J394" s="455">
        <f t="array" ref="J394">IFERROR(INDEX('Retirement Calculator'!K:K,MATCH('Lorri 401b'!N394,'Retirement Calculator'!A:A,0),0),0)</f>
        <v>20282.026119384056</v>
      </c>
      <c r="K394" s="455">
        <f t="shared" ca="1" si="27"/>
        <v>10465.448515897242</v>
      </c>
      <c r="L394" s="455">
        <f t="shared" ca="1" si="28"/>
        <v>2522173.0923312353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2522173.0923312353</v>
      </c>
      <c r="J395" s="455">
        <f t="array" ref="J395">IFERROR(INDEX('Retirement Calculator'!K:K,MATCH('Lorri 401b'!N395,'Retirement Calculator'!A:A,0),0),0)</f>
        <v>20282.026119384056</v>
      </c>
      <c r="K395" s="455">
        <f t="shared" ca="1" si="27"/>
        <v>10424.546109216048</v>
      </c>
      <c r="L395" s="455">
        <f t="shared" ca="1" si="28"/>
        <v>2512315.6123210671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2512315.6123210671</v>
      </c>
      <c r="J396" s="455">
        <f t="array" ref="J396">IFERROR(INDEX('Retirement Calculator'!K:K,MATCH('Lorri 401b'!N396,'Retirement Calculator'!A:A,0),0),0)</f>
        <v>20282.026119384056</v>
      </c>
      <c r="K396" s="455">
        <f t="shared" ca="1" si="27"/>
        <v>10383.473275840346</v>
      </c>
      <c r="L396" s="455">
        <f t="shared" ca="1" si="28"/>
        <v>2502417.0594775234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2502417.0594775234</v>
      </c>
      <c r="J397" s="455">
        <f t="array" ref="J397">IFERROR(INDEX('Retirement Calculator'!K:K,MATCH('Lorri 401b'!N397,'Retirement Calculator'!A:A,0),0),0)</f>
        <v>20282.026119384056</v>
      </c>
      <c r="K397" s="455">
        <f t="shared" ca="1" si="27"/>
        <v>10342.229305658915</v>
      </c>
      <c r="L397" s="455">
        <f t="shared" ca="1" si="28"/>
        <v>2492477.2626637984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2492477.2626637984</v>
      </c>
      <c r="J398" s="455">
        <f t="array" ref="J398">IFERROR(INDEX('Retirement Calculator'!K:K,MATCH('Lorri 401b'!N398,'Retirement Calculator'!A:A,0),0),0)</f>
        <v>20282.026119384056</v>
      </c>
      <c r="K398" s="455">
        <f t="shared" ca="1" si="27"/>
        <v>10300.813485601726</v>
      </c>
      <c r="L398" s="455">
        <f t="shared" ca="1" si="28"/>
        <v>2482496.0500300163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2482496.0500300163</v>
      </c>
      <c r="J399" s="455">
        <f t="array" ref="J399">IFERROR(INDEX('Retirement Calculator'!K:K,MATCH('Lorri 401b'!N399,'Retirement Calculator'!A:A,0),0),0)</f>
        <v>20282.026119384056</v>
      </c>
      <c r="K399" s="455">
        <f t="shared" ca="1" si="27"/>
        <v>10259.225099627634</v>
      </c>
      <c r="L399" s="455">
        <f t="shared" ca="1" si="28"/>
        <v>2472473.2490102602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2472473.2490102602</v>
      </c>
      <c r="J400" s="455">
        <f t="array" ref="J400">IFERROR(INDEX('Retirement Calculator'!K:K,MATCH('Lorri 401b'!N400,'Retirement Calculator'!A:A,0),0),0)</f>
        <v>20282.026119384056</v>
      </c>
      <c r="K400" s="455">
        <f t="shared" ca="1" si="27"/>
        <v>10217.463428711984</v>
      </c>
      <c r="L400" s="455">
        <f t="shared" ca="1" si="28"/>
        <v>2462408.6863195882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2462408.6863195882</v>
      </c>
      <c r="J401" s="455">
        <f t="array" ref="J401">IFERROR(INDEX('Retirement Calculator'!K:K,MATCH('Lorri 401b'!N401,'Retirement Calculator'!A:A,0),0),0)</f>
        <v>20282.026119384056</v>
      </c>
      <c r="K401" s="455">
        <f t="shared" ca="1" si="27"/>
        <v>10175.527750834184</v>
      </c>
      <c r="L401" s="455">
        <f t="shared" ca="1" si="28"/>
        <v>2452302.1879510386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2452302.1879510386</v>
      </c>
      <c r="J402" s="455">
        <f t="array" ref="J402">IFERROR(INDEX('Retirement Calculator'!K:K,MATCH('Lorri 401b'!N402,'Retirement Calculator'!A:A,0),0),0)</f>
        <v>20282.026119384056</v>
      </c>
      <c r="K402" s="455">
        <f t="shared" ca="1" si="27"/>
        <v>10133.417340965227</v>
      </c>
      <c r="L402" s="455">
        <f t="shared" ca="1" si="28"/>
        <v>2442153.5791726196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2442153.5791726196</v>
      </c>
      <c r="J403" s="455">
        <f t="array" ref="J403">IFERROR(INDEX('Retirement Calculator'!K:K,MATCH('Lorri 401b'!N403,'Retirement Calculator'!A:A,0),0),0)</f>
        <v>20282.026119384056</v>
      </c>
      <c r="K403" s="455">
        <f t="shared" ca="1" si="27"/>
        <v>10091.131471055149</v>
      </c>
      <c r="L403" s="455">
        <f t="shared" ca="1" si="28"/>
        <v>2431962.6845242907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2431962.6845242907</v>
      </c>
      <c r="J404" s="455">
        <f t="array" ref="J404">IFERROR(INDEX('Retirement Calculator'!K:K,MATCH('Lorri 401b'!N404,'Retirement Calculator'!A:A,0),0),0)</f>
        <v>20282.026119384056</v>
      </c>
      <c r="K404" s="455">
        <f t="shared" ca="1" si="27"/>
        <v>10048.669410020444</v>
      </c>
      <c r="L404" s="455">
        <f t="shared" ca="1" si="28"/>
        <v>2421729.3278149273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2421729.3278149273</v>
      </c>
      <c r="J405" s="455">
        <f t="array" ref="J405">IFERROR(INDEX('Retirement Calculator'!K:K,MATCH('Lorri 401b'!N405,'Retirement Calculator'!A:A,0),0),0)</f>
        <v>20282.026119384056</v>
      </c>
      <c r="K405" s="455">
        <f t="shared" ca="1" si="27"/>
        <v>10006.03042373143</v>
      </c>
      <c r="L405" s="455">
        <f t="shared" ca="1" si="28"/>
        <v>2411453.3321192749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2411453.3321192749</v>
      </c>
      <c r="J406" s="455">
        <f t="array" ref="J406">IFERROR(INDEX('Retirement Calculator'!K:K,MATCH('Lorri 401b'!N406,'Retirement Calculator'!A:A,0),0),0)</f>
        <v>20282.026119384056</v>
      </c>
      <c r="K406" s="455">
        <f t="shared" ca="1" si="27"/>
        <v>9963.2137749995454</v>
      </c>
      <c r="L406" s="455">
        <f t="shared" ca="1" si="28"/>
        <v>2401134.5197748905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2401134.5197748905</v>
      </c>
      <c r="J407" s="455">
        <f t="array" ref="J407">IFERROR(INDEX('Retirement Calculator'!K:K,MATCH('Lorri 401b'!N407,'Retirement Calculator'!A:A,0),0),0)</f>
        <v>20282.026119384056</v>
      </c>
      <c r="K407" s="455">
        <f t="shared" ca="1" si="27"/>
        <v>9920.2187235646106</v>
      </c>
      <c r="L407" s="455">
        <f t="shared" ca="1" si="28"/>
        <v>2390772.7123790709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2390772.7123790709</v>
      </c>
      <c r="J408" s="455">
        <f t="array" ref="J408">IFERROR(INDEX('Retirement Calculator'!K:K,MATCH('Lorri 401b'!N408,'Retirement Calculator'!A:A,0),0),0)</f>
        <v>20282.026119384056</v>
      </c>
      <c r="K408" s="455">
        <f t="shared" ca="1" si="27"/>
        <v>9877.0445260820288</v>
      </c>
      <c r="L408" s="455">
        <f t="shared" ca="1" si="28"/>
        <v>2380367.7307857689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2380367.7307857689</v>
      </c>
      <c r="J409" s="455">
        <f t="array" ref="J409">IFERROR(INDEX('Retirement Calculator'!K:K,MATCH('Lorri 401b'!N409,'Retirement Calculator'!A:A,0),0),0)</f>
        <v>20282.026119384056</v>
      </c>
      <c r="K409" s="455">
        <f t="shared" ca="1" si="27"/>
        <v>9833.6904361099369</v>
      </c>
      <c r="L409" s="455">
        <f t="shared" ca="1" si="28"/>
        <v>2369919.3951024949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2369919.3951024949</v>
      </c>
      <c r="J410" s="455">
        <f t="array" ref="J410">IFERROR(INDEX('Retirement Calculator'!K:K,MATCH('Lorri 401b'!N410,'Retirement Calculator'!A:A,0),0),0)</f>
        <v>20282.026119384056</v>
      </c>
      <c r="K410" s="455">
        <f t="shared" ca="1" si="27"/>
        <v>9790.1557040962944</v>
      </c>
      <c r="L410" s="455">
        <f t="shared" ca="1" si="28"/>
        <v>2359427.5246872073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2359427.5246872073</v>
      </c>
      <c r="J411" s="455">
        <f t="array" ref="J411">IFERROR(INDEX('Retirement Calculator'!K:K,MATCH('Lorri 401b'!N411,'Retirement Calculator'!A:A,0),0),0)</f>
        <v>20282.026119384056</v>
      </c>
      <c r="K411" s="455">
        <f t="shared" ca="1" si="27"/>
        <v>9746.4395773659307</v>
      </c>
      <c r="L411" s="455">
        <f t="shared" ca="1" si="28"/>
        <v>2348891.9381451891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2348891.9381451891</v>
      </c>
      <c r="J412" s="455">
        <f t="array" ref="J412">IFERROR(INDEX('Retirement Calculator'!K:K,MATCH('Lorri 401b'!N412,'Retirement Calculator'!A:A,0),0),0)</f>
        <v>20282.026119384056</v>
      </c>
      <c r="K412" s="455">
        <f t="shared" ca="1" si="27"/>
        <v>9702.5413001075212</v>
      </c>
      <c r="L412" s="455">
        <f t="shared" ca="1" si="28"/>
        <v>2338312.4533259128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2338312.4533259128</v>
      </c>
      <c r="J413" s="455">
        <f t="array" ref="J413">IFERROR(INDEX('Retirement Calculator'!K:K,MATCH('Lorri 401b'!N413,'Retirement Calculator'!A:A,0),0),0)</f>
        <v>20282.026119384056</v>
      </c>
      <c r="K413" s="455">
        <f t="shared" ca="1" si="27"/>
        <v>9658.4601133605374</v>
      </c>
      <c r="L413" s="455">
        <f t="shared" ca="1" si="28"/>
        <v>2327688.8873198894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2327688.8873198894</v>
      </c>
      <c r="J414" s="455">
        <f t="array" ref="J414">IFERROR(INDEX('Retirement Calculator'!K:K,MATCH('Lorri 401b'!N414,'Retirement Calculator'!A:A,0),0),0)</f>
        <v>20282.026119384056</v>
      </c>
      <c r="K414" s="455">
        <f t="shared" ca="1" si="27"/>
        <v>9614.1952550021051</v>
      </c>
      <c r="L414" s="455">
        <f t="shared" ca="1" si="28"/>
        <v>2317021.0564555074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2317021.0564555074</v>
      </c>
      <c r="J415" s="455">
        <f t="array" ref="J415">IFERROR(INDEX('Retirement Calculator'!K:K,MATCH('Lorri 401b'!N415,'Retirement Calculator'!A:A,0),0),0)</f>
        <v>20282.026119384056</v>
      </c>
      <c r="K415" s="455">
        <f t="shared" ca="1" si="27"/>
        <v>9569.7459597338475</v>
      </c>
      <c r="L415" s="455">
        <f t="shared" ca="1" si="28"/>
        <v>2306308.7762958575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2306308.7762958575</v>
      </c>
      <c r="J416" s="455">
        <f t="array" ref="J416">IFERROR(INDEX('Retirement Calculator'!K:K,MATCH('Lorri 401b'!N416,'Retirement Calculator'!A:A,0),0),0)</f>
        <v>20282.026119384056</v>
      </c>
      <c r="K416" s="455">
        <f t="shared" ca="1" si="27"/>
        <v>9525.1114590686393</v>
      </c>
      <c r="L416" s="455">
        <f t="shared" ca="1" si="28"/>
        <v>2295551.861635542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2295551.861635542</v>
      </c>
      <c r="J417" s="455">
        <f t="array" ref="J417">IFERROR(INDEX('Retirement Calculator'!K:K,MATCH('Lorri 401b'!N417,'Retirement Calculator'!A:A,0),0),0)</f>
        <v>20282.026119384056</v>
      </c>
      <c r="K417" s="455">
        <f t="shared" ca="1" si="27"/>
        <v>9480.2909813173246</v>
      </c>
      <c r="L417" s="455">
        <f t="shared" ca="1" si="28"/>
        <v>2284750.1264974754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2284750.1264974754</v>
      </c>
      <c r="J418" s="455">
        <f t="array" ref="J418">IFERROR(INDEX('Retirement Calculator'!K:K,MATCH('Lorri 401b'!N418,'Retirement Calculator'!A:A,0),0),0)</f>
        <v>20282.026119384056</v>
      </c>
      <c r="K418" s="455">
        <f t="shared" ca="1" si="27"/>
        <v>9435.2837515753818</v>
      </c>
      <c r="L418" s="455">
        <f t="shared" ca="1" si="28"/>
        <v>2273903.3841296667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2273903.3841296667</v>
      </c>
      <c r="J419" s="455">
        <f t="array" ref="J419">IFERROR(INDEX('Retirement Calculator'!K:K,MATCH('Lorri 401b'!N419,'Retirement Calculator'!A:A,0),0),0)</f>
        <v>20282.026119384056</v>
      </c>
      <c r="K419" s="455">
        <f t="shared" ca="1" si="27"/>
        <v>9390.0889917095119</v>
      </c>
      <c r="L419" s="455">
        <f t="shared" ca="1" si="28"/>
        <v>2263011.4470019923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2263011.4470019923</v>
      </c>
      <c r="J420" s="455">
        <f t="array" ref="J420">IFERROR(INDEX('Retirement Calculator'!K:K,MATCH('Lorri 401b'!N420,'Retirement Calculator'!A:A,0),0),0)</f>
        <v>20282.026119384056</v>
      </c>
      <c r="K420" s="455">
        <f t="shared" ca="1" si="27"/>
        <v>9344.7059203442004</v>
      </c>
      <c r="L420" s="455">
        <f t="shared" ca="1" si="28"/>
        <v>2252074.1268029525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2252074.1268029525</v>
      </c>
      <c r="J421" s="455">
        <f t="array" ref="J421">IFERROR(INDEX('Retirement Calculator'!K:K,MATCH('Lorri 401b'!N421,'Retirement Calculator'!A:A,0),0),0)</f>
        <v>20282.026119384056</v>
      </c>
      <c r="K421" s="455">
        <f t="shared" ca="1" si="27"/>
        <v>9299.1337528482018</v>
      </c>
      <c r="L421" s="455">
        <f t="shared" ca="1" si="28"/>
        <v>2241091.2344364165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2241091.2344364165</v>
      </c>
      <c r="J422" s="455">
        <f t="array" ref="J422">IFERROR(INDEX('Retirement Calculator'!K:K,MATCH('Lorri 401b'!N422,'Retirement Calculator'!A:A,0),0),0)</f>
        <v>20282.026119384056</v>
      </c>
      <c r="K422" s="455">
        <f t="shared" ca="1" si="27"/>
        <v>9253.371701320968</v>
      </c>
      <c r="L422" s="455">
        <f t="shared" ca="1" si="28"/>
        <v>2230062.5800183536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2230062.5800183536</v>
      </c>
      <c r="J423" s="455">
        <f t="array" ref="J423">IFERROR(INDEX('Retirement Calculator'!K:K,MATCH('Lorri 401b'!N423,'Retirement Calculator'!A:A,0),0),0)</f>
        <v>20282.026119384056</v>
      </c>
      <c r="K423" s="455">
        <f t="shared" ca="1" si="27"/>
        <v>9207.4189745790409</v>
      </c>
      <c r="L423" s="455">
        <f t="shared" ca="1" si="28"/>
        <v>2218987.9728735485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2218987.9728735485</v>
      </c>
      <c r="J424" s="455">
        <f t="array" ref="J424">IFERROR(INDEX('Retirement Calculator'!K:K,MATCH('Lorri 401b'!N424,'Retirement Calculator'!A:A,0),0),0)</f>
        <v>20282.026119384056</v>
      </c>
      <c r="K424" s="455">
        <f t="shared" ca="1" si="27"/>
        <v>9161.2747781423514</v>
      </c>
      <c r="L424" s="455">
        <f t="shared" ca="1" si="28"/>
        <v>2207867.2215323071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2207867.2215323071</v>
      </c>
      <c r="J425" s="455">
        <f t="array" ref="J425">IFERROR(INDEX('Retirement Calculator'!K:K,MATCH('Lorri 401b'!N425,'Retirement Calculator'!A:A,0),0),0)</f>
        <v>20282.026119384056</v>
      </c>
      <c r="K425" s="455">
        <f t="shared" ca="1" si="27"/>
        <v>9114.9383142205133</v>
      </c>
      <c r="L425" s="455">
        <f t="shared" ca="1" si="28"/>
        <v>2196700.1337271435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2196700.1337271435</v>
      </c>
      <c r="J426" s="455">
        <f t="array" ref="J426">IFERROR(INDEX('Retirement Calculator'!K:K,MATCH('Lorri 401b'!N426,'Retirement Calculator'!A:A,0),0),0)</f>
        <v>20282.026119384056</v>
      </c>
      <c r="K426" s="455">
        <f t="shared" ca="1" si="27"/>
        <v>9068.4087816989977</v>
      </c>
      <c r="L426" s="455">
        <f t="shared" ca="1" si="28"/>
        <v>2185486.5163894584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2185486.5163894584</v>
      </c>
      <c r="J427" s="455">
        <f t="array" ref="J427">IFERROR(INDEX('Retirement Calculator'!K:K,MATCH('Lorri 401b'!N427,'Retirement Calculator'!A:A,0),0),0)</f>
        <v>20282.026119384056</v>
      </c>
      <c r="K427" s="455">
        <f t="shared" ca="1" si="27"/>
        <v>9021.6853761253096</v>
      </c>
      <c r="L427" s="455">
        <f t="shared" ca="1" si="28"/>
        <v>2174226.1756461998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2174226.1756461998</v>
      </c>
      <c r="J428" s="455">
        <f t="array" ref="J428">IFERROR(INDEX('Retirement Calculator'!K:K,MATCH('Lorri 401b'!N428,'Retirement Calculator'!A:A,0),0),0)</f>
        <v>20282.026119384056</v>
      </c>
      <c r="K428" s="455">
        <f t="shared" ca="1" si="27"/>
        <v>8974.7672896950662</v>
      </c>
      <c r="L428" s="455">
        <f t="shared" ca="1" si="28"/>
        <v>2162918.9168165107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2162918.9168165107</v>
      </c>
      <c r="J429" s="455">
        <f t="array" ref="J429">IFERROR(INDEX('Retirement Calculator'!K:K,MATCH('Lorri 401b'!N429,'Retirement Calculator'!A:A,0),0),0)</f>
        <v>20282.026119384056</v>
      </c>
      <c r="K429" s="455">
        <f t="shared" ca="1" si="27"/>
        <v>8927.6537112380283</v>
      </c>
      <c r="L429" s="455">
        <f t="shared" ca="1" si="28"/>
        <v>2151564.5444083647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2151564.5444083647</v>
      </c>
      <c r="J430" s="455">
        <f t="array" ref="J430">IFERROR(INDEX('Retirement Calculator'!K:K,MATCH('Lorri 401b'!N430,'Retirement Calculator'!A:A,0),0),0)</f>
        <v>20282.026119384056</v>
      </c>
      <c r="K430" s="455">
        <f t="shared" ca="1" si="27"/>
        <v>8880.3438262040854</v>
      </c>
      <c r="L430" s="455">
        <f t="shared" ca="1" si="28"/>
        <v>2140162.8621151848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2140162.8621151848</v>
      </c>
      <c r="J431" s="455">
        <f t="array" ref="J431">IFERROR(INDEX('Retirement Calculator'!K:K,MATCH('Lorri 401b'!N431,'Retirement Calculator'!A:A,0),0),0)</f>
        <v>20282.026119384056</v>
      </c>
      <c r="K431" s="455">
        <f t="shared" ca="1" si="27"/>
        <v>8832.8368166491691</v>
      </c>
      <c r="L431" s="455">
        <f t="shared" ca="1" si="28"/>
        <v>2128713.6728124497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2128713.6728124497</v>
      </c>
      <c r="J432" s="455">
        <f t="array" ref="J432">IFERROR(INDEX('Retirement Calculator'!K:K,MATCH('Lorri 401b'!N432,'Retirement Calculator'!A:A,0),0),0)</f>
        <v>20282.026119384056</v>
      </c>
      <c r="K432" s="455">
        <f t="shared" ca="1" si="27"/>
        <v>8785.1318612211071</v>
      </c>
      <c r="L432" s="455">
        <f t="shared" ca="1" si="28"/>
        <v>2117216.7785542868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2117216.7785542868</v>
      </c>
      <c r="J433" s="455">
        <f t="array" ref="J433">IFERROR(INDEX('Retirement Calculator'!K:K,MATCH('Lorri 401b'!N433,'Retirement Calculator'!A:A,0),0),0)</f>
        <v>20282.026119384056</v>
      </c>
      <c r="K433" s="455">
        <f t="shared" ca="1" si="27"/>
        <v>8737.2281351454294</v>
      </c>
      <c r="L433" s="455">
        <f t="shared" ca="1" si="28"/>
        <v>2105671.9805700481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2105671.9805700481</v>
      </c>
      <c r="J434" s="455">
        <f t="array" ref="J434">IFERROR(INDEX('Retirement Calculator'!K:K,MATCH('Lorri 401b'!N434,'Retirement Calculator'!A:A,0),0),0)</f>
        <v>20282.026119384056</v>
      </c>
      <c r="K434" s="455">
        <f t="shared" ca="1" si="27"/>
        <v>8689.1248102111022</v>
      </c>
      <c r="L434" s="455">
        <f t="shared" ca="1" si="28"/>
        <v>2094079.0792608752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2094079.0792608752</v>
      </c>
      <c r="J435" s="455">
        <f t="array" ref="J435">IFERROR(INDEX('Retirement Calculator'!K:K,MATCH('Lorri 401b'!N435,'Retirement Calculator'!A:A,0),0),0)</f>
        <v>20282.026119384056</v>
      </c>
      <c r="K435" s="455">
        <f t="shared" ca="1" si="27"/>
        <v>8640.8210547562121</v>
      </c>
      <c r="L435" s="455">
        <f t="shared" ca="1" si="28"/>
        <v>2082437.8741962474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2082437.8741962474</v>
      </c>
      <c r="J436" s="455">
        <f t="array" ref="J436">IFERROR(INDEX('Retirement Calculator'!K:K,MATCH('Lorri 401b'!N436,'Retirement Calculator'!A:A,0),0),0)</f>
        <v>20282.026119384056</v>
      </c>
      <c r="K436" s="455">
        <f t="shared" ca="1" si="27"/>
        <v>8592.3160336535984</v>
      </c>
      <c r="L436" s="455">
        <f t="shared" ca="1" si="28"/>
        <v>2070748.1641105171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2070748.1641105171</v>
      </c>
      <c r="J437" s="455">
        <f t="array" ref="J437">IFERROR(INDEX('Retirement Calculator'!K:K,MATCH('Lorri 401b'!N437,'Retirement Calculator'!A:A,0),0),0)</f>
        <v>20282.026119384056</v>
      </c>
      <c r="K437" s="455">
        <f t="shared" ca="1" si="27"/>
        <v>8543.6089082963881</v>
      </c>
      <c r="L437" s="455">
        <f t="shared" ca="1" si="28"/>
        <v>2059009.7468994295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2059009.7468994295</v>
      </c>
      <c r="J438" s="455">
        <f t="array" ref="J438">IFERROR(INDEX('Retirement Calculator'!K:K,MATCH('Lorri 401b'!N438,'Retirement Calculator'!A:A,0),0),0)</f>
        <v>20282.026119384056</v>
      </c>
      <c r="K438" s="455">
        <f t="shared" ca="1" si="27"/>
        <v>8494.6988365835223</v>
      </c>
      <c r="L438" s="455">
        <f t="shared" ca="1" si="28"/>
        <v>2047222.4196166289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2047222.4196166289</v>
      </c>
      <c r="J439" s="455">
        <f t="array" ref="J439">IFERROR(INDEX('Retirement Calculator'!K:K,MATCH('Lorri 401b'!N439,'Retirement Calculator'!A:A,0),0),0)</f>
        <v>20282.026119384056</v>
      </c>
      <c r="K439" s="455">
        <f t="shared" ca="1" si="27"/>
        <v>8445.5849729051879</v>
      </c>
      <c r="L439" s="455">
        <f t="shared" ca="1" si="28"/>
        <v>2035385.9784701501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2035385.9784701501</v>
      </c>
      <c r="J440" s="455">
        <f t="array" ref="J440">IFERROR(INDEX('Retirement Calculator'!K:K,MATCH('Lorri 401b'!N440,'Retirement Calculator'!A:A,0),0),0)</f>
        <v>20282.026119384056</v>
      </c>
      <c r="K440" s="455">
        <f t="shared" ca="1" si="27"/>
        <v>8396.2664681281913</v>
      </c>
      <c r="L440" s="455">
        <f t="shared" ca="1" si="28"/>
        <v>2023500.2188188944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2023500.2188188944</v>
      </c>
      <c r="J441" s="455">
        <f t="array" ref="J441">IFERROR(INDEX('Retirement Calculator'!K:K,MATCH('Lorri 401b'!N441,'Retirement Calculator'!A:A,0),0),0)</f>
        <v>20282.026119384056</v>
      </c>
      <c r="K441" s="455">
        <f t="shared" ca="1" si="27"/>
        <v>8346.7424695812933</v>
      </c>
      <c r="L441" s="455">
        <f t="shared" ca="1" si="28"/>
        <v>2011564.9351690917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2011564.9351690917</v>
      </c>
      <c r="J442" s="455">
        <f t="array" ref="J442">IFERROR(INDEX('Retirement Calculator'!K:K,MATCH('Lorri 401b'!N442,'Retirement Calculator'!A:A,0),0),0)</f>
        <v>20282.026119384056</v>
      </c>
      <c r="K442" s="455">
        <f t="shared" ca="1" si="27"/>
        <v>8297.0121210404504</v>
      </c>
      <c r="L442" s="455">
        <f t="shared" ca="1" si="28"/>
        <v>1999579.9211707481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1999579.9211707481</v>
      </c>
      <c r="J443" s="455">
        <f t="array" ref="J443">IFERROR(INDEX('Retirement Calculator'!K:K,MATCH('Lorri 401b'!N443,'Retirement Calculator'!A:A,0),0),0)</f>
        <v>20282.026119384056</v>
      </c>
      <c r="K443" s="455">
        <f t="shared" ca="1" si="27"/>
        <v>8247.0745627140168</v>
      </c>
      <c r="L443" s="455">
        <f t="shared" ca="1" si="28"/>
        <v>1987544.9696140781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1987544.9696140781</v>
      </c>
      <c r="J444" s="455">
        <f t="array" ref="J444">IFERROR(INDEX('Retirement Calculator'!K:K,MATCH('Lorri 401b'!N444,'Retirement Calculator'!A:A,0),0),0)</f>
        <v>20282.026119384056</v>
      </c>
      <c r="K444" s="455">
        <f t="shared" ca="1" si="27"/>
        <v>8196.9289312278925</v>
      </c>
      <c r="L444" s="455">
        <f t="shared" ca="1" si="28"/>
        <v>1975459.872425922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1975459.872425922</v>
      </c>
      <c r="J445" s="455">
        <f t="array" ref="J445">IFERROR(INDEX('Retirement Calculator'!K:K,MATCH('Lorri 401b'!N445,'Retirement Calculator'!A:A,0),0),0)</f>
        <v>20282.026119384056</v>
      </c>
      <c r="K445" s="455">
        <f t="shared" ca="1" si="27"/>
        <v>8146.574359610574</v>
      </c>
      <c r="L445" s="455">
        <f t="shared" ca="1" si="28"/>
        <v>1963324.4206661487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1963324.4206661487</v>
      </c>
      <c r="J446" s="455">
        <f t="array" ref="J446">IFERROR(INDEX('Retirement Calculator'!K:K,MATCH('Lorri 401b'!N446,'Retirement Calculator'!A:A,0),0),0)</f>
        <v>20282.026119384056</v>
      </c>
      <c r="K446" s="455">
        <f t="shared" ca="1" si="27"/>
        <v>8096.0099772781859</v>
      </c>
      <c r="L446" s="455">
        <f t="shared" ca="1" si="28"/>
        <v>1951138.404524043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1951138.404524043</v>
      </c>
      <c r="J447" s="455">
        <f t="array" ref="J447">IFERROR(INDEX('Retirement Calculator'!K:K,MATCH('Lorri 401b'!N447,'Retirement Calculator'!A:A,0),0),0)</f>
        <v>20282.026119384056</v>
      </c>
      <c r="K447" s="455">
        <f t="shared" ca="1" si="27"/>
        <v>8045.2349100194124</v>
      </c>
      <c r="L447" s="455">
        <f t="shared" ca="1" si="28"/>
        <v>1938901.6133146784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1938901.6133146784</v>
      </c>
      <c r="J448" s="455">
        <f t="array" ref="J448">IFERROR(INDEX('Retirement Calculator'!K:K,MATCH('Lorri 401b'!N448,'Retirement Calculator'!A:A,0),0),0)</f>
        <v>20282.026119384056</v>
      </c>
      <c r="K448" s="455">
        <f t="shared" ca="1" si="27"/>
        <v>7994.2482799803938</v>
      </c>
      <c r="L448" s="455">
        <f t="shared" ca="1" si="28"/>
        <v>1926613.8354752748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1926613.8354752748</v>
      </c>
      <c r="J449" s="455">
        <f t="array" ref="J449">IFERROR(INDEX('Retirement Calculator'!K:K,MATCH('Lorri 401b'!N449,'Retirement Calculator'!A:A,0),0),0)</f>
        <v>20282.026119384056</v>
      </c>
      <c r="K449" s="455">
        <f t="shared" ca="1" si="27"/>
        <v>7943.049205649545</v>
      </c>
      <c r="L449" s="455">
        <f t="shared" ca="1" si="28"/>
        <v>1914274.8585615405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1914274.8585615405</v>
      </c>
      <c r="J450" s="455">
        <f t="array" ref="J450">IFERROR(INDEX('Retirement Calculator'!K:K,MATCH('Lorri 401b'!N450,'Retirement Calculator'!A:A,0),0),0)</f>
        <v>20282.026119384056</v>
      </c>
      <c r="K450" s="455">
        <f t="shared" ca="1" si="27"/>
        <v>7891.63680184232</v>
      </c>
      <c r="L450" s="455">
        <f t="shared" ca="1" si="28"/>
        <v>1901884.4692439989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1901884.4692439989</v>
      </c>
      <c r="J451" s="455">
        <f t="array" ref="J451">IFERROR(INDEX('Retirement Calculator'!K:K,MATCH('Lorri 401b'!N451,'Retirement Calculator'!A:A,0),0),0)</f>
        <v>20282.026119384056</v>
      </c>
      <c r="K451" s="455">
        <f t="shared" ca="1" si="27"/>
        <v>7840.0101796858962</v>
      </c>
      <c r="L451" s="455">
        <f t="shared" ca="1" si="28"/>
        <v>1889442.4533043008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1889442.4533043008</v>
      </c>
      <c r="J452" s="455">
        <f t="array" ref="J452">IFERROR(INDEX('Retirement Calculator'!K:K,MATCH('Lorri 401b'!N452,'Retirement Calculator'!A:A,0),0),0)</f>
        <v>20282.026119384056</v>
      </c>
      <c r="K452" s="455">
        <f t="shared" ca="1" si="27"/>
        <v>7788.1684466038196</v>
      </c>
      <c r="L452" s="455">
        <f t="shared" ca="1" si="28"/>
        <v>1876948.5956315207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1876948.5956315207</v>
      </c>
      <c r="J453" s="455">
        <f t="array" ref="J453">IFERROR(INDEX('Retirement Calculator'!K:K,MATCH('Lorri 401b'!N453,'Retirement Calculator'!A:A,0),0),0)</f>
        <v>20282.026119384056</v>
      </c>
      <c r="K453" s="455">
        <f t="shared" ca="1" si="27"/>
        <v>7736.1107063005693</v>
      </c>
      <c r="L453" s="455">
        <f t="shared" ca="1" si="28"/>
        <v>1864402.6802184372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1864402.6802184372</v>
      </c>
      <c r="J454" s="455">
        <f t="array" ref="J454">IFERROR(INDEX('Retirement Calculator'!K:K,MATCH('Lorri 401b'!N454,'Retirement Calculator'!A:A,0),0),0)</f>
        <v>20282.026119384056</v>
      </c>
      <c r="K454" s="455">
        <f t="shared" ca="1" si="27"/>
        <v>7683.8360587460547</v>
      </c>
      <c r="L454" s="455">
        <f t="shared" ca="1" si="28"/>
        <v>1851804.4901577993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1851804.4901577993</v>
      </c>
      <c r="J455" s="455">
        <f t="array" ref="J455">IFERROR(INDEX('Retirement Calculator'!K:K,MATCH('Lorri 401b'!N455,'Retirement Calculator'!A:A,0),0),0)</f>
        <v>20282.026119384056</v>
      </c>
      <c r="K455" s="455">
        <f t="shared" ca="1" si="27"/>
        <v>7631.3436001600639</v>
      </c>
      <c r="L455" s="455">
        <f t="shared" ca="1" si="28"/>
        <v>1839153.8076385753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1839153.8076385753</v>
      </c>
      <c r="J456" s="455">
        <f t="array" ref="J456">IFERROR(INDEX('Retirement Calculator'!K:K,MATCH('Lorri 401b'!N456,'Retirement Calculator'!A:A,0),0),0)</f>
        <v>20282.026119384056</v>
      </c>
      <c r="K456" s="455">
        <f t="shared" ca="1" si="27"/>
        <v>7578.6324229966303</v>
      </c>
      <c r="L456" s="455">
        <f t="shared" ca="1" si="28"/>
        <v>1826450.413942188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1826450.413942188</v>
      </c>
      <c r="J457" s="455">
        <f t="array" ref="J457">IFERROR(INDEX('Retirement Calculator'!K:K,MATCH('Lorri 401b'!N457,'Retirement Calculator'!A:A,0),0),0)</f>
        <v>20282.026119384056</v>
      </c>
      <c r="K457" s="455">
        <f t="shared" ca="1" si="27"/>
        <v>7525.7016159283503</v>
      </c>
      <c r="L457" s="455">
        <f t="shared" ca="1" si="28"/>
        <v>1813694.0894387325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1813694.0894387325</v>
      </c>
      <c r="J458" s="455">
        <f t="array" ref="J458">IFERROR(INDEX('Retirement Calculator'!K:K,MATCH('Lorri 401b'!N458,'Retirement Calculator'!A:A,0),0),0)</f>
        <v>20282.026119384056</v>
      </c>
      <c r="K458" s="455">
        <f t="shared" ca="1" si="27"/>
        <v>7472.5502638306189</v>
      </c>
      <c r="L458" s="455">
        <f t="shared" ca="1" si="28"/>
        <v>1800884.6135831792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1800884.6135831792</v>
      </c>
      <c r="J459" s="455">
        <f t="array" ref="J459">IFERROR(INDEX('Retirement Calculator'!K:K,MATCH('Lorri 401b'!N459,'Retirement Calculator'!A:A,0),0),0)</f>
        <v>20282.026119384056</v>
      </c>
      <c r="K459" s="455">
        <f t="shared" ca="1" si="27"/>
        <v>7419.1774477658146</v>
      </c>
      <c r="L459" s="455">
        <f t="shared" ca="1" si="28"/>
        <v>1788021.764911561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1788021.764911561</v>
      </c>
      <c r="J460" s="455">
        <f t="array" ref="J460">IFERROR(INDEX('Retirement Calculator'!K:K,MATCH('Lorri 401b'!N460,'Retirement Calculator'!A:A,0),0),0)</f>
        <v>20282.026119384056</v>
      </c>
      <c r="K460" s="455">
        <f t="shared" ca="1" si="27"/>
        <v>7365.5822449674042</v>
      </c>
      <c r="L460" s="455">
        <f t="shared" ca="1" si="28"/>
        <v>1775105.3210371444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1775105.3210371444</v>
      </c>
      <c r="J461" s="455">
        <f t="array" ref="J461">IFERROR(INDEX('Retirement Calculator'!K:K,MATCH('Lorri 401b'!N461,'Retirement Calculator'!A:A,0),0),0)</f>
        <v>20282.026119384056</v>
      </c>
      <c r="K461" s="455">
        <f t="shared" ca="1" si="27"/>
        <v>7311.7637288240003</v>
      </c>
      <c r="L461" s="455">
        <f t="shared" ca="1" si="28"/>
        <v>1762135.0586465844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1762135.0586465844</v>
      </c>
      <c r="J462" s="455">
        <f t="array" ref="J462">IFERROR(INDEX('Retirement Calculator'!K:K,MATCH('Lorri 401b'!N462,'Retirement Calculator'!A:A,0),0),0)</f>
        <v>20282.026119384056</v>
      </c>
      <c r="K462" s="455">
        <f t="shared" ca="1" si="27"/>
        <v>7257.7209688633347</v>
      </c>
      <c r="L462" s="455">
        <f t="shared" ca="1" si="28"/>
        <v>1749110.7534960636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1749110.7534960636</v>
      </c>
      <c r="J463" s="455">
        <f t="array" ref="J463">IFERROR(INDEX('Retirement Calculator'!K:K,MATCH('Lorri 401b'!N463,'Retirement Calculator'!A:A,0),0),0)</f>
        <v>20282.026119384056</v>
      </c>
      <c r="K463" s="455">
        <f t="shared" ca="1" si="27"/>
        <v>7203.4530307361647</v>
      </c>
      <c r="L463" s="455">
        <f t="shared" ca="1" si="28"/>
        <v>1736032.1804074158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1736032.1804074158</v>
      </c>
      <c r="J464" s="455">
        <f t="array" ref="J464">IFERROR(INDEX('Retirement Calculator'!K:K,MATCH('Lorri 401b'!N464,'Retirement Calculator'!A:A,0),0),0)</f>
        <v>20282.026119384056</v>
      </c>
      <c r="K464" s="455">
        <f t="shared" ca="1" si="27"/>
        <v>7148.9589762001324</v>
      </c>
      <c r="L464" s="455">
        <f t="shared" ca="1" si="28"/>
        <v>1722899.1132642319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1722899.1132642319</v>
      </c>
      <c r="J465" s="455">
        <f t="array" ref="J465">IFERROR(INDEX('Retirement Calculator'!K:K,MATCH('Lorri 401b'!N465,'Retirement Calculator'!A:A,0),0),0)</f>
        <v>20282.026119384056</v>
      </c>
      <c r="K465" s="455">
        <f t="shared" ca="1" si="27"/>
        <v>7094.2378631035326</v>
      </c>
      <c r="L465" s="455">
        <f t="shared" ca="1" si="28"/>
        <v>1709711.3250079516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1709711.3250079516</v>
      </c>
      <c r="J466" s="455">
        <f t="array" ref="J466">IFERROR(INDEX('Retirement Calculator'!K:K,MATCH('Lorri 401b'!N466,'Retirement Calculator'!A:A,0),0),0)</f>
        <v>20282.026119384056</v>
      </c>
      <c r="K466" s="455">
        <f t="shared" ca="1" si="27"/>
        <v>7039.2887453690328</v>
      </c>
      <c r="L466" s="455">
        <f t="shared" ca="1" si="28"/>
        <v>1696468.5876339367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1696468.5876339367</v>
      </c>
      <c r="J467" s="455">
        <f t="array" ref="J467">IFERROR(INDEX('Retirement Calculator'!K:K,MATCH('Lorri 401b'!N467,'Retirement Calculator'!A:A,0),0),0)</f>
        <v>20282.026119384056</v>
      </c>
      <c r="K467" s="455">
        <f t="shared" ca="1" si="27"/>
        <v>6984.1106729773028</v>
      </c>
      <c r="L467" s="455">
        <f t="shared" ca="1" si="28"/>
        <v>1683170.67218753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1683170.67218753</v>
      </c>
      <c r="J468" s="455">
        <f t="array" ref="J468">IFERROR(INDEX('Retirement Calculator'!K:K,MATCH('Lorri 401b'!N468,'Retirement Calculator'!A:A,0),0),0)</f>
        <v>20282.026119384056</v>
      </c>
      <c r="K468" s="455">
        <f t="shared" ca="1" si="27"/>
        <v>6928.7026919506079</v>
      </c>
      <c r="L468" s="455">
        <f t="shared" ca="1" si="28"/>
        <v>1669817.3487600966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1669817.3487600966</v>
      </c>
      <c r="J469" s="455">
        <f t="array" ref="J469">IFERROR(INDEX('Retirement Calculator'!K:K,MATCH('Lorri 401b'!N469,'Retirement Calculator'!A:A,0),0),0)</f>
        <v>20282.026119384056</v>
      </c>
      <c r="K469" s="455">
        <f t="shared" ca="1" si="27"/>
        <v>6873.0638443363014</v>
      </c>
      <c r="L469" s="455">
        <f t="shared" ca="1" si="28"/>
        <v>1656408.3864850488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1656408.3864850488</v>
      </c>
      <c r="J470" s="455">
        <f t="array" ref="J470">IFERROR(INDEX('Retirement Calculator'!K:K,MATCH('Lorri 401b'!N470,'Retirement Calculator'!A:A,0),0),0)</f>
        <v>20282.026119384056</v>
      </c>
      <c r="K470" s="455">
        <f t="shared" ca="1" si="27"/>
        <v>6817.1931681902697</v>
      </c>
      <c r="L470" s="455">
        <f t="shared" ca="1" si="28"/>
        <v>1642943.5535338551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1642943.5535338551</v>
      </c>
      <c r="J471" s="455">
        <f t="array" ref="J471">IFERROR(INDEX('Retirement Calculator'!K:K,MATCH('Lorri 401b'!N471,'Retirement Calculator'!A:A,0),0),0)</f>
        <v>20282.026119384056</v>
      </c>
      <c r="K471" s="455">
        <f t="shared" ca="1" si="27"/>
        <v>6761.0896975602964</v>
      </c>
      <c r="L471" s="455">
        <f t="shared" ca="1" si="28"/>
        <v>1629422.6171120314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1629422.6171120314</v>
      </c>
      <c r="J472" s="455">
        <f t="array" ref="J472">IFERROR(INDEX('Retirement Calculator'!K:K,MATCH('Lorri 401b'!N472,'Retirement Calculator'!A:A,0),0),0)</f>
        <v>20282.026119384056</v>
      </c>
      <c r="K472" s="455">
        <f t="shared" ca="1" si="27"/>
        <v>6704.7524624693642</v>
      </c>
      <c r="L472" s="455">
        <f t="shared" ca="1" si="28"/>
        <v>1615845.3434551167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1615845.3434551167</v>
      </c>
      <c r="J473" s="455">
        <f t="array" ref="J473">IFERROR(INDEX('Retirement Calculator'!K:K,MATCH('Lorri 401b'!N473,'Retirement Calculator'!A:A,0),0),0)</f>
        <v>20282.026119384056</v>
      </c>
      <c r="K473" s="455">
        <f t="shared" ca="1" si="27"/>
        <v>6648.1804888988863</v>
      </c>
      <c r="L473" s="455">
        <f t="shared" ca="1" si="28"/>
        <v>1602211.4978246316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1602211.4978246316</v>
      </c>
      <c r="J474" s="455">
        <f t="array" ref="J474">IFERROR(INDEX('Retirement Calculator'!K:K,MATCH('Lorri 401b'!N474,'Retirement Calculator'!A:A,0),0),0)</f>
        <v>20282.026119384056</v>
      </c>
      <c r="K474" s="455">
        <f t="shared" ca="1" si="27"/>
        <v>6591.3727987718648</v>
      </c>
      <c r="L474" s="455">
        <f t="shared" ca="1" si="28"/>
        <v>1588520.8445040195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1588520.8445040195</v>
      </c>
      <c r="J475" s="455">
        <f t="array" ref="J475">IFERROR(INDEX('Retirement Calculator'!K:K,MATCH('Lorri 401b'!N475,'Retirement Calculator'!A:A,0),0),0)</f>
        <v>20282.026119384056</v>
      </c>
      <c r="K475" s="455">
        <f t="shared" ca="1" si="27"/>
        <v>6534.3284099359807</v>
      </c>
      <c r="L475" s="455">
        <f t="shared" ca="1" si="28"/>
        <v>1574773.1467945715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1574773.1467945715</v>
      </c>
      <c r="J476" s="455">
        <f t="array" ref="J476">IFERROR(INDEX('Retirement Calculator'!K:K,MATCH('Lorri 401b'!N476,'Retirement Calculator'!A:A,0),0),0)</f>
        <v>20282.026119384056</v>
      </c>
      <c r="K476" s="455">
        <f t="shared" ca="1" si="27"/>
        <v>6477.0463361466145</v>
      </c>
      <c r="L476" s="455">
        <f t="shared" ca="1" si="28"/>
        <v>1560968.1670113341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1560968.1670113341</v>
      </c>
      <c r="J477" s="455">
        <f t="array" ref="J477">IFERROR(INDEX('Retirement Calculator'!K:K,MATCH('Lorri 401b'!N477,'Retirement Calculator'!A:A,0),0),0)</f>
        <v>20282.026119384056</v>
      </c>
      <c r="K477" s="455">
        <f t="shared" ca="1" si="27"/>
        <v>6419.5255870497922</v>
      </c>
      <c r="L477" s="455">
        <f t="shared" ca="1" si="28"/>
        <v>1547105.6664789999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1547105.6664789999</v>
      </c>
      <c r="J478" s="455">
        <f t="array" ref="J478">IFERROR(INDEX('Retirement Calculator'!K:K,MATCH('Lorri 401b'!N478,'Retirement Calculator'!A:A,0),0),0)</f>
        <v>20282.026119384056</v>
      </c>
      <c r="K478" s="455">
        <f t="shared" ca="1" si="27"/>
        <v>6361.7651681650659</v>
      </c>
      <c r="L478" s="455">
        <f t="shared" ca="1" si="28"/>
        <v>1533185.405527781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1533185.405527781</v>
      </c>
      <c r="J479" s="455">
        <f t="array" ref="J479">IFERROR(INDEX('Retirement Calculator'!K:K,MATCH('Lorri 401b'!N479,'Retirement Calculator'!A:A,0),0),0)</f>
        <v>20282.026119384056</v>
      </c>
      <c r="K479" s="455">
        <f t="shared" ca="1" si="27"/>
        <v>6303.7640808683209</v>
      </c>
      <c r="L479" s="455">
        <f t="shared" ca="1" si="28"/>
        <v>1519207.1434892653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1519207.1434892653</v>
      </c>
      <c r="J480" s="455">
        <f t="array" ref="J480">IFERROR(INDEX('Retirement Calculator'!K:K,MATCH('Lorri 401b'!N480,'Retirement Calculator'!A:A,0),0),0)</f>
        <v>20282.026119384056</v>
      </c>
      <c r="K480" s="455">
        <f t="shared" ca="1" si="27"/>
        <v>6245.5213223745059</v>
      </c>
      <c r="L480" s="455">
        <f t="shared" ca="1" si="28"/>
        <v>1505170.6386922558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1505170.6386922558</v>
      </c>
      <c r="J481" s="455">
        <f t="array" ref="J481">IFERROR(INDEX('Retirement Calculator'!K:K,MATCH('Lorri 401b'!N481,'Retirement Calculator'!A:A,0),0),0)</f>
        <v>20282.026119384056</v>
      </c>
      <c r="K481" s="455">
        <f t="shared" ca="1" si="27"/>
        <v>6187.0358857202991</v>
      </c>
      <c r="L481" s="455">
        <f t="shared" ca="1" si="28"/>
        <v>1491075.6484585921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1491075.6484585921</v>
      </c>
      <c r="J482" s="455">
        <f t="array" ref="J482">IFERROR(INDEX('Retirement Calculator'!K:K,MATCH('Lorri 401b'!N482,'Retirement Calculator'!A:A,0),0),0)</f>
        <v>20282.026119384056</v>
      </c>
      <c r="K482" s="455">
        <f t="shared" ca="1" si="27"/>
        <v>6128.3067597467007</v>
      </c>
      <c r="L482" s="455">
        <f t="shared" ca="1" si="28"/>
        <v>1476921.9290989549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1476921.9290989549</v>
      </c>
      <c r="J483" s="455">
        <f t="array" ref="J483">IFERROR(INDEX('Retirement Calculator'!K:K,MATCH('Lorri 401b'!N483,'Retirement Calculator'!A:A,0),0),0)</f>
        <v>20282.026119384056</v>
      </c>
      <c r="K483" s="455">
        <f t="shared" ca="1" si="27"/>
        <v>6069.3329290815454</v>
      </c>
      <c r="L483" s="455">
        <f t="shared" ca="1" si="28"/>
        <v>1462709.2359086524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1462709.2359086524</v>
      </c>
      <c r="J484" s="455">
        <f t="array" ref="J484">IFERROR(INDEX('Retirement Calculator'!K:K,MATCH('Lorri 401b'!N484,'Retirement Calculator'!A:A,0),0),0)</f>
        <v>20282.026119384056</v>
      </c>
      <c r="K484" s="455">
        <f t="shared" ca="1" si="27"/>
        <v>6010.1133741219519</v>
      </c>
      <c r="L484" s="455">
        <f t="shared" ca="1" si="28"/>
        <v>1448437.3231633904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1448437.3231633904</v>
      </c>
      <c r="J485" s="455">
        <f t="array" ref="J485">IFERROR(INDEX('Retirement Calculator'!K:K,MATCH('Lorri 401b'!N485,'Retirement Calculator'!A:A,0),0),0)</f>
        <v>20282.026119384056</v>
      </c>
      <c r="K485" s="455">
        <f t="shared" ca="1" si="27"/>
        <v>5950.6470710166932</v>
      </c>
      <c r="L485" s="455">
        <f t="shared" ca="1" si="28"/>
        <v>1434105.9441150231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1434105.9441150231</v>
      </c>
      <c r="J486" s="455">
        <f t="array" ref="J486">IFERROR(INDEX('Retirement Calculator'!K:K,MATCH('Lorri 401b'!N486,'Retirement Calculator'!A:A,0),0),0)</f>
        <v>20282.026119384056</v>
      </c>
      <c r="K486" s="455">
        <f t="shared" ca="1" si="27"/>
        <v>5890.9329916484967</v>
      </c>
      <c r="L486" s="455">
        <f t="shared" ca="1" si="28"/>
        <v>1419714.8509872877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1419714.8509872877</v>
      </c>
      <c r="J487" s="455">
        <f t="array" ref="J487">IFERROR(INDEX('Retirement Calculator'!K:K,MATCH('Lorri 401b'!N487,'Retirement Calculator'!A:A,0),0),0)</f>
        <v>20282.026119384056</v>
      </c>
      <c r="K487" s="455">
        <f t="shared" ca="1" si="27"/>
        <v>5830.9701036162651</v>
      </c>
      <c r="L487" s="455">
        <f t="shared" ca="1" si="28"/>
        <v>1405263.7949715201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1405263.7949715201</v>
      </c>
      <c r="J488" s="455">
        <f t="array" ref="J488">IFERROR(INDEX('Retirement Calculator'!K:K,MATCH('Lorri 401b'!N488,'Retirement Calculator'!A:A,0),0),0)</f>
        <v>20282.026119384056</v>
      </c>
      <c r="K488" s="455">
        <f t="shared" ca="1" si="27"/>
        <v>5770.757370217234</v>
      </c>
      <c r="L488" s="455">
        <f t="shared" ca="1" si="28"/>
        <v>1390752.5262223533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1390752.5262223533</v>
      </c>
      <c r="J489" s="455">
        <f t="array" ref="J489">IFERROR(INDEX('Retirement Calculator'!K:K,MATCH('Lorri 401b'!N489,'Retirement Calculator'!A:A,0),0),0)</f>
        <v>20282.026119384056</v>
      </c>
      <c r="K489" s="455">
        <f t="shared" ca="1" si="27"/>
        <v>5710.2937504290385</v>
      </c>
      <c r="L489" s="455">
        <f t="shared" ca="1" si="28"/>
        <v>1376180.7938533984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1376180.7938533984</v>
      </c>
      <c r="J490" s="455">
        <f t="array" ref="J490">IFERROR(INDEX('Retirement Calculator'!K:K,MATCH('Lorri 401b'!N490,'Retirement Calculator'!A:A,0),0),0)</f>
        <v>20282.026119384056</v>
      </c>
      <c r="K490" s="455">
        <f t="shared" ca="1" si="27"/>
        <v>5649.578198891727</v>
      </c>
      <c r="L490" s="455">
        <f t="shared" ca="1" si="28"/>
        <v>1361548.3459329063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1361548.3459329063</v>
      </c>
      <c r="J491" s="455">
        <f t="array" ref="J491">IFERROR(INDEX('Retirement Calculator'!K:K,MATCH('Lorri 401b'!N491,'Retirement Calculator'!A:A,0),0),0)</f>
        <v>20282.026119384056</v>
      </c>
      <c r="K491" s="455">
        <f t="shared" ca="1" si="27"/>
        <v>5588.6096658896759</v>
      </c>
      <c r="L491" s="455">
        <f t="shared" ca="1" si="28"/>
        <v>1346854.929479412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1346854.929479412</v>
      </c>
      <c r="J492" s="455">
        <f t="array" ref="J492">IFERROR(INDEX('Retirement Calculator'!K:K,MATCH('Lorri 401b'!N492,'Retirement Calculator'!A:A,0),0),0)</f>
        <v>20282.026119384056</v>
      </c>
      <c r="K492" s="455">
        <f t="shared" ca="1" si="27"/>
        <v>5527.3870973334506</v>
      </c>
      <c r="L492" s="455">
        <f t="shared" ca="1" si="28"/>
        <v>1332100.2904573616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1332100.2904573616</v>
      </c>
      <c r="J493" s="455">
        <f t="array" ref="J493">IFERROR(INDEX('Retirement Calculator'!K:K,MATCH('Lorri 401b'!N493,'Retirement Calculator'!A:A,0),0),0)</f>
        <v>20282.026119384056</v>
      </c>
      <c r="K493" s="455">
        <f t="shared" ca="1" si="27"/>
        <v>5465.909434741573</v>
      </c>
      <c r="L493" s="455">
        <f t="shared" ca="1" si="28"/>
        <v>1317284.1737727192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1317284.1737727192</v>
      </c>
      <c r="J494" s="455">
        <f t="array" ref="J494">IFERROR(INDEX('Retirement Calculator'!K:K,MATCH('Lorri 401b'!N494,'Retirement Calculator'!A:A,0),0),0)</f>
        <v>20282.026119384056</v>
      </c>
      <c r="K494" s="455">
        <f t="shared" ca="1" si="27"/>
        <v>5404.1756152222297</v>
      </c>
      <c r="L494" s="455">
        <f t="shared" ca="1" si="28"/>
        <v>1302406.3232685574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1302406.3232685574</v>
      </c>
      <c r="J495" s="455">
        <f t="array" ref="J495">IFERROR(INDEX('Retirement Calculator'!K:K,MATCH('Lorri 401b'!N495,'Retirement Calculator'!A:A,0),0),0)</f>
        <v>20282.026119384056</v>
      </c>
      <c r="K495" s="455">
        <f t="shared" ca="1" si="27"/>
        <v>5342.184571454889</v>
      </c>
      <c r="L495" s="455">
        <f t="shared" ca="1" si="28"/>
        <v>1287466.4817206284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1287466.4817206284</v>
      </c>
      <c r="J496" s="455">
        <f t="array" ref="J496">IFERROR(INDEX('Retirement Calculator'!K:K,MATCH('Lorri 401b'!N496,'Retirement Calculator'!A:A,0),0),0)</f>
        <v>20282.026119384056</v>
      </c>
      <c r="K496" s="455">
        <f t="shared" ca="1" si="27"/>
        <v>5279.9352316718523</v>
      </c>
      <c r="L496" s="455">
        <f t="shared" ca="1" si="28"/>
        <v>1272464.3908329164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1272464.3908329164</v>
      </c>
      <c r="J497" s="455">
        <f t="array" ref="J497">IFERROR(INDEX('Retirement Calculator'!K:K,MATCH('Lorri 401b'!N497,'Retirement Calculator'!A:A,0),0),0)</f>
        <v>20282.026119384056</v>
      </c>
      <c r="K497" s="455">
        <f t="shared" ca="1" si="27"/>
        <v>5217.4265196397182</v>
      </c>
      <c r="L497" s="455">
        <f t="shared" ca="1" si="28"/>
        <v>1257399.7912331722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1257399.7912331722</v>
      </c>
      <c r="J498" s="455">
        <f t="array" ref="J498">IFERROR(INDEX('Retirement Calculator'!K:K,MATCH('Lorri 401b'!N498,'Retirement Calculator'!A:A,0),0),0)</f>
        <v>20282.026119384056</v>
      </c>
      <c r="K498" s="455">
        <f t="shared" ca="1" si="27"/>
        <v>5154.6573546407844</v>
      </c>
      <c r="L498" s="455">
        <f t="shared" ca="1" si="28"/>
        <v>1242272.422468429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1242272.422468429</v>
      </c>
      <c r="J499" s="455">
        <f t="array" ref="J499">IFERROR(INDEX('Retirement Calculator'!K:K,MATCH('Lorri 401b'!N499,'Retirement Calculator'!A:A,0),0),0)</f>
        <v>20282.026119384056</v>
      </c>
      <c r="K499" s="455">
        <f t="shared" ca="1" si="27"/>
        <v>5091.626651454354</v>
      </c>
      <c r="L499" s="455">
        <f t="shared" ca="1" si="28"/>
        <v>1227082.0230004992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1227082.0230004992</v>
      </c>
      <c r="J500" s="455">
        <f t="array" ref="J500">IFERROR(INDEX('Retirement Calculator'!K:K,MATCH('Lorri 401b'!N500,'Retirement Calculator'!A:A,0),0),0)</f>
        <v>20282.026119384056</v>
      </c>
      <c r="K500" s="455">
        <f t="shared" ca="1" si="27"/>
        <v>5028.3333203379798</v>
      </c>
      <c r="L500" s="455">
        <f t="shared" ca="1" si="28"/>
        <v>1211828.3302014533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1211828.3302014533</v>
      </c>
      <c r="J501" s="455">
        <f t="array" ref="J501">IFERROR(INDEX('Retirement Calculator'!K:K,MATCH('Lorri 401b'!N501,'Retirement Calculator'!A:A,0),0),0)</f>
        <v>20282.026119384056</v>
      </c>
      <c r="K501" s="455">
        <f t="shared" ca="1" si="27"/>
        <v>4964.7762670086222</v>
      </c>
      <c r="L501" s="455">
        <f t="shared" ca="1" si="28"/>
        <v>1196511.0803490779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1196511.0803490779</v>
      </c>
      <c r="J502" s="455">
        <f t="array" ref="J502">IFERROR(INDEX('Retirement Calculator'!K:K,MATCH('Lorri 401b'!N502,'Retirement Calculator'!A:A,0),0),0)</f>
        <v>20282.026119384056</v>
      </c>
      <c r="K502" s="455">
        <f t="shared" ca="1" si="27"/>
        <v>4900.9543926237247</v>
      </c>
      <c r="L502" s="455">
        <f t="shared" ca="1" si="28"/>
        <v>1181130.0086223176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1181130.0086223176</v>
      </c>
      <c r="J503" s="455">
        <f t="array" ref="J503">IFERROR(INDEX('Retirement Calculator'!K:K,MATCH('Lorri 401b'!N503,'Retirement Calculator'!A:A,0),0),0)</f>
        <v>20282.026119384056</v>
      </c>
      <c r="K503" s="455">
        <f t="shared" ca="1" si="27"/>
        <v>4836.8665937622236</v>
      </c>
      <c r="L503" s="455">
        <f t="shared" ca="1" si="28"/>
        <v>1165684.8490966959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1165684.8490966959</v>
      </c>
      <c r="J504" s="455">
        <f t="array" ref="J504">IFERROR(INDEX('Retirement Calculator'!K:K,MATCH('Lorri 401b'!N504,'Retirement Calculator'!A:A,0),0),0)</f>
        <v>20282.026119384056</v>
      </c>
      <c r="K504" s="455">
        <f t="shared" ca="1" si="27"/>
        <v>4772.5117624054665</v>
      </c>
      <c r="L504" s="455">
        <f t="shared" ca="1" si="28"/>
        <v>1150175.3347397174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1150175.3347397174</v>
      </c>
      <c r="J505" s="455">
        <f t="array" ref="J505">IFERROR(INDEX('Retirement Calculator'!K:K,MATCH('Lorri 401b'!N505,'Retirement Calculator'!A:A,0),0),0)</f>
        <v>20282.026119384056</v>
      </c>
      <c r="K505" s="455">
        <f t="shared" ca="1" si="27"/>
        <v>4707.8887859180559</v>
      </c>
      <c r="L505" s="455">
        <f t="shared" ca="1" si="28"/>
        <v>1134601.1974062514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1134601.1974062514</v>
      </c>
      <c r="J506" s="455">
        <f t="array" ref="J506">IFERROR(INDEX('Retirement Calculator'!K:K,MATCH('Lorri 401b'!N506,'Retirement Calculator'!A:A,0),0),0)</f>
        <v>20282.026119384056</v>
      </c>
      <c r="K506" s="455">
        <f t="shared" ca="1" si="27"/>
        <v>4642.9965470286143</v>
      </c>
      <c r="L506" s="455">
        <f t="shared" ca="1" si="28"/>
        <v>1118962.1678338961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1118962.1678338961</v>
      </c>
      <c r="J507" s="455">
        <f t="array" ref="J507">IFERROR(INDEX('Retirement Calculator'!K:K,MATCH('Lorri 401b'!N507,'Retirement Calculator'!A:A,0),0),0)</f>
        <v>20282.026119384056</v>
      </c>
      <c r="K507" s="455">
        <f t="shared" ca="1" si="27"/>
        <v>4577.8339238104672</v>
      </c>
      <c r="L507" s="455">
        <f t="shared" ca="1" si="28"/>
        <v>1103257.9756383225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1103257.9756383225</v>
      </c>
      <c r="J508" s="455">
        <f t="array" ref="J508">IFERROR(INDEX('Retirement Calculator'!K:K,MATCH('Lorri 401b'!N508,'Retirement Calculator'!A:A,0),0),0)</f>
        <v>20282.026119384056</v>
      </c>
      <c r="K508" s="455">
        <f t="shared" ca="1" si="27"/>
        <v>4512.3997896622441</v>
      </c>
      <c r="L508" s="455">
        <f t="shared" ca="1" si="28"/>
        <v>1087488.3493086009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1087488.3493086009</v>
      </c>
      <c r="J509" s="455">
        <f t="array" ref="J509">IFERROR(INDEX('Retirement Calculator'!K:K,MATCH('Lorri 401b'!N509,'Retirement Calculator'!A:A,0),0),0)</f>
        <v>20282.026119384056</v>
      </c>
      <c r="K509" s="455">
        <f t="shared" ca="1" si="27"/>
        <v>4446.6930132884036</v>
      </c>
      <c r="L509" s="455">
        <f t="shared" ca="1" si="28"/>
        <v>1071653.0162025052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1071653.0162025052</v>
      </c>
      <c r="J510" s="455">
        <f t="array" ref="J510">IFERROR(INDEX('Retirement Calculator'!K:K,MATCH('Lorri 401b'!N510,'Retirement Calculator'!A:A,0),0),0)</f>
        <v>20282.026119384056</v>
      </c>
      <c r="K510" s="455">
        <f t="shared" ca="1" si="27"/>
        <v>4380.7124586796717</v>
      </c>
      <c r="L510" s="455">
        <f t="shared" ca="1" si="28"/>
        <v>1055751.7025418009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1055751.7025418009</v>
      </c>
      <c r="J511" s="455">
        <f t="array" ref="J511">IFERROR(INDEX('Retirement Calculator'!K:K,MATCH('Lorri 401b'!N511,'Retirement Calculator'!A:A,0),0),0)</f>
        <v>20282.026119384056</v>
      </c>
      <c r="K511" s="455">
        <f t="shared" ca="1" si="27"/>
        <v>4314.4569850934031</v>
      </c>
      <c r="L511" s="455">
        <f t="shared" ca="1" si="28"/>
        <v>1039784.1334075102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1039784.1334075102</v>
      </c>
      <c r="J512" s="455">
        <f t="array" ref="J512">IFERROR(INDEX('Retirement Calculator'!K:K,MATCH('Lorri 401b'!N512,'Retirement Calculator'!A:A,0),0),0)</f>
        <v>20282.026119384056</v>
      </c>
      <c r="K512" s="455">
        <f t="shared" ca="1" si="27"/>
        <v>4247.9254470338592</v>
      </c>
      <c r="L512" s="455">
        <f t="shared" ca="1" si="28"/>
        <v>1023750.03273516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1023750.03273516</v>
      </c>
      <c r="J513" s="455">
        <f t="array" ref="J513">IFERROR(INDEX('Retirement Calculator'!K:K,MATCH('Lorri 401b'!N513,'Retirement Calculator'!A:A,0),0),0)</f>
        <v>20282.026119384056</v>
      </c>
      <c r="K513" s="455">
        <f t="shared" ca="1" si="27"/>
        <v>4181.1166942323998</v>
      </c>
      <c r="L513" s="455">
        <f t="shared" ca="1" si="28"/>
        <v>1007649.1233100083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1007649.1233100083</v>
      </c>
      <c r="J514" s="455">
        <f t="array" ref="J514">IFERROR(INDEX('Retirement Calculator'!K:K,MATCH('Lorri 401b'!N514,'Retirement Calculator'!A:A,0),0),0)</f>
        <v>20282.026119384056</v>
      </c>
      <c r="K514" s="455">
        <f t="shared" ca="1" si="27"/>
        <v>4114.0295716276005</v>
      </c>
      <c r="L514" s="455">
        <f t="shared" ca="1" si="28"/>
        <v>991481.12676225184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991481.12676225184</v>
      </c>
      <c r="J515" s="455">
        <f t="array" ref="J515">IFERROR(INDEX('Retirement Calculator'!K:K,MATCH('Lorri 401b'!N515,'Retirement Calculator'!A:A,0),0),0)</f>
        <v>20282.026119384056</v>
      </c>
      <c r="K515" s="455">
        <f t="shared" ca="1" si="27"/>
        <v>4046.6629193452823</v>
      </c>
      <c r="L515" s="455">
        <f t="shared" ca="1" si="28"/>
        <v>975245.76356221305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975245.76356221305</v>
      </c>
      <c r="J516" s="455">
        <f t="array" ref="J516">IFERROR(INDEX('Retirement Calculator'!K:K,MATCH('Lorri 401b'!N516,'Retirement Calculator'!A:A,0),0),0)</f>
        <v>20282.026119384056</v>
      </c>
      <c r="K516" s="455">
        <f t="shared" ca="1" si="27"/>
        <v>3979.0155726784537</v>
      </c>
      <c r="L516" s="455">
        <f t="shared" ca="1" si="28"/>
        <v>958942.75301550736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958942.75301550736</v>
      </c>
      <c r="J517" s="455">
        <f t="array" ref="J517">IFERROR(INDEX('Retirement Calculator'!K:K,MATCH('Lorri 401b'!N517,'Retirement Calculator'!A:A,0),0),0)</f>
        <v>20282.026119384056</v>
      </c>
      <c r="K517" s="455">
        <f t="shared" ca="1" si="27"/>
        <v>3911.0863620671798</v>
      </c>
      <c r="L517" s="455">
        <f t="shared" ca="1" si="28"/>
        <v>942571.81325819041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942571.81325819041</v>
      </c>
      <c r="J518" s="455">
        <f t="array" ref="J518">IFERROR(INDEX('Retirement Calculator'!K:K,MATCH('Lorri 401b'!N518,'Retirement Calculator'!A:A,0),0),0)</f>
        <v>20282.026119384056</v>
      </c>
      <c r="K518" s="455">
        <f t="shared" ref="K518:K772" ca="1" si="53">IPMT(M518/12,1,12,-I518+J518,,0)</f>
        <v>3842.8741130783596</v>
      </c>
      <c r="L518" s="455">
        <f t="shared" ref="L518:L772" ca="1" si="54">I518-J518+K518</f>
        <v>926132.66125188465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926132.66125188465</v>
      </c>
      <c r="J519" s="455">
        <f t="array" ref="J519">IFERROR(INDEX('Retirement Calculator'!K:K,MATCH('Lorri 401b'!N519,'Retirement Calculator'!A:A,0),0),0)</f>
        <v>20282.026119384056</v>
      </c>
      <c r="K519" s="455">
        <f t="shared" ca="1" si="53"/>
        <v>3774.3776463854183</v>
      </c>
      <c r="L519" s="455">
        <f t="shared" ca="1" si="54"/>
        <v>909625.01277888601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909625.01277888601</v>
      </c>
      <c r="J520" s="455">
        <f t="array" ref="J520">IFERROR(INDEX('Retirement Calculator'!K:K,MATCH('Lorri 401b'!N520,'Retirement Calculator'!A:A,0),0),0)</f>
        <v>20282.026119384056</v>
      </c>
      <c r="K520" s="455">
        <f t="shared" ca="1" si="53"/>
        <v>3705.5957777479248</v>
      </c>
      <c r="L520" s="455">
        <f t="shared" ca="1" si="54"/>
        <v>893048.58243724983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893048.58243724983</v>
      </c>
      <c r="J521" s="455">
        <f t="array" ref="J521">IFERROR(INDEX('Retirement Calculator'!K:K,MATCH('Lorri 401b'!N521,'Retirement Calculator'!A:A,0),0),0)</f>
        <v>20282.026119384056</v>
      </c>
      <c r="K521" s="455">
        <f t="shared" ca="1" si="53"/>
        <v>3636.5273179911073</v>
      </c>
      <c r="L521" s="455">
        <f t="shared" ca="1" si="54"/>
        <v>876403.08363585686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876403.08363585686</v>
      </c>
      <c r="J522" s="455">
        <f t="array" ref="J522">IFERROR(INDEX('Retirement Calculator'!K:K,MATCH('Lorri 401b'!N522,'Retirement Calculator'!A:A,0),0),0)</f>
        <v>20282.026119384056</v>
      </c>
      <c r="K522" s="455">
        <f t="shared" ca="1" si="53"/>
        <v>3567.171072985303</v>
      </c>
      <c r="L522" s="455">
        <f t="shared" ca="1" si="54"/>
        <v>859688.22858945804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859688.22858945804</v>
      </c>
      <c r="J523" s="455">
        <f t="array" ref="J523">IFERROR(INDEX('Retirement Calculator'!K:K,MATCH('Lorri 401b'!N523,'Retirement Calculator'!A:A,0),0),0)</f>
        <v>20282.026119384056</v>
      </c>
      <c r="K523" s="455">
        <f t="shared" ca="1" si="53"/>
        <v>3497.525843625308</v>
      </c>
      <c r="L523" s="455">
        <f t="shared" ca="1" si="54"/>
        <v>842903.72831369925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842903.72831369925</v>
      </c>
      <c r="J524" s="455">
        <f t="array" ref="J524">IFERROR(INDEX('Retirement Calculator'!K:K,MATCH('Lorri 401b'!N524,'Retirement Calculator'!A:A,0),0),0)</f>
        <v>20282.026119384056</v>
      </c>
      <c r="K524" s="455">
        <f t="shared" ca="1" si="53"/>
        <v>3427.5904258096466</v>
      </c>
      <c r="L524" s="455">
        <f t="shared" ca="1" si="54"/>
        <v>826049.29262012476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826049.29262012476</v>
      </c>
      <c r="J525" s="455">
        <f t="array" ref="J525">IFERROR(INDEX('Retirement Calculator'!K:K,MATCH('Lorri 401b'!N525,'Retirement Calculator'!A:A,0),0),0)</f>
        <v>20282.026119384056</v>
      </c>
      <c r="K525" s="455">
        <f t="shared" ca="1" si="53"/>
        <v>3357.3636104197526</v>
      </c>
      <c r="L525" s="455">
        <f t="shared" ca="1" si="54"/>
        <v>809124.63011116046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809124.63011116046</v>
      </c>
      <c r="J526" s="455">
        <f t="array" ref="J526">IFERROR(INDEX('Retirement Calculator'!K:K,MATCH('Lorri 401b'!N526,'Retirement Calculator'!A:A,0),0),0)</f>
        <v>20282.026119384056</v>
      </c>
      <c r="K526" s="455">
        <f t="shared" ca="1" si="53"/>
        <v>3286.8441832990679</v>
      </c>
      <c r="L526" s="455">
        <f t="shared" ca="1" si="54"/>
        <v>792129.44817507546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792129.44817507546</v>
      </c>
      <c r="J527" s="455">
        <f t="array" ref="J527">IFERROR(INDEX('Retirement Calculator'!K:K,MATCH('Lorri 401b'!N527,'Retirement Calculator'!A:A,0),0),0)</f>
        <v>20282.026119384056</v>
      </c>
      <c r="K527" s="455">
        <f t="shared" ca="1" si="53"/>
        <v>3216.0309252320471</v>
      </c>
      <c r="L527" s="455">
        <f t="shared" ca="1" si="54"/>
        <v>775063.45298092347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775063.45298092347</v>
      </c>
      <c r="J528" s="455">
        <f t="array" ref="J528">IFERROR(INDEX('Retirement Calculator'!K:K,MATCH('Lorri 401b'!N528,'Retirement Calculator'!A:A,0),0),0)</f>
        <v>20282.026119384056</v>
      </c>
      <c r="K528" s="455">
        <f t="shared" ca="1" si="53"/>
        <v>3144.9226119230807</v>
      </c>
      <c r="L528" s="455">
        <f t="shared" ca="1" si="54"/>
        <v>757926.34947346244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757926.34947346244</v>
      </c>
      <c r="J529" s="455">
        <f t="array" ref="J529">IFERROR(INDEX('Retirement Calculator'!K:K,MATCH('Lorri 401b'!N529,'Retirement Calculator'!A:A,0),0),0)</f>
        <v>20282.026119384056</v>
      </c>
      <c r="K529" s="455">
        <f t="shared" ca="1" si="53"/>
        <v>3073.5180139753265</v>
      </c>
      <c r="L529" s="455">
        <f t="shared" ca="1" si="54"/>
        <v>740717.84136805369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740717.84136805369</v>
      </c>
      <c r="J530" s="455">
        <f t="array" ref="J530">IFERROR(INDEX('Retirement Calculator'!K:K,MATCH('Lorri 401b'!N530,'Retirement Calculator'!A:A,0),0),0)</f>
        <v>20282.026119384056</v>
      </c>
      <c r="K530" s="455">
        <f t="shared" ca="1" si="53"/>
        <v>3001.8158968694565</v>
      </c>
      <c r="L530" s="455">
        <f t="shared" ca="1" si="54"/>
        <v>723437.631145539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723437.631145539</v>
      </c>
      <c r="J531" s="455">
        <f t="array" ref="J531">IFERROR(INDEX('Retirement Calculator'!K:K,MATCH('Lorri 401b'!N531,'Retirement Calculator'!A:A,0),0),0)</f>
        <v>20282.026119384056</v>
      </c>
      <c r="K531" s="455">
        <f t="shared" ca="1" si="53"/>
        <v>2929.815020942312</v>
      </c>
      <c r="L531" s="455">
        <f t="shared" ca="1" si="54"/>
        <v>706085.42004709726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706085.42004709726</v>
      </c>
      <c r="J532" s="455">
        <f t="array" ref="J532">IFERROR(INDEX('Retirement Calculator'!K:K,MATCH('Lorri 401b'!N532,'Retirement Calculator'!A:A,0),0),0)</f>
        <v>20282.026119384056</v>
      </c>
      <c r="K532" s="455">
        <f t="shared" ca="1" si="53"/>
        <v>2857.5141413654715</v>
      </c>
      <c r="L532" s="455">
        <f t="shared" ca="1" si="54"/>
        <v>688660.90806907858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688660.90806907858</v>
      </c>
      <c r="J533" s="455">
        <f t="array" ref="J533">IFERROR(INDEX('Retirement Calculator'!K:K,MATCH('Lorri 401b'!N533,'Retirement Calculator'!A:A,0),0),0)</f>
        <v>20282.026119384056</v>
      </c>
      <c r="K533" s="455">
        <f t="shared" ca="1" si="53"/>
        <v>2784.912008123727</v>
      </c>
      <c r="L533" s="455">
        <f t="shared" ca="1" si="54"/>
        <v>671163.79395781818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671163.79395781818</v>
      </c>
      <c r="J534" s="455">
        <f t="array" ref="J534">IFERROR(INDEX('Retirement Calculator'!K:K,MATCH('Lorri 401b'!N534,'Retirement Calculator'!A:A,0),0),0)</f>
        <v>20282.026119384056</v>
      </c>
      <c r="K534" s="455">
        <f t="shared" ca="1" si="53"/>
        <v>2712.0073659934751</v>
      </c>
      <c r="L534" s="455">
        <f t="shared" ca="1" si="54"/>
        <v>653593.77520442754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653593.77520442754</v>
      </c>
      <c r="J535" s="455">
        <f t="array" ref="J535">IFERROR(INDEX('Retirement Calculator'!K:K,MATCH('Lorri 401b'!N535,'Retirement Calculator'!A:A,0),0),0)</f>
        <v>20282.026119384056</v>
      </c>
      <c r="K535" s="455">
        <f t="shared" ca="1" si="53"/>
        <v>2638.7989545210144</v>
      </c>
      <c r="L535" s="455">
        <f t="shared" ca="1" si="54"/>
        <v>635950.5480395644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635950.5480395644</v>
      </c>
      <c r="J536" s="455">
        <f t="array" ref="J536">IFERROR(INDEX('Retirement Calculator'!K:K,MATCH('Lorri 401b'!N536,'Retirement Calculator'!A:A,0),0),0)</f>
        <v>20282.026119384056</v>
      </c>
      <c r="K536" s="455">
        <f t="shared" ca="1" si="53"/>
        <v>2565.2855080007512</v>
      </c>
      <c r="L536" s="455">
        <f t="shared" ca="1" si="54"/>
        <v>618233.80742818106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618233.80742818106</v>
      </c>
      <c r="J537" s="455">
        <f t="array" ref="J537">IFERROR(INDEX('Retirement Calculator'!K:K,MATCH('Lorri 401b'!N537,'Retirement Calculator'!A:A,0),0),0)</f>
        <v>20282.026119384056</v>
      </c>
      <c r="K537" s="455">
        <f t="shared" ca="1" si="53"/>
        <v>2491.4657554533205</v>
      </c>
      <c r="L537" s="455">
        <f t="shared" ca="1" si="54"/>
        <v>600443.24706425029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600443.24706425029</v>
      </c>
      <c r="J538" s="455">
        <f t="array" ref="J538">IFERROR(INDEX('Retirement Calculator'!K:K,MATCH('Lorri 401b'!N538,'Retirement Calculator'!A:A,0),0),0)</f>
        <v>20282.026119384056</v>
      </c>
      <c r="K538" s="455">
        <f t="shared" ca="1" si="53"/>
        <v>2417.3384206036089</v>
      </c>
      <c r="L538" s="455">
        <f t="shared" ca="1" si="54"/>
        <v>582578.55936546985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582578.55936546985</v>
      </c>
      <c r="J539" s="455">
        <f t="array" ref="J539">IFERROR(INDEX('Retirement Calculator'!K:K,MATCH('Lorri 401b'!N539,'Retirement Calculator'!A:A,0),0),0)</f>
        <v>20282.026119384056</v>
      </c>
      <c r="K539" s="455">
        <f t="shared" ca="1" si="53"/>
        <v>2342.9022218586906</v>
      </c>
      <c r="L539" s="455">
        <f t="shared" ca="1" si="54"/>
        <v>564639.43546794448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564639.43546794448</v>
      </c>
      <c r="J540" s="455">
        <f t="array" ref="J540">IFERROR(INDEX('Retirement Calculator'!K:K,MATCH('Lorri 401b'!N540,'Retirement Calculator'!A:A,0),0),0)</f>
        <v>20282.026119384056</v>
      </c>
      <c r="K540" s="455">
        <f t="shared" ca="1" si="53"/>
        <v>2268.155872285668</v>
      </c>
      <c r="L540" s="455">
        <f t="shared" ca="1" si="54"/>
        <v>546625.5652208461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546625.5652208461</v>
      </c>
      <c r="J541" s="455">
        <f t="array" ref="J541">IFERROR(INDEX('Retirement Calculator'!K:K,MATCH('Lorri 401b'!N541,'Retirement Calculator'!A:A,0),0),0)</f>
        <v>20282.026119384056</v>
      </c>
      <c r="K541" s="455">
        <f t="shared" ca="1" si="53"/>
        <v>2193.0980795894247</v>
      </c>
      <c r="L541" s="455">
        <f t="shared" ca="1" si="54"/>
        <v>528536.63718105142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528536.63718105142</v>
      </c>
      <c r="J542" s="455">
        <f t="array" ref="J542">IFERROR(INDEX('Retirement Calculator'!K:K,MATCH('Lorri 401b'!N542,'Retirement Calculator'!A:A,0),0),0)</f>
        <v>20282.026119384056</v>
      </c>
      <c r="K542" s="455">
        <f t="shared" ca="1" si="53"/>
        <v>2117.7275460902806</v>
      </c>
      <c r="L542" s="455">
        <f t="shared" ca="1" si="54"/>
        <v>510372.33860775764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510372.33860775764</v>
      </c>
      <c r="J543" s="455">
        <f t="array" ref="J543">IFERROR(INDEX('Retirement Calculator'!K:K,MATCH('Lorri 401b'!N543,'Retirement Calculator'!A:A,0),0),0)</f>
        <v>20282.026119384056</v>
      </c>
      <c r="K543" s="455">
        <f t="shared" ca="1" si="53"/>
        <v>2042.0429687015567</v>
      </c>
      <c r="L543" s="455">
        <f t="shared" ca="1" si="54"/>
        <v>492132.35545707517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492132.35545707517</v>
      </c>
      <c r="J544" s="455">
        <f t="array" ref="J544">IFERROR(INDEX('Retirement Calculator'!K:K,MATCH('Lorri 401b'!N544,'Retirement Calculator'!A:A,0),0),0)</f>
        <v>20282.026119384056</v>
      </c>
      <c r="K544" s="455">
        <f t="shared" ca="1" si="53"/>
        <v>1966.0430389070464</v>
      </c>
      <c r="L544" s="455">
        <f t="shared" ca="1" si="54"/>
        <v>473816.37237659818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473816.37237659818</v>
      </c>
      <c r="J545" s="455">
        <f t="array" ref="J545">IFERROR(INDEX('Retirement Calculator'!K:K,MATCH('Lorri 401b'!N545,'Retirement Calculator'!A:A,0),0),0)</f>
        <v>20282.026119384056</v>
      </c>
      <c r="K545" s="455">
        <f t="shared" ca="1" si="53"/>
        <v>1889.7264427383923</v>
      </c>
      <c r="L545" s="455">
        <f t="shared" ca="1" si="54"/>
        <v>455424.07269995252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455424.07269995252</v>
      </c>
      <c r="J546" s="455">
        <f t="array" ref="J546">IFERROR(INDEX('Retirement Calculator'!K:K,MATCH('Lorri 401b'!N546,'Retirement Calculator'!A:A,0),0),0)</f>
        <v>20282.026119384056</v>
      </c>
      <c r="K546" s="455">
        <f t="shared" ca="1" si="53"/>
        <v>1813.0918607523686</v>
      </c>
      <c r="L546" s="455">
        <f t="shared" ca="1" si="54"/>
        <v>436955.13844132086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436955.13844132086</v>
      </c>
      <c r="J547" s="455">
        <f t="array" ref="J547">IFERROR(INDEX('Retirement Calculator'!K:K,MATCH('Lorri 401b'!N547,'Retirement Calculator'!A:A,0),0),0)</f>
        <v>20282.026119384056</v>
      </c>
      <c r="K547" s="455">
        <f t="shared" ca="1" si="53"/>
        <v>1736.1379680080699</v>
      </c>
      <c r="L547" s="455">
        <f t="shared" ca="1" si="54"/>
        <v>418409.25028994487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418409.25028994487</v>
      </c>
      <c r="J548" s="455">
        <f t="array" ref="J548">IFERROR(INDEX('Retirement Calculator'!K:K,MATCH('Lorri 401b'!N548,'Retirement Calculator'!A:A,0),0),0)</f>
        <v>20282.026119384056</v>
      </c>
      <c r="K548" s="455">
        <f t="shared" ca="1" si="53"/>
        <v>1658.8634340440035</v>
      </c>
      <c r="L548" s="455">
        <f t="shared" ca="1" si="54"/>
        <v>399786.08760460484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399786.08760460484</v>
      </c>
      <c r="J549" s="455">
        <f t="array" ref="J549">IFERROR(INDEX('Retirement Calculator'!K:K,MATCH('Lorri 401b'!N549,'Retirement Calculator'!A:A,0),0),0)</f>
        <v>20282.026119384056</v>
      </c>
      <c r="K549" s="455">
        <f t="shared" ca="1" si="53"/>
        <v>1581.2669228550867</v>
      </c>
      <c r="L549" s="455">
        <f t="shared" ca="1" si="54"/>
        <v>381085.3284080759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381085.3284080759</v>
      </c>
      <c r="J550" s="455">
        <f t="array" ref="J550">IFERROR(INDEX('Retirement Calculator'!K:K,MATCH('Lorri 401b'!N550,'Retirement Calculator'!A:A,0),0),0)</f>
        <v>20282.026119384056</v>
      </c>
      <c r="K550" s="455">
        <f t="shared" ca="1" si="53"/>
        <v>1503.3470928695494</v>
      </c>
      <c r="L550" s="455">
        <f t="shared" ca="1" si="54"/>
        <v>362306.64938156144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362306.64938156144</v>
      </c>
      <c r="J551" s="455">
        <f t="array" ref="J551">IFERROR(INDEX('Retirement Calculator'!K:K,MATCH('Lorri 401b'!N551,'Retirement Calculator'!A:A,0),0),0)</f>
        <v>20282.026119384056</v>
      </c>
      <c r="K551" s="455">
        <f t="shared" ca="1" si="53"/>
        <v>1425.1025969257391</v>
      </c>
      <c r="L551" s="455">
        <f t="shared" ca="1" si="54"/>
        <v>343449.72585910314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343449.72585910314</v>
      </c>
      <c r="J552" s="455">
        <f t="array" ref="J552">IFERROR(INDEX('Retirement Calculator'!K:K,MATCH('Lorri 401b'!N552,'Retirement Calculator'!A:A,0),0),0)</f>
        <v>20282.026119384056</v>
      </c>
      <c r="K552" s="455">
        <f t="shared" ca="1" si="53"/>
        <v>1346.5320822488295</v>
      </c>
      <c r="L552" s="455">
        <f t="shared" ca="1" si="54"/>
        <v>324514.23182196793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324514.23182196793</v>
      </c>
      <c r="J553" s="455">
        <f t="array" ref="J553">IFERROR(INDEX('Retirement Calculator'!K:K,MATCH('Lorri 401b'!N553,'Retirement Calculator'!A:A,0),0),0)</f>
        <v>20282.026119384056</v>
      </c>
      <c r="K553" s="455">
        <f t="shared" ca="1" si="53"/>
        <v>1267.6341904274329</v>
      </c>
      <c r="L553" s="455">
        <f t="shared" ca="1" si="54"/>
        <v>305499.83989301132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305499.83989301132</v>
      </c>
      <c r="J554" s="455">
        <f t="array" ref="J554">IFERROR(INDEX('Retirement Calculator'!K:K,MATCH('Lorri 401b'!N554,'Retirement Calculator'!A:A,0),0),0)</f>
        <v>20282.026119384056</v>
      </c>
      <c r="K554" s="455">
        <f t="shared" ca="1" si="53"/>
        <v>1188.4075573901137</v>
      </c>
      <c r="L554" s="455">
        <f t="shared" ca="1" si="54"/>
        <v>286406.22133101738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286406.22133101738</v>
      </c>
      <c r="J555" s="455">
        <f t="array" ref="J555">IFERROR(INDEX('Retirement Calculator'!K:K,MATCH('Lorri 401b'!N555,'Retirement Calculator'!A:A,0),0),0)</f>
        <v>20282.026119384056</v>
      </c>
      <c r="K555" s="455">
        <f t="shared" ca="1" si="53"/>
        <v>1108.8508133818057</v>
      </c>
      <c r="L555" s="455">
        <f t="shared" ca="1" si="54"/>
        <v>267233.04602501512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267233.04602501512</v>
      </c>
      <c r="J556" s="455">
        <f t="array" ref="J556">IFERROR(INDEX('Retirement Calculator'!K:K,MATCH('Lorri 401b'!N556,'Retirement Calculator'!A:A,0),0),0)</f>
        <v>20282.026119384056</v>
      </c>
      <c r="K556" s="455">
        <f t="shared" ca="1" si="53"/>
        <v>1028.9625829401293</v>
      </c>
      <c r="L556" s="455">
        <f t="shared" ca="1" si="54"/>
        <v>247979.9824885712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247979.9824885712</v>
      </c>
      <c r="J557" s="455">
        <f t="array" ref="J557">IFERROR(INDEX('Retirement Calculator'!K:K,MATCH('Lorri 401b'!N557,'Retirement Calculator'!A:A,0),0),0)</f>
        <v>20282.026119384056</v>
      </c>
      <c r="K557" s="455">
        <f t="shared" ca="1" si="53"/>
        <v>948.74148487161312</v>
      </c>
      <c r="L557" s="455">
        <f t="shared" ca="1" si="54"/>
        <v>228646.69785405876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228646.69785405876</v>
      </c>
      <c r="J558" s="455">
        <f t="array" ref="J558">IFERROR(INDEX('Retirement Calculator'!K:K,MATCH('Lorri 401b'!N558,'Retirement Calculator'!A:A,0),0),0)</f>
        <v>20282.026119384056</v>
      </c>
      <c r="K558" s="455">
        <f t="shared" ca="1" si="53"/>
        <v>868.18613222781141</v>
      </c>
      <c r="L558" s="455">
        <f t="shared" ca="1" si="54"/>
        <v>209232.85786690252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209232.85786690252</v>
      </c>
      <c r="J559" s="455">
        <f t="array" ref="J559">IFERROR(INDEX('Retirement Calculator'!K:K,MATCH('Lorri 401b'!N559,'Retirement Calculator'!A:A,0),0),0)</f>
        <v>20282.026119384056</v>
      </c>
      <c r="K559" s="455">
        <f t="shared" ca="1" si="53"/>
        <v>787.2951322813268</v>
      </c>
      <c r="L559" s="455">
        <f t="shared" ca="1" si="54"/>
        <v>189738.12687979976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189738.12687979976</v>
      </c>
      <c r="J560" s="455">
        <f t="array" ref="J560">IFERROR(INDEX('Retirement Calculator'!K:K,MATCH('Lorri 401b'!N560,'Retirement Calculator'!A:A,0),0),0)</f>
        <v>20282.026119384056</v>
      </c>
      <c r="K560" s="455">
        <f t="shared" ca="1" si="53"/>
        <v>706.06708650173221</v>
      </c>
      <c r="L560" s="455">
        <f t="shared" ca="1" si="54"/>
        <v>170162.16784691747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170162.16784691747</v>
      </c>
      <c r="J561" s="455">
        <f t="array" ref="J561">IFERROR(INDEX('Retirement Calculator'!K:K,MATCH('Lorri 401b'!N561,'Retirement Calculator'!A:A,0),0),0)</f>
        <v>20282.026119384056</v>
      </c>
      <c r="K561" s="455">
        <f t="shared" ca="1" si="53"/>
        <v>624.50059053138921</v>
      </c>
      <c r="L561" s="455">
        <f t="shared" ca="1" si="54"/>
        <v>150504.64231806481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150504.64231806481</v>
      </c>
      <c r="J562" s="455">
        <f t="array" ref="J562">IFERROR(INDEX('Retirement Calculator'!K:K,MATCH('Lorri 401b'!N562,'Retirement Calculator'!A:A,0),0),0)</f>
        <v>20282.026119384056</v>
      </c>
      <c r="K562" s="455">
        <f t="shared" ca="1" si="53"/>
        <v>542.59423416116977</v>
      </c>
      <c r="L562" s="455">
        <f t="shared" ca="1" si="54"/>
        <v>130765.21043284192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130765.21043284192</v>
      </c>
      <c r="J563" s="455">
        <f t="array" ref="J563">IFERROR(INDEX('Retirement Calculator'!K:K,MATCH('Lorri 401b'!N563,'Retirement Calculator'!A:A,0),0),0)</f>
        <v>20282.026119384056</v>
      </c>
      <c r="K563" s="455">
        <f t="shared" ca="1" si="53"/>
        <v>460.34660130607449</v>
      </c>
      <c r="L563" s="455">
        <f t="shared" ca="1" si="54"/>
        <v>110943.53091476393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110943.53091476393</v>
      </c>
      <c r="J564" s="455">
        <f t="array" ref="J564">IFERROR(INDEX('Retirement Calculator'!K:K,MATCH('Lorri 401b'!N564,'Retirement Calculator'!A:A,0),0),0)</f>
        <v>20282.026119384056</v>
      </c>
      <c r="K564" s="455">
        <f t="shared" ca="1" si="53"/>
        <v>377.75626998074949</v>
      </c>
      <c r="L564" s="455">
        <f t="shared" ca="1" si="54"/>
        <v>91039.261065360624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91039.261065360624</v>
      </c>
      <c r="J565" s="455">
        <f t="array" ref="J565">IFERROR(INDEX('Retirement Calculator'!K:K,MATCH('Lorri 401b'!N565,'Retirement Calculator'!A:A,0),0),0)</f>
        <v>20282.026119384056</v>
      </c>
      <c r="K565" s="455">
        <f t="shared" ca="1" si="53"/>
        <v>294.82181227490236</v>
      </c>
      <c r="L565" s="455">
        <f t="shared" ca="1" si="54"/>
        <v>71052.056758251478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71052.056758251478</v>
      </c>
      <c r="J566" s="455">
        <f t="array" ref="J566">IFERROR(INDEX('Retirement Calculator'!K:K,MATCH('Lorri 401b'!N566,'Retirement Calculator'!A:A,0),0),0)</f>
        <v>20282.026119384056</v>
      </c>
      <c r="K566" s="455">
        <f t="shared" ca="1" si="53"/>
        <v>211.54179432861426</v>
      </c>
      <c r="L566" s="455">
        <f t="shared" ca="1" si="54"/>
        <v>50981.572433196037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50981.572433196037</v>
      </c>
      <c r="J567" s="455">
        <f t="array" ref="J567">IFERROR(INDEX('Retirement Calculator'!K:K,MATCH('Lorri 401b'!N567,'Retirement Calculator'!A:A,0),0),0)</f>
        <v>20282.026119384056</v>
      </c>
      <c r="K567" s="455">
        <f t="shared" ca="1" si="53"/>
        <v>127.91477630754991</v>
      </c>
      <c r="L567" s="455">
        <f t="shared" ca="1" si="54"/>
        <v>30827.46109011953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30827.46109011953</v>
      </c>
      <c r="J568" s="455">
        <f t="array" ref="J568">IFERROR(INDEX('Retirement Calculator'!K:K,MATCH('Lorri 401b'!N568,'Retirement Calculator'!A:A,0),0),0)</f>
        <v>20282.026119384056</v>
      </c>
      <c r="K568" s="455">
        <f t="shared" ca="1" si="53"/>
        <v>43.939312378064471</v>
      </c>
      <c r="L568" s="455">
        <f t="shared" ca="1" si="54"/>
        <v>10589.374283113539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10589.374283113539</v>
      </c>
      <c r="J569" s="455">
        <f t="array" ref="J569">IFERROR(INDEX('Retirement Calculator'!K:K,MATCH('Lorri 401b'!N569,'Retirement Calculator'!A:A,0),0),0)</f>
        <v>20282.026119384056</v>
      </c>
      <c r="K569" s="455">
        <f t="shared" ca="1" si="53"/>
        <v>-40.38604931779382</v>
      </c>
      <c r="L569" s="455">
        <f t="shared" ca="1" si="54"/>
        <v>-9733.0378855883118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-9733.0378855883118</v>
      </c>
      <c r="J570" s="455">
        <f t="array" ref="J570">IFERROR(INDEX('Retirement Calculator'!K:K,MATCH('Lorri 401b'!N570,'Retirement Calculator'!A:A,0),0),0)</f>
        <v>20282.026119384056</v>
      </c>
      <c r="K570" s="455">
        <f t="shared" ca="1" si="53"/>
        <v>-125.06276668738484</v>
      </c>
      <c r="L570" s="455">
        <f t="shared" ca="1" si="54"/>
        <v>-30140.12677165975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-30140.12677165975</v>
      </c>
      <c r="J571" s="455">
        <f t="array" ref="J571">IFERROR(INDEX('Retirement Calculator'!K:K,MATCH('Lorri 401b'!N571,'Retirement Calculator'!A:A,0),0),0)</f>
        <v>20282.026119384056</v>
      </c>
      <c r="K571" s="455">
        <f t="shared" ca="1" si="53"/>
        <v>-210.09230371268254</v>
      </c>
      <c r="L571" s="455">
        <f t="shared" ca="1" si="54"/>
        <v>-50632.245194756491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-50632.245194756491</v>
      </c>
      <c r="J572" s="455">
        <f t="array" ref="J572">IFERROR(INDEX('Retirement Calculator'!K:K,MATCH('Lorri 401b'!N572,'Retirement Calculator'!A:A,0),0),0)</f>
        <v>20282.026119384056</v>
      </c>
      <c r="K572" s="455">
        <f t="shared" ca="1" si="53"/>
        <v>-295.47613047558565</v>
      </c>
      <c r="L572" s="455">
        <f t="shared" ca="1" si="54"/>
        <v>-71209.747444616136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-71209.747444616136</v>
      </c>
      <c r="J573" s="455">
        <f t="array" ref="J573">IFERROR(INDEX('Retirement Calculator'!K:K,MATCH('Lorri 401b'!N573,'Retirement Calculator'!A:A,0),0),0)</f>
        <v>20282.026119384056</v>
      </c>
      <c r="K573" s="455">
        <f t="shared" ca="1" si="53"/>
        <v>-381.21572318333415</v>
      </c>
      <c r="L573" s="455">
        <f t="shared" ca="1" si="54"/>
        <v>-91872.989287183533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-91872.989287183533</v>
      </c>
      <c r="J574" s="455">
        <f t="array" ref="J574">IFERROR(INDEX('Retirement Calculator'!K:K,MATCH('Lorri 401b'!N574,'Retirement Calculator'!A:A,0),0),0)</f>
        <v>20282.026119384056</v>
      </c>
      <c r="K574" s="455">
        <f t="shared" ca="1" si="53"/>
        <v>-467.31256419403161</v>
      </c>
      <c r="L574" s="455">
        <f t="shared" ca="1" si="54"/>
        <v>-112622.32797076162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-112622.32797076162</v>
      </c>
      <c r="J575" s="455">
        <f t="array" ref="J575">IFERROR(INDEX('Retirement Calculator'!K:K,MATCH('Lorri 401b'!N575,'Retirement Calculator'!A:A,0),0),0)</f>
        <v>20282.026119384056</v>
      </c>
      <c r="K575" s="455">
        <f t="shared" ca="1" si="53"/>
        <v>-553.76814204227367</v>
      </c>
      <c r="L575" s="455">
        <f t="shared" ca="1" si="54"/>
        <v>-133458.12223218795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-133458.12223218795</v>
      </c>
      <c r="J576" s="455">
        <f t="array" ref="J576">IFERROR(INDEX('Retirement Calculator'!K:K,MATCH('Lorri 401b'!N576,'Retirement Calculator'!A:A,0),0),0)</f>
        <v>20282.026119384056</v>
      </c>
      <c r="K576" s="455">
        <f t="shared" ca="1" si="53"/>
        <v>-640.58395146488328</v>
      </c>
      <c r="L576" s="455">
        <f t="shared" ca="1" si="54"/>
        <v>-154380.73230303687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-154380.73230303687</v>
      </c>
      <c r="J577" s="455">
        <f t="array" ref="J577">IFERROR(INDEX('Retirement Calculator'!K:K,MATCH('Lorri 401b'!N577,'Retirement Calculator'!A:A,0),0),0)</f>
        <v>20282.026119384056</v>
      </c>
      <c r="K577" s="455">
        <f t="shared" ca="1" si="53"/>
        <v>-727.76149342675387</v>
      </c>
      <c r="L577" s="455">
        <f t="shared" ca="1" si="54"/>
        <v>-175390.51991584769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-175390.51991584769</v>
      </c>
      <c r="J578" s="455">
        <f t="array" ref="J578">IFERROR(INDEX('Retirement Calculator'!K:K,MATCH('Lorri 401b'!N578,'Retirement Calculator'!A:A,0),0),0)</f>
        <v>20282.026119384056</v>
      </c>
      <c r="K578" s="455">
        <f t="shared" ca="1" si="53"/>
        <v>-815.30227514679882</v>
      </c>
      <c r="L578" s="455">
        <f t="shared" ca="1" si="54"/>
        <v>-196487.84831037853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-196487.84831037853</v>
      </c>
      <c r="J579" s="455">
        <f t="array" ref="J579">IFERROR(INDEX('Retirement Calculator'!K:K,MATCH('Lorri 401b'!N579,'Retirement Calculator'!A:A,0),0),0)</f>
        <v>20282.026119384056</v>
      </c>
      <c r="K579" s="455">
        <f t="shared" ca="1" si="53"/>
        <v>-903.20781012401085</v>
      </c>
      <c r="L579" s="455">
        <f t="shared" ca="1" si="54"/>
        <v>-217673.0822398866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-217673.0822398866</v>
      </c>
      <c r="J580" s="455">
        <f t="array" ref="J580">IFERROR(INDEX('Retirement Calculator'!K:K,MATCH('Lorri 401b'!N580,'Retirement Calculator'!A:A,0),0),0)</f>
        <v>20282.026119384056</v>
      </c>
      <c r="K580" s="455">
        <f t="shared" ca="1" si="53"/>
        <v>-991.47961816362783</v>
      </c>
      <c r="L580" s="455">
        <f t="shared" ca="1" si="54"/>
        <v>-238946.5879774343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-238946.5879774343</v>
      </c>
      <c r="J581" s="455">
        <f t="array" ref="J581">IFERROR(INDEX('Retirement Calculator'!K:K,MATCH('Lorri 401b'!N581,'Retirement Calculator'!A:A,0),0),0)</f>
        <v>20282.026119384056</v>
      </c>
      <c r="K581" s="455">
        <f t="shared" ca="1" si="53"/>
        <v>-1080.1192254034099</v>
      </c>
      <c r="L581" s="455">
        <f t="shared" ca="1" si="54"/>
        <v>-260308.73332222179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-260308.73332222179</v>
      </c>
      <c r="J582" s="455">
        <f t="array" ref="J582">IFERROR(INDEX('Retirement Calculator'!K:K,MATCH('Lorri 401b'!N582,'Retirement Calculator'!A:A,0),0),0)</f>
        <v>20282.026119384056</v>
      </c>
      <c r="K582" s="455">
        <f t="shared" ca="1" si="53"/>
        <v>-1169.1281643400243</v>
      </c>
      <c r="L582" s="455">
        <f t="shared" ca="1" si="54"/>
        <v>-281759.88760594587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-281759.88760594587</v>
      </c>
      <c r="J583" s="455">
        <f t="array" ref="J583">IFERROR(INDEX('Retirement Calculator'!K:K,MATCH('Lorri 401b'!N583,'Retirement Calculator'!A:A,0),0),0)</f>
        <v>20282.026119384056</v>
      </c>
      <c r="K583" s="455">
        <f t="shared" ca="1" si="53"/>
        <v>-1258.5079738555412</v>
      </c>
      <c r="L583" s="455">
        <f t="shared" ca="1" si="54"/>
        <v>-303300.42169918545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-303300.42169918545</v>
      </c>
      <c r="J584" s="455">
        <f t="array" ref="J584">IFERROR(INDEX('Retirement Calculator'!K:K,MATCH('Lorri 401b'!N584,'Retirement Calculator'!A:A,0),0),0)</f>
        <v>20282.026119384056</v>
      </c>
      <c r="K584" s="455">
        <f t="shared" ca="1" si="53"/>
        <v>-1348.2601992440395</v>
      </c>
      <c r="L584" s="455">
        <f t="shared" ca="1" si="54"/>
        <v>-324930.70801781351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-324930.70801781351</v>
      </c>
      <c r="J585" s="455">
        <f t="array" ref="J585">IFERROR(INDEX('Retirement Calculator'!K:K,MATCH('Lorri 401b'!N585,'Retirement Calculator'!A:A,0),0),0)</f>
        <v>20282.026119384056</v>
      </c>
      <c r="K585" s="455">
        <f t="shared" ca="1" si="53"/>
        <v>-1438.3863922383232</v>
      </c>
      <c r="L585" s="455">
        <f t="shared" ca="1" si="54"/>
        <v>-346651.12052943587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-346651.12052943587</v>
      </c>
      <c r="J586" s="455">
        <f t="array" ref="J586">IFERROR(INDEX('Retirement Calculator'!K:K,MATCH('Lorri 401b'!N586,'Retirement Calculator'!A:A,0),0),0)</f>
        <v>20282.026119384056</v>
      </c>
      <c r="K586" s="455">
        <f t="shared" ca="1" si="53"/>
        <v>-1528.8881110367497</v>
      </c>
      <c r="L586" s="455">
        <f t="shared" ca="1" si="54"/>
        <v>-368462.03475985664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-368462.03475985664</v>
      </c>
      <c r="J587" s="455">
        <f t="array" ref="J587">IFERROR(INDEX('Retirement Calculator'!K:K,MATCH('Lorri 401b'!N587,'Retirement Calculator'!A:A,0),0),0)</f>
        <v>20282.026119384056</v>
      </c>
      <c r="K587" s="455">
        <f t="shared" ca="1" si="53"/>
        <v>-1619.7669203301696</v>
      </c>
      <c r="L587" s="455">
        <f t="shared" ca="1" si="54"/>
        <v>-390363.82779957086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-390363.82779957086</v>
      </c>
      <c r="J588" s="455">
        <f t="array" ref="J588">IFERROR(INDEX('Retirement Calculator'!K:K,MATCH('Lorri 401b'!N588,'Retirement Calculator'!A:A,0),0),0)</f>
        <v>20282.026119384056</v>
      </c>
      <c r="K588" s="455">
        <f t="shared" ca="1" si="53"/>
        <v>-1711.0243913289789</v>
      </c>
      <c r="L588" s="455">
        <f t="shared" ca="1" si="54"/>
        <v>-412356.87831028388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-412356.87831028388</v>
      </c>
      <c r="J589" s="455">
        <f t="array" ref="J589">IFERROR(INDEX('Retirement Calculator'!K:K,MATCH('Lorri 401b'!N589,'Retirement Calculator'!A:A,0),0),0)</f>
        <v>20282.026119384056</v>
      </c>
      <c r="K589" s="455">
        <f t="shared" ca="1" si="53"/>
        <v>-1802.662101790283</v>
      </c>
      <c r="L589" s="455">
        <f t="shared" ca="1" si="54"/>
        <v>-434441.56653145823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-434441.56653145823</v>
      </c>
      <c r="J590" s="455">
        <f t="array" ref="J590">IFERROR(INDEX('Retirement Calculator'!K:K,MATCH('Lorri 401b'!N590,'Retirement Calculator'!A:A,0),0),0)</f>
        <v>20282.026119384056</v>
      </c>
      <c r="K590" s="455">
        <f t="shared" ca="1" si="53"/>
        <v>-1894.6816360451764</v>
      </c>
      <c r="L590" s="455">
        <f t="shared" ca="1" si="54"/>
        <v>-456618.27428688743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-456618.27428688743</v>
      </c>
      <c r="J591" s="455">
        <f t="array" ref="J591">IFERROR(INDEX('Retirement Calculator'!K:K,MATCH('Lorri 401b'!N591,'Retirement Calculator'!A:A,0),0),0)</f>
        <v>20282.026119384056</v>
      </c>
      <c r="K591" s="455">
        <f t="shared" ca="1" si="53"/>
        <v>-1987.0845850261312</v>
      </c>
      <c r="L591" s="455">
        <f t="shared" ca="1" si="54"/>
        <v>-478887.38499129761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-478887.38499129761</v>
      </c>
      <c r="J592" s="455">
        <f t="array" ref="J592">IFERROR(INDEX('Retirement Calculator'!K:K,MATCH('Lorri 401b'!N592,'Retirement Calculator'!A:A,0),0),0)</f>
        <v>20282.026119384056</v>
      </c>
      <c r="K592" s="455">
        <f t="shared" ca="1" si="53"/>
        <v>-2079.8725462945067</v>
      </c>
      <c r="L592" s="455">
        <f t="shared" ca="1" si="54"/>
        <v>-501249.28365697619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-501249.28365697619</v>
      </c>
      <c r="J593" s="455">
        <f t="array" ref="J593">IFERROR(INDEX('Retirement Calculator'!K:K,MATCH('Lorri 401b'!N593,'Retirement Calculator'!A:A,0),0),0)</f>
        <v>20282.026119384056</v>
      </c>
      <c r="K593" s="455">
        <f t="shared" ca="1" si="53"/>
        <v>-2173.0471240681677</v>
      </c>
      <c r="L593" s="455">
        <f t="shared" ca="1" si="54"/>
        <v>-523704.35690042842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-523704.35690042842</v>
      </c>
      <c r="J594" s="455">
        <f t="array" ref="J594">IFERROR(INDEX('Retirement Calculator'!K:K,MATCH('Lorri 401b'!N594,'Retirement Calculator'!A:A,0),0),0)</f>
        <v>20282.026119384056</v>
      </c>
      <c r="K594" s="455">
        <f t="shared" ca="1" si="53"/>
        <v>-2266.609929249219</v>
      </c>
      <c r="L594" s="455">
        <f t="shared" ca="1" si="54"/>
        <v>-546252.99294906179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-546252.99294906179</v>
      </c>
      <c r="J595" s="455">
        <f t="array" ref="J595">IFERROR(INDEX('Retirement Calculator'!K:K,MATCH('Lorri 401b'!N595,'Retirement Calculator'!A:A,0),0),0)</f>
        <v>20282.026119384056</v>
      </c>
      <c r="K595" s="455">
        <f t="shared" ca="1" si="53"/>
        <v>-2360.5625794518578</v>
      </c>
      <c r="L595" s="455">
        <f t="shared" ca="1" si="54"/>
        <v>-568895.58164789772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-568895.58164789772</v>
      </c>
      <c r="J596" s="455">
        <f t="array" ref="J596">IFERROR(INDEX('Retirement Calculator'!K:K,MATCH('Lorri 401b'!N596,'Retirement Calculator'!A:A,0),0),0)</f>
        <v>20282.026119384056</v>
      </c>
      <c r="K596" s="455">
        <f t="shared" ca="1" si="53"/>
        <v>-2454.9066990303409</v>
      </c>
      <c r="L596" s="455">
        <f t="shared" ca="1" si="54"/>
        <v>-591632.51446631213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-591632.51446631213</v>
      </c>
      <c r="J597" s="455">
        <f t="array" ref="J597">IFERROR(INDEX('Retirement Calculator'!K:K,MATCH('Lorri 401b'!N597,'Retirement Calculator'!A:A,0),0),0)</f>
        <v>20282.026119384056</v>
      </c>
      <c r="K597" s="455">
        <f t="shared" ca="1" si="53"/>
        <v>-2549.6439191070676</v>
      </c>
      <c r="L597" s="455">
        <f t="shared" ca="1" si="54"/>
        <v>-614464.18450480327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-614464.18450480327</v>
      </c>
      <c r="J598" s="455">
        <f t="array" ref="J598">IFERROR(INDEX('Retirement Calculator'!K:K,MATCH('Lorri 401b'!N598,'Retirement Calculator'!A:A,0),0),0)</f>
        <v>20282.026119384056</v>
      </c>
      <c r="K598" s="455">
        <f t="shared" ca="1" si="53"/>
        <v>-2644.7758776007809</v>
      </c>
      <c r="L598" s="455">
        <f t="shared" ca="1" si="54"/>
        <v>-637390.98650178814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-637390.98650178814</v>
      </c>
      <c r="J599" s="455">
        <f t="array" ref="J599">IFERROR(INDEX('Retirement Calculator'!K:K,MATCH('Lorri 401b'!N599,'Retirement Calculator'!A:A,0),0),0)</f>
        <v>20282.026119384056</v>
      </c>
      <c r="K599" s="455">
        <f t="shared" ca="1" si="53"/>
        <v>-2740.3042192548842</v>
      </c>
      <c r="L599" s="455">
        <f t="shared" ca="1" si="54"/>
        <v>-660413.31684042711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-660413.31684042711</v>
      </c>
      <c r="J600" s="455">
        <f t="array" ref="J600">IFERROR(INDEX('Retirement Calculator'!K:K,MATCH('Lorri 401b'!N600,'Retirement Calculator'!A:A,0),0),0)</f>
        <v>20282.026119384056</v>
      </c>
      <c r="K600" s="455">
        <f t="shared" ca="1" si="53"/>
        <v>-2836.2305956658802</v>
      </c>
      <c r="L600" s="455">
        <f t="shared" ca="1" si="54"/>
        <v>-683531.57355547708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-683531.57355547708</v>
      </c>
      <c r="J601" s="455">
        <f t="array" ref="J601">IFERROR(INDEX('Retirement Calculator'!K:K,MATCH('Lorri 401b'!N601,'Retirement Calculator'!A:A,0),0),0)</f>
        <v>20282.026119384056</v>
      </c>
      <c r="K601" s="455">
        <f t="shared" ca="1" si="53"/>
        <v>-2932.5566653119217</v>
      </c>
      <c r="L601" s="455">
        <f t="shared" ca="1" si="54"/>
        <v>-706746.1563401731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-706746.1563401731</v>
      </c>
      <c r="J602" s="455">
        <f t="array" ref="J602">IFERROR(INDEX('Retirement Calculator'!K:K,MATCH('Lorri 401b'!N602,'Retirement Calculator'!A:A,0),0),0)</f>
        <v>20282.026119384056</v>
      </c>
      <c r="K602" s="455">
        <f t="shared" ca="1" si="53"/>
        <v>-3029.2840935814884</v>
      </c>
      <c r="L602" s="455">
        <f t="shared" ca="1" si="54"/>
        <v>-730057.46655313869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-730057.46655313869</v>
      </c>
      <c r="J603" s="455">
        <f t="array" ref="J603">IFERROR(INDEX('Retirement Calculator'!K:K,MATCH('Lorri 401b'!N603,'Retirement Calculator'!A:A,0),0),0)</f>
        <v>20282.026119384056</v>
      </c>
      <c r="K603" s="455">
        <f t="shared" ca="1" si="53"/>
        <v>-3126.4145528021782</v>
      </c>
      <c r="L603" s="455">
        <f t="shared" ca="1" si="54"/>
        <v>-753465.90722532501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-753465.90722532501</v>
      </c>
      <c r="J604" s="455">
        <f t="array" ref="J604">IFERROR(INDEX('Retirement Calculator'!K:K,MATCH('Lorri 401b'!N604,'Retirement Calculator'!A:A,0),0),0)</f>
        <v>20282.026119384056</v>
      </c>
      <c r="K604" s="455">
        <f t="shared" ca="1" si="53"/>
        <v>-3223.9497222696214</v>
      </c>
      <c r="L604" s="455">
        <f t="shared" ca="1" si="54"/>
        <v>-776971.88306697877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-776971.88306697877</v>
      </c>
      <c r="J605" s="455">
        <f t="array" ref="J605">IFERROR(INDEX('Retirement Calculator'!K:K,MATCH('Lorri 401b'!N605,'Retirement Calculator'!A:A,0),0),0)</f>
        <v>20282.026119384056</v>
      </c>
      <c r="K605" s="455">
        <f t="shared" ca="1" si="53"/>
        <v>-3321.8912882765121</v>
      </c>
      <c r="L605" s="455">
        <f t="shared" ca="1" si="54"/>
        <v>-800575.8004746394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-800575.8004746394</v>
      </c>
      <c r="J606" s="455">
        <f t="array" ref="J606">IFERROR(INDEX('Retirement Calculator'!K:K,MATCH('Lorri 401b'!N606,'Retirement Calculator'!A:A,0),0),0)</f>
        <v>20282.026119384056</v>
      </c>
      <c r="K606" s="455">
        <f t="shared" ca="1" si="53"/>
        <v>-3420.2409441417644</v>
      </c>
      <c r="L606" s="455">
        <f t="shared" ca="1" si="54"/>
        <v>-824278.06753816525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-824278.06753816525</v>
      </c>
      <c r="J607" s="455">
        <f t="array" ref="J607">IFERROR(INDEX('Retirement Calculator'!K:K,MATCH('Lorri 401b'!N607,'Retirement Calculator'!A:A,0),0),0)</f>
        <v>20282.026119384056</v>
      </c>
      <c r="K607" s="455">
        <f t="shared" ca="1" si="53"/>
        <v>-3519.0003902397889</v>
      </c>
      <c r="L607" s="455">
        <f t="shared" ca="1" si="54"/>
        <v>-848079.09404778911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-848079.09404778911</v>
      </c>
      <c r="J608" s="455">
        <f t="array" ref="J608">IFERROR(INDEX('Retirement Calculator'!K:K,MATCH('Lorri 401b'!N608,'Retirement Calculator'!A:A,0),0),0)</f>
        <v>20282.026119384056</v>
      </c>
      <c r="K608" s="455">
        <f t="shared" ca="1" si="53"/>
        <v>-3618.1713340298884</v>
      </c>
      <c r="L608" s="455">
        <f t="shared" ca="1" si="54"/>
        <v>-871979.29150120309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-871979.29150120309</v>
      </c>
      <c r="J609" s="455">
        <f t="array" ref="J609">IFERROR(INDEX('Retirement Calculator'!K:K,MATCH('Lorri 401b'!N609,'Retirement Calculator'!A:A,0),0),0)</f>
        <v>20282.026119384056</v>
      </c>
      <c r="K609" s="455">
        <f t="shared" ca="1" si="53"/>
        <v>-3717.7554900857795</v>
      </c>
      <c r="L609" s="455">
        <f t="shared" ca="1" si="54"/>
        <v>-895979.07311067299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-895979.07311067299</v>
      </c>
      <c r="J610" s="455">
        <f t="array" ref="J610">IFERROR(INDEX('Retirement Calculator'!K:K,MATCH('Lorri 401b'!N610,'Retirement Calculator'!A:A,0),0),0)</f>
        <v>20282.026119384056</v>
      </c>
      <c r="K610" s="455">
        <f t="shared" ca="1" si="53"/>
        <v>-3817.7545801252372</v>
      </c>
      <c r="L610" s="455">
        <f t="shared" ca="1" si="54"/>
        <v>-920078.85381018231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-920078.85381018231</v>
      </c>
      <c r="J611" s="455">
        <f t="array" ref="J611">IFERROR(INDEX('Retirement Calculator'!K:K,MATCH('Lorri 401b'!N611,'Retirement Calculator'!A:A,0),0),0)</f>
        <v>20282.026119384056</v>
      </c>
      <c r="K611" s="455">
        <f t="shared" ca="1" si="53"/>
        <v>-3918.17033303986</v>
      </c>
      <c r="L611" s="455">
        <f t="shared" ca="1" si="54"/>
        <v>-944279.05026260624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-944279.05026260624</v>
      </c>
      <c r="J612" s="455">
        <f t="array" ref="J612">IFERROR(INDEX('Retirement Calculator'!K:K,MATCH('Lorri 401b'!N612,'Retirement Calculator'!A:A,0),0),0)</f>
        <v>20282.026119384056</v>
      </c>
      <c r="K612" s="455">
        <f t="shared" ca="1" si="53"/>
        <v>-4019.0044849249598</v>
      </c>
      <c r="L612" s="455">
        <f t="shared" ca="1" si="54"/>
        <v>-968580.08086691529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-968580.08086691529</v>
      </c>
      <c r="J613" s="455">
        <f t="array" ref="J613">IFERROR(INDEX('Retirement Calculator'!K:K,MATCH('Lorri 401b'!N613,'Retirement Calculator'!A:A,0),0),0)</f>
        <v>20282.026119384056</v>
      </c>
      <c r="K613" s="455">
        <f t="shared" ca="1" si="53"/>
        <v>-4120.2587791095812</v>
      </c>
      <c r="L613" s="455">
        <f t="shared" ca="1" si="54"/>
        <v>-992982.36576540896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-992982.36576540896</v>
      </c>
      <c r="J614" s="455">
        <f t="array" ref="J614">IFERROR(INDEX('Retirement Calculator'!K:K,MATCH('Lorri 401b'!N614,'Retirement Calculator'!A:A,0),0),0)</f>
        <v>20282.026119384056</v>
      </c>
      <c r="K614" s="455">
        <f t="shared" ca="1" si="53"/>
        <v>-4221.9349661866372</v>
      </c>
      <c r="L614" s="455">
        <f t="shared" ca="1" si="54"/>
        <v>-1017486.3268509797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-1017486.3268509797</v>
      </c>
      <c r="J615" s="455">
        <f t="array" ref="J615">IFERROR(INDEX('Retirement Calculator'!K:K,MATCH('Lorri 401b'!N615,'Retirement Calculator'!A:A,0),0),0)</f>
        <v>20282.026119384056</v>
      </c>
      <c r="K615" s="455">
        <f t="shared" ca="1" si="53"/>
        <v>-4324.0348040431827</v>
      </c>
      <c r="L615" s="455">
        <f t="shared" ca="1" si="54"/>
        <v>-1042092.3877744069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-1042092.3877744069</v>
      </c>
      <c r="J616" s="455">
        <f t="array" ref="J616">IFERROR(INDEX('Retirement Calculator'!K:K,MATCH('Lorri 401b'!N616,'Retirement Calculator'!A:A,0),0),0)</f>
        <v>20282.026119384056</v>
      </c>
      <c r="K616" s="455">
        <f t="shared" ca="1" si="53"/>
        <v>-4426.5600578907952</v>
      </c>
      <c r="L616" s="455">
        <f t="shared" ca="1" si="54"/>
        <v>-1066800.9739516817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-1066800.9739516817</v>
      </c>
      <c r="J617" s="455">
        <f t="array" ref="J617">IFERROR(INDEX('Retirement Calculator'!K:K,MATCH('Lorri 401b'!N617,'Retirement Calculator'!A:A,0),0),0)</f>
        <v>20282.026119384056</v>
      </c>
      <c r="K617" s="455">
        <f t="shared" ca="1" si="53"/>
        <v>-4529.5125002961067</v>
      </c>
      <c r="L617" s="455">
        <f t="shared" ca="1" si="54"/>
        <v>-1091612.5125713618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-1091612.5125713618</v>
      </c>
      <c r="J618" s="455">
        <f t="array" ref="J618">IFERROR(INDEX('Retirement Calculator'!K:K,MATCH('Lorri 401b'!N618,'Retirement Calculator'!A:A,0),0),0)</f>
        <v>20282.026119384056</v>
      </c>
      <c r="K618" s="455">
        <f t="shared" ca="1" si="53"/>
        <v>-4632.8939112114413</v>
      </c>
      <c r="L618" s="455">
        <f t="shared" ca="1" si="54"/>
        <v>-1116527.4326019573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-1116527.4326019573</v>
      </c>
      <c r="J619" s="455">
        <f t="array" ref="J619">IFERROR(INDEX('Retirement Calculator'!K:K,MATCH('Lorri 401b'!N619,'Retirement Calculator'!A:A,0),0),0)</f>
        <v>20282.026119384056</v>
      </c>
      <c r="K619" s="455">
        <f t="shared" ca="1" si="53"/>
        <v>-4736.706078005589</v>
      </c>
      <c r="L619" s="455">
        <f t="shared" ca="1" si="54"/>
        <v>-1141546.1647993468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-1141546.1647993468</v>
      </c>
      <c r="J620" s="455">
        <f t="array" ref="J620">IFERROR(INDEX('Retirement Calculator'!K:K,MATCH('Lorri 401b'!N620,'Retirement Calculator'!A:A,0),0),0)</f>
        <v>20282.026119384056</v>
      </c>
      <c r="K620" s="455">
        <f t="shared" ca="1" si="53"/>
        <v>-4840.9507954947112</v>
      </c>
      <c r="L620" s="455">
        <f t="shared" ca="1" si="54"/>
        <v>-1166669.1417142255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-1166669.1417142255</v>
      </c>
      <c r="J621" s="455">
        <f t="array" ref="J621">IFERROR(INDEX('Retirement Calculator'!K:K,MATCH('Lorri 401b'!N621,'Retirement Calculator'!A:A,0),0),0)</f>
        <v>20282.026119384056</v>
      </c>
      <c r="K621" s="455">
        <f t="shared" ca="1" si="53"/>
        <v>-4945.6298659733729</v>
      </c>
      <c r="L621" s="455">
        <f t="shared" ca="1" si="54"/>
        <v>-1191896.7976995828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-1191896.7976995828</v>
      </c>
      <c r="J622" s="455">
        <f t="array" ref="J622">IFERROR(INDEX('Retirement Calculator'!K:K,MATCH('Lorri 401b'!N622,'Retirement Calculator'!A:A,0),0),0)</f>
        <v>20282.026119384056</v>
      </c>
      <c r="K622" s="455">
        <f t="shared" ca="1" si="53"/>
        <v>-5050.7450992456943</v>
      </c>
      <c r="L622" s="455">
        <f t="shared" ca="1" si="54"/>
        <v>-1217229.5689182125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-1217229.5689182125</v>
      </c>
      <c r="J623" s="455">
        <f t="array" ref="J623">IFERROR(INDEX('Retirement Calculator'!K:K,MATCH('Lorri 401b'!N623,'Retirement Calculator'!A:A,0),0),0)</f>
        <v>20282.026119384056</v>
      </c>
      <c r="K623" s="455">
        <f t="shared" ca="1" si="53"/>
        <v>-5156.2983126566523</v>
      </c>
      <c r="L623" s="455">
        <f t="shared" ca="1" si="54"/>
        <v>-1242667.8933502531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-1242667.8933502531</v>
      </c>
      <c r="J624" s="455">
        <f t="array" ref="J624">IFERROR(INDEX('Retirement Calculator'!K:K,MATCH('Lorri 401b'!N624,'Retirement Calculator'!A:A,0),0),0)</f>
        <v>20282.026119384056</v>
      </c>
      <c r="K624" s="455">
        <f t="shared" ca="1" si="53"/>
        <v>-5262.2913311234879</v>
      </c>
      <c r="L624" s="455">
        <f t="shared" ca="1" si="54"/>
        <v>-1268212.2108007607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-1268212.2108007607</v>
      </c>
      <c r="J625" s="455">
        <f t="array" ref="J625">IFERROR(INDEX('Retirement Calculator'!K:K,MATCH('Lorri 401b'!N625,'Retirement Calculator'!A:A,0),0),0)</f>
        <v>20282.026119384056</v>
      </c>
      <c r="K625" s="455">
        <f t="shared" ca="1" si="53"/>
        <v>-5368.7259871672695</v>
      </c>
      <c r="L625" s="455">
        <f t="shared" ca="1" si="54"/>
        <v>-1293862.962907312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-1293862.962907312</v>
      </c>
      <c r="J626" s="455">
        <f t="array" ref="J626">IFERROR(INDEX('Retirement Calculator'!K:K,MATCH('Lorri 401b'!N626,'Retirement Calculator'!A:A,0),0),0)</f>
        <v>20282.026119384056</v>
      </c>
      <c r="K626" s="455">
        <f t="shared" ca="1" si="53"/>
        <v>-5475.6041209445666</v>
      </c>
      <c r="L626" s="455">
        <f t="shared" ca="1" si="54"/>
        <v>-1319620.5931476406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-1319620.5931476406</v>
      </c>
      <c r="J627" s="455">
        <f t="array" ref="J627">IFERROR(INDEX('Retirement Calculator'!K:K,MATCH('Lorri 401b'!N627,'Retirement Calculator'!A:A,0),0),0)</f>
        <v>20282.026119384056</v>
      </c>
      <c r="K627" s="455">
        <f t="shared" ca="1" si="53"/>
        <v>-5582.927580279269</v>
      </c>
      <c r="L627" s="455">
        <f t="shared" ca="1" si="54"/>
        <v>-1345485.5468473039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-1345485.5468473039</v>
      </c>
      <c r="J628" s="455">
        <f t="array" ref="J628">IFERROR(INDEX('Retirement Calculator'!K:K,MATCH('Lorri 401b'!N628,'Retirement Calculator'!A:A,0),0),0)</f>
        <v>20282.026119384056</v>
      </c>
      <c r="K628" s="455">
        <f t="shared" ca="1" si="53"/>
        <v>-5690.6982206945322</v>
      </c>
      <c r="L628" s="455">
        <f t="shared" ca="1" si="54"/>
        <v>-1371458.2711873823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-1371458.2711873823</v>
      </c>
      <c r="J629" s="455">
        <f t="array" ref="J629">IFERROR(INDEX('Retirement Calculator'!K:K,MATCH('Lorri 401b'!N629,'Retirement Calculator'!A:A,0),0),0)</f>
        <v>20282.026119384056</v>
      </c>
      <c r="K629" s="455">
        <f t="shared" ca="1" si="53"/>
        <v>-5798.9179054448596</v>
      </c>
      <c r="L629" s="455">
        <f t="shared" ca="1" si="54"/>
        <v>-1397539.215212211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-1397539.215212211</v>
      </c>
      <c r="J630" s="455">
        <f t="array" ref="J630">IFERROR(INDEX('Retirement Calculator'!K:K,MATCH('Lorri 401b'!N630,'Retirement Calculator'!A:A,0),0),0)</f>
        <v>20282.026119384056</v>
      </c>
      <c r="K630" s="455">
        <f t="shared" ca="1" si="53"/>
        <v>-5907.5885055483122</v>
      </c>
      <c r="L630" s="455">
        <f t="shared" ca="1" si="54"/>
        <v>-1423728.8298371434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-1423728.8298371434</v>
      </c>
      <c r="J631" s="455">
        <f t="array" ref="J631">IFERROR(INDEX('Retirement Calculator'!K:K,MATCH('Lorri 401b'!N631,'Retirement Calculator'!A:A,0),0),0)</f>
        <v>20282.026119384056</v>
      </c>
      <c r="K631" s="455">
        <f t="shared" ca="1" si="53"/>
        <v>-6016.7118998188644</v>
      </c>
      <c r="L631" s="455">
        <f t="shared" ca="1" si="54"/>
        <v>-1450027.5678563463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-1450027.5678563463</v>
      </c>
      <c r="J632" s="455">
        <f t="array" ref="J632">IFERROR(INDEX('Retirement Calculator'!K:K,MATCH('Lorri 401b'!N632,'Retirement Calculator'!A:A,0),0),0)</f>
        <v>20282.026119384056</v>
      </c>
      <c r="K632" s="455">
        <f t="shared" ca="1" si="53"/>
        <v>-6126.2899748988757</v>
      </c>
      <c r="L632" s="455">
        <f t="shared" ca="1" si="54"/>
        <v>-1476435.883950629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-1476435.883950629</v>
      </c>
      <c r="J633" s="455">
        <f t="array" ref="J633">IFERROR(INDEX('Retirement Calculator'!K:K,MATCH('Lorri 401b'!N633,'Retirement Calculator'!A:A,0),0),0)</f>
        <v>20282.026119384056</v>
      </c>
      <c r="K633" s="455">
        <f t="shared" ca="1" si="53"/>
        <v>-6236.3246252917206</v>
      </c>
      <c r="L633" s="455">
        <f t="shared" ca="1" si="54"/>
        <v>-1502954.2346953047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-1502954.2346953047</v>
      </c>
      <c r="J634" s="455">
        <f t="array" ref="J634">IFERROR(INDEX('Retirement Calculator'!K:K,MATCH('Lorri 401b'!N634,'Retirement Calculator'!A:A,0),0),0)</f>
        <v>20282.026119384056</v>
      </c>
      <c r="K634" s="455">
        <f t="shared" ca="1" si="53"/>
        <v>-6346.8177533945363</v>
      </c>
      <c r="L634" s="455">
        <f t="shared" ca="1" si="54"/>
        <v>-1529583.0785680832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-1529583.0785680832</v>
      </c>
      <c r="J635" s="455">
        <f t="array" ref="J635">IFERROR(INDEX('Retirement Calculator'!K:K,MATCH('Lorri 401b'!N635,'Retirement Calculator'!A:A,0),0),0)</f>
        <v>20282.026119384056</v>
      </c>
      <c r="K635" s="455">
        <f t="shared" ca="1" si="53"/>
        <v>-6457.7712695311129</v>
      </c>
      <c r="L635" s="455">
        <f t="shared" ca="1" si="54"/>
        <v>-1556322.8759569984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-1556322.8759569984</v>
      </c>
      <c r="J636" s="455">
        <f t="array" ref="J636">IFERROR(INDEX('Retirement Calculator'!K:K,MATCH('Lorri 401b'!N636,'Retirement Calculator'!A:A,0),0),0)</f>
        <v>20282.026119384056</v>
      </c>
      <c r="K636" s="455">
        <f t="shared" ca="1" si="53"/>
        <v>-6569.1870919849271</v>
      </c>
      <c r="L636" s="455">
        <f t="shared" ca="1" si="54"/>
        <v>-1583174.0891683674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-1583174.0891683674</v>
      </c>
      <c r="J637" s="455">
        <f t="array" ref="J637">IFERROR(INDEX('Retirement Calculator'!K:K,MATCH('Lorri 401b'!N637,'Retirement Calculator'!A:A,0),0),0)</f>
        <v>20282.026119384056</v>
      </c>
      <c r="K637" s="455">
        <f t="shared" ca="1" si="53"/>
        <v>-6681.0671470322977</v>
      </c>
      <c r="L637" s="455">
        <f t="shared" ca="1" si="54"/>
        <v>-1610137.1824347838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-1610137.1824347838</v>
      </c>
      <c r="J638" s="455">
        <f t="array" ref="J638">IFERROR(INDEX('Retirement Calculator'!K:K,MATCH('Lorri 401b'!N638,'Retirement Calculator'!A:A,0),0),0)</f>
        <v>20282.026119384056</v>
      </c>
      <c r="K638" s="455">
        <f t="shared" ca="1" si="53"/>
        <v>-6793.4133689756991</v>
      </c>
      <c r="L638" s="455">
        <f t="shared" ca="1" si="54"/>
        <v>-1637212.6219231435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-1637212.6219231435</v>
      </c>
      <c r="J639" s="455">
        <f t="array" ref="J639">IFERROR(INDEX('Retirement Calculator'!K:K,MATCH('Lorri 401b'!N639,'Retirement Calculator'!A:A,0),0),0)</f>
        <v>20282.026119384056</v>
      </c>
      <c r="K639" s="455">
        <f t="shared" ca="1" si="53"/>
        <v>-6906.227700177199</v>
      </c>
      <c r="L639" s="455">
        <f t="shared" ca="1" si="54"/>
        <v>-1664400.8757427046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-1664400.8757427046</v>
      </c>
      <c r="J640" s="455">
        <f t="array" ref="J640">IFERROR(INDEX('Retirement Calculator'!K:K,MATCH('Lorri 401b'!N640,'Retirement Calculator'!A:A,0),0),0)</f>
        <v>20282.026119384056</v>
      </c>
      <c r="K640" s="455">
        <f t="shared" ca="1" si="53"/>
        <v>-7019.5120910920359</v>
      </c>
      <c r="L640" s="455">
        <f t="shared" ca="1" si="54"/>
        <v>-1691702.4139531807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-1691702.4139531807</v>
      </c>
      <c r="J641" s="455">
        <f t="array" ref="J641">IFERROR(INDEX('Retirement Calculator'!K:K,MATCH('Lorri 401b'!N641,'Retirement Calculator'!A:A,0),0),0)</f>
        <v>20282.026119384056</v>
      </c>
      <c r="K641" s="455">
        <f t="shared" ca="1" si="53"/>
        <v>-7133.2685003023525</v>
      </c>
      <c r="L641" s="455">
        <f t="shared" ca="1" si="54"/>
        <v>-1719117.7085728671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-1719117.7085728671</v>
      </c>
      <c r="J642" s="455">
        <f t="array" ref="J642">IFERROR(INDEX('Retirement Calculator'!K:K,MATCH('Lorri 401b'!N642,'Retirement Calculator'!A:A,0),0),0)</f>
        <v>20282.026119384056</v>
      </c>
      <c r="K642" s="455">
        <f t="shared" ca="1" si="53"/>
        <v>-7247.4988945510459</v>
      </c>
      <c r="L642" s="455">
        <f t="shared" ca="1" si="54"/>
        <v>-1746647.2335868021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-1746647.2335868021</v>
      </c>
      <c r="J643" s="455">
        <f t="array" ref="J643">IFERROR(INDEX('Retirement Calculator'!K:K,MATCH('Lorri 401b'!N643,'Retirement Calculator'!A:A,0),0),0)</f>
        <v>20282.026119384056</v>
      </c>
      <c r="K643" s="455">
        <f t="shared" ca="1" si="53"/>
        <v>-7362.2052487757755</v>
      </c>
      <c r="L643" s="455">
        <f t="shared" ca="1" si="54"/>
        <v>-1774291.464954962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-1774291.464954962</v>
      </c>
      <c r="J644" s="455">
        <f t="array" ref="J644">IFERROR(INDEX('Retirement Calculator'!K:K,MATCH('Lorri 401b'!N644,'Retirement Calculator'!A:A,0),0),0)</f>
        <v>20282.026119384056</v>
      </c>
      <c r="K644" s="455">
        <f t="shared" ca="1" si="53"/>
        <v>-7477.3895461431084</v>
      </c>
      <c r="L644" s="455">
        <f t="shared" ca="1" si="54"/>
        <v>-1802050.8806204891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-1802050.8806204891</v>
      </c>
      <c r="J645" s="455">
        <f t="array" ref="J645">IFERROR(INDEX('Retirement Calculator'!K:K,MATCH('Lorri 401b'!N645,'Retirement Calculator'!A:A,0),0),0)</f>
        <v>20282.026119384056</v>
      </c>
      <c r="K645" s="455">
        <f t="shared" ca="1" si="53"/>
        <v>-7593.0537780828045</v>
      </c>
      <c r="L645" s="455">
        <f t="shared" ca="1" si="54"/>
        <v>-1829925.9605179559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-1829925.9605179559</v>
      </c>
      <c r="J646" s="455">
        <f t="array" ref="J646">IFERROR(INDEX('Retirement Calculator'!K:K,MATCH('Lorri 401b'!N646,'Retirement Calculator'!A:A,0),0),0)</f>
        <v>20282.026119384056</v>
      </c>
      <c r="K646" s="455">
        <f t="shared" ca="1" si="53"/>
        <v>-7709.1999443222494</v>
      </c>
      <c r="L646" s="455">
        <f t="shared" ca="1" si="54"/>
        <v>-1857917.1865816622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-1857917.1865816622</v>
      </c>
      <c r="J647" s="455">
        <f t="array" ref="J647">IFERROR(INDEX('Retirement Calculator'!K:K,MATCH('Lorri 401b'!N647,'Retirement Calculator'!A:A,0),0),0)</f>
        <v>20282.026119384056</v>
      </c>
      <c r="K647" s="455">
        <f t="shared" ca="1" si="53"/>
        <v>-7825.8300529210255</v>
      </c>
      <c r="L647" s="455">
        <f t="shared" ca="1" si="54"/>
        <v>-1886025.0427539672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-1886025.0427539672</v>
      </c>
      <c r="J648" s="455">
        <f t="array" ref="J648">IFERROR(INDEX('Retirement Calculator'!K:K,MATCH('Lorri 401b'!N648,'Retirement Calculator'!A:A,0),0),0)</f>
        <v>20282.026119384056</v>
      </c>
      <c r="K648" s="455">
        <f t="shared" ca="1" si="53"/>
        <v>-7942.9461203056308</v>
      </c>
      <c r="L648" s="455">
        <f t="shared" ca="1" si="54"/>
        <v>-1914250.0149936569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-1914250.0149936569</v>
      </c>
      <c r="J649" s="455">
        <f t="array" ref="J649">IFERROR(INDEX('Retirement Calculator'!K:K,MATCH('Lorri 401b'!N649,'Retirement Calculator'!A:A,0),0),0)</f>
        <v>20282.026119384056</v>
      </c>
      <c r="K649" s="455">
        <f t="shared" ca="1" si="53"/>
        <v>-8060.5501713043359</v>
      </c>
      <c r="L649" s="455">
        <f t="shared" ca="1" si="54"/>
        <v>-1942592.5912843451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-1942592.5912843451</v>
      </c>
      <c r="J650" s="455">
        <f t="array" ref="J650">IFERROR(INDEX('Retirement Calculator'!K:K,MATCH('Lorri 401b'!N650,'Retirement Calculator'!A:A,0),0),0)</f>
        <v>20282.026119384056</v>
      </c>
      <c r="K650" s="455">
        <f t="shared" ca="1" si="53"/>
        <v>-8178.6442391822047</v>
      </c>
      <c r="L650" s="455">
        <f t="shared" ca="1" si="54"/>
        <v>-1971053.2616429112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-1971053.2616429112</v>
      </c>
      <c r="J651" s="455">
        <f t="array" ref="J651">IFERROR(INDEX('Retirement Calculator'!K:K,MATCH('Lorri 401b'!N651,'Retirement Calculator'!A:A,0),0),0)</f>
        <v>20282.026119384056</v>
      </c>
      <c r="K651" s="455">
        <f t="shared" ca="1" si="53"/>
        <v>-8297.2303656762306</v>
      </c>
      <c r="L651" s="455">
        <f t="shared" ca="1" si="54"/>
        <v>-1999632.5181279716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-1999632.5181279716</v>
      </c>
      <c r="J652" s="455">
        <f t="array" ref="J652">IFERROR(INDEX('Retirement Calculator'!K:K,MATCH('Lorri 401b'!N652,'Retirement Calculator'!A:A,0),0),0)</f>
        <v>20282.026119384056</v>
      </c>
      <c r="K652" s="455">
        <f t="shared" ca="1" si="53"/>
        <v>-8416.3106010306492</v>
      </c>
      <c r="L652" s="455">
        <f t="shared" ca="1" si="54"/>
        <v>-2028330.8548483863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-2028330.8548483863</v>
      </c>
      <c r="J653" s="455">
        <f t="array" ref="J653">IFERROR(INDEX('Retirement Calculator'!K:K,MATCH('Lorri 401b'!N653,'Retirement Calculator'!A:A,0),0),0)</f>
        <v>20282.026119384056</v>
      </c>
      <c r="K653" s="455">
        <f t="shared" ca="1" si="53"/>
        <v>-8535.8870040323764</v>
      </c>
      <c r="L653" s="455">
        <f t="shared" ca="1" si="54"/>
        <v>-2057148.7679718025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-2057148.7679718025</v>
      </c>
      <c r="J654" s="455">
        <f t="array" ref="J654">IFERROR(INDEX('Retirement Calculator'!K:K,MATCH('Lorri 401b'!N654,'Retirement Calculator'!A:A,0),0),0)</f>
        <v>20282.026119384056</v>
      </c>
      <c r="K654" s="455">
        <f t="shared" ca="1" si="53"/>
        <v>-8655.96164204661</v>
      </c>
      <c r="L654" s="455">
        <f t="shared" ca="1" si="54"/>
        <v>-2086086.7557332332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-2086086.7557332332</v>
      </c>
      <c r="J655" s="455">
        <f t="array" ref="J655">IFERROR(INDEX('Retirement Calculator'!K:K,MATCH('Lorri 401b'!N655,'Retirement Calculator'!A:A,0),0),0)</f>
        <v>20282.026119384056</v>
      </c>
      <c r="K655" s="455">
        <f t="shared" ca="1" si="53"/>
        <v>-8776.5365910525725</v>
      </c>
      <c r="L655" s="455">
        <f t="shared" ca="1" si="54"/>
        <v>-2115145.3184436699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-2115145.3184436699</v>
      </c>
      <c r="J656" s="455">
        <f t="array" ref="J656">IFERROR(INDEX('Retirement Calculator'!K:K,MATCH('Lorri 401b'!N656,'Retirement Calculator'!A:A,0),0),0)</f>
        <v>20282.026119384056</v>
      </c>
      <c r="K656" s="455">
        <f t="shared" ca="1" si="53"/>
        <v>-8897.6139356793919</v>
      </c>
      <c r="L656" s="455">
        <f t="shared" ca="1" si="54"/>
        <v>-2144324.9584987331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-2144324.9584987331</v>
      </c>
      <c r="J657" s="455">
        <f t="array" ref="J657">IFERROR(INDEX('Retirement Calculator'!K:K,MATCH('Lorri 401b'!N657,'Retirement Calculator'!A:A,0),0),0)</f>
        <v>20282.026119384056</v>
      </c>
      <c r="K657" s="455">
        <f t="shared" ca="1" si="53"/>
        <v>-9019.1957692421547</v>
      </c>
      <c r="L657" s="455">
        <f t="shared" ca="1" si="54"/>
        <v>-2173626.1803873591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-2173626.1803873591</v>
      </c>
      <c r="J658" s="455">
        <f t="array" ref="J658">IFERROR(INDEX('Retirement Calculator'!K:K,MATCH('Lorri 401b'!N658,'Retirement Calculator'!A:A,0),0),0)</f>
        <v>20282.026119384056</v>
      </c>
      <c r="K658" s="455">
        <f t="shared" ca="1" si="53"/>
        <v>-9141.2841937780959</v>
      </c>
      <c r="L658" s="455">
        <f t="shared" ca="1" si="54"/>
        <v>-2203049.490700521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-2203049.490700521</v>
      </c>
      <c r="J659" s="455">
        <f t="array" ref="J659">IFERROR(INDEX('Retirement Calculator'!K:K,MATCH('Lorri 401b'!N659,'Retirement Calculator'!A:A,0),0),0)</f>
        <v>20282.026119384056</v>
      </c>
      <c r="K659" s="455">
        <f t="shared" ca="1" si="53"/>
        <v>-9263.8813200829372</v>
      </c>
      <c r="L659" s="455">
        <f t="shared" ca="1" si="54"/>
        <v>-2232595.3981399881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-2232595.3981399881</v>
      </c>
      <c r="J660" s="455">
        <f t="array" ref="J660">IFERROR(INDEX('Retirement Calculator'!K:K,MATCH('Lorri 401b'!N660,'Retirement Calculator'!A:A,0),0),0)</f>
        <v>20282.026119384056</v>
      </c>
      <c r="K660" s="455">
        <f t="shared" ca="1" si="53"/>
        <v>-9386.9892677473836</v>
      </c>
      <c r="L660" s="455">
        <f t="shared" ca="1" si="54"/>
        <v>-2262264.4135271194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-2262264.4135271194</v>
      </c>
      <c r="J661" s="455">
        <f t="array" ref="J661">IFERROR(INDEX('Retirement Calculator'!K:K,MATCH('Lorri 401b'!N661,'Retirement Calculator'!A:A,0),0),0)</f>
        <v>20282.026119384056</v>
      </c>
      <c r="K661" s="455">
        <f t="shared" ca="1" si="53"/>
        <v>-9510.6101651937643</v>
      </c>
      <c r="L661" s="455">
        <f t="shared" ca="1" si="54"/>
        <v>-2292057.0498116971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-2292057.0498116971</v>
      </c>
      <c r="J662" s="455">
        <f t="array" ref="J662">IFERROR(INDEX('Retirement Calculator'!K:K,MATCH('Lorri 401b'!N662,'Retirement Calculator'!A:A,0),0),0)</f>
        <v>20282.026119384056</v>
      </c>
      <c r="K662" s="455">
        <f t="shared" ca="1" si="53"/>
        <v>-9634.746149712837</v>
      </c>
      <c r="L662" s="455">
        <f t="shared" ca="1" si="54"/>
        <v>-2321973.8220807938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-2321973.8220807938</v>
      </c>
      <c r="J663" s="455">
        <f t="array" ref="J663">IFERROR(INDEX('Retirement Calculator'!K:K,MATCH('Lorri 401b'!N663,'Retirement Calculator'!A:A,0),0),0)</f>
        <v>20282.026119384056</v>
      </c>
      <c r="K663" s="455">
        <f t="shared" ca="1" si="53"/>
        <v>-9759.3993675007405</v>
      </c>
      <c r="L663" s="455">
        <f t="shared" ca="1" si="54"/>
        <v>-2352015.2475676783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-2352015.2475676783</v>
      </c>
      <c r="J664" s="455">
        <f t="array" ref="J664">IFERROR(INDEX('Retirement Calculator'!K:K,MATCH('Lorri 401b'!N664,'Retirement Calculator'!A:A,0),0),0)</f>
        <v>20282.026119384056</v>
      </c>
      <c r="K664" s="455">
        <f t="shared" ca="1" si="53"/>
        <v>-9884.5719736960928</v>
      </c>
      <c r="L664" s="455">
        <f t="shared" ca="1" si="54"/>
        <v>-2382181.8456607582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-2382181.8456607582</v>
      </c>
      <c r="J665" s="455">
        <f t="array" ref="J665">IFERROR(INDEX('Retirement Calculator'!K:K,MATCH('Lorri 401b'!N665,'Retirement Calculator'!A:A,0),0),0)</f>
        <v>20282.026119384056</v>
      </c>
      <c r="K665" s="455">
        <f t="shared" ca="1" si="53"/>
        <v>-10010.266132417259</v>
      </c>
      <c r="L665" s="455">
        <f t="shared" ca="1" si="54"/>
        <v>-2412474.1379125593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-2412474.1379125593</v>
      </c>
      <c r="J666" s="455">
        <f t="array" ref="J666">IFERROR(INDEX('Retirement Calculator'!K:K,MATCH('Lorri 401b'!N666,'Retirement Calculator'!A:A,0),0),0)</f>
        <v>20282.026119384056</v>
      </c>
      <c r="K666" s="455">
        <f t="shared" ca="1" si="53"/>
        <v>-10136.484016799765</v>
      </c>
      <c r="L666" s="455">
        <f t="shared" ca="1" si="54"/>
        <v>-2442892.6480487431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-2442892.6480487431</v>
      </c>
      <c r="J667" s="455">
        <f t="array" ref="J667">IFERROR(INDEX('Retirement Calculator'!K:K,MATCH('Lorri 401b'!N667,'Retirement Calculator'!A:A,0),0),0)</f>
        <v>20282.026119384056</v>
      </c>
      <c r="K667" s="455">
        <f t="shared" ca="1" si="53"/>
        <v>-10263.227809033862</v>
      </c>
      <c r="L667" s="455">
        <f t="shared" ca="1" si="54"/>
        <v>-2473437.9019771609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-2473437.9019771609</v>
      </c>
      <c r="J668" s="455">
        <f t="array" ref="J668">IFERROR(INDEX('Retirement Calculator'!K:K,MATCH('Lorri 401b'!N668,'Retirement Calculator'!A:A,0),0),0)</f>
        <v>20282.026119384056</v>
      </c>
      <c r="K668" s="455">
        <f t="shared" ca="1" si="53"/>
        <v>-10390.49970040227</v>
      </c>
      <c r="L668" s="455">
        <f t="shared" ca="1" si="54"/>
        <v>-2504110.4277969473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-2504110.4277969473</v>
      </c>
      <c r="J669" s="455">
        <f t="array" ref="J669">IFERROR(INDEX('Retirement Calculator'!K:K,MATCH('Lorri 401b'!N669,'Retirement Calculator'!A:A,0),0),0)</f>
        <v>20282.026119384056</v>
      </c>
      <c r="K669" s="455">
        <f t="shared" ca="1" si="53"/>
        <v>-10518.301891318048</v>
      </c>
      <c r="L669" s="455">
        <f t="shared" ca="1" si="54"/>
        <v>-2534910.7558076493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-2534910.7558076493</v>
      </c>
      <c r="J670" s="455">
        <f t="array" ref="J670">IFERROR(INDEX('Retirement Calculator'!K:K,MATCH('Lorri 401b'!N670,'Retirement Calculator'!A:A,0),0),0)</f>
        <v>20282.026119384056</v>
      </c>
      <c r="K670" s="455">
        <f t="shared" ca="1" si="53"/>
        <v>-10646.63659136264</v>
      </c>
      <c r="L670" s="455">
        <f t="shared" ca="1" si="54"/>
        <v>-2565839.4185183961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-2565839.4185183961</v>
      </c>
      <c r="J671" s="455">
        <f t="array" ref="J671">IFERROR(INDEX('Retirement Calculator'!K:K,MATCH('Lorri 401b'!N671,'Retirement Calculator'!A:A,0),0),0)</f>
        <v>20282.026119384056</v>
      </c>
      <c r="K671" s="455">
        <f t="shared" ca="1" si="53"/>
        <v>-10775.506019324084</v>
      </c>
      <c r="L671" s="455">
        <f t="shared" ca="1" si="54"/>
        <v>-2596896.9506571041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-2596896.9506571041</v>
      </c>
      <c r="J672" s="455">
        <f t="array" ref="J672">IFERROR(INDEX('Retirement Calculator'!K:K,MATCH('Lorri 401b'!N672,'Retirement Calculator'!A:A,0),0),0)</f>
        <v>20282.026119384056</v>
      </c>
      <c r="K672" s="455">
        <f t="shared" ca="1" si="53"/>
        <v>-10904.912403235367</v>
      </c>
      <c r="L672" s="455">
        <f t="shared" ca="1" si="54"/>
        <v>-2628083.8891797233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-2628083.8891797233</v>
      </c>
      <c r="J673" s="455">
        <f t="array" ref="J673">IFERROR(INDEX('Retirement Calculator'!K:K,MATCH('Lorri 401b'!N673,'Retirement Calculator'!A:A,0),0),0)</f>
        <v>20282.026119384056</v>
      </c>
      <c r="K673" s="455">
        <f t="shared" ca="1" si="53"/>
        <v>-11034.857980412948</v>
      </c>
      <c r="L673" s="455">
        <f t="shared" ca="1" si="54"/>
        <v>-2659400.7732795202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-2659400.7732795202</v>
      </c>
      <c r="J674" s="455">
        <f t="array" ref="J674">IFERROR(INDEX('Retirement Calculator'!K:K,MATCH('Lorri 401b'!N674,'Retirement Calculator'!A:A,0),0),0)</f>
        <v>20282.026119384056</v>
      </c>
      <c r="K674" s="455">
        <f t="shared" ca="1" si="53"/>
        <v>-11165.344997495435</v>
      </c>
      <c r="L674" s="455">
        <f t="shared" ca="1" si="54"/>
        <v>-2690848.1443963996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-2690848.1443963996</v>
      </c>
      <c r="J675" s="455">
        <f t="array" ref="J675">IFERROR(INDEX('Retirement Calculator'!K:K,MATCH('Lorri 401b'!N675,'Retirement Calculator'!A:A,0),0),0)</f>
        <v>20282.026119384056</v>
      </c>
      <c r="K675" s="455">
        <f t="shared" ca="1" si="53"/>
        <v>-11296.375710482431</v>
      </c>
      <c r="L675" s="455">
        <f t="shared" ca="1" si="54"/>
        <v>-2722426.5462262658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-2722426.5462262658</v>
      </c>
      <c r="J676" s="455">
        <f t="array" ref="J676">IFERROR(INDEX('Retirement Calculator'!K:K,MATCH('Lorri 401b'!N676,'Retirement Calculator'!A:A,0),0),0)</f>
        <v>20282.026119384056</v>
      </c>
      <c r="K676" s="455">
        <f t="shared" ca="1" si="53"/>
        <v>-11427.95238477354</v>
      </c>
      <c r="L676" s="455">
        <f t="shared" ca="1" si="54"/>
        <v>-2754136.5247304235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-2754136.5247304235</v>
      </c>
      <c r="J677" s="455">
        <f t="array" ref="J677">IFERROR(INDEX('Retirement Calculator'!K:K,MATCH('Lorri 401b'!N677,'Retirement Calculator'!A:A,0),0),0)</f>
        <v>20282.026119384056</v>
      </c>
      <c r="K677" s="455">
        <f t="shared" ca="1" si="53"/>
        <v>-11560.077295207531</v>
      </c>
      <c r="L677" s="455">
        <f t="shared" ca="1" si="54"/>
        <v>-2785978.6281450149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-2785978.6281450149</v>
      </c>
      <c r="J678" s="455">
        <f t="array" ref="J678">IFERROR(INDEX('Retirement Calculator'!K:K,MATCH('Lorri 401b'!N678,'Retirement Calculator'!A:A,0),0),0)</f>
        <v>20282.026119384056</v>
      </c>
      <c r="K678" s="455">
        <f t="shared" ca="1" si="53"/>
        <v>-11692.752726101662</v>
      </c>
      <c r="L678" s="455">
        <f t="shared" ca="1" si="54"/>
        <v>-2817953.4069905006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-2817953.4069905006</v>
      </c>
      <c r="J679" s="455">
        <f t="array" ref="J679">IFERROR(INDEX('Retirement Calculator'!K:K,MATCH('Lorri 401b'!N679,'Retirement Calculator'!A:A,0),0),0)</f>
        <v>20282.026119384056</v>
      </c>
      <c r="K679" s="455">
        <f t="shared" ca="1" si="53"/>
        <v>-11825.980971291187</v>
      </c>
      <c r="L679" s="455">
        <f t="shared" ca="1" si="54"/>
        <v>-2850061.4140811758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-2850061.4140811758</v>
      </c>
      <c r="J680" s="455">
        <f t="array" ref="J680">IFERROR(INDEX('Retirement Calculator'!K:K,MATCH('Lorri 401b'!N680,'Retirement Calculator'!A:A,0),0),0)</f>
        <v>20282.026119384056</v>
      </c>
      <c r="K680" s="455">
        <f t="shared" ca="1" si="53"/>
        <v>-11959.764334168998</v>
      </c>
      <c r="L680" s="455">
        <f t="shared" ca="1" si="54"/>
        <v>-2882303.204534729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-2882303.204534729</v>
      </c>
      <c r="J681" s="455">
        <f t="array" ref="J681">IFERROR(INDEX('Retirement Calculator'!K:K,MATCH('Lorri 401b'!N681,'Retirement Calculator'!A:A,0),0),0)</f>
        <v>20282.026119384056</v>
      </c>
      <c r="K681" s="455">
        <f t="shared" ca="1" si="53"/>
        <v>-12094.10512772547</v>
      </c>
      <c r="L681" s="455">
        <f t="shared" ca="1" si="54"/>
        <v>-2914679.3357818383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-2914679.3357818383</v>
      </c>
      <c r="J682" s="455">
        <f t="array" ref="J682">IFERROR(INDEX('Retirement Calculator'!K:K,MATCH('Lorri 401b'!N682,'Retirement Calculator'!A:A,0),0),0)</f>
        <v>20282.026119384056</v>
      </c>
      <c r="K682" s="455">
        <f t="shared" ca="1" si="53"/>
        <v>-12229.005674588427</v>
      </c>
      <c r="L682" s="455">
        <f t="shared" ca="1" si="54"/>
        <v>-2947190.3675758108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-2947190.3675758108</v>
      </c>
      <c r="J683" s="455">
        <f t="array" ref="J683">IFERROR(INDEX('Retirement Calculator'!K:K,MATCH('Lorri 401b'!N683,'Retirement Calculator'!A:A,0),0),0)</f>
        <v>20282.026119384056</v>
      </c>
      <c r="K683" s="455">
        <f t="shared" ca="1" si="53"/>
        <v>-12364.468307063311</v>
      </c>
      <c r="L683" s="455">
        <f t="shared" ca="1" si="54"/>
        <v>-2979836.8620022582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-2979836.8620022582</v>
      </c>
      <c r="J684" s="455">
        <f t="array" ref="J684">IFERROR(INDEX('Retirement Calculator'!K:K,MATCH('Lorri 401b'!N684,'Retirement Calculator'!A:A,0),0),0)</f>
        <v>20282.026119384056</v>
      </c>
      <c r="K684" s="455">
        <f t="shared" ca="1" si="53"/>
        <v>-12500.495367173509</v>
      </c>
      <c r="L684" s="455">
        <f t="shared" ca="1" si="54"/>
        <v>-3012619.3834888157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-3012619.3834888157</v>
      </c>
      <c r="J685" s="455">
        <f t="array" ref="J685">IFERROR(INDEX('Retirement Calculator'!K:K,MATCH('Lorri 401b'!N685,'Retirement Calculator'!A:A,0),0),0)</f>
        <v>20282.026119384056</v>
      </c>
      <c r="K685" s="455">
        <f t="shared" ca="1" si="53"/>
        <v>-12637.089206700832</v>
      </c>
      <c r="L685" s="455">
        <f t="shared" ca="1" si="54"/>
        <v>-3045538.4988149004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-3045538.4988149004</v>
      </c>
      <c r="J686" s="455">
        <f t="array" ref="J686">IFERROR(INDEX('Retirement Calculator'!K:K,MATCH('Lorri 401b'!N686,'Retirement Calculator'!A:A,0),0),0)</f>
        <v>20282.026119384056</v>
      </c>
      <c r="K686" s="455">
        <f t="shared" ca="1" si="53"/>
        <v>-12774.252187226184</v>
      </c>
      <c r="L686" s="455">
        <f t="shared" ca="1" si="54"/>
        <v>-3078594.7771215104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-3078594.7771215104</v>
      </c>
      <c r="J687" s="455">
        <f t="array" ref="J687">IFERROR(INDEX('Retirement Calculator'!K:K,MATCH('Lorri 401b'!N687,'Retirement Calculator'!A:A,0),0),0)</f>
        <v>20282.026119384056</v>
      </c>
      <c r="K687" s="455">
        <f t="shared" ca="1" si="53"/>
        <v>-12911.986680170394</v>
      </c>
      <c r="L687" s="455">
        <f t="shared" ca="1" si="54"/>
        <v>-3111788.7899210649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-3111788.7899210649</v>
      </c>
      <c r="J688" s="455">
        <f t="array" ref="J688">IFERROR(INDEX('Retirement Calculator'!K:K,MATCH('Lorri 401b'!N688,'Retirement Calculator'!A:A,0),0),0)</f>
        <v>20282.026119384056</v>
      </c>
      <c r="K688" s="455">
        <f t="shared" ca="1" si="53"/>
        <v>-13050.295066835204</v>
      </c>
      <c r="L688" s="455">
        <f t="shared" ca="1" si="54"/>
        <v>-3145121.1111072842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-3145121.1111072842</v>
      </c>
      <c r="J689" s="455">
        <f t="array" ref="J689">IFERROR(INDEX('Retirement Calculator'!K:K,MATCH('Lorri 401b'!N689,'Retirement Calculator'!A:A,0),0),0)</f>
        <v>20282.026119384056</v>
      </c>
      <c r="K689" s="455">
        <f t="shared" ca="1" si="53"/>
        <v>-13189.179738444451</v>
      </c>
      <c r="L689" s="455">
        <f t="shared" ca="1" si="54"/>
        <v>-3178592.3169651125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-3178592.3169651125</v>
      </c>
      <c r="J690" s="455">
        <f t="array" ref="J690">IFERROR(INDEX('Retirement Calculator'!K:K,MATCH('Lorri 401b'!N690,'Retirement Calculator'!A:A,0),0),0)</f>
        <v>20282.026119384056</v>
      </c>
      <c r="K690" s="455">
        <f t="shared" ca="1" si="53"/>
        <v>-13328.643096185402</v>
      </c>
      <c r="L690" s="455">
        <f t="shared" ca="1" si="54"/>
        <v>-3212202.9861806817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-3212202.9861806817</v>
      </c>
      <c r="J691" s="455">
        <f t="array" ref="J691">IFERROR(INDEX('Retirement Calculator'!K:K,MATCH('Lorri 401b'!N691,'Retirement Calculator'!A:A,0),0),0)</f>
        <v>20282.026119384056</v>
      </c>
      <c r="K691" s="455">
        <f t="shared" ca="1" si="53"/>
        <v>-13468.687551250274</v>
      </c>
      <c r="L691" s="455">
        <f t="shared" ca="1" si="54"/>
        <v>-3245953.6998513159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-3245953.6998513159</v>
      </c>
      <c r="J692" s="455">
        <f t="array" ref="J692">IFERROR(INDEX('Retirement Calculator'!K:K,MATCH('Lorri 401b'!N692,'Retirement Calculator'!A:A,0),0),0)</f>
        <v>20282.026119384056</v>
      </c>
      <c r="K692" s="455">
        <f t="shared" ca="1" si="53"/>
        <v>-13609.315524877917</v>
      </c>
      <c r="L692" s="455">
        <f t="shared" ca="1" si="54"/>
        <v>-3279845.0414955779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-3279845.0414955779</v>
      </c>
      <c r="J693" s="455">
        <f t="array" ref="J693">IFERROR(INDEX('Retirement Calculator'!K:K,MATCH('Lorri 401b'!N693,'Retirement Calculator'!A:A,0),0),0)</f>
        <v>20282.026119384056</v>
      </c>
      <c r="K693" s="455">
        <f t="shared" ca="1" si="53"/>
        <v>-13750.529448395675</v>
      </c>
      <c r="L693" s="455">
        <f t="shared" ca="1" si="54"/>
        <v>-3313877.5970633575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-3313877.5970633575</v>
      </c>
      <c r="J694" s="455">
        <f t="array" ref="J694">IFERROR(INDEX('Retirement Calculator'!K:K,MATCH('Lorri 401b'!N694,'Retirement Calculator'!A:A,0),0),0)</f>
        <v>20282.026119384056</v>
      </c>
      <c r="K694" s="455">
        <f t="shared" ca="1" si="53"/>
        <v>-13892.331763261425</v>
      </c>
      <c r="L694" s="455">
        <f t="shared" ca="1" si="54"/>
        <v>-3348051.9549460029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-3348051.9549460029</v>
      </c>
      <c r="J695" s="455">
        <f t="array" ref="J695">IFERROR(INDEX('Retirement Calculator'!K:K,MATCH('Lorri 401b'!N695,'Retirement Calculator'!A:A,0),0),0)</f>
        <v>20282.026119384056</v>
      </c>
      <c r="K695" s="455">
        <f t="shared" ca="1" si="53"/>
        <v>-14034.724921105781</v>
      </c>
      <c r="L695" s="455">
        <f t="shared" ca="1" si="54"/>
        <v>-3382368.7059864928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-3382368.7059864928</v>
      </c>
      <c r="J696" s="455">
        <f t="array" ref="J696">IFERROR(INDEX('Retirement Calculator'!K:K,MATCH('Lorri 401b'!N696,'Retirement Calculator'!A:A,0),0),0)</f>
        <v>20282.026119384056</v>
      </c>
      <c r="K696" s="455">
        <f t="shared" ca="1" si="53"/>
        <v>-14177.711383774486</v>
      </c>
      <c r="L696" s="455">
        <f t="shared" ca="1" si="54"/>
        <v>-3416828.4434896512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-3416828.4434896512</v>
      </c>
      <c r="J697" s="455">
        <f t="array" ref="J697">IFERROR(INDEX('Retirement Calculator'!K:K,MATCH('Lorri 401b'!N697,'Retirement Calculator'!A:A,0),0),0)</f>
        <v>20282.026119384056</v>
      </c>
      <c r="K697" s="455">
        <f t="shared" ca="1" si="53"/>
        <v>-14321.293623370979</v>
      </c>
      <c r="L697" s="455">
        <f t="shared" ca="1" si="54"/>
        <v>-3451431.7632324062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-3451431.7632324062</v>
      </c>
      <c r="J698" s="455">
        <f t="array" ref="J698">IFERROR(INDEX('Retirement Calculator'!K:K,MATCH('Lorri 401b'!N698,'Retirement Calculator'!A:A,0),0),0)</f>
        <v>20282.026119384056</v>
      </c>
      <c r="K698" s="455">
        <f t="shared" ca="1" si="53"/>
        <v>-14465.474122299127</v>
      </c>
      <c r="L698" s="455">
        <f t="shared" ca="1" si="54"/>
        <v>-3486179.2634740896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-3486179.2634740896</v>
      </c>
      <c r="J699" s="455">
        <f t="array" ref="J699">IFERROR(INDEX('Retirement Calculator'!K:K,MATCH('Lorri 401b'!N699,'Retirement Calculator'!A:A,0),0),0)</f>
        <v>20282.026119384056</v>
      </c>
      <c r="K699" s="455">
        <f t="shared" ca="1" si="53"/>
        <v>-14610.25537330614</v>
      </c>
      <c r="L699" s="455">
        <f t="shared" ca="1" si="54"/>
        <v>-3521071.5449667796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-3521071.5449667796</v>
      </c>
      <c r="J700" s="455">
        <f t="array" ref="J700">IFERROR(INDEX('Retirement Calculator'!K:K,MATCH('Lorri 401b'!N700,'Retirement Calculator'!A:A,0),0),0)</f>
        <v>20282.026119384056</v>
      </c>
      <c r="K700" s="455">
        <f t="shared" ca="1" si="53"/>
        <v>-14755.639879525681</v>
      </c>
      <c r="L700" s="455">
        <f t="shared" ca="1" si="54"/>
        <v>-3556109.2109656893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-3556109.2109656893</v>
      </c>
      <c r="J701" s="455">
        <f t="array" ref="J701">IFERROR(INDEX('Retirement Calculator'!K:K,MATCH('Lorri 401b'!N701,'Retirement Calculator'!A:A,0),0),0)</f>
        <v>20282.026119384056</v>
      </c>
      <c r="K701" s="455">
        <f t="shared" ca="1" si="53"/>
        <v>-14901.630154521141</v>
      </c>
      <c r="L701" s="455">
        <f t="shared" ca="1" si="54"/>
        <v>-3591292.8672395945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-3591292.8672395945</v>
      </c>
      <c r="J702" s="455">
        <f t="array" ref="J702">IFERROR(INDEX('Retirement Calculator'!K:K,MATCH('Lorri 401b'!N702,'Retirement Calculator'!A:A,0),0),0)</f>
        <v>20282.026119384056</v>
      </c>
      <c r="K702" s="455">
        <f t="shared" ca="1" si="53"/>
        <v>-15048.228722329077</v>
      </c>
      <c r="L702" s="455">
        <f t="shared" ca="1" si="54"/>
        <v>-3626623.1220813077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-3626623.1220813077</v>
      </c>
      <c r="J703" s="455">
        <f t="array" ref="J703">IFERROR(INDEX('Retirement Calculator'!K:K,MATCH('Lorri 401b'!N703,'Retirement Calculator'!A:A,0),0),0)</f>
        <v>20282.026119384056</v>
      </c>
      <c r="K703" s="455">
        <f t="shared" ca="1" si="53"/>
        <v>-15195.438117502881</v>
      </c>
      <c r="L703" s="455">
        <f t="shared" ca="1" si="54"/>
        <v>-3662100.5863181944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-3662100.5863181944</v>
      </c>
      <c r="J704" s="455">
        <f t="array" ref="J704">IFERROR(INDEX('Retirement Calculator'!K:K,MATCH('Lorri 401b'!N704,'Retirement Calculator'!A:A,0),0),0)</f>
        <v>20282.026119384056</v>
      </c>
      <c r="K704" s="455">
        <f t="shared" ca="1" si="53"/>
        <v>-15343.260885156576</v>
      </c>
      <c r="L704" s="455">
        <f t="shared" ca="1" si="54"/>
        <v>-3697725.8733227351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-3697725.8733227351</v>
      </c>
      <c r="J705" s="455">
        <f t="array" ref="J705">IFERROR(INDEX('Retirement Calculator'!K:K,MATCH('Lorri 401b'!N705,'Retirement Calculator'!A:A,0),0),0)</f>
        <v>20282.026119384056</v>
      </c>
      <c r="K705" s="455">
        <f t="shared" ca="1" si="53"/>
        <v>-15491.699581008832</v>
      </c>
      <c r="L705" s="455">
        <f t="shared" ca="1" si="54"/>
        <v>-3733499.5990231279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-3733499.5990231279</v>
      </c>
      <c r="J706" s="455">
        <f t="array" ref="J706">IFERROR(INDEX('Retirement Calculator'!K:K,MATCH('Lorri 401b'!N706,'Retirement Calculator'!A:A,0),0),0)</f>
        <v>20282.026119384056</v>
      </c>
      <c r="K706" s="455">
        <f t="shared" ca="1" si="53"/>
        <v>-15640.756771427134</v>
      </c>
      <c r="L706" s="455">
        <f t="shared" ca="1" si="54"/>
        <v>-3769422.381913939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-3769422.381913939</v>
      </c>
      <c r="J707" s="455">
        <f t="array" ref="J707">IFERROR(INDEX('Retirement Calculator'!K:K,MATCH('Lorri 401b'!N707,'Retirement Calculator'!A:A,0),0),0)</f>
        <v>20282.026119384056</v>
      </c>
      <c r="K707" s="455">
        <f t="shared" ca="1" si="53"/>
        <v>-15790.435033472178</v>
      </c>
      <c r="L707" s="455">
        <f t="shared" ca="1" si="54"/>
        <v>-3805494.8430667953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-3805494.8430667953</v>
      </c>
      <c r="J708" s="455">
        <f t="array" ref="J708">IFERROR(INDEX('Retirement Calculator'!K:K,MATCH('Lorri 401b'!N708,'Retirement Calculator'!A:A,0),0),0)</f>
        <v>20282.026119384056</v>
      </c>
      <c r="K708" s="455">
        <f t="shared" ca="1" si="53"/>
        <v>-15940.736954942413</v>
      </c>
      <c r="L708" s="455">
        <f t="shared" ca="1" si="54"/>
        <v>-3841717.6061411216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-3841717.6061411216</v>
      </c>
      <c r="J709" s="455">
        <f t="array" ref="J709">IFERROR(INDEX('Retirement Calculator'!K:K,MATCH('Lorri 401b'!N709,'Retirement Calculator'!A:A,0),0),0)</f>
        <v>20282.026119384056</v>
      </c>
      <c r="K709" s="455">
        <f t="shared" ca="1" si="53"/>
        <v>-16091.665134418772</v>
      </c>
      <c r="L709" s="455">
        <f t="shared" ca="1" si="54"/>
        <v>-3878091.2973949243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-3878091.2973949243</v>
      </c>
      <c r="J710" s="455">
        <f t="array" ref="J710">IFERROR(INDEX('Retirement Calculator'!K:K,MATCH('Lorri 401b'!N710,'Retirement Calculator'!A:A,0),0),0)</f>
        <v>20282.026119384056</v>
      </c>
      <c r="K710" s="455">
        <f t="shared" ca="1" si="53"/>
        <v>-16243.222181309618</v>
      </c>
      <c r="L710" s="455">
        <f t="shared" ca="1" si="54"/>
        <v>-3914616.5456956178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-3914616.5456956178</v>
      </c>
      <c r="J711" s="455">
        <f t="array" ref="J711">IFERROR(INDEX('Retirement Calculator'!K:K,MATCH('Lorri 401b'!N711,'Retirement Calculator'!A:A,0),0),0)</f>
        <v>20282.026119384056</v>
      </c>
      <c r="K711" s="455">
        <f t="shared" ca="1" si="53"/>
        <v>-16395.410715895843</v>
      </c>
      <c r="L711" s="455">
        <f t="shared" ca="1" si="54"/>
        <v>-3951293.9825308975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-3951293.9825308975</v>
      </c>
      <c r="J712" s="455">
        <f t="array" ref="J712">IFERROR(INDEX('Retirement Calculator'!K:K,MATCH('Lorri 401b'!N712,'Retirement Calculator'!A:A,0),0),0)</f>
        <v>20282.026119384056</v>
      </c>
      <c r="K712" s="455">
        <f t="shared" ca="1" si="53"/>
        <v>-16548.233369376176</v>
      </c>
      <c r="L712" s="455">
        <f t="shared" ca="1" si="54"/>
        <v>-3988124.2420196575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-3988124.2420196575</v>
      </c>
      <c r="J713" s="455">
        <f t="array" ref="J713">IFERROR(INDEX('Retirement Calculator'!K:K,MATCH('Lorri 401b'!N713,'Retirement Calculator'!A:A,0),0),0)</f>
        <v>20282.026119384056</v>
      </c>
      <c r="K713" s="455">
        <f t="shared" ca="1" si="53"/>
        <v>-16701.692783912673</v>
      </c>
      <c r="L713" s="455">
        <f t="shared" ca="1" si="54"/>
        <v>-4025107.9609229541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-4025107.9609229541</v>
      </c>
      <c r="J714" s="455">
        <f t="array" ref="J714">IFERROR(INDEX('Retirement Calculator'!K:K,MATCH('Lorri 401b'!N714,'Retirement Calculator'!A:A,0),0),0)</f>
        <v>20282.026119384056</v>
      </c>
      <c r="K714" s="455">
        <f t="shared" ca="1" si="53"/>
        <v>-16855.79161267641</v>
      </c>
      <c r="L714" s="455">
        <f t="shared" ca="1" si="54"/>
        <v>-4062245.7786550145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-4062245.7786550145</v>
      </c>
      <c r="J715" s="455">
        <f t="array" ref="J715">IFERROR(INDEX('Retirement Calculator'!K:K,MATCH('Lorri 401b'!N715,'Retirement Calculator'!A:A,0),0),0)</f>
        <v>20282.026119384056</v>
      </c>
      <c r="K715" s="455">
        <f t="shared" ca="1" si="53"/>
        <v>-17010.532519893328</v>
      </c>
      <c r="L715" s="455">
        <f t="shared" ca="1" si="54"/>
        <v>-4099538.3372942917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-4099538.3372942917</v>
      </c>
      <c r="J716" s="455">
        <f t="array" ref="J716">IFERROR(INDEX('Retirement Calculator'!K:K,MATCH('Lorri 401b'!N716,'Retirement Calculator'!A:A,0),0),0)</f>
        <v>20282.026119384056</v>
      </c>
      <c r="K716" s="455">
        <f t="shared" ca="1" si="53"/>
        <v>-17165.918180890316</v>
      </c>
      <c r="L716" s="455">
        <f t="shared" ca="1" si="54"/>
        <v>-4136986.2815945661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-4136986.2815945661</v>
      </c>
      <c r="J717" s="455">
        <f t="array" ref="J717">IFERROR(INDEX('Retirement Calculator'!K:K,MATCH('Lorri 401b'!N717,'Retirement Calculator'!A:A,0),0),0)</f>
        <v>20282.026119384056</v>
      </c>
      <c r="K717" s="455">
        <f t="shared" ca="1" si="53"/>
        <v>-17321.951282141461</v>
      </c>
      <c r="L717" s="455">
        <f t="shared" ca="1" si="54"/>
        <v>-4174590.2589960913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-4174590.2589960913</v>
      </c>
      <c r="J718" s="455">
        <f t="array" ref="J718">IFERROR(INDEX('Retirement Calculator'!K:K,MATCH('Lorri 401b'!N718,'Retirement Calculator'!A:A,0),0),0)</f>
        <v>20282.026119384056</v>
      </c>
      <c r="K718" s="455">
        <f t="shared" ca="1" si="53"/>
        <v>-17478.634521314481</v>
      </c>
      <c r="L718" s="455">
        <f t="shared" ca="1" si="54"/>
        <v>-4212350.9196367906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-4212350.9196367906</v>
      </c>
      <c r="J719" s="455">
        <f t="array" ref="J719">IFERROR(INDEX('Retirement Calculator'!K:K,MATCH('Lorri 401b'!N719,'Retirement Calculator'!A:A,0),0),0)</f>
        <v>20282.026119384056</v>
      </c>
      <c r="K719" s="455">
        <f t="shared" ca="1" si="53"/>
        <v>-17635.970607317395</v>
      </c>
      <c r="L719" s="455">
        <f t="shared" ca="1" si="54"/>
        <v>-4250268.9163634917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-4250268.9163634917</v>
      </c>
      <c r="J720" s="455">
        <f t="array" ref="J720">IFERROR(INDEX('Retirement Calculator'!K:K,MATCH('Lorri 401b'!N720,'Retirement Calculator'!A:A,0),0),0)</f>
        <v>20282.026119384056</v>
      </c>
      <c r="K720" s="455">
        <f t="shared" ca="1" si="53"/>
        <v>-17793.962260345314</v>
      </c>
      <c r="L720" s="455">
        <f t="shared" ca="1" si="54"/>
        <v>-4288344.9047432207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-4288344.9047432207</v>
      </c>
      <c r="J721" s="455">
        <f t="array" ref="J721">IFERROR(INDEX('Retirement Calculator'!K:K,MATCH('Lorri 401b'!N721,'Retirement Calculator'!A:A,0),0),0)</f>
        <v>20282.026119384056</v>
      </c>
      <c r="K721" s="455">
        <f t="shared" ca="1" si="53"/>
        <v>-17952.612211927521</v>
      </c>
      <c r="L721" s="455">
        <f t="shared" ca="1" si="54"/>
        <v>-4326579.5430745324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-4326579.5430745324</v>
      </c>
      <c r="J722" s="455">
        <f t="array" ref="J722">IFERROR(INDEX('Retirement Calculator'!K:K,MATCH('Lorri 401b'!N722,'Retirement Calculator'!A:A,0),0),0)</f>
        <v>20282.026119384056</v>
      </c>
      <c r="K722" s="455">
        <f t="shared" ca="1" si="53"/>
        <v>-18111.92320497465</v>
      </c>
      <c r="L722" s="455">
        <f t="shared" ca="1" si="54"/>
        <v>-4364973.4923988907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-4364973.4923988907</v>
      </c>
      <c r="J723" s="455">
        <f t="array" ref="J723">IFERROR(INDEX('Retirement Calculator'!K:K,MATCH('Lorri 401b'!N723,'Retirement Calculator'!A:A,0),0),0)</f>
        <v>20282.026119384056</v>
      </c>
      <c r="K723" s="455">
        <f t="shared" ca="1" si="53"/>
        <v>-18271.897993826144</v>
      </c>
      <c r="L723" s="455">
        <f t="shared" ca="1" si="54"/>
        <v>-4403527.416512101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-4403527.416512101</v>
      </c>
      <c r="J724" s="455">
        <f t="array" ref="J724">IFERROR(INDEX('Retirement Calculator'!K:K,MATCH('Lorri 401b'!N724,'Retirement Calculator'!A:A,0),0),0)</f>
        <v>20282.026119384056</v>
      </c>
      <c r="K724" s="455">
        <f t="shared" ca="1" si="53"/>
        <v>-18432.539344297853</v>
      </c>
      <c r="L724" s="455">
        <f t="shared" ca="1" si="54"/>
        <v>-4442241.9819757827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-4442241.9819757827</v>
      </c>
      <c r="J725" s="455">
        <f t="array" ref="J725">IFERROR(INDEX('Retirement Calculator'!K:K,MATCH('Lorri 401b'!N725,'Retirement Calculator'!A:A,0),0),0)</f>
        <v>20282.026119384056</v>
      </c>
      <c r="K725" s="455">
        <f t="shared" ca="1" si="53"/>
        <v>-18593.850033729861</v>
      </c>
      <c r="L725" s="455">
        <f t="shared" ca="1" si="54"/>
        <v>-4481117.8581288969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-4481117.8581288969</v>
      </c>
      <c r="J726" s="455">
        <f t="array" ref="J726">IFERROR(INDEX('Retirement Calculator'!K:K,MATCH('Lorri 401b'!N726,'Retirement Calculator'!A:A,0),0),0)</f>
        <v>20282.026119384056</v>
      </c>
      <c r="K726" s="455">
        <f t="shared" ca="1" si="53"/>
        <v>-18755.832851034502</v>
      </c>
      <c r="L726" s="455">
        <f t="shared" ca="1" si="54"/>
        <v>-4520155.7170993155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-4520155.7170993155</v>
      </c>
      <c r="J727" s="455">
        <f t="array" ref="J727">IFERROR(INDEX('Retirement Calculator'!K:K,MATCH('Lorri 401b'!N727,'Retirement Calculator'!A:A,0),0),0)</f>
        <v>20282.026119384056</v>
      </c>
      <c r="K727" s="455">
        <f t="shared" ca="1" si="53"/>
        <v>-18918.490596744581</v>
      </c>
      <c r="L727" s="455">
        <f t="shared" ca="1" si="54"/>
        <v>-4559356.2338154437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-4559356.2338154437</v>
      </c>
      <c r="J728" s="455">
        <f t="array" ref="J728">IFERROR(INDEX('Retirement Calculator'!K:K,MATCH('Lorri 401b'!N728,'Retirement Calculator'!A:A,0),0),0)</f>
        <v>20282.026119384056</v>
      </c>
      <c r="K728" s="455">
        <f t="shared" ca="1" si="53"/>
        <v>-19081.82608306178</v>
      </c>
      <c r="L728" s="455">
        <f t="shared" ca="1" si="54"/>
        <v>-4598720.0860178899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-4598720.0860178899</v>
      </c>
      <c r="J729" s="455">
        <f t="array" ref="J729">IFERROR(INDEX('Retirement Calculator'!K:K,MATCH('Lorri 401b'!N729,'Retirement Calculator'!A:A,0),0),0)</f>
        <v>20282.026119384056</v>
      </c>
      <c r="K729" s="455">
        <f t="shared" ca="1" si="53"/>
        <v>-19245.842133905309</v>
      </c>
      <c r="L729" s="455">
        <f t="shared" ca="1" si="54"/>
        <v>-4638247.9542711796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-4638247.9542711796</v>
      </c>
      <c r="J730" s="455">
        <f t="array" ref="J730">IFERROR(INDEX('Retirement Calculator'!K:K,MATCH('Lorri 401b'!N730,'Retirement Calculator'!A:A,0),0),0)</f>
        <v>20282.026119384056</v>
      </c>
      <c r="K730" s="455">
        <f t="shared" ca="1" si="53"/>
        <v>-19410.54158496068</v>
      </c>
      <c r="L730" s="455">
        <f t="shared" ca="1" si="54"/>
        <v>-4677940.5219755247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-4677940.5219755247</v>
      </c>
      <c r="J731" s="455">
        <f t="array" ref="J731">IFERROR(INDEX('Retirement Calculator'!K:K,MATCH('Lorri 401b'!N731,'Retirement Calculator'!A:A,0),0),0)</f>
        <v>20282.026119384056</v>
      </c>
      <c r="K731" s="455">
        <f t="shared" ca="1" si="53"/>
        <v>-19575.927283728786</v>
      </c>
      <c r="L731" s="455">
        <f t="shared" ca="1" si="54"/>
        <v>-4717798.4753786372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-4717798.4753786372</v>
      </c>
      <c r="J732" s="455">
        <f t="array" ref="J732">IFERROR(INDEX('Retirement Calculator'!K:K,MATCH('Lorri 401b'!N732,'Retirement Calculator'!A:A,0),0),0)</f>
        <v>20282.026119384056</v>
      </c>
      <c r="K732" s="455">
        <f t="shared" ca="1" si="53"/>
        <v>-19742.002089575089</v>
      </c>
      <c r="L732" s="455">
        <f t="shared" ca="1" si="54"/>
        <v>-4757822.5035875961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-4757822.5035875961</v>
      </c>
      <c r="J733" s="455">
        <f t="array" ref="J733">IFERROR(INDEX('Retirement Calculator'!K:K,MATCH('Lorri 401b'!N733,'Retirement Calculator'!A:A,0),0),0)</f>
        <v>20282.026119384056</v>
      </c>
      <c r="K733" s="455">
        <f t="shared" ca="1" si="53"/>
        <v>-19908.768873779085</v>
      </c>
      <c r="L733" s="455">
        <f t="shared" ca="1" si="54"/>
        <v>-4798013.2985807592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-4798013.2985807592</v>
      </c>
      <c r="J734" s="455">
        <f t="array" ref="J734">IFERROR(INDEX('Retirement Calculator'!K:K,MATCH('Lorri 401b'!N734,'Retirement Calculator'!A:A,0),0),0)</f>
        <v>20282.026119384056</v>
      </c>
      <c r="K734" s="455">
        <f t="shared" ca="1" si="53"/>
        <v>-20076.230519583929</v>
      </c>
      <c r="L734" s="455">
        <f t="shared" ca="1" si="54"/>
        <v>-4838371.5552197276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-4838371.5552197276</v>
      </c>
      <c r="J735" s="455">
        <f t="array" ref="J735">IFERROR(INDEX('Retirement Calculator'!K:K,MATCH('Lorri 401b'!N735,'Retirement Calculator'!A:A,0),0),0)</f>
        <v>20282.026119384056</v>
      </c>
      <c r="K735" s="455">
        <f t="shared" ca="1" si="53"/>
        <v>-20244.389922246297</v>
      </c>
      <c r="L735" s="455">
        <f t="shared" ca="1" si="54"/>
        <v>-4878897.9712613579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-4878897.9712613579</v>
      </c>
      <c r="J736" s="455">
        <f t="array" ref="J736">IFERROR(INDEX('Retirement Calculator'!K:K,MATCH('Lorri 401b'!N736,'Retirement Calculator'!A:A,0),0),0)</f>
        <v>20282.026119384056</v>
      </c>
      <c r="K736" s="455">
        <f t="shared" ca="1" si="53"/>
        <v>-20413.249989086424</v>
      </c>
      <c r="L736" s="455">
        <f t="shared" ca="1" si="54"/>
        <v>-4919593.2473698286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-4919593.2473698286</v>
      </c>
      <c r="J737" s="455">
        <f t="array" ref="J737">IFERROR(INDEX('Retirement Calculator'!K:K,MATCH('Lorri 401b'!N737,'Retirement Calculator'!A:A,0),0),0)</f>
        <v>20282.026119384056</v>
      </c>
      <c r="K737" s="455">
        <f t="shared" ca="1" si="53"/>
        <v>-20582.813639538384</v>
      </c>
      <c r="L737" s="455">
        <f t="shared" ca="1" si="54"/>
        <v>-4960458.087128751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-4960458.087128751</v>
      </c>
      <c r="J738" s="455">
        <f t="array" ref="J738">IFERROR(INDEX('Retirement Calculator'!K:K,MATCH('Lorri 401b'!N738,'Retirement Calculator'!A:A,0),0),0)</f>
        <v>20282.026119384056</v>
      </c>
      <c r="K738" s="455">
        <f t="shared" ca="1" si="53"/>
        <v>-20753.083805200564</v>
      </c>
      <c r="L738" s="455">
        <f t="shared" ca="1" si="54"/>
        <v>-5001493.1970533356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-5001493.1970533356</v>
      </c>
      <c r="J739" s="455">
        <f t="array" ref="J739">IFERROR(INDEX('Retirement Calculator'!K:K,MATCH('Lorri 401b'!N739,'Retirement Calculator'!A:A,0),0),0)</f>
        <v>20282.026119384056</v>
      </c>
      <c r="K739" s="455">
        <f t="shared" ca="1" si="53"/>
        <v>-20924.06342988633</v>
      </c>
      <c r="L739" s="455">
        <f t="shared" ca="1" si="54"/>
        <v>-5042699.2866026061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-5042699.2866026061</v>
      </c>
      <c r="J740" s="455">
        <f t="array" ref="J740">IFERROR(INDEX('Retirement Calculator'!K:K,MATCH('Lorri 401b'!N740,'Retirement Calculator'!A:A,0),0),0)</f>
        <v>20282.026119384056</v>
      </c>
      <c r="K740" s="455">
        <f t="shared" ca="1" si="53"/>
        <v>-21095.755469674958</v>
      </c>
      <c r="L740" s="455">
        <f t="shared" ca="1" si="54"/>
        <v>-5084077.0681916652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-5084077.0681916652</v>
      </c>
      <c r="J741" s="455">
        <f t="array" ref="J741">IFERROR(INDEX('Retirement Calculator'!K:K,MATCH('Lorri 401b'!N741,'Retirement Calculator'!A:A,0),0),0)</f>
        <v>20282.026119384056</v>
      </c>
      <c r="K741" s="455">
        <f t="shared" ca="1" si="53"/>
        <v>-21268.162892962704</v>
      </c>
      <c r="L741" s="455">
        <f t="shared" ca="1" si="54"/>
        <v>-5125627.257204012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-5125627.257204012</v>
      </c>
      <c r="J742" s="455">
        <f t="array" ref="J742">IFERROR(INDEX('Retirement Calculator'!K:K,MATCH('Lorri 401b'!N742,'Retirement Calculator'!A:A,0),0),0)</f>
        <v>20282.026119384056</v>
      </c>
      <c r="K742" s="455">
        <f t="shared" ca="1" si="53"/>
        <v>-21441.28868051415</v>
      </c>
      <c r="L742" s="455">
        <f t="shared" ca="1" si="54"/>
        <v>-5167350.5720039103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-5167350.5720039103</v>
      </c>
      <c r="J743" s="455">
        <f t="array" ref="J743">IFERROR(INDEX('Retirement Calculator'!K:K,MATCH('Lorri 401b'!N743,'Retirement Calculator'!A:A,0),0),0)</f>
        <v>20282.026119384056</v>
      </c>
      <c r="K743" s="455">
        <f t="shared" ca="1" si="53"/>
        <v>-21615.135825513727</v>
      </c>
      <c r="L743" s="455">
        <f t="shared" ca="1" si="54"/>
        <v>-5209247.7339488082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-5209247.7339488082</v>
      </c>
      <c r="J744" s="455">
        <f t="array" ref="J744">IFERROR(INDEX('Retirement Calculator'!K:K,MATCH('Lorri 401b'!N744,'Retirement Calculator'!A:A,0),0),0)</f>
        <v>20282.026119384056</v>
      </c>
      <c r="K744" s="455">
        <f t="shared" ca="1" si="53"/>
        <v>-21789.707333617465</v>
      </c>
      <c r="L744" s="455">
        <f t="shared" ca="1" si="54"/>
        <v>-5251319.46740181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-5251319.46740181</v>
      </c>
      <c r="J745" s="455">
        <f t="array" ref="J745">IFERROR(INDEX('Retirement Calculator'!K:K,MATCH('Lorri 401b'!N745,'Retirement Calculator'!A:A,0),0),0)</f>
        <v>20282.026119384056</v>
      </c>
      <c r="K745" s="455">
        <f t="shared" ca="1" si="53"/>
        <v>-21965.006223004973</v>
      </c>
      <c r="L745" s="455">
        <f t="shared" ca="1" si="54"/>
        <v>-5293566.4997441992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-5293566.4997441992</v>
      </c>
      <c r="J746" s="455">
        <f t="array" ref="J746">IFERROR(INDEX('Retirement Calculator'!K:K,MATCH('Lorri 401b'!N746,'Retirement Calculator'!A:A,0),0),0)</f>
        <v>20282.026119384056</v>
      </c>
      <c r="K746" s="455">
        <f t="shared" ca="1" si="53"/>
        <v>-22141.035524431598</v>
      </c>
      <c r="L746" s="455">
        <f t="shared" ca="1" si="54"/>
        <v>-5335989.5613880148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-5335989.5613880148</v>
      </c>
      <c r="J747" s="455">
        <f t="array" ref="J747">IFERROR(INDEX('Retirement Calculator'!K:K,MATCH('Lorri 401b'!N747,'Retirement Calculator'!A:A,0),0),0)</f>
        <v>20282.026119384056</v>
      </c>
      <c r="K747" s="455">
        <f t="shared" ca="1" si="53"/>
        <v>-22317.79828128083</v>
      </c>
      <c r="L747" s="455">
        <f t="shared" ca="1" si="54"/>
        <v>-5378589.3857886801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-5378589.3857886801</v>
      </c>
      <c r="J748" s="455">
        <f t="array" ref="J748">IFERROR(INDEX('Retirement Calculator'!K:K,MATCH('Lorri 401b'!N748,'Retirement Calculator'!A:A,0),0),0)</f>
        <v>20282.026119384056</v>
      </c>
      <c r="K748" s="455">
        <f t="shared" ca="1" si="53"/>
        <v>-22495.297549616935</v>
      </c>
      <c r="L748" s="455">
        <f t="shared" ca="1" si="54"/>
        <v>-5421366.7094576806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-5421366.7094576806</v>
      </c>
      <c r="J749" s="455">
        <f t="array" ref="J749">IFERROR(INDEX('Retirement Calculator'!K:K,MATCH('Lorri 401b'!N749,'Retirement Calculator'!A:A,0),0),0)</f>
        <v>20282.026119384056</v>
      </c>
      <c r="K749" s="455">
        <f t="shared" ca="1" si="53"/>
        <v>-22673.536398237768</v>
      </c>
      <c r="L749" s="455">
        <f t="shared" ca="1" si="54"/>
        <v>-5464322.2719753021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-5464322.2719753021</v>
      </c>
      <c r="J750" s="455">
        <f t="array" ref="J750">IFERROR(INDEX('Retirement Calculator'!K:K,MATCH('Lorri 401b'!N750,'Retirement Calculator'!A:A,0),0),0)</f>
        <v>20282.026119384056</v>
      </c>
      <c r="K750" s="455">
        <f t="shared" ca="1" si="53"/>
        <v>-22852.517908727859</v>
      </c>
      <c r="L750" s="455">
        <f t="shared" ca="1" si="54"/>
        <v>-5507456.8160034139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-5507456.8160034139</v>
      </c>
      <c r="J751" s="455">
        <f t="array" ref="J751">IFERROR(INDEX('Retirement Calculator'!K:K,MATCH('Lorri 401b'!N751,'Retirement Calculator'!A:A,0),0),0)</f>
        <v>20282.026119384056</v>
      </c>
      <c r="K751" s="455">
        <f t="shared" ca="1" si="53"/>
        <v>-23032.245175511656</v>
      </c>
      <c r="L751" s="455">
        <f t="shared" ca="1" si="54"/>
        <v>-5550771.0872983094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-5550771.0872983094</v>
      </c>
      <c r="J752" s="455">
        <f t="array" ref="J752">IFERROR(INDEX('Retirement Calculator'!K:K,MATCH('Lorri 401b'!N752,'Retirement Calculator'!A:A,0),0),0)</f>
        <v>20282.026119384056</v>
      </c>
      <c r="K752" s="455">
        <f t="shared" ca="1" si="53"/>
        <v>-23212.721305907056</v>
      </c>
      <c r="L752" s="455">
        <f t="shared" ca="1" si="54"/>
        <v>-5594265.8347236002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-5594265.8347236002</v>
      </c>
      <c r="J753" s="455">
        <f t="array" ref="J753">IFERROR(INDEX('Retirement Calculator'!K:K,MATCH('Lorri 401b'!N753,'Retirement Calculator'!A:A,0),0),0)</f>
        <v>20282.026119384056</v>
      </c>
      <c r="K753" s="455">
        <f t="shared" ca="1" si="53"/>
        <v>-23393.949420179102</v>
      </c>
      <c r="L753" s="455">
        <f t="shared" ca="1" si="54"/>
        <v>-5637941.8102631634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-5637941.8102631634</v>
      </c>
      <c r="J754" s="455">
        <f t="array" ref="J754">IFERROR(INDEX('Retirement Calculator'!K:K,MATCH('Lorri 401b'!N754,'Retirement Calculator'!A:A,0),0),0)</f>
        <v>20282.026119384056</v>
      </c>
      <c r="K754" s="455">
        <f t="shared" ca="1" si="53"/>
        <v>-23575.932651593947</v>
      </c>
      <c r="L754" s="455">
        <f t="shared" ca="1" si="54"/>
        <v>-5681799.7690341417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-5681799.7690341417</v>
      </c>
      <c r="J755" s="455">
        <f t="array" ref="J755">IFERROR(INDEX('Retirement Calculator'!K:K,MATCH('Lorri 401b'!N755,'Retirement Calculator'!A:A,0),0),0)</f>
        <v>20282.026119384056</v>
      </c>
      <c r="K755" s="455">
        <f t="shared" ca="1" si="53"/>
        <v>-23758.674146473022</v>
      </c>
      <c r="L755" s="455">
        <f t="shared" ca="1" si="54"/>
        <v>-5725840.4692999991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-5725840.4692999991</v>
      </c>
      <c r="J756" s="455">
        <f t="array" ref="J756">IFERROR(INDEX('Retirement Calculator'!K:K,MATCH('Lorri 401b'!N756,'Retirement Calculator'!A:A,0),0),0)</f>
        <v>20282.026119384056</v>
      </c>
      <c r="K756" s="455">
        <f t="shared" ca="1" si="53"/>
        <v>-23942.177064247429</v>
      </c>
      <c r="L756" s="455">
        <f t="shared" ca="1" si="54"/>
        <v>-5770064.6724836305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-5770064.6724836305</v>
      </c>
      <c r="J757" s="455">
        <f t="array" ref="J757">IFERROR(INDEX('Retirement Calculator'!K:K,MATCH('Lorri 401b'!N757,'Retirement Calculator'!A:A,0),0),0)</f>
        <v>20282.026119384056</v>
      </c>
      <c r="K757" s="455">
        <f t="shared" ca="1" si="53"/>
        <v>-24126.44457751256</v>
      </c>
      <c r="L757" s="455">
        <f t="shared" ca="1" si="54"/>
        <v>-5814473.1431805268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-5814473.1431805268</v>
      </c>
      <c r="J758" s="455">
        <f t="array" ref="J758">IFERROR(INDEX('Retirement Calculator'!K:K,MATCH('Lorri 401b'!N758,'Retirement Calculator'!A:A,0),0),0)</f>
        <v>20282.026119384056</v>
      </c>
      <c r="K758" s="455">
        <f t="shared" ca="1" si="53"/>
        <v>-24311.47987208296</v>
      </c>
      <c r="L758" s="455">
        <f t="shared" ca="1" si="54"/>
        <v>-5859066.6491719941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-5859066.6491719941</v>
      </c>
      <c r="J759" s="455">
        <f t="array" ref="J759">IFERROR(INDEX('Retirement Calculator'!K:K,MATCH('Lorri 401b'!N759,'Retirement Calculator'!A:A,0),0),0)</f>
        <v>20282.026119384056</v>
      </c>
      <c r="K759" s="455">
        <f t="shared" ca="1" si="53"/>
        <v>-24497.286147047409</v>
      </c>
      <c r="L759" s="455">
        <f t="shared" ca="1" si="54"/>
        <v>-5903845.9614384258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-5903845.9614384258</v>
      </c>
      <c r="J760" s="455">
        <f t="array" ref="J760">IFERROR(INDEX('Retirement Calculator'!K:K,MATCH('Lorri 401b'!N760,'Retirement Calculator'!A:A,0),0),0)</f>
        <v>20282.026119384056</v>
      </c>
      <c r="K760" s="455">
        <f t="shared" ca="1" si="53"/>
        <v>-24683.866614824208</v>
      </c>
      <c r="L760" s="455">
        <f t="shared" ca="1" si="54"/>
        <v>-5948811.854172634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-5948811.854172634</v>
      </c>
      <c r="J761" s="455">
        <f t="array" ref="J761">IFERROR(INDEX('Retirement Calculator'!K:K,MATCH('Lorri 401b'!N761,'Retirement Calculator'!A:A,0),0),0)</f>
        <v>20282.026119384056</v>
      </c>
      <c r="K761" s="455">
        <f t="shared" ca="1" si="53"/>
        <v>-24871.22450121674</v>
      </c>
      <c r="L761" s="455">
        <f t="shared" ca="1" si="54"/>
        <v>-5993965.1047932347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-5993965.1047932347</v>
      </c>
      <c r="J762" s="455">
        <f t="array" ref="J762">IFERROR(INDEX('Retirement Calculator'!K:K,MATCH('Lorri 401b'!N762,'Retirement Calculator'!A:A,0),0),0)</f>
        <v>20282.026119384056</v>
      </c>
      <c r="K762" s="455">
        <f t="shared" ca="1" si="53"/>
        <v>-25059.363045469243</v>
      </c>
      <c r="L762" s="455">
        <f t="shared" ca="1" si="54"/>
        <v>-6039306.4939580876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-6039306.4939580876</v>
      </c>
      <c r="J763" s="455">
        <f t="array" ref="J763">IFERROR(INDEX('Retirement Calculator'!K:K,MATCH('Lorri 401b'!N763,'Retirement Calculator'!A:A,0),0),0)</f>
        <v>20282.026119384056</v>
      </c>
      <c r="K763" s="455">
        <f t="shared" ca="1" si="53"/>
        <v>-25248.2855003228</v>
      </c>
      <c r="L763" s="455">
        <f t="shared" ca="1" si="54"/>
        <v>-6084836.8055777941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-6084836.8055777941</v>
      </c>
      <c r="J764" s="455">
        <f t="array" ref="J764">IFERROR(INDEX('Retirement Calculator'!K:K,MATCH('Lorri 401b'!N764,'Retirement Calculator'!A:A,0),0),0)</f>
        <v>20282.026119384056</v>
      </c>
      <c r="K764" s="455">
        <f t="shared" ca="1" si="53"/>
        <v>-25437.995132071574</v>
      </c>
      <c r="L764" s="455">
        <f t="shared" ca="1" si="54"/>
        <v>-6130556.82682925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-6130556.82682925</v>
      </c>
      <c r="J765" s="455">
        <f t="array" ref="J765">IFERROR(INDEX('Retirement Calculator'!K:K,MATCH('Lorri 401b'!N765,'Retirement Calculator'!A:A,0),0),0)</f>
        <v>20282.026119384056</v>
      </c>
      <c r="K765" s="455">
        <f t="shared" ca="1" si="53"/>
        <v>-25628.495220619308</v>
      </c>
      <c r="L765" s="455">
        <f t="shared" ca="1" si="54"/>
        <v>-6176467.3481692532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-6176467.3481692532</v>
      </c>
      <c r="J766" s="455">
        <f t="array" ref="J766">IFERROR(INDEX('Retirement Calculator'!K:K,MATCH('Lorri 401b'!N766,'Retirement Calculator'!A:A,0),0),0)</f>
        <v>20282.026119384056</v>
      </c>
      <c r="K766" s="455">
        <f t="shared" ca="1" si="53"/>
        <v>-25819.78905953599</v>
      </c>
      <c r="L766" s="455">
        <f t="shared" ca="1" si="54"/>
        <v>-6222569.1633481728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-6222569.1633481728</v>
      </c>
      <c r="J767" s="455">
        <f t="array" ref="J767">IFERROR(INDEX('Retirement Calculator'!K:K,MATCH('Lorri 401b'!N767,'Retirement Calculator'!A:A,0),0),0)</f>
        <v>20282.026119384056</v>
      </c>
      <c r="K767" s="455">
        <f t="shared" ca="1" si="53"/>
        <v>-26011.879956114819</v>
      </c>
      <c r="L767" s="455">
        <f t="shared" ca="1" si="54"/>
        <v>-6268863.0694236718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-6268863.0694236718</v>
      </c>
      <c r="J768" s="455">
        <f t="array" ref="J768">IFERROR(INDEX('Retirement Calculator'!K:K,MATCH('Lorri 401b'!N768,'Retirement Calculator'!A:A,0),0),0)</f>
        <v>20282.026119384056</v>
      </c>
      <c r="K768" s="455">
        <f t="shared" ca="1" si="53"/>
        <v>-26204.7712314294</v>
      </c>
      <c r="L768" s="455">
        <f t="shared" ca="1" si="54"/>
        <v>-6315349.8667744854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-6315349.8667744854</v>
      </c>
      <c r="J769" s="455">
        <f t="array" ref="J769">IFERROR(INDEX('Retirement Calculator'!K:K,MATCH('Lorri 401b'!N769,'Retirement Calculator'!A:A,0),0),0)</f>
        <v>20282.026119384056</v>
      </c>
      <c r="K769" s="455">
        <f t="shared" ca="1" si="53"/>
        <v>-26398.466220391121</v>
      </c>
      <c r="L769" s="455">
        <f t="shared" ca="1" si="54"/>
        <v>-6362030.3591142604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-6362030.3591142604</v>
      </c>
      <c r="J770" s="455">
        <f t="array" ref="J770">IFERROR(INDEX('Retirement Calculator'!K:K,MATCH('Lorri 401b'!N770,'Retirement Calculator'!A:A,0),0),0)</f>
        <v>20282.026119384056</v>
      </c>
      <c r="K770" s="455">
        <f t="shared" ca="1" si="53"/>
        <v>-26592.968271806851</v>
      </c>
      <c r="L770" s="455">
        <f t="shared" ca="1" si="54"/>
        <v>-6408905.3535054512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-6408905.3535054512</v>
      </c>
      <c r="J771" s="455">
        <f t="array" ref="J771">IFERROR(INDEX('Retirement Calculator'!K:K,MATCH('Lorri 401b'!N771,'Retirement Calculator'!A:A,0),0),0)</f>
        <v>20282.026119384056</v>
      </c>
      <c r="K771" s="455">
        <f t="shared" ca="1" si="53"/>
        <v>-26788.280748436813</v>
      </c>
      <c r="L771" s="455">
        <f t="shared" ca="1" si="54"/>
        <v>-6455975.6603732724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-6455975.6603732724</v>
      </c>
      <c r="J772" s="455">
        <f t="array" ref="J772">IFERROR(INDEX('Retirement Calculator'!K:K,MATCH('Lorri 401b'!N772,'Retirement Calculator'!A:A,0),0),0)</f>
        <v>20282.026119384056</v>
      </c>
      <c r="K772" s="455">
        <f t="shared" ca="1" si="53"/>
        <v>-26984.407027052734</v>
      </c>
      <c r="L772" s="455">
        <f t="shared" ca="1" si="54"/>
        <v>-6503242.0935197091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-6503242.0935197091</v>
      </c>
      <c r="J773" s="455">
        <f t="array" ref="J773">IFERROR(INDEX('Retirement Calculator'!K:K,MATCH('Lorri 401b'!N773,'Retirement Calculator'!A:A,0),0),0)</f>
        <v>20282.026119384056</v>
      </c>
      <c r="K773" s="455">
        <f t="shared" ref="K773:K1027" ca="1" si="79">IPMT(M773/12,1,12,-I773+J773,,0)</f>
        <v>-27181.35049849622</v>
      </c>
      <c r="L773" s="455">
        <f t="shared" ref="L773:L1027" ca="1" si="80">I773-J773+K773</f>
        <v>-6550705.4701375896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-6550705.4701375896</v>
      </c>
      <c r="J774" s="455">
        <f t="array" ref="J774">IFERROR(INDEX('Retirement Calculator'!K:K,MATCH('Lorri 401b'!N774,'Retirement Calculator'!A:A,0),0),0)</f>
        <v>20282.026119384056</v>
      </c>
      <c r="K774" s="455">
        <f t="shared" ca="1" si="79"/>
        <v>-27379.11456773739</v>
      </c>
      <c r="L774" s="455">
        <f t="shared" ca="1" si="80"/>
        <v>-6598366.6108247107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-6598366.6108247107</v>
      </c>
      <c r="J775" s="455">
        <f t="array" ref="J775">IFERROR(INDEX('Retirement Calculator'!K:K,MATCH('Lorri 401b'!N775,'Retirement Calculator'!A:A,0),0),0)</f>
        <v>20282.026119384056</v>
      </c>
      <c r="K775" s="455">
        <f t="shared" ca="1" si="79"/>
        <v>-27577.702653933728</v>
      </c>
      <c r="L775" s="455">
        <f t="shared" ca="1" si="80"/>
        <v>-6646226.339598028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-6646226.339598028</v>
      </c>
      <c r="J776" s="455">
        <f t="array" ref="J776">IFERROR(INDEX('Retirement Calculator'!K:K,MATCH('Lorri 401b'!N776,'Retirement Calculator'!A:A,0),0),0)</f>
        <v>20282.026119384056</v>
      </c>
      <c r="K776" s="455">
        <f t="shared" ca="1" si="79"/>
        <v>-27777.118190489215</v>
      </c>
      <c r="L776" s="455">
        <f t="shared" ca="1" si="80"/>
        <v>-6694285.4839079008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-6694285.4839079008</v>
      </c>
      <c r="J777" s="455">
        <f t="array" ref="J777">IFERROR(INDEX('Retirement Calculator'!K:K,MATCH('Lorri 401b'!N777,'Retirement Calculator'!A:A,0),0),0)</f>
        <v>20282.026119384056</v>
      </c>
      <c r="K777" s="455">
        <f t="shared" ca="1" si="79"/>
        <v>-27977.364625113685</v>
      </c>
      <c r="L777" s="455">
        <f t="shared" ca="1" si="80"/>
        <v>-6742544.8746523988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-6742544.8746523988</v>
      </c>
      <c r="J778" s="455">
        <f t="array" ref="J778">IFERROR(INDEX('Retirement Calculator'!K:K,MATCH('Lorri 401b'!N778,'Retirement Calculator'!A:A,0),0),0)</f>
        <v>20282.026119384056</v>
      </c>
      <c r="K778" s="455">
        <f t="shared" ca="1" si="79"/>
        <v>-28178.445419882428</v>
      </c>
      <c r="L778" s="455">
        <f t="shared" ca="1" si="80"/>
        <v>-6791005.3461916652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-6791005.3461916652</v>
      </c>
      <c r="J779" s="455">
        <f t="array" ref="J779">IFERROR(INDEX('Retirement Calculator'!K:K,MATCH('Lorri 401b'!N779,'Retirement Calculator'!A:A,0),0),0)</f>
        <v>20282.026119384056</v>
      </c>
      <c r="K779" s="455">
        <f t="shared" ca="1" si="79"/>
        <v>-28380.364051296037</v>
      </c>
      <c r="L779" s="455">
        <f t="shared" ca="1" si="80"/>
        <v>-6839667.7363623455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-6839667.7363623455</v>
      </c>
      <c r="J780" s="455">
        <f t="array" ref="J780">IFERROR(INDEX('Retirement Calculator'!K:K,MATCH('Lorri 401b'!N780,'Retirement Calculator'!A:A,0),0),0)</f>
        <v>20282.026119384056</v>
      </c>
      <c r="K780" s="455">
        <f t="shared" ca="1" si="79"/>
        <v>-28583.12401034054</v>
      </c>
      <c r="L780" s="455">
        <f t="shared" ca="1" si="80"/>
        <v>-6888532.8864920698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-6888532.8864920698</v>
      </c>
      <c r="J781" s="455">
        <f t="array" ref="J781">IFERROR(INDEX('Retirement Calculator'!K:K,MATCH('Lorri 401b'!N781,'Retirement Calculator'!A:A,0),0),0)</f>
        <v>20282.026119384056</v>
      </c>
      <c r="K781" s="455">
        <f t="shared" ca="1" si="79"/>
        <v>-28786.728802547725</v>
      </c>
      <c r="L781" s="455">
        <f t="shared" ca="1" si="80"/>
        <v>-6937601.6414140016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-6937601.6414140016</v>
      </c>
      <c r="J782" s="455">
        <f t="array" ref="J782">IFERROR(INDEX('Retirement Calculator'!K:K,MATCH('Lorri 401b'!N782,'Retirement Calculator'!A:A,0),0),0)</f>
        <v>20282.026119384056</v>
      </c>
      <c r="K782" s="455">
        <f t="shared" ca="1" si="79"/>
        <v>-28991.181948055771</v>
      </c>
      <c r="L782" s="455">
        <f t="shared" ca="1" si="80"/>
        <v>-6986874.8494814411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-6986874.8494814411</v>
      </c>
      <c r="J783" s="455">
        <f t="array" ref="J783">IFERROR(INDEX('Retirement Calculator'!K:K,MATCH('Lorri 401b'!N783,'Retirement Calculator'!A:A,0),0),0)</f>
        <v>20282.026119384056</v>
      </c>
      <c r="K783" s="455">
        <f t="shared" ca="1" si="79"/>
        <v>-29196.486981670103</v>
      </c>
      <c r="L783" s="455">
        <f t="shared" ca="1" si="80"/>
        <v>-7036353.3625824954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-7036353.3625824954</v>
      </c>
      <c r="J784" s="455">
        <f t="array" ref="J784">IFERROR(INDEX('Retirement Calculator'!K:K,MATCH('Lorri 401b'!N784,'Retirement Calculator'!A:A,0),0),0)</f>
        <v>20282.026119384056</v>
      </c>
      <c r="K784" s="455">
        <f t="shared" ca="1" si="79"/>
        <v>-29402.647452924502</v>
      </c>
      <c r="L784" s="455">
        <f t="shared" ca="1" si="80"/>
        <v>-7086038.0361548038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-7086038.0361548038</v>
      </c>
      <c r="J785" s="455">
        <f t="array" ref="J785">IFERROR(INDEX('Retirement Calculator'!K:K,MATCH('Lorri 401b'!N785,'Retirement Calculator'!A:A,0),0),0)</f>
        <v>20282.026119384056</v>
      </c>
      <c r="K785" s="455">
        <f t="shared" ca="1" si="79"/>
        <v>-29609.666926142454</v>
      </c>
      <c r="L785" s="455">
        <f t="shared" ca="1" si="80"/>
        <v>-7135929.7292003306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-7135929.7292003306</v>
      </c>
      <c r="J786" s="455">
        <f t="array" ref="J786">IFERROR(INDEX('Retirement Calculator'!K:K,MATCH('Lorri 401b'!N786,'Retirement Calculator'!A:A,0),0),0)</f>
        <v>20282.026119384056</v>
      </c>
      <c r="K786" s="455">
        <f t="shared" ca="1" si="79"/>
        <v>-29817.548980498814</v>
      </c>
      <c r="L786" s="455">
        <f t="shared" ca="1" si="80"/>
        <v>-7186029.3043002132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-7186029.3043002132</v>
      </c>
      <c r="J787" s="455">
        <f t="array" ref="J787">IFERROR(INDEX('Retirement Calculator'!K:K,MATCH('Lorri 401b'!N787,'Retirement Calculator'!A:A,0),0),0)</f>
        <v>20282.026119384056</v>
      </c>
      <c r="K787" s="455">
        <f t="shared" ca="1" si="79"/>
        <v>-30026.297210081651</v>
      </c>
      <c r="L787" s="455">
        <f t="shared" ca="1" si="80"/>
        <v>-7236337.6276296787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-7236337.6276296787</v>
      </c>
      <c r="J788" s="455">
        <f t="array" ref="J788">IFERROR(INDEX('Retirement Calculator'!K:K,MATCH('Lorri 401b'!N788,'Retirement Calculator'!A:A,0),0),0)</f>
        <v>20282.026119384056</v>
      </c>
      <c r="K788" s="455">
        <f t="shared" ca="1" si="79"/>
        <v>-30235.915223954427</v>
      </c>
      <c r="L788" s="455">
        <f t="shared" ca="1" si="80"/>
        <v>-7286855.5689730169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-7286855.5689730169</v>
      </c>
      <c r="J789" s="455">
        <f t="array" ref="J789">IFERROR(INDEX('Retirement Calculator'!K:K,MATCH('Lorri 401b'!N789,'Retirement Calculator'!A:A,0),0),0)</f>
        <v>20282.026119384056</v>
      </c>
      <c r="K789" s="455">
        <f t="shared" ca="1" si="79"/>
        <v>-30446.406646218336</v>
      </c>
      <c r="L789" s="455">
        <f t="shared" ca="1" si="80"/>
        <v>-7337584.0017386191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-7337584.0017386191</v>
      </c>
      <c r="J790" s="455">
        <f t="array" ref="J790">IFERROR(INDEX('Retirement Calculator'!K:K,MATCH('Lorri 401b'!N790,'Retirement Calculator'!A:A,0),0),0)</f>
        <v>20282.026119384056</v>
      </c>
      <c r="K790" s="455">
        <f t="shared" ca="1" si="79"/>
        <v>-30657.775116075016</v>
      </c>
      <c r="L790" s="455">
        <f t="shared" ca="1" si="80"/>
        <v>-7388523.8029740779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-7388523.8029740779</v>
      </c>
      <c r="J791" s="455">
        <f t="array" ref="J791">IFERROR(INDEX('Retirement Calculator'!K:K,MATCH('Lorri 401b'!N791,'Retirement Calculator'!A:A,0),0),0)</f>
        <v>20282.026119384056</v>
      </c>
      <c r="K791" s="455">
        <f t="shared" ca="1" si="79"/>
        <v>-30870.024287889424</v>
      </c>
      <c r="L791" s="455">
        <f t="shared" ca="1" si="80"/>
        <v>-7439675.8533813516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-7439675.8533813516</v>
      </c>
      <c r="J792" s="455">
        <f t="array" ref="J792">IFERROR(INDEX('Retirement Calculator'!K:K,MATCH('Lorri 401b'!N792,'Retirement Calculator'!A:A,0),0),0)</f>
        <v>20282.026119384056</v>
      </c>
      <c r="K792" s="455">
        <f t="shared" ca="1" si="79"/>
        <v>-31083.157831253066</v>
      </c>
      <c r="L792" s="455">
        <f t="shared" ca="1" si="80"/>
        <v>-7491041.037331989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-7491041.037331989</v>
      </c>
      <c r="J793" s="455">
        <f t="array" ref="J793">IFERROR(INDEX('Retirement Calculator'!K:K,MATCH('Lorri 401b'!N793,'Retirement Calculator'!A:A,0),0),0)</f>
        <v>20282.026119384056</v>
      </c>
      <c r="K793" s="455">
        <f t="shared" ca="1" si="79"/>
        <v>-31297.179431047389</v>
      </c>
      <c r="L793" s="455">
        <f t="shared" ca="1" si="80"/>
        <v>-7542620.2428824203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-7542620.2428824203</v>
      </c>
      <c r="J794" s="455">
        <f t="array" ref="J794">IFERROR(INDEX('Retirement Calculator'!K:K,MATCH('Lorri 401b'!N794,'Retirement Calculator'!A:A,0),0),0)</f>
        <v>20282.026119384056</v>
      </c>
      <c r="K794" s="455">
        <f t="shared" ca="1" si="79"/>
        <v>-31512.092787507514</v>
      </c>
      <c r="L794" s="455">
        <f t="shared" ca="1" si="80"/>
        <v>-7594414.3617893122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-7594414.3617893122</v>
      </c>
      <c r="J795" s="455">
        <f t="array" ref="J795">IFERROR(INDEX('Retirement Calculator'!K:K,MATCH('Lorri 401b'!N795,'Retirement Calculator'!A:A,0),0),0)</f>
        <v>20282.026119384056</v>
      </c>
      <c r="K795" s="455">
        <f t="shared" ca="1" si="79"/>
        <v>-31727.901616286235</v>
      </c>
      <c r="L795" s="455">
        <f t="shared" ca="1" si="80"/>
        <v>-7646424.2895249827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-7646424.2895249827</v>
      </c>
      <c r="J796" s="455">
        <f t="array" ref="J796">IFERROR(INDEX('Retirement Calculator'!K:K,MATCH('Lorri 401b'!N796,'Retirement Calculator'!A:A,0),0),0)</f>
        <v>20282.026119384056</v>
      </c>
      <c r="K796" s="455">
        <f t="shared" ca="1" si="79"/>
        <v>-31944.609648518195</v>
      </c>
      <c r="L796" s="455">
        <f t="shared" ca="1" si="80"/>
        <v>-7698650.9252928849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-7698650.9252928849</v>
      </c>
      <c r="J797" s="455">
        <f t="array" ref="J797">IFERROR(INDEX('Retirement Calculator'!K:K,MATCH('Lorri 401b'!N797,'Retirement Calculator'!A:A,0),0),0)</f>
        <v>20282.026119384056</v>
      </c>
      <c r="K797" s="455">
        <f t="shared" ca="1" si="79"/>
        <v>-32162.220630884454</v>
      </c>
      <c r="L797" s="455">
        <f t="shared" ca="1" si="80"/>
        <v>-7751095.1720431531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-7751095.1720431531</v>
      </c>
      <c r="J798" s="455">
        <f t="array" ref="J798">IFERROR(INDEX('Retirement Calculator'!K:K,MATCH('Lorri 401b'!N798,'Retirement Calculator'!A:A,0),0),0)</f>
        <v>20282.026119384056</v>
      </c>
      <c r="K798" s="455">
        <f t="shared" ca="1" si="79"/>
        <v>-32380.738325677241</v>
      </c>
      <c r="L798" s="455">
        <f t="shared" ca="1" si="80"/>
        <v>-7803757.9364882139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-7803757.9364882139</v>
      </c>
      <c r="J799" s="455">
        <f t="array" ref="J799">IFERROR(INDEX('Retirement Calculator'!K:K,MATCH('Lorri 401b'!N799,'Retirement Calculator'!A:A,0),0),0)</f>
        <v>20282.026119384056</v>
      </c>
      <c r="K799" s="455">
        <f t="shared" ca="1" si="79"/>
        <v>-32600.16651086499</v>
      </c>
      <c r="L799" s="455">
        <f t="shared" ca="1" si="80"/>
        <v>-7856640.129118463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-7856640.129118463</v>
      </c>
      <c r="J800" s="455">
        <f t="array" ref="J800">IFERROR(INDEX('Retirement Calculator'!K:K,MATCH('Lorri 401b'!N800,'Retirement Calculator'!A:A,0),0),0)</f>
        <v>20282.026119384056</v>
      </c>
      <c r="K800" s="455">
        <f t="shared" ca="1" si="79"/>
        <v>-32820.508980157698</v>
      </c>
      <c r="L800" s="455">
        <f t="shared" ca="1" si="80"/>
        <v>-7909742.6642180048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-7909742.6642180048</v>
      </c>
      <c r="J801" s="455">
        <f t="array" ref="J801">IFERROR(INDEX('Retirement Calculator'!K:K,MATCH('Lorri 401b'!N801,'Retirement Calculator'!A:A,0),0),0)</f>
        <v>20282.026119384056</v>
      </c>
      <c r="K801" s="455">
        <f t="shared" ca="1" si="79"/>
        <v>-33041.769543072456</v>
      </c>
      <c r="L801" s="455">
        <f t="shared" ca="1" si="80"/>
        <v>-7963066.459880461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-7963066.459880461</v>
      </c>
      <c r="J802" s="455">
        <f t="array" ref="J802">IFERROR(INDEX('Retirement Calculator'!K:K,MATCH('Lorri 401b'!N802,'Retirement Calculator'!A:A,0),0),0)</f>
        <v>20282.026119384056</v>
      </c>
      <c r="K802" s="455">
        <f t="shared" ca="1" si="79"/>
        <v>-33263.952024999351</v>
      </c>
      <c r="L802" s="455">
        <f t="shared" ca="1" si="80"/>
        <v>-8016612.438024844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-8016612.438024844</v>
      </c>
      <c r="J803" s="455">
        <f t="array" ref="J803">IFERROR(INDEX('Retirement Calculator'!K:K,MATCH('Lorri 401b'!N803,'Retirement Calculator'!A:A,0),0),0)</f>
        <v>20282.026119384056</v>
      </c>
      <c r="K803" s="455">
        <f t="shared" ca="1" si="79"/>
        <v>-33487.060267267618</v>
      </c>
      <c r="L803" s="455">
        <f t="shared" ca="1" si="80"/>
        <v>-8070381.5244114958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-8070381.5244114958</v>
      </c>
      <c r="J804" s="455">
        <f t="array" ref="J804">IFERROR(INDEX('Retirement Calculator'!K:K,MATCH('Lorri 401b'!N804,'Retirement Calculator'!A:A,0),0),0)</f>
        <v>20282.026119384056</v>
      </c>
      <c r="K804" s="455">
        <f t="shared" ca="1" si="79"/>
        <v>-33711.098127212004</v>
      </c>
      <c r="L804" s="455">
        <f t="shared" ca="1" si="80"/>
        <v>-8124374.6486580921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-8124374.6486580921</v>
      </c>
      <c r="J805" s="455">
        <f t="array" ref="J805">IFERROR(INDEX('Retirement Calculator'!K:K,MATCH('Lorri 401b'!N805,'Retirement Calculator'!A:A,0),0),0)</f>
        <v>20282.026119384056</v>
      </c>
      <c r="K805" s="455">
        <f t="shared" ca="1" si="79"/>
        <v>-33936.069478239486</v>
      </c>
      <c r="L805" s="455">
        <f t="shared" ca="1" si="80"/>
        <v>-8178592.744255716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-8178592.744255716</v>
      </c>
      <c r="J806" s="455">
        <f t="array" ref="J806">IFERROR(INDEX('Retirement Calculator'!K:K,MATCH('Lorri 401b'!N806,'Retirement Calculator'!A:A,0),0),0)</f>
        <v>20282.026119384056</v>
      </c>
      <c r="K806" s="455">
        <f t="shared" ca="1" si="79"/>
        <v>-34161.978209896246</v>
      </c>
      <c r="L806" s="455">
        <f t="shared" ca="1" si="80"/>
        <v>-8233036.748584996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-8233036.748584996</v>
      </c>
      <c r="J807" s="455">
        <f t="array" ref="J807">IFERROR(INDEX('Retirement Calculator'!K:K,MATCH('Lorri 401b'!N807,'Retirement Calculator'!A:A,0),0),0)</f>
        <v>20282.026119384056</v>
      </c>
      <c r="K807" s="455">
        <f t="shared" ca="1" si="79"/>
        <v>-34388.828227934915</v>
      </c>
      <c r="L807" s="455">
        <f t="shared" ca="1" si="80"/>
        <v>-8287707.6029323153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-8287707.6029323153</v>
      </c>
      <c r="J808" s="455">
        <f t="array" ref="J808">IFERROR(INDEX('Retirement Calculator'!K:K,MATCH('Lorri 401b'!N808,'Retirement Calculator'!A:A,0),0),0)</f>
        <v>20282.026119384056</v>
      </c>
      <c r="K808" s="455">
        <f t="shared" ca="1" si="79"/>
        <v>-34616.623454382083</v>
      </c>
      <c r="L808" s="455">
        <f t="shared" ca="1" si="80"/>
        <v>-8342606.252506081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-8342606.252506081</v>
      </c>
      <c r="J809" s="455">
        <f t="array" ref="J809">IFERROR(INDEX('Retirement Calculator'!K:K,MATCH('Lorri 401b'!N809,'Retirement Calculator'!A:A,0),0),0)</f>
        <v>20282.026119384056</v>
      </c>
      <c r="K809" s="455">
        <f t="shared" ca="1" si="79"/>
        <v>-34845.367827606111</v>
      </c>
      <c r="L809" s="455">
        <f t="shared" ca="1" si="80"/>
        <v>-8397733.6464530714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-8397733.6464530714</v>
      </c>
      <c r="J810" s="455">
        <f t="array" ref="J810">IFERROR(INDEX('Retirement Calculator'!K:K,MATCH('Lorri 401b'!N810,'Retirement Calculator'!A:A,0),0),0)</f>
        <v>20282.026119384056</v>
      </c>
      <c r="K810" s="455">
        <f t="shared" ca="1" si="79"/>
        <v>-35075.065302385236</v>
      </c>
      <c r="L810" s="455">
        <f t="shared" ca="1" si="80"/>
        <v>-8453090.7378748413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-8453090.7378748413</v>
      </c>
      <c r="J811" s="455">
        <f t="array" ref="J811">IFERROR(INDEX('Retirement Calculator'!K:K,MATCH('Lorri 401b'!N811,'Retirement Calculator'!A:A,0),0),0)</f>
        <v>20282.026119384056</v>
      </c>
      <c r="K811" s="455">
        <f t="shared" ca="1" si="79"/>
        <v>-35305.71984997594</v>
      </c>
      <c r="L811" s="455">
        <f t="shared" ca="1" si="80"/>
        <v>-8508678.483844202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-8508678.483844202</v>
      </c>
      <c r="J812" s="455">
        <f t="array" ref="J812">IFERROR(INDEX('Retirement Calculator'!K:K,MATCH('Lorri 401b'!N812,'Retirement Calculator'!A:A,0),0),0)</f>
        <v>20282.026119384056</v>
      </c>
      <c r="K812" s="455">
        <f t="shared" ca="1" si="79"/>
        <v>-35537.335458181609</v>
      </c>
      <c r="L812" s="455">
        <f t="shared" ca="1" si="80"/>
        <v>-8564497.8454217687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-8564497.8454217687</v>
      </c>
      <c r="J813" s="455">
        <f t="array" ref="J813">IFERROR(INDEX('Retirement Calculator'!K:K,MATCH('Lorri 401b'!N813,'Retirement Calculator'!A:A,0),0),0)</f>
        <v>20282.026119384056</v>
      </c>
      <c r="K813" s="455">
        <f t="shared" ca="1" si="79"/>
        <v>-35769.916131421473</v>
      </c>
      <c r="L813" s="455">
        <f t="shared" ca="1" si="80"/>
        <v>-8620549.7876725756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-8620549.7876725756</v>
      </c>
      <c r="J814" s="455">
        <f t="array" ref="J814">IFERROR(INDEX('Retirement Calculator'!K:K,MATCH('Lorri 401b'!N814,'Retirement Calculator'!A:A,0),0),0)</f>
        <v>20282.026119384056</v>
      </c>
      <c r="K814" s="455">
        <f t="shared" ca="1" si="79"/>
        <v>-36003.465890799838</v>
      </c>
      <c r="L814" s="455">
        <f t="shared" ca="1" si="80"/>
        <v>-8676835.2796827611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-8676835.2796827611</v>
      </c>
      <c r="J815" s="455">
        <f t="array" ref="J815">IFERROR(INDEX('Retirement Calculator'!K:K,MATCH('Lorri 401b'!N815,'Retirement Calculator'!A:A,0),0),0)</f>
        <v>20282.026119384056</v>
      </c>
      <c r="K815" s="455">
        <f t="shared" ca="1" si="79"/>
        <v>-36237.98877417561</v>
      </c>
      <c r="L815" s="455">
        <f t="shared" ca="1" si="80"/>
        <v>-8733355.2945763208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-8733355.2945763208</v>
      </c>
      <c r="J816" s="455">
        <f t="array" ref="J816">IFERROR(INDEX('Retirement Calculator'!K:K,MATCH('Lorri 401b'!N816,'Retirement Calculator'!A:A,0),0),0)</f>
        <v>20282.026119384056</v>
      </c>
      <c r="K816" s="455">
        <f t="shared" ca="1" si="79"/>
        <v>-36473.488836232107</v>
      </c>
      <c r="L816" s="455">
        <f t="shared" ca="1" si="80"/>
        <v>-8790110.8095319383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-8790110.8095319383</v>
      </c>
      <c r="J817" s="455">
        <f t="array" ref="J817">IFERROR(INDEX('Retirement Calculator'!K:K,MATCH('Lorri 401b'!N817,'Retirement Calculator'!A:A,0),0),0)</f>
        <v>20282.026119384056</v>
      </c>
      <c r="K817" s="455">
        <f t="shared" ca="1" si="79"/>
        <v>-36709.970148547181</v>
      </c>
      <c r="L817" s="455">
        <f t="shared" ca="1" si="80"/>
        <v>-8847102.8057998698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-8847102.8057998698</v>
      </c>
      <c r="J818" s="455">
        <f t="array" ref="J818">IFERROR(INDEX('Retirement Calculator'!K:K,MATCH('Lorri 401b'!N818,'Retirement Calculator'!A:A,0),0),0)</f>
        <v>20282.026119384056</v>
      </c>
      <c r="K818" s="455">
        <f t="shared" ca="1" si="79"/>
        <v>-36947.436799663563</v>
      </c>
      <c r="L818" s="455">
        <f t="shared" ca="1" si="80"/>
        <v>-8904332.2687189188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-8904332.2687189188</v>
      </c>
      <c r="J819" s="455">
        <f t="array" ref="J819">IFERROR(INDEX('Retirement Calculator'!K:K,MATCH('Lorri 401b'!N819,'Retirement Calculator'!A:A,0),0),0)</f>
        <v>20282.026119384056</v>
      </c>
      <c r="K819" s="455">
        <f t="shared" ca="1" si="79"/>
        <v>-37185.892895159595</v>
      </c>
      <c r="L819" s="455">
        <f t="shared" ca="1" si="80"/>
        <v>-8961800.1877334639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-8961800.1877334639</v>
      </c>
      <c r="J820" s="455">
        <f t="array" ref="J820">IFERROR(INDEX('Retirement Calculator'!K:K,MATCH('Lorri 401b'!N820,'Retirement Calculator'!A:A,0),0),0)</f>
        <v>20282.026119384056</v>
      </c>
      <c r="K820" s="455">
        <f t="shared" ca="1" si="79"/>
        <v>-37425.3425577202</v>
      </c>
      <c r="L820" s="455">
        <f t="shared" ca="1" si="80"/>
        <v>-9019507.5564105697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-9019507.5564105697</v>
      </c>
      <c r="J821" s="455">
        <f t="array" ref="J821">IFERROR(INDEX('Retirement Calculator'!K:K,MATCH('Lorri 401b'!N821,'Retirement Calculator'!A:A,0),0),0)</f>
        <v>20282.026119384056</v>
      </c>
      <c r="K821" s="455">
        <f t="shared" ca="1" si="79"/>
        <v>-37665.789927208141</v>
      </c>
      <c r="L821" s="455">
        <f t="shared" ca="1" si="80"/>
        <v>-9077455.3724571634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-9077455.3724571634</v>
      </c>
      <c r="J822" s="455">
        <f t="array" ref="J822">IFERROR(INDEX('Retirement Calculator'!K:K,MATCH('Lorri 401b'!N822,'Retirement Calculator'!A:A,0),0),0)</f>
        <v>20282.026119384056</v>
      </c>
      <c r="K822" s="455">
        <f t="shared" ca="1" si="79"/>
        <v>-37907.239160735618</v>
      </c>
      <c r="L822" s="455">
        <f t="shared" ca="1" si="80"/>
        <v>-9135644.6377372835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-9135644.6377372835</v>
      </c>
      <c r="J823" s="455">
        <f t="array" ref="J823">IFERROR(INDEX('Retirement Calculator'!K:K,MATCH('Lorri 401b'!N823,'Retirement Calculator'!A:A,0),0),0)</f>
        <v>20282.026119384056</v>
      </c>
      <c r="K823" s="455">
        <f t="shared" ca="1" si="79"/>
        <v>-38149.69443273612</v>
      </c>
      <c r="L823" s="455">
        <f t="shared" ca="1" si="80"/>
        <v>-9194076.3582894038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-9194076.3582894038</v>
      </c>
      <c r="J824" s="455">
        <f t="array" ref="J824">IFERROR(INDEX('Retirement Calculator'!K:K,MATCH('Lorri 401b'!N824,'Retirement Calculator'!A:A,0),0),0)</f>
        <v>20282.026119384056</v>
      </c>
      <c r="K824" s="455">
        <f t="shared" ca="1" si="79"/>
        <v>-38393.159935036616</v>
      </c>
      <c r="L824" s="455">
        <f t="shared" ca="1" si="80"/>
        <v>-9252751.5443438254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-9252751.5443438254</v>
      </c>
      <c r="J825" s="455">
        <f t="array" ref="J825">IFERROR(INDEX('Retirement Calculator'!K:K,MATCH('Lorri 401b'!N825,'Retirement Calculator'!A:A,0),0),0)</f>
        <v>20282.026119384056</v>
      </c>
      <c r="K825" s="455">
        <f t="shared" ca="1" si="79"/>
        <v>-38637.639876930043</v>
      </c>
      <c r="L825" s="455">
        <f t="shared" ca="1" si="80"/>
        <v>-9311671.2103401404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-9311671.2103401404</v>
      </c>
      <c r="J826" s="455">
        <f t="array" ref="J826">IFERROR(INDEX('Retirement Calculator'!K:K,MATCH('Lorri 401b'!N826,'Retirement Calculator'!A:A,0),0),0)</f>
        <v>20282.026119384056</v>
      </c>
      <c r="K826" s="455">
        <f t="shared" ca="1" si="79"/>
        <v>-38883.138485248019</v>
      </c>
      <c r="L826" s="455">
        <f t="shared" ca="1" si="80"/>
        <v>-9370836.3749447726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-9370836.3749447726</v>
      </c>
      <c r="J827" s="455">
        <f t="array" ref="J827">IFERROR(INDEX('Retirement Calculator'!K:K,MATCH('Lorri 401b'!N827,'Retirement Calculator'!A:A,0),0),0)</f>
        <v>20282.026119384056</v>
      </c>
      <c r="K827" s="455">
        <f t="shared" ca="1" si="79"/>
        <v>-39129.660004433987</v>
      </c>
      <c r="L827" s="455">
        <f t="shared" ca="1" si="80"/>
        <v>-9430248.0610685907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-9430248.0610685907</v>
      </c>
      <c r="J828" s="455">
        <f t="array" ref="J828">IFERROR(INDEX('Retirement Calculator'!K:K,MATCH('Lorri 401b'!N828,'Retirement Calculator'!A:A,0),0),0)</f>
        <v>20282.026119384056</v>
      </c>
      <c r="K828" s="455">
        <f t="shared" ca="1" si="79"/>
        <v>-39377.208696616566</v>
      </c>
      <c r="L828" s="455">
        <f t="shared" ca="1" si="80"/>
        <v>-9489907.2958845925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-9489907.2958845925</v>
      </c>
      <c r="J829" s="455">
        <f t="array" ref="J829">IFERROR(INDEX('Retirement Calculator'!K:K,MATCH('Lorri 401b'!N829,'Retirement Calculator'!A:A,0),0),0)</f>
        <v>20282.026119384056</v>
      </c>
      <c r="K829" s="455">
        <f t="shared" ca="1" si="79"/>
        <v>-39625.788841683236</v>
      </c>
      <c r="L829" s="455">
        <f t="shared" ca="1" si="80"/>
        <v>-9549815.1108456608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-9549815.1108456608</v>
      </c>
      <c r="J830" s="455">
        <f t="array" ref="J830">IFERROR(INDEX('Retirement Calculator'!K:K,MATCH('Lorri 401b'!N830,'Retirement Calculator'!A:A,0),0),0)</f>
        <v>20282.026119384056</v>
      </c>
      <c r="K830" s="455">
        <f t="shared" ca="1" si="79"/>
        <v>-39875.404737354358</v>
      </c>
      <c r="L830" s="455">
        <f t="shared" ca="1" si="80"/>
        <v>-9609972.5417024009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-9609972.5417024009</v>
      </c>
      <c r="J831" s="455">
        <f t="array" ref="J831">IFERROR(INDEX('Retirement Calculator'!K:K,MATCH('Lorri 401b'!N831,'Retirement Calculator'!A:A,0),0),0)</f>
        <v>20282.026119384056</v>
      </c>
      <c r="K831" s="455">
        <f t="shared" ca="1" si="79"/>
        <v>-40126.060699257439</v>
      </c>
      <c r="L831" s="455">
        <f t="shared" ca="1" si="80"/>
        <v>-9670380.6285210438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-9670380.6285210438</v>
      </c>
      <c r="J832" s="455">
        <f t="array" ref="J832">IFERROR(INDEX('Retirement Calculator'!K:K,MATCH('Lorri 401b'!N832,'Retirement Calculator'!A:A,0),0),0)</f>
        <v>20282.026119384056</v>
      </c>
      <c r="K832" s="455">
        <f t="shared" ca="1" si="79"/>
        <v>-40377.761061001787</v>
      </c>
      <c r="L832" s="455">
        <f t="shared" ca="1" si="80"/>
        <v>-9731040.4157014303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-9731040.4157014303</v>
      </c>
      <c r="J833" s="455">
        <f t="array" ref="J833">IFERROR(INDEX('Retirement Calculator'!K:K,MATCH('Lorri 401b'!N833,'Retirement Calculator'!A:A,0),0),0)</f>
        <v>20282.026119384056</v>
      </c>
      <c r="K833" s="455">
        <f t="shared" ca="1" si="79"/>
        <v>-40630.510174253395</v>
      </c>
      <c r="L833" s="455">
        <f t="shared" ca="1" si="80"/>
        <v>-9791952.9519950692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-9791952.9519950692</v>
      </c>
      <c r="J834" s="455">
        <f t="array" ref="J834">IFERROR(INDEX('Retirement Calculator'!K:K,MATCH('Lorri 401b'!N834,'Retirement Calculator'!A:A,0),0),0)</f>
        <v>20282.026119384056</v>
      </c>
      <c r="K834" s="455">
        <f t="shared" ca="1" si="79"/>
        <v>-40884.312408810227</v>
      </c>
      <c r="L834" s="455">
        <f t="shared" ca="1" si="80"/>
        <v>-9853119.2905232646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-9853119.2905232646</v>
      </c>
      <c r="J835" s="455">
        <f t="array" ref="J835">IFERROR(INDEX('Retirement Calculator'!K:K,MATCH('Lorri 401b'!N835,'Retirement Calculator'!A:A,0),0),0)</f>
        <v>20282.026119384056</v>
      </c>
      <c r="K835" s="455">
        <f t="shared" ca="1" si="79"/>
        <v>-41139.172152677704</v>
      </c>
      <c r="L835" s="455">
        <f t="shared" ca="1" si="80"/>
        <v>-9914540.488795327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-9914540.488795327</v>
      </c>
      <c r="J836" s="455">
        <f t="array" ref="J836">IFERROR(INDEX('Retirement Calculator'!K:K,MATCH('Lorri 401b'!N836,'Retirement Calculator'!A:A,0),0),0)</f>
        <v>20282.026119384056</v>
      </c>
      <c r="K836" s="455">
        <f t="shared" ca="1" si="79"/>
        <v>-41395.093812144631</v>
      </c>
      <c r="L836" s="455">
        <f t="shared" ca="1" si="80"/>
        <v>-9976217.6087268572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-9976217.6087268572</v>
      </c>
      <c r="J837" s="455">
        <f t="array" ref="J837">IFERROR(INDEX('Retirement Calculator'!K:K,MATCH('Lorri 401b'!N837,'Retirement Calculator'!A:A,0),0),0)</f>
        <v>20282.026119384056</v>
      </c>
      <c r="K837" s="455">
        <f t="shared" ca="1" si="79"/>
        <v>-41652.081811859345</v>
      </c>
      <c r="L837" s="455">
        <f t="shared" ca="1" si="80"/>
        <v>-10038151.716658102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-10038151.716658102</v>
      </c>
      <c r="J838" s="455">
        <f t="array" ref="J838">IFERROR(INDEX('Retirement Calculator'!K:K,MATCH('Lorri 401b'!N838,'Retirement Calculator'!A:A,0),0),0)</f>
        <v>20282.026119384056</v>
      </c>
      <c r="K838" s="455">
        <f t="shared" ca="1" si="79"/>
        <v>-41910.140594906195</v>
      </c>
      <c r="L838" s="455">
        <f t="shared" ca="1" si="80"/>
        <v>-10100343.883372394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-10100343.883372394</v>
      </c>
      <c r="J839" s="455">
        <f t="array" ref="J839">IFERROR(INDEX('Retirement Calculator'!K:K,MATCH('Lorri 401b'!N839,'Retirement Calculator'!A:A,0),0),0)</f>
        <v>20282.026119384056</v>
      </c>
      <c r="K839" s="455">
        <f t="shared" ca="1" si="79"/>
        <v>-42169.274622882411</v>
      </c>
      <c r="L839" s="455">
        <f t="shared" ca="1" si="80"/>
        <v>-10162795.184114661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-10162795.184114661</v>
      </c>
      <c r="J840" s="455">
        <f t="array" ref="J840">IFERROR(INDEX('Retirement Calculator'!K:K,MATCH('Lorri 401b'!N840,'Retirement Calculator'!A:A,0),0),0)</f>
        <v>20282.026119384056</v>
      </c>
      <c r="K840" s="455">
        <f t="shared" ca="1" si="79"/>
        <v>-42429.48837597519</v>
      </c>
      <c r="L840" s="455">
        <f t="shared" ca="1" si="80"/>
        <v>-10225506.698610021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-10225506.698610021</v>
      </c>
      <c r="J841" s="455">
        <f t="array" ref="J841">IFERROR(INDEX('Retirement Calculator'!K:K,MATCH('Lorri 401b'!N841,'Retirement Calculator'!A:A,0),0),0)</f>
        <v>20282.026119384056</v>
      </c>
      <c r="K841" s="455">
        <f t="shared" ca="1" si="79"/>
        <v>-42690.786353039191</v>
      </c>
      <c r="L841" s="455">
        <f t="shared" ca="1" si="80"/>
        <v>-10288479.511082444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-10288479.511082444</v>
      </c>
      <c r="J842" s="455">
        <f t="array" ref="J842">IFERROR(INDEX('Retirement Calculator'!K:K,MATCH('Lorri 401b'!N842,'Retirement Calculator'!A:A,0),0),0)</f>
        <v>20282.026119384056</v>
      </c>
      <c r="K842" s="455">
        <f t="shared" ca="1" si="79"/>
        <v>-42953.17307167429</v>
      </c>
      <c r="L842" s="455">
        <f t="shared" ca="1" si="80"/>
        <v>-10351714.710273504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-10351714.710273504</v>
      </c>
      <c r="J843" s="455">
        <f t="array" ref="J843">IFERROR(INDEX('Retirement Calculator'!K:K,MATCH('Lorri 401b'!N843,'Retirement Calculator'!A:A,0),0),0)</f>
        <v>20282.026119384056</v>
      </c>
      <c r="K843" s="455">
        <f t="shared" ca="1" si="79"/>
        <v>-43216.653068303705</v>
      </c>
      <c r="L843" s="455">
        <f t="shared" ca="1" si="80"/>
        <v>-10415213.389461193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-10415213.389461193</v>
      </c>
      <c r="J844" s="455">
        <f t="array" ref="J844">IFERROR(INDEX('Retirement Calculator'!K:K,MATCH('Lorri 401b'!N844,'Retirement Calculator'!A:A,0),0),0)</f>
        <v>20282.026119384056</v>
      </c>
      <c r="K844" s="455">
        <f t="shared" ca="1" si="79"/>
        <v>-43481.230898252412</v>
      </c>
      <c r="L844" s="455">
        <f t="shared" ca="1" si="80"/>
        <v>-10478976.64647883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-10478976.64647883</v>
      </c>
      <c r="J845" s="455">
        <f t="array" ref="J845">IFERROR(INDEX('Retirement Calculator'!K:K,MATCH('Lorri 401b'!N845,'Retirement Calculator'!A:A,0),0),0)</f>
        <v>20282.026119384056</v>
      </c>
      <c r="K845" s="455">
        <f t="shared" ca="1" si="79"/>
        <v>-43746.911135825896</v>
      </c>
      <c r="L845" s="455">
        <f t="shared" ca="1" si="80"/>
        <v>-10543005.583734041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-10543005.583734041</v>
      </c>
      <c r="J846" s="455">
        <f t="array" ref="J846">IFERROR(INDEX('Retirement Calculator'!K:K,MATCH('Lorri 401b'!N846,'Retirement Calculator'!A:A,0),0),0)</f>
        <v>20282.026119384056</v>
      </c>
      <c r="K846" s="455">
        <f t="shared" ca="1" si="79"/>
        <v>-44013.698374389278</v>
      </c>
      <c r="L846" s="455">
        <f t="shared" ca="1" si="80"/>
        <v>-10607301.308227815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-10607301.308227815</v>
      </c>
      <c r="J847" s="455">
        <f t="array" ref="J847">IFERROR(INDEX('Retirement Calculator'!K:K,MATCH('Lorri 401b'!N847,'Retirement Calculator'!A:A,0),0),0)</f>
        <v>20282.026119384056</v>
      </c>
      <c r="K847" s="455">
        <f t="shared" ca="1" si="79"/>
        <v>-44281.597226446662</v>
      </c>
      <c r="L847" s="455">
        <f t="shared" ca="1" si="80"/>
        <v>-10671864.931573646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-10671864.931573646</v>
      </c>
      <c r="J848" s="455">
        <f t="array" ref="J848">IFERROR(INDEX('Retirement Calculator'!K:K,MATCH('Lorri 401b'!N848,'Retirement Calculator'!A:A,0),0),0)</f>
        <v>20282.026119384056</v>
      </c>
      <c r="K848" s="455">
        <f t="shared" ca="1" si="79"/>
        <v>-44550.612323720961</v>
      </c>
      <c r="L848" s="455">
        <f t="shared" ca="1" si="80"/>
        <v>-10736697.570016753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-10736697.570016753</v>
      </c>
      <c r="J849" s="455">
        <f t="array" ref="J849">IFERROR(INDEX('Retirement Calculator'!K:K,MATCH('Lorri 401b'!N849,'Retirement Calculator'!A:A,0),0),0)</f>
        <v>20282.026119384056</v>
      </c>
      <c r="K849" s="455">
        <f t="shared" ca="1" si="79"/>
        <v>-44820.748317233905</v>
      </c>
      <c r="L849" s="455">
        <f t="shared" ca="1" si="80"/>
        <v>-10801800.344453372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-10801800.344453372</v>
      </c>
      <c r="J850" s="455">
        <f t="array" ref="J850">IFERROR(INDEX('Retirement Calculator'!K:K,MATCH('Lorri 401b'!N850,'Retirement Calculator'!A:A,0),0),0)</f>
        <v>20282.026119384056</v>
      </c>
      <c r="K850" s="455">
        <f t="shared" ca="1" si="79"/>
        <v>-45092.009877386488</v>
      </c>
      <c r="L850" s="455">
        <f t="shared" ca="1" si="80"/>
        <v>-10867174.380450143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-10867174.380450143</v>
      </c>
      <c r="J851" s="455">
        <f t="array" ref="J851">IFERROR(INDEX('Retirement Calculator'!K:K,MATCH('Lorri 401b'!N851,'Retirement Calculator'!A:A,0),0),0)</f>
        <v>20282.026119384056</v>
      </c>
      <c r="K851" s="455">
        <f t="shared" ca="1" si="79"/>
        <v>-45364.401694039698</v>
      </c>
      <c r="L851" s="455">
        <f t="shared" ca="1" si="80"/>
        <v>-10932820.808263566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-10932820.808263566</v>
      </c>
      <c r="J852" s="455">
        <f t="array" ref="J852">IFERROR(INDEX('Retirement Calculator'!K:K,MATCH('Lorri 401b'!N852,'Retirement Calculator'!A:A,0),0),0)</f>
        <v>20282.026119384056</v>
      </c>
      <c r="K852" s="455">
        <f t="shared" ca="1" si="79"/>
        <v>-45637.928476595633</v>
      </c>
      <c r="L852" s="455">
        <f t="shared" ca="1" si="80"/>
        <v>-10998740.762859548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-10998740.762859548</v>
      </c>
      <c r="J853" s="455">
        <f t="array" ref="J853">IFERROR(INDEX('Retirement Calculator'!K:K,MATCH('Lorri 401b'!N853,'Retirement Calculator'!A:A,0),0),0)</f>
        <v>20282.026119384056</v>
      </c>
      <c r="K853" s="455">
        <f t="shared" ca="1" si="79"/>
        <v>-45912.594954078886</v>
      </c>
      <c r="L853" s="455">
        <f t="shared" ca="1" si="80"/>
        <v>-11064935.383933011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-11064935.383933011</v>
      </c>
      <c r="J854" s="455">
        <f t="array" ref="J854">IFERROR(INDEX('Retirement Calculator'!K:K,MATCH('Lorri 401b'!N854,'Retirement Calculator'!A:A,0),0),0)</f>
        <v>20282.026119384056</v>
      </c>
      <c r="K854" s="455">
        <f t="shared" ca="1" si="79"/>
        <v>-46188.405875218319</v>
      </c>
      <c r="L854" s="455">
        <f t="shared" ca="1" si="80"/>
        <v>-11131405.815927615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-11131405.815927615</v>
      </c>
      <c r="J855" s="455">
        <f t="array" ref="J855">IFERROR(INDEX('Retirement Calculator'!K:K,MATCH('Lorri 401b'!N855,'Retirement Calculator'!A:A,0),0),0)</f>
        <v>20282.026119384056</v>
      </c>
      <c r="K855" s="455">
        <f t="shared" ca="1" si="79"/>
        <v>-46465.36600852917</v>
      </c>
      <c r="L855" s="455">
        <f t="shared" ca="1" si="80"/>
        <v>-11198153.20805553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-11198153.20805553</v>
      </c>
      <c r="J856" s="455">
        <f t="array" ref="J856">IFERROR(INDEX('Retirement Calculator'!K:K,MATCH('Lorri 401b'!N856,'Retirement Calculator'!A:A,0),0),0)</f>
        <v>20282.026119384056</v>
      </c>
      <c r="K856" s="455">
        <f t="shared" ca="1" si="79"/>
        <v>-46743.480142395478</v>
      </c>
      <c r="L856" s="455">
        <f t="shared" ca="1" si="80"/>
        <v>-11265178.714317311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-11265178.714317311</v>
      </c>
      <c r="J857" s="455">
        <f t="array" ref="J857">IFERROR(INDEX('Retirement Calculator'!K:K,MATCH('Lorri 401b'!N857,'Retirement Calculator'!A:A,0),0),0)</f>
        <v>20282.026119384056</v>
      </c>
      <c r="K857" s="455">
        <f t="shared" ca="1" si="79"/>
        <v>-47022.753085152901</v>
      </c>
      <c r="L857" s="455">
        <f t="shared" ca="1" si="80"/>
        <v>-11332483.493521849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-11332483.493521849</v>
      </c>
      <c r="J858" s="455">
        <f t="array" ref="J858">IFERROR(INDEX('Retirement Calculator'!K:K,MATCH('Lorri 401b'!N858,'Retirement Calculator'!A:A,0),0),0)</f>
        <v>20282.026119384056</v>
      </c>
      <c r="K858" s="455">
        <f t="shared" ca="1" si="79"/>
        <v>-47303.189665171805</v>
      </c>
      <c r="L858" s="455">
        <f t="shared" ca="1" si="80"/>
        <v>-11400068.709306406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-11400068.709306406</v>
      </c>
      <c r="J859" s="455">
        <f t="array" ref="J859">IFERROR(INDEX('Retirement Calculator'!K:K,MATCH('Lorri 401b'!N859,'Retirement Calculator'!A:A,0),0),0)</f>
        <v>20282.026119384056</v>
      </c>
      <c r="K859" s="455">
        <f t="shared" ca="1" si="79"/>
        <v>-47584.794730940797</v>
      </c>
      <c r="L859" s="455">
        <f t="shared" ca="1" si="80"/>
        <v>-11467935.530156732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-11467935.530156732</v>
      </c>
      <c r="J860" s="455">
        <f t="array" ref="J860">IFERROR(INDEX('Retirement Calculator'!K:K,MATCH('Lorri 401b'!N860,'Retirement Calculator'!A:A,0),0),0)</f>
        <v>20282.026119384056</v>
      </c>
      <c r="K860" s="455">
        <f t="shared" ca="1" si="79"/>
        <v>-47867.573151150486</v>
      </c>
      <c r="L860" s="455">
        <f t="shared" ca="1" si="80"/>
        <v>-11536085.129427267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-11536085.129427267</v>
      </c>
      <c r="J861" s="455">
        <f t="array" ref="J861">IFERROR(INDEX('Retirement Calculator'!K:K,MATCH('Lorri 401b'!N861,'Retirement Calculator'!A:A,0),0),0)</f>
        <v>20282.026119384056</v>
      </c>
      <c r="K861" s="455">
        <f t="shared" ca="1" si="79"/>
        <v>-48151.529814777714</v>
      </c>
      <c r="L861" s="455">
        <f t="shared" ca="1" si="80"/>
        <v>-11604518.68536143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-11604518.68536143</v>
      </c>
      <c r="J862" s="455">
        <f t="array" ref="J862">IFERROR(INDEX('Retirement Calculator'!K:K,MATCH('Lorri 401b'!N862,'Retirement Calculator'!A:A,0),0),0)</f>
        <v>20282.026119384056</v>
      </c>
      <c r="K862" s="455">
        <f t="shared" ca="1" si="79"/>
        <v>-48436.669631170065</v>
      </c>
      <c r="L862" s="455">
        <f t="shared" ca="1" si="80"/>
        <v>-11673237.381111985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-11673237.381111985</v>
      </c>
      <c r="J863" s="455">
        <f t="array" ref="J863">IFERROR(INDEX('Retirement Calculator'!K:K,MATCH('Lorri 401b'!N863,'Retirement Calculator'!A:A,0),0),0)</f>
        <v>20282.026119384056</v>
      </c>
      <c r="K863" s="455">
        <f t="shared" ca="1" si="79"/>
        <v>-48722.997530130706</v>
      </c>
      <c r="L863" s="455">
        <f t="shared" ca="1" si="80"/>
        <v>-11742242.404761501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-11742242.404761501</v>
      </c>
      <c r="J864" s="455">
        <f t="array" ref="J864">IFERROR(INDEX('Retirement Calculator'!K:K,MATCH('Lorri 401b'!N864,'Retirement Calculator'!A:A,0),0),0)</f>
        <v>20282.026119384056</v>
      </c>
      <c r="K864" s="455">
        <f t="shared" ca="1" si="79"/>
        <v>-49010.518462003689</v>
      </c>
      <c r="L864" s="455">
        <f t="shared" ca="1" si="80"/>
        <v>-11811534.94934289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-11811534.94934289</v>
      </c>
      <c r="J865" s="455">
        <f t="array" ref="J865">IFERROR(INDEX('Retirement Calculator'!K:K,MATCH('Lorri 401b'!N865,'Retirement Calculator'!A:A,0),0),0)</f>
        <v>20282.026119384056</v>
      </c>
      <c r="K865" s="455">
        <f t="shared" ca="1" si="79"/>
        <v>-49299.237397759476</v>
      </c>
      <c r="L865" s="455">
        <f t="shared" ca="1" si="80"/>
        <v>-11881116.212860035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-11881116.212860035</v>
      </c>
      <c r="J866" s="455">
        <f t="array" ref="J866">IFERROR(INDEX('Retirement Calculator'!K:K,MATCH('Lorri 401b'!N866,'Retirement Calculator'!A:A,0),0),0)</f>
        <v>20282.026119384056</v>
      </c>
      <c r="K866" s="455">
        <f t="shared" ca="1" si="79"/>
        <v>-49589.159329080918</v>
      </c>
      <c r="L866" s="455">
        <f t="shared" ca="1" si="80"/>
        <v>-11950987.398308501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-11950987.398308501</v>
      </c>
      <c r="J867" s="455">
        <f t="array" ref="J867">IFERROR(INDEX('Retirement Calculator'!K:K,MATCH('Lorri 401b'!N867,'Retirement Calculator'!A:A,0),0),0)</f>
        <v>20282.026119384056</v>
      </c>
      <c r="K867" s="455">
        <f t="shared" ca="1" si="79"/>
        <v>-49880.289268449524</v>
      </c>
      <c r="L867" s="455">
        <f t="shared" ca="1" si="80"/>
        <v>-12021149.713696335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-12021149.713696335</v>
      </c>
      <c r="J868" s="455">
        <f t="array" ref="J868">IFERROR(INDEX('Retirement Calculator'!K:K,MATCH('Lorri 401b'!N868,'Retirement Calculator'!A:A,0),0),0)</f>
        <v>20282.026119384056</v>
      </c>
      <c r="K868" s="455">
        <f t="shared" ca="1" si="79"/>
        <v>-50172.632249232163</v>
      </c>
      <c r="L868" s="455">
        <f t="shared" ca="1" si="80"/>
        <v>-12091604.372064952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-12091604.372064952</v>
      </c>
      <c r="J869" s="455">
        <f t="array" ref="J869">IFERROR(INDEX('Retirement Calculator'!K:K,MATCH('Lorri 401b'!N869,'Retirement Calculator'!A:A,0),0),0)</f>
        <v>20282.026119384056</v>
      </c>
      <c r="K869" s="455">
        <f t="shared" ca="1" si="79"/>
        <v>-50466.193325768072</v>
      </c>
      <c r="L869" s="455">
        <f t="shared" ca="1" si="80"/>
        <v>-12162352.591510104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-12162352.591510104</v>
      </c>
      <c r="J870" s="455">
        <f t="array" ref="J870">IFERROR(INDEX('Retirement Calculator'!K:K,MATCH('Lorri 401b'!N870,'Retirement Calculator'!A:A,0),0),0)</f>
        <v>20282.026119384056</v>
      </c>
      <c r="K870" s="455">
        <f t="shared" ca="1" si="79"/>
        <v>-50760.977573456206</v>
      </c>
      <c r="L870" s="455">
        <f t="shared" ca="1" si="80"/>
        <v>-12233395.595202945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-12233395.595202945</v>
      </c>
      <c r="J871" s="455">
        <f t="array" ref="J871">IFERROR(INDEX('Retirement Calculator'!K:K,MATCH('Lorri 401b'!N871,'Retirement Calculator'!A:A,0),0),0)</f>
        <v>20282.026119384056</v>
      </c>
      <c r="K871" s="455">
        <f t="shared" ca="1" si="79"/>
        <v>-51056.990088843042</v>
      </c>
      <c r="L871" s="455">
        <f t="shared" ca="1" si="80"/>
        <v>-12304734.611411173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-12304734.611411173</v>
      </c>
      <c r="J872" s="455">
        <f t="array" ref="J872">IFERROR(INDEX('Retirement Calculator'!K:K,MATCH('Lorri 401b'!N872,'Retirement Calculator'!A:A,0),0),0)</f>
        <v>20282.026119384056</v>
      </c>
      <c r="K872" s="455">
        <f t="shared" ca="1" si="79"/>
        <v>-51354.235989710658</v>
      </c>
      <c r="L872" s="455">
        <f t="shared" ca="1" si="80"/>
        <v>-12376370.873520268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-12376370.873520268</v>
      </c>
      <c r="J873" s="455">
        <f t="array" ref="J873">IFERROR(INDEX('Retirement Calculator'!K:K,MATCH('Lorri 401b'!N873,'Retirement Calculator'!A:A,0),0),0)</f>
        <v>20282.026119384056</v>
      </c>
      <c r="K873" s="455">
        <f t="shared" ca="1" si="79"/>
        <v>-51652.720415165219</v>
      </c>
      <c r="L873" s="455">
        <f t="shared" ca="1" si="80"/>
        <v>-12448305.620054819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-12448305.620054819</v>
      </c>
      <c r="J874" s="455">
        <f t="array" ref="J874">IFERROR(INDEX('Retirement Calculator'!K:K,MATCH('Lorri 401b'!N874,'Retirement Calculator'!A:A,0),0),0)</f>
        <v>20282.026119384056</v>
      </c>
      <c r="K874" s="455">
        <f t="shared" ca="1" si="79"/>
        <v>-51952.448525725849</v>
      </c>
      <c r="L874" s="455">
        <f t="shared" ca="1" si="80"/>
        <v>-12520540.094699929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-12520540.094699929</v>
      </c>
      <c r="J875" s="455">
        <f t="array" ref="J875">IFERROR(INDEX('Retirement Calculator'!K:K,MATCH('Lorri 401b'!N875,'Retirement Calculator'!A:A,0),0),0)</f>
        <v>20282.026119384056</v>
      </c>
      <c r="K875" s="455">
        <f t="shared" ca="1" si="79"/>
        <v>-52253.425503413804</v>
      </c>
      <c r="L875" s="455">
        <f t="shared" ca="1" si="80"/>
        <v>-12593075.546322728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-12593075.546322728</v>
      </c>
      <c r="J876" s="455">
        <f t="array" ref="J876">IFERROR(INDEX('Retirement Calculator'!K:K,MATCH('Lorri 401b'!N876,'Retirement Calculator'!A:A,0),0),0)</f>
        <v>20282.026119384056</v>
      </c>
      <c r="K876" s="455">
        <f t="shared" ca="1" si="79"/>
        <v>-52555.656551842134</v>
      </c>
      <c r="L876" s="455">
        <f t="shared" ca="1" si="80"/>
        <v>-12665913.228993954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-12665913.228993954</v>
      </c>
      <c r="J877" s="455">
        <f t="array" ref="J877">IFERROR(INDEX('Retirement Calculator'!K:K,MATCH('Lorri 401b'!N877,'Retirement Calculator'!A:A,0),0),0)</f>
        <v>20282.026119384056</v>
      </c>
      <c r="K877" s="455">
        <f t="shared" ca="1" si="79"/>
        <v>-52859.146896305581</v>
      </c>
      <c r="L877" s="455">
        <f t="shared" ca="1" si="80"/>
        <v>-12739054.402009645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-12739054.402009645</v>
      </c>
      <c r="J878" s="455">
        <f t="array" ref="J878">IFERROR(INDEX('Retirement Calculator'!K:K,MATCH('Lorri 401b'!N878,'Retirement Calculator'!A:A,0),0),0)</f>
        <v>20282.026119384056</v>
      </c>
      <c r="K878" s="455">
        <f t="shared" ca="1" si="79"/>
        <v>-53163.901783870962</v>
      </c>
      <c r="L878" s="455">
        <f t="shared" ca="1" si="80"/>
        <v>-12812500.329912901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-12812500.329912901</v>
      </c>
      <c r="J879" s="455">
        <f t="array" ref="J879">IFERROR(INDEX('Retirement Calculator'!K:K,MATCH('Lorri 401b'!N879,'Retirement Calculator'!A:A,0),0),0)</f>
        <v>20282.026119384056</v>
      </c>
      <c r="K879" s="455">
        <f t="shared" ca="1" si="79"/>
        <v>-53469.926483467854</v>
      </c>
      <c r="L879" s="455">
        <f t="shared" ca="1" si="80"/>
        <v>-12886252.282515753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-12886252.282515753</v>
      </c>
      <c r="J880" s="455">
        <f t="array" ref="J880">IFERROR(INDEX('Retirement Calculator'!K:K,MATCH('Lorri 401b'!N880,'Retirement Calculator'!A:A,0),0),0)</f>
        <v>20282.026119384056</v>
      </c>
      <c r="K880" s="455">
        <f t="shared" ca="1" si="79"/>
        <v>-53777.226285979741</v>
      </c>
      <c r="L880" s="455">
        <f t="shared" ca="1" si="80"/>
        <v>-12960311.534921117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-12960311.534921117</v>
      </c>
      <c r="J881" s="455">
        <f t="array" ref="J881">IFERROR(INDEX('Retirement Calculator'!K:K,MATCH('Lorri 401b'!N881,'Retirement Calculator'!A:A,0),0),0)</f>
        <v>20282.026119384056</v>
      </c>
      <c r="K881" s="455">
        <f t="shared" ca="1" si="79"/>
        <v>-54085.806504335422</v>
      </c>
      <c r="L881" s="455">
        <f t="shared" ca="1" si="80"/>
        <v>-13034679.367544837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-13034679.367544837</v>
      </c>
      <c r="J882" s="455">
        <f t="array" ref="J882">IFERROR(INDEX('Retirement Calculator'!K:K,MATCH('Lorri 401b'!N882,'Retirement Calculator'!A:A,0),0),0)</f>
        <v>20282.026119384056</v>
      </c>
      <c r="K882" s="455">
        <f t="shared" ca="1" si="79"/>
        <v>-54395.672473600927</v>
      </c>
      <c r="L882" s="455">
        <f t="shared" ca="1" si="80"/>
        <v>-13109357.066137822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-13109357.066137822</v>
      </c>
      <c r="J883" s="455">
        <f t="array" ref="J883">IFERROR(INDEX('Retirement Calculator'!K:K,MATCH('Lorri 401b'!N883,'Retirement Calculator'!A:A,0),0),0)</f>
        <v>20282.026119384056</v>
      </c>
      <c r="K883" s="455">
        <f t="shared" ca="1" si="79"/>
        <v>-54706.829551071693</v>
      </c>
      <c r="L883" s="455">
        <f t="shared" ca="1" si="80"/>
        <v>-13184345.921808278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-13184345.921808278</v>
      </c>
      <c r="J884" s="455">
        <f t="array" ref="J884">IFERROR(INDEX('Retirement Calculator'!K:K,MATCH('Lorri 401b'!N884,'Retirement Calculator'!A:A,0),0),0)</f>
        <v>20282.026119384056</v>
      </c>
      <c r="K884" s="455">
        <f t="shared" ca="1" si="79"/>
        <v>-55019.283116365259</v>
      </c>
      <c r="L884" s="455">
        <f t="shared" ca="1" si="80"/>
        <v>-13259647.231044028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-13259647.231044028</v>
      </c>
      <c r="J885" s="455">
        <f t="array" ref="J885">IFERROR(INDEX('Retirement Calculator'!K:K,MATCH('Lorri 401b'!N885,'Retirement Calculator'!A:A,0),0),0)</f>
        <v>20282.026119384056</v>
      </c>
      <c r="K885" s="455">
        <f t="shared" ca="1" si="79"/>
        <v>-55333.038571514211</v>
      </c>
      <c r="L885" s="455">
        <f t="shared" ca="1" si="80"/>
        <v>-13335262.295734927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-13335262.295734927</v>
      </c>
      <c r="J886" s="455">
        <f t="array" ref="J886">IFERROR(INDEX('Retirement Calculator'!K:K,MATCH('Lorri 401b'!N886,'Retirement Calculator'!A:A,0),0),0)</f>
        <v>20282.026119384056</v>
      </c>
      <c r="K886" s="455">
        <f t="shared" ca="1" si="79"/>
        <v>-55648.101341059635</v>
      </c>
      <c r="L886" s="455">
        <f t="shared" ca="1" si="80"/>
        <v>-13411192.423195371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-13411192.423195371</v>
      </c>
      <c r="J887" s="455">
        <f t="array" ref="J887">IFERROR(INDEX('Retirement Calculator'!K:K,MATCH('Lorri 401b'!N887,'Retirement Calculator'!A:A,0),0),0)</f>
        <v>20282.026119384056</v>
      </c>
      <c r="K887" s="455">
        <f t="shared" ca="1" si="79"/>
        <v>-55964.47687214482</v>
      </c>
      <c r="L887" s="455">
        <f t="shared" ca="1" si="80"/>
        <v>-13487438.926186901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-13487438.926186901</v>
      </c>
      <c r="J888" s="455">
        <f t="array" ref="J888">IFERROR(INDEX('Retirement Calculator'!K:K,MATCH('Lorri 401b'!N888,'Retirement Calculator'!A:A,0),0),0)</f>
        <v>20282.026119384056</v>
      </c>
      <c r="K888" s="455">
        <f t="shared" ca="1" si="79"/>
        <v>-56282.170634609523</v>
      </c>
      <c r="L888" s="455">
        <f t="shared" ca="1" si="80"/>
        <v>-13564003.122940894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-13564003.122940894</v>
      </c>
      <c r="J889" s="455">
        <f t="array" ref="J889">IFERROR(INDEX('Retirement Calculator'!K:K,MATCH('Lorri 401b'!N889,'Retirement Calculator'!A:A,0),0),0)</f>
        <v>20282.026119384056</v>
      </c>
      <c r="K889" s="455">
        <f t="shared" ca="1" si="79"/>
        <v>-56601.188121084495</v>
      </c>
      <c r="L889" s="455">
        <f t="shared" ca="1" si="80"/>
        <v>-13640886.337181363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-13640886.337181363</v>
      </c>
      <c r="J890" s="455">
        <f t="array" ref="J890">IFERROR(INDEX('Retirement Calculator'!K:K,MATCH('Lorri 401b'!N890,'Retirement Calculator'!A:A,0),0),0)</f>
        <v>20282.026119384056</v>
      </c>
      <c r="K890" s="455">
        <f t="shared" ca="1" si="79"/>
        <v>-56921.534847086448</v>
      </c>
      <c r="L890" s="455">
        <f t="shared" ca="1" si="80"/>
        <v>-13718089.898147834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-13718089.898147834</v>
      </c>
      <c r="J891" s="455">
        <f t="array" ref="J891">IFERROR(INDEX('Retirement Calculator'!K:K,MATCH('Lorri 401b'!N891,'Retirement Calculator'!A:A,0),0),0)</f>
        <v>20282.026119384056</v>
      </c>
      <c r="K891" s="455">
        <f t="shared" ca="1" si="79"/>
        <v>-57243.21635111342</v>
      </c>
      <c r="L891" s="455">
        <f t="shared" ca="1" si="80"/>
        <v>-13795615.140618334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-13795615.140618334</v>
      </c>
      <c r="J892" s="455">
        <f t="array" ref="J892">IFERROR(INDEX('Retirement Calculator'!K:K,MATCH('Lorri 401b'!N892,'Retirement Calculator'!A:A,0),0),0)</f>
        <v>20282.026119384056</v>
      </c>
      <c r="K892" s="455">
        <f t="shared" ca="1" si="79"/>
        <v>-57566.238194740494</v>
      </c>
      <c r="L892" s="455">
        <f t="shared" ca="1" si="80"/>
        <v>-13873463.40493246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-13873463.40493246</v>
      </c>
      <c r="J893" s="455">
        <f t="array" ref="J893">IFERROR(INDEX('Retirement Calculator'!K:K,MATCH('Lorri 401b'!N893,'Retirement Calculator'!A:A,0),0),0)</f>
        <v>20282.026119384056</v>
      </c>
      <c r="K893" s="455">
        <f t="shared" ca="1" si="79"/>
        <v>-57890.605962716021</v>
      </c>
      <c r="L893" s="455">
        <f t="shared" ca="1" si="80"/>
        <v>-13951636.037014561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-13951636.037014561</v>
      </c>
      <c r="J894" s="455">
        <f t="array" ref="J894">IFERROR(INDEX('Retirement Calculator'!K:K,MATCH('Lorri 401b'!N894,'Retirement Calculator'!A:A,0),0),0)</f>
        <v>20282.026119384056</v>
      </c>
      <c r="K894" s="455">
        <f t="shared" ca="1" si="79"/>
        <v>-58216.325263058105</v>
      </c>
      <c r="L894" s="455">
        <f t="shared" ca="1" si="80"/>
        <v>-14030134.388397004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-14030134.388397004</v>
      </c>
      <c r="J895" s="455">
        <f t="array" ref="J895">IFERROR(INDEX('Retirement Calculator'!K:K,MATCH('Lorri 401b'!N895,'Retirement Calculator'!A:A,0),0),0)</f>
        <v>20282.026119384056</v>
      </c>
      <c r="K895" s="455">
        <f t="shared" ca="1" si="79"/>
        <v>-58543.40172715162</v>
      </c>
      <c r="L895" s="455">
        <f t="shared" ca="1" si="80"/>
        <v>-14108959.81624354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-14108959.81624354</v>
      </c>
      <c r="J896" s="455">
        <f t="array" ref="J896">IFERROR(INDEX('Retirement Calculator'!K:K,MATCH('Lorri 401b'!N896,'Retirement Calculator'!A:A,0),0),0)</f>
        <v>20282.026119384056</v>
      </c>
      <c r="K896" s="455">
        <f t="shared" ca="1" si="79"/>
        <v>-58871.841009845528</v>
      </c>
      <c r="L896" s="455">
        <f t="shared" ca="1" si="80"/>
        <v>-14188113.683372771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-14188113.683372771</v>
      </c>
      <c r="J897" s="455">
        <f t="array" ref="J897">IFERROR(INDEX('Retirement Calculator'!K:K,MATCH('Lorri 401b'!N897,'Retirement Calculator'!A:A,0),0),0)</f>
        <v>20282.026119384056</v>
      </c>
      <c r="K897" s="455">
        <f t="shared" ca="1" si="79"/>
        <v>-59201.648789550658</v>
      </c>
      <c r="L897" s="455">
        <f t="shared" ca="1" si="80"/>
        <v>-14267597.358281707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-14267597.358281707</v>
      </c>
      <c r="J898" s="455">
        <f t="array" ref="J898">IFERROR(INDEX('Retirement Calculator'!K:K,MATCH('Lorri 401b'!N898,'Retirement Calculator'!A:A,0),0),0)</f>
        <v>20282.026119384056</v>
      </c>
      <c r="K898" s="455">
        <f t="shared" ca="1" si="79"/>
        <v>-59532.830768337873</v>
      </c>
      <c r="L898" s="455">
        <f t="shared" ca="1" si="80"/>
        <v>-14347412.21516943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-14347412.21516943</v>
      </c>
      <c r="J899" s="455">
        <f t="array" ref="J899">IFERROR(INDEX('Retirement Calculator'!K:K,MATCH('Lorri 401b'!N899,'Retirement Calculator'!A:A,0),0),0)</f>
        <v>20282.026119384056</v>
      </c>
      <c r="K899" s="455">
        <f t="shared" ca="1" si="79"/>
        <v>-59865.392672036738</v>
      </c>
      <c r="L899" s="455">
        <f t="shared" ca="1" si="80"/>
        <v>-14427559.633960851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-14427559.633960851</v>
      </c>
      <c r="J900" s="455">
        <f t="array" ref="J900">IFERROR(INDEX('Retirement Calculator'!K:K,MATCH('Lorri 401b'!N900,'Retirement Calculator'!A:A,0),0),0)</f>
        <v>20282.026119384056</v>
      </c>
      <c r="K900" s="455">
        <f t="shared" ca="1" si="79"/>
        <v>-60199.340250334317</v>
      </c>
      <c r="L900" s="455">
        <f t="shared" ca="1" si="80"/>
        <v>-14508041.000330569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-14508041.000330569</v>
      </c>
      <c r="J901" s="455">
        <f t="array" ref="J901">IFERROR(INDEX('Retirement Calculator'!K:K,MATCH('Lorri 401b'!N901,'Retirement Calculator'!A:A,0),0),0)</f>
        <v>20282.026119384056</v>
      </c>
      <c r="K901" s="455">
        <f t="shared" ca="1" si="79"/>
        <v>-60534.679276874806</v>
      </c>
      <c r="L901" s="455">
        <f t="shared" ca="1" si="80"/>
        <v>-14588857.705726828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-14588857.705726828</v>
      </c>
      <c r="J902" s="455">
        <f t="array" ref="J902">IFERROR(INDEX('Retirement Calculator'!K:K,MATCH('Lorri 401b'!N902,'Retirement Calculator'!A:A,0),0),0)</f>
        <v>20282.026119384056</v>
      </c>
      <c r="K902" s="455">
        <f t="shared" ca="1" si="79"/>
        <v>-60871.415549359219</v>
      </c>
      <c r="L902" s="455">
        <f t="shared" ca="1" si="80"/>
        <v>-14670011.147395572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-14670011.147395572</v>
      </c>
      <c r="J903" s="455">
        <f t="array" ref="J903">IFERROR(INDEX('Retirement Calculator'!K:K,MATCH('Lorri 401b'!N903,'Retirement Calculator'!A:A,0),0),0)</f>
        <v>20282.026119384056</v>
      </c>
      <c r="K903" s="455">
        <f t="shared" ca="1" si="79"/>
        <v>-61209.554889645646</v>
      </c>
      <c r="L903" s="455">
        <f t="shared" ca="1" si="80"/>
        <v>-14751502.728404602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-14751502.728404602</v>
      </c>
      <c r="J904" s="455">
        <f t="array" ref="J904">IFERROR(INDEX('Retirement Calculator'!K:K,MATCH('Lorri 401b'!N904,'Retirement Calculator'!A:A,0),0),0)</f>
        <v>20282.026119384056</v>
      </c>
      <c r="K904" s="455">
        <f t="shared" ca="1" si="79"/>
        <v>-61549.103143849956</v>
      </c>
      <c r="L904" s="455">
        <f t="shared" ca="1" si="80"/>
        <v>-14833333.857667837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-14833333.857667837</v>
      </c>
      <c r="J905" s="455">
        <f t="array" ref="J905">IFERROR(INDEX('Retirement Calculator'!K:K,MATCH('Lorri 401b'!N905,'Retirement Calculator'!A:A,0),0),0)</f>
        <v>20282.026119384056</v>
      </c>
      <c r="K905" s="455">
        <f t="shared" ca="1" si="79"/>
        <v>-61890.066182446753</v>
      </c>
      <c r="L905" s="455">
        <f t="shared" ca="1" si="80"/>
        <v>-14915505.94996967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-14915505.94996967</v>
      </c>
      <c r="J906" s="455">
        <f t="array" ref="J906">IFERROR(INDEX('Retirement Calculator'!K:K,MATCH('Lorri 401b'!N906,'Retirement Calculator'!A:A,0),0),0)</f>
        <v>20282.026119384056</v>
      </c>
      <c r="K906" s="455">
        <f t="shared" ca="1" si="79"/>
        <v>-62232.449900371059</v>
      </c>
      <c r="L906" s="455">
        <f t="shared" ca="1" si="80"/>
        <v>-14998020.425989427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-14998020.425989427</v>
      </c>
      <c r="J907" s="455">
        <f t="array" ref="J907">IFERROR(INDEX('Retirement Calculator'!K:K,MATCH('Lorri 401b'!N907,'Retirement Calculator'!A:A,0),0),0)</f>
        <v>20282.026119384056</v>
      </c>
      <c r="K907" s="455">
        <f t="shared" ca="1" si="79"/>
        <v>-62576.260217120049</v>
      </c>
      <c r="L907" s="455">
        <f t="shared" ca="1" si="80"/>
        <v>-15080878.712325932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-15080878.712325932</v>
      </c>
      <c r="J908" s="455">
        <f t="array" ref="J908">IFERROR(INDEX('Retirement Calculator'!K:K,MATCH('Lorri 401b'!N908,'Retirement Calculator'!A:A,0),0),0)</f>
        <v>20282.026119384056</v>
      </c>
      <c r="K908" s="455">
        <f t="shared" ca="1" si="79"/>
        <v>-62921.503076855479</v>
      </c>
      <c r="L908" s="455">
        <f t="shared" ca="1" si="80"/>
        <v>-15164082.241522172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-15164082.241522172</v>
      </c>
      <c r="J909" s="455">
        <f t="array" ref="J909">IFERROR(INDEX('Retirement Calculator'!K:K,MATCH('Lorri 401b'!N909,'Retirement Calculator'!A:A,0),0),0)</f>
        <v>20282.026119384056</v>
      </c>
      <c r="K909" s="455">
        <f t="shared" ca="1" si="79"/>
        <v>-63268.184448506487</v>
      </c>
      <c r="L909" s="455">
        <f t="shared" ca="1" si="80"/>
        <v>-15247632.452090064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-15247632.452090064</v>
      </c>
      <c r="J910" s="455">
        <f t="array" ref="J910">IFERROR(INDEX('Retirement Calculator'!K:K,MATCH('Lorri 401b'!N910,'Retirement Calculator'!A:A,0),0),0)</f>
        <v>20282.026119384056</v>
      </c>
      <c r="K910" s="455">
        <f t="shared" ca="1" si="79"/>
        <v>-63616.310325872699</v>
      </c>
      <c r="L910" s="455">
        <f t="shared" ca="1" si="80"/>
        <v>-15331530.788535321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-15331530.788535321</v>
      </c>
      <c r="J911" s="455">
        <f t="array" ref="J911">IFERROR(INDEX('Retirement Calculator'!K:K,MATCH('Lorri 401b'!N911,'Retirement Calculator'!A:A,0),0),0)</f>
        <v>20282.026119384056</v>
      </c>
      <c r="K911" s="455">
        <f t="shared" ca="1" si="79"/>
        <v>-63965.886727727935</v>
      </c>
      <c r="L911" s="455">
        <f t="shared" ca="1" si="80"/>
        <v>-15415778.701382434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-15415778.701382434</v>
      </c>
      <c r="J912" s="455">
        <f t="array" ref="J912">IFERROR(INDEX('Retirement Calculator'!K:K,MATCH('Lorri 401b'!N912,'Retirement Calculator'!A:A,0),0),0)</f>
        <v>20282.026119384056</v>
      </c>
      <c r="K912" s="455">
        <f t="shared" ca="1" si="79"/>
        <v>-64316.919697924248</v>
      </c>
      <c r="L912" s="455">
        <f t="shared" ca="1" si="80"/>
        <v>-15500377.647199742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-15500377.647199742</v>
      </c>
      <c r="J913" s="455">
        <f t="array" ref="J913">IFERROR(INDEX('Retirement Calculator'!K:K,MATCH('Lorri 401b'!N913,'Retirement Calculator'!A:A,0),0),0)</f>
        <v>20282.026119384056</v>
      </c>
      <c r="K913" s="455">
        <f t="shared" ca="1" si="79"/>
        <v>-64669.415305496361</v>
      </c>
      <c r="L913" s="455">
        <f t="shared" ca="1" si="80"/>
        <v>-15585329.088624625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-15585329.088624625</v>
      </c>
      <c r="J914" s="455">
        <f t="array" ref="J914">IFERROR(INDEX('Retirement Calculator'!K:K,MATCH('Lorri 401b'!N914,'Retirement Calculator'!A:A,0),0),0)</f>
        <v>20282.026119384056</v>
      </c>
      <c r="K914" s="455">
        <f t="shared" ca="1" si="79"/>
        <v>-65023.379644766697</v>
      </c>
      <c r="L914" s="455">
        <f t="shared" ca="1" si="80"/>
        <v>-15670634.494388776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-15670634.494388776</v>
      </c>
      <c r="J915" s="455">
        <f t="array" ref="J915">IFERROR(INDEX('Retirement Calculator'!K:K,MATCH('Lorri 401b'!N915,'Retirement Calculator'!A:A,0),0),0)</f>
        <v>20282.026119384056</v>
      </c>
      <c r="K915" s="455">
        <f t="shared" ca="1" si="79"/>
        <v>-65378.818835450671</v>
      </c>
      <c r="L915" s="455">
        <f t="shared" ca="1" si="80"/>
        <v>-15756295.339343611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-15756295.339343611</v>
      </c>
      <c r="J916" s="455">
        <f t="array" ref="J916">IFERROR(INDEX('Retirement Calculator'!K:K,MATCH('Lorri 401b'!N916,'Retirement Calculator'!A:A,0),0),0)</f>
        <v>20282.026119384056</v>
      </c>
      <c r="K916" s="455">
        <f t="shared" ca="1" si="79"/>
        <v>-65735.739022762486</v>
      </c>
      <c r="L916" s="455">
        <f t="shared" ca="1" si="80"/>
        <v>-15842313.104485758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-15842313.104485758</v>
      </c>
      <c r="J917" s="455">
        <f t="array" ref="J917">IFERROR(INDEX('Retirement Calculator'!K:K,MATCH('Lorri 401b'!N917,'Retirement Calculator'!A:A,0),0),0)</f>
        <v>20282.026119384056</v>
      </c>
      <c r="K917" s="455">
        <f t="shared" ca="1" si="79"/>
        <v>-66094.146377521422</v>
      </c>
      <c r="L917" s="455">
        <f t="shared" ca="1" si="80"/>
        <v>-15928689.276982663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-15928689.276982663</v>
      </c>
      <c r="J918" s="455">
        <f t="array" ref="J918">IFERROR(INDEX('Retirement Calculator'!K:K,MATCH('Lorri 401b'!N918,'Retirement Calculator'!A:A,0),0),0)</f>
        <v>20282.026119384056</v>
      </c>
      <c r="K918" s="455">
        <f t="shared" ca="1" si="79"/>
        <v>-66454.047096258539</v>
      </c>
      <c r="L918" s="455">
        <f t="shared" ca="1" si="80"/>
        <v>-16015425.350198306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-16015425.350198306</v>
      </c>
      <c r="J919" s="455">
        <f t="array" ref="J919">IFERROR(INDEX('Retirement Calculator'!K:K,MATCH('Lorri 401b'!N919,'Retirement Calculator'!A:A,0),0),0)</f>
        <v>20282.026119384056</v>
      </c>
      <c r="K919" s="455">
        <f t="shared" ca="1" si="79"/>
        <v>-66815.447401323705</v>
      </c>
      <c r="L919" s="455">
        <f t="shared" ca="1" si="80"/>
        <v>-16102522.823719015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-16102522.823719015</v>
      </c>
      <c r="J920" s="455">
        <f t="array" ref="J920">IFERROR(INDEX('Retirement Calculator'!K:K,MATCH('Lorri 401b'!N920,'Retirement Calculator'!A:A,0),0),0)</f>
        <v>20282.026119384056</v>
      </c>
      <c r="K920" s="455">
        <f t="shared" ca="1" si="79"/>
        <v>-67178.353540993339</v>
      </c>
      <c r="L920" s="455">
        <f t="shared" ca="1" si="80"/>
        <v>-16189983.203379394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-16189983.203379394</v>
      </c>
      <c r="J921" s="455">
        <f t="array" ref="J921">IFERROR(INDEX('Retirement Calculator'!K:K,MATCH('Lorri 401b'!N921,'Retirement Calculator'!A:A,0),0),0)</f>
        <v>20282.026119384056</v>
      </c>
      <c r="K921" s="455">
        <f t="shared" ca="1" si="79"/>
        <v>-67542.771789578241</v>
      </c>
      <c r="L921" s="455">
        <f t="shared" ca="1" si="80"/>
        <v>-16277808.001288358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-16277808.001288358</v>
      </c>
      <c r="J922" s="455">
        <f t="array" ref="J922">IFERROR(INDEX('Retirement Calculator'!K:K,MATCH('Lorri 401b'!N922,'Retirement Calculator'!A:A,0),0),0)</f>
        <v>20282.026119384056</v>
      </c>
      <c r="K922" s="455">
        <f t="shared" ca="1" si="79"/>
        <v>-67908.708447532263</v>
      </c>
      <c r="L922" s="455">
        <f t="shared" ca="1" si="80"/>
        <v>-16365998.735855276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-16365998.735855276</v>
      </c>
      <c r="J923" s="455">
        <f t="array" ref="J923">IFERROR(INDEX('Retirement Calculator'!K:K,MATCH('Lorri 401b'!N923,'Retirement Calculator'!A:A,0),0),0)</f>
        <v>20282.026119384056</v>
      </c>
      <c r="K923" s="455">
        <f t="shared" ca="1" si="79"/>
        <v>-68276.169841561088</v>
      </c>
      <c r="L923" s="455">
        <f t="shared" ca="1" si="80"/>
        <v>-16454556.931816222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-16454556.931816222</v>
      </c>
      <c r="J924" s="455">
        <f t="array" ref="J924">IFERROR(INDEX('Retirement Calculator'!K:K,MATCH('Lorri 401b'!N924,'Retirement Calculator'!A:A,0),0),0)</f>
        <v>20282.026119384056</v>
      </c>
      <c r="K924" s="455">
        <f t="shared" ca="1" si="79"/>
        <v>-68645.162324731689</v>
      </c>
      <c r="L924" s="455">
        <f t="shared" ca="1" si="80"/>
        <v>-16543484.120260339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-16543484.120260339</v>
      </c>
      <c r="J925" s="455">
        <f t="array" ref="J925">IFERROR(INDEX('Retirement Calculator'!K:K,MATCH('Lorri 401b'!N925,'Retirement Calculator'!A:A,0),0),0)</f>
        <v>20282.026119384056</v>
      </c>
      <c r="K925" s="455">
        <f t="shared" ca="1" si="79"/>
        <v>-69015.69227658218</v>
      </c>
      <c r="L925" s="455">
        <f t="shared" ca="1" si="80"/>
        <v>-16632781.838656306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-16632781.838656306</v>
      </c>
      <c r="J926" s="455">
        <f t="array" ref="J926">IFERROR(INDEX('Retirement Calculator'!K:K,MATCH('Lorri 401b'!N926,'Retirement Calculator'!A:A,0),0),0)</f>
        <v>20282.026119384056</v>
      </c>
      <c r="K926" s="455">
        <f t="shared" ca="1" si="79"/>
        <v>-69387.766103232047</v>
      </c>
      <c r="L926" s="455">
        <f t="shared" ca="1" si="80"/>
        <v>-16722451.630878923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-16722451.630878923</v>
      </c>
      <c r="J927" s="455">
        <f t="array" ref="J927">IFERROR(INDEX('Retirement Calculator'!K:K,MATCH('Lorri 401b'!N927,'Retirement Calculator'!A:A,0),0),0)</f>
        <v>20282.026119384056</v>
      </c>
      <c r="K927" s="455">
        <f t="shared" ca="1" si="79"/>
        <v>-69761.390237492946</v>
      </c>
      <c r="L927" s="455">
        <f t="shared" ca="1" si="80"/>
        <v>-16812495.047235802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-16812495.047235802</v>
      </c>
      <c r="J928" s="455">
        <f t="array" ref="J928">IFERROR(INDEX('Retirement Calculator'!K:K,MATCH('Lorri 401b'!N928,'Retirement Calculator'!A:A,0),0),0)</f>
        <v>20282.026119384056</v>
      </c>
      <c r="K928" s="455">
        <f t="shared" ca="1" si="79"/>
        <v>-70136.57113897994</v>
      </c>
      <c r="L928" s="455">
        <f t="shared" ca="1" si="80"/>
        <v>-16902913.644494168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-16902913.644494168</v>
      </c>
      <c r="J929" s="455">
        <f t="array" ref="J929">IFERROR(INDEX('Retirement Calculator'!K:K,MATCH('Lorri 401b'!N929,'Retirement Calculator'!A:A,0),0),0)</f>
        <v>20282.026119384056</v>
      </c>
      <c r="K929" s="455">
        <f t="shared" ca="1" si="79"/>
        <v>-70513.315294223139</v>
      </c>
      <c r="L929" s="455">
        <f t="shared" ca="1" si="80"/>
        <v>-16993708.985907778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-16993708.985907778</v>
      </c>
      <c r="J930" s="455">
        <f t="array" ref="J930">IFERROR(INDEX('Retirement Calculator'!K:K,MATCH('Lorri 401b'!N930,'Retirement Calculator'!A:A,0),0),0)</f>
        <v>20282.026119384056</v>
      </c>
      <c r="K930" s="455">
        <f t="shared" ca="1" si="79"/>
        <v>-70891.629216779838</v>
      </c>
      <c r="L930" s="455">
        <f t="shared" ca="1" si="80"/>
        <v>-17084882.641243942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-17084882.641243942</v>
      </c>
      <c r="J931" s="455">
        <f t="array" ref="J931">IFERROR(INDEX('Retirement Calculator'!K:K,MATCH('Lorri 401b'!N931,'Retirement Calculator'!A:A,0),0),0)</f>
        <v>20282.026119384056</v>
      </c>
      <c r="K931" s="455">
        <f t="shared" ca="1" si="79"/>
        <v>-71271.519447347193</v>
      </c>
      <c r="L931" s="455">
        <f t="shared" ca="1" si="80"/>
        <v>-17176436.186810676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-17176436.186810676</v>
      </c>
      <c r="J932" s="455">
        <f t="array" ref="J932">IFERROR(INDEX('Retirement Calculator'!K:K,MATCH('Lorri 401b'!N932,'Retirement Calculator'!A:A,0),0),0)</f>
        <v>20282.026119384056</v>
      </c>
      <c r="K932" s="455">
        <f t="shared" ca="1" si="79"/>
        <v>-71652.992553875258</v>
      </c>
      <c r="L932" s="455">
        <f t="shared" ca="1" si="80"/>
        <v>-17268371.205483936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-17268371.205483936</v>
      </c>
      <c r="J933" s="455">
        <f t="array" ref="J933">IFERROR(INDEX('Retirement Calculator'!K:K,MATCH('Lorri 401b'!N933,'Retirement Calculator'!A:A,0),0),0)</f>
        <v>20282.026119384056</v>
      </c>
      <c r="K933" s="455">
        <f t="shared" ca="1" si="79"/>
        <v>-72036.055131680507</v>
      </c>
      <c r="L933" s="455">
        <f t="shared" ca="1" si="80"/>
        <v>-17360689.286735002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-17360689.286735002</v>
      </c>
      <c r="J934" s="455">
        <f t="array" ref="J934">IFERROR(INDEX('Retirement Calculator'!K:K,MATCH('Lorri 401b'!N934,'Retirement Calculator'!A:A,0),0),0)</f>
        <v>20282.026119384056</v>
      </c>
      <c r="K934" s="455">
        <f t="shared" ca="1" si="79"/>
        <v>-72420.713803559949</v>
      </c>
      <c r="L934" s="455">
        <f t="shared" ca="1" si="80"/>
        <v>-17453392.026657946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-17453392.026657946</v>
      </c>
      <c r="J935" s="455">
        <f t="array" ref="J935">IFERROR(INDEX('Retirement Calculator'!K:K,MATCH('Lorri 401b'!N935,'Retirement Calculator'!A:A,0),0),0)</f>
        <v>20282.026119384056</v>
      </c>
      <c r="K935" s="455">
        <f t="shared" ca="1" si="79"/>
        <v>-72806.975219905551</v>
      </c>
      <c r="L935" s="455">
        <f t="shared" ca="1" si="80"/>
        <v>-17546481.027997237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-17546481.027997237</v>
      </c>
      <c r="J936" s="455">
        <f t="array" ref="J936">IFERROR(INDEX('Retirement Calculator'!K:K,MATCH('Lorri 401b'!N936,'Retirement Calculator'!A:A,0),0),0)</f>
        <v>20282.026119384056</v>
      </c>
      <c r="K936" s="455">
        <f t="shared" ca="1" si="79"/>
        <v>-73194.846058819254</v>
      </c>
      <c r="L936" s="455">
        <f t="shared" ca="1" si="80"/>
        <v>-17639957.900175441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-17639957.900175441</v>
      </c>
      <c r="J937" s="455">
        <f t="array" ref="J937">IFERROR(INDEX('Retirement Calculator'!K:K,MATCH('Lorri 401b'!N937,'Retirement Calculator'!A:A,0),0),0)</f>
        <v>20282.026119384056</v>
      </c>
      <c r="K937" s="455">
        <f t="shared" ca="1" si="79"/>
        <v>-73584.333026228443</v>
      </c>
      <c r="L937" s="455">
        <f t="shared" ca="1" si="80"/>
        <v>-17733824.259321053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-17733824.259321053</v>
      </c>
      <c r="J938" s="455">
        <f t="array" ref="J938">IFERROR(INDEX('Retirement Calculator'!K:K,MATCH('Lorri 401b'!N938,'Retirement Calculator'!A:A,0),0),0)</f>
        <v>20282.026119384056</v>
      </c>
      <c r="K938" s="455">
        <f t="shared" ca="1" si="79"/>
        <v>-73975.442856001828</v>
      </c>
      <c r="L938" s="455">
        <f t="shared" ca="1" si="80"/>
        <v>-17828081.72829644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-17828081.72829644</v>
      </c>
      <c r="J939" s="455">
        <f t="array" ref="J939">IFERROR(INDEX('Retirement Calculator'!K:K,MATCH('Lorri 401b'!N939,'Retirement Calculator'!A:A,0),0),0)</f>
        <v>20282.026119384056</v>
      </c>
      <c r="K939" s="455">
        <f t="shared" ca="1" si="79"/>
        <v>-74368.182310065939</v>
      </c>
      <c r="L939" s="455">
        <f t="shared" ca="1" si="80"/>
        <v>-17922731.936725892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-17922731.936725892</v>
      </c>
      <c r="J940" s="455">
        <f t="array" ref="J940">IFERROR(INDEX('Retirement Calculator'!K:K,MATCH('Lorri 401b'!N940,'Retirement Calculator'!A:A,0),0),0)</f>
        <v>20282.026119384056</v>
      </c>
      <c r="K940" s="455">
        <f t="shared" ca="1" si="79"/>
        <v>-74762.558178521984</v>
      </c>
      <c r="L940" s="455">
        <f t="shared" ca="1" si="80"/>
        <v>-18017776.521023799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-18017776.521023799</v>
      </c>
      <c r="J941" s="455">
        <f t="array" ref="J941">IFERROR(INDEX('Retirement Calculator'!K:K,MATCH('Lorri 401b'!N941,'Retirement Calculator'!A:A,0),0),0)</f>
        <v>20282.026119384056</v>
      </c>
      <c r="K941" s="455">
        <f t="shared" ca="1" si="79"/>
        <v>-75158.577279763267</v>
      </c>
      <c r="L941" s="455">
        <f t="shared" ca="1" si="80"/>
        <v>-18113217.124422945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-18113217.124422945</v>
      </c>
      <c r="J942" s="455">
        <f t="array" ref="J942">IFERROR(INDEX('Retirement Calculator'!K:K,MATCH('Lorri 401b'!N942,'Retirement Calculator'!A:A,0),0),0)</f>
        <v>20282.026119384056</v>
      </c>
      <c r="K942" s="455">
        <f t="shared" ca="1" si="79"/>
        <v>-75556.246460593044</v>
      </c>
      <c r="L942" s="455">
        <f t="shared" ca="1" si="80"/>
        <v>-18209055.397002924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-18209055.397002924</v>
      </c>
      <c r="J943" s="455">
        <f t="array" ref="J943">IFERROR(INDEX('Retirement Calculator'!K:K,MATCH('Lorri 401b'!N943,'Retirement Calculator'!A:A,0),0),0)</f>
        <v>20282.026119384056</v>
      </c>
      <c r="K943" s="455">
        <f t="shared" ca="1" si="79"/>
        <v>-75955.572596342958</v>
      </c>
      <c r="L943" s="455">
        <f t="shared" ca="1" si="80"/>
        <v>-18305292.995718651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-18305292.995718651</v>
      </c>
      <c r="J944" s="455">
        <f t="array" ref="J944">IFERROR(INDEX('Retirement Calculator'!K:K,MATCH('Lorri 401b'!N944,'Retirement Calculator'!A:A,0),0),0)</f>
        <v>20282.026119384056</v>
      </c>
      <c r="K944" s="455">
        <f t="shared" ca="1" si="79"/>
        <v>-76356.562590991816</v>
      </c>
      <c r="L944" s="455">
        <f t="shared" ca="1" si="80"/>
        <v>-18401931.584429026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-18401931.584429026</v>
      </c>
      <c r="J945" s="455">
        <f t="array" ref="J945">IFERROR(INDEX('Retirement Calculator'!K:K,MATCH('Lorri 401b'!N945,'Retirement Calculator'!A:A,0),0),0)</f>
        <v>20282.026119384056</v>
      </c>
      <c r="K945" s="455">
        <f t="shared" ca="1" si="79"/>
        <v>-76759.223377285045</v>
      </c>
      <c r="L945" s="455">
        <f t="shared" ca="1" si="80"/>
        <v>-18498972.833925694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-18498972.833925694</v>
      </c>
      <c r="J946" s="455">
        <f t="array" ref="J946">IFERROR(INDEX('Retirement Calculator'!K:K,MATCH('Lorri 401b'!N946,'Retirement Calculator'!A:A,0),0),0)</f>
        <v>20282.026119384056</v>
      </c>
      <c r="K946" s="455">
        <f t="shared" ca="1" si="79"/>
        <v>-77163.561916854494</v>
      </c>
      <c r="L946" s="455">
        <f t="shared" ca="1" si="80"/>
        <v>-18596418.421961933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-18596418.421961933</v>
      </c>
      <c r="J947" s="455">
        <f t="array" ref="J947">IFERROR(INDEX('Retirement Calculator'!K:K,MATCH('Lorri 401b'!N947,'Retirement Calculator'!A:A,0),0),0)</f>
        <v>20282.026119384056</v>
      </c>
      <c r="K947" s="455">
        <f t="shared" ca="1" si="79"/>
        <v>-77569.585200338828</v>
      </c>
      <c r="L947" s="455">
        <f t="shared" ca="1" si="80"/>
        <v>-18694270.033281658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-18694270.033281658</v>
      </c>
      <c r="J948" s="455">
        <f t="array" ref="J948">IFERROR(INDEX('Retirement Calculator'!K:K,MATCH('Lorri 401b'!N948,'Retirement Calculator'!A:A,0),0),0)</f>
        <v>20282.026119384056</v>
      </c>
      <c r="K948" s="455">
        <f t="shared" ca="1" si="79"/>
        <v>-77977.300247504347</v>
      </c>
      <c r="L948" s="455">
        <f t="shared" ca="1" si="80"/>
        <v>-18792529.359648548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-18792529.359648548</v>
      </c>
      <c r="J949" s="455">
        <f t="array" ref="J949">IFERROR(INDEX('Retirement Calculator'!K:K,MATCH('Lorri 401b'!N949,'Retirement Calculator'!A:A,0),0),0)</f>
        <v>20282.026119384056</v>
      </c>
      <c r="K949" s="455">
        <f t="shared" ca="1" si="79"/>
        <v>-78386.714107366381</v>
      </c>
      <c r="L949" s="455">
        <f t="shared" ca="1" si="80"/>
        <v>-18891198.099875301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-18891198.099875301</v>
      </c>
      <c r="J950" s="455">
        <f t="array" ref="J950">IFERROR(INDEX('Retirement Calculator'!K:K,MATCH('Lorri 401b'!N950,'Retirement Calculator'!A:A,0),0),0)</f>
        <v>20282.026119384056</v>
      </c>
      <c r="K950" s="455">
        <f t="shared" ca="1" si="79"/>
        <v>-78797.833858311191</v>
      </c>
      <c r="L950" s="455">
        <f t="shared" ca="1" si="80"/>
        <v>-18990277.959852997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-18990277.959852997</v>
      </c>
      <c r="J951" s="455">
        <f t="array" ref="J951">IFERROR(INDEX('Retirement Calculator'!K:K,MATCH('Lorri 401b'!N951,'Retirement Calculator'!A:A,0),0),0)</f>
        <v>20282.026119384056</v>
      </c>
      <c r="K951" s="455">
        <f t="shared" ca="1" si="79"/>
        <v>-79210.666608218264</v>
      </c>
      <c r="L951" s="455">
        <f t="shared" ca="1" si="80"/>
        <v>-19089770.6525806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-19089770.6525806</v>
      </c>
      <c r="J952" s="455">
        <f t="array" ref="J952">IFERROR(INDEX('Retirement Calculator'!K:K,MATCH('Lorri 401b'!N952,'Retirement Calculator'!A:A,0),0),0)</f>
        <v>20282.026119384056</v>
      </c>
      <c r="K952" s="455">
        <f t="shared" ca="1" si="79"/>
        <v>-79625.219494583274</v>
      </c>
      <c r="L952" s="455">
        <f t="shared" ca="1" si="80"/>
        <v>-19189677.89819457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-19189677.89819457</v>
      </c>
      <c r="J953" s="455">
        <f t="array" ref="J953">IFERROR(INDEX('Retirement Calculator'!K:K,MATCH('Lorri 401b'!N953,'Retirement Calculator'!A:A,0),0),0)</f>
        <v>20282.026119384056</v>
      </c>
      <c r="K953" s="455">
        <f t="shared" ca="1" si="79"/>
        <v>-80041.499684641472</v>
      </c>
      <c r="L953" s="455">
        <f t="shared" ca="1" si="80"/>
        <v>-19290001.423998598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-19290001.423998598</v>
      </c>
      <c r="J954" s="455">
        <f t="array" ref="J954">IFERROR(INDEX('Retirement Calculator'!K:K,MATCH('Lorri 401b'!N954,'Retirement Calculator'!A:A,0),0),0)</f>
        <v>20282.026119384056</v>
      </c>
      <c r="K954" s="455">
        <f t="shared" ca="1" si="79"/>
        <v>-80459.514375491592</v>
      </c>
      <c r="L954" s="455">
        <f t="shared" ca="1" si="80"/>
        <v>-19390742.964493476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-19390742.964493476</v>
      </c>
      <c r="J955" s="455">
        <f t="array" ref="J955">IFERROR(INDEX('Retirement Calculator'!K:K,MATCH('Lorri 401b'!N955,'Retirement Calculator'!A:A,0),0),0)</f>
        <v>20282.026119384056</v>
      </c>
      <c r="K955" s="455">
        <f t="shared" ca="1" si="79"/>
        <v>-80879.270794220254</v>
      </c>
      <c r="L955" s="455">
        <f t="shared" ca="1" si="80"/>
        <v>-19491904.261407081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-19491904.261407081</v>
      </c>
      <c r="J956" s="455">
        <f t="array" ref="J956">IFERROR(INDEX('Retirement Calculator'!K:K,MATCH('Lorri 401b'!N956,'Retirement Calculator'!A:A,0),0),0)</f>
        <v>20282.026119384056</v>
      </c>
      <c r="K956" s="455">
        <f t="shared" ca="1" si="79"/>
        <v>-81300.776198026942</v>
      </c>
      <c r="L956" s="455">
        <f t="shared" ca="1" si="80"/>
        <v>-19593487.063724492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-19593487.063724492</v>
      </c>
      <c r="J957" s="455">
        <f t="array" ref="J957">IFERROR(INDEX('Retirement Calculator'!K:K,MATCH('Lorri 401b'!N957,'Retirement Calculator'!A:A,0),0),0)</f>
        <v>20282.026119384056</v>
      </c>
      <c r="K957" s="455">
        <f t="shared" ca="1" si="79"/>
        <v>-81724.03787434948</v>
      </c>
      <c r="L957" s="455">
        <f t="shared" ca="1" si="80"/>
        <v>-19695493.127718225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-19695493.127718225</v>
      </c>
      <c r="J958" s="455">
        <f t="array" ref="J958">IFERROR(INDEX('Retirement Calculator'!K:K,MATCH('Lorri 401b'!N958,'Retirement Calculator'!A:A,0),0),0)</f>
        <v>20282.026119384056</v>
      </c>
      <c r="K958" s="455">
        <f t="shared" ca="1" si="79"/>
        <v>-82149.063140990038</v>
      </c>
      <c r="L958" s="455">
        <f t="shared" ca="1" si="80"/>
        <v>-19797924.216978598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-19797924.216978598</v>
      </c>
      <c r="J959" s="455">
        <f t="array" ref="J959">IFERROR(INDEX('Retirement Calculator'!K:K,MATCH('Lorri 401b'!N959,'Retirement Calculator'!A:A,0),0),0)</f>
        <v>20282.026119384056</v>
      </c>
      <c r="K959" s="455">
        <f t="shared" ca="1" si="79"/>
        <v>-82575.859346241603</v>
      </c>
      <c r="L959" s="455">
        <f t="shared" ca="1" si="80"/>
        <v>-19900782.102444224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-19900782.102444224</v>
      </c>
      <c r="J960" s="455">
        <f t="array" ref="J960">IFERROR(INDEX('Retirement Calculator'!K:K,MATCH('Lorri 401b'!N960,'Retirement Calculator'!A:A,0),0),0)</f>
        <v>20282.026119384056</v>
      </c>
      <c r="K960" s="455">
        <f t="shared" ca="1" si="79"/>
        <v>-83004.433869015033</v>
      </c>
      <c r="L960" s="455">
        <f t="shared" ca="1" si="80"/>
        <v>-20004068.562432624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-20004068.562432624</v>
      </c>
      <c r="J961" s="455">
        <f t="array" ref="J961">IFERROR(INDEX('Retirement Calculator'!K:K,MATCH('Lorri 401b'!N961,'Retirement Calculator'!A:A,0),0),0)</f>
        <v>20282.026119384056</v>
      </c>
      <c r="K961" s="455">
        <f t="shared" ca="1" si="79"/>
        <v>-83434.794118966704</v>
      </c>
      <c r="L961" s="455">
        <f t="shared" ca="1" si="80"/>
        <v>-20107785.382670976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-20107785.382670976</v>
      </c>
      <c r="J962" s="455">
        <f t="array" ref="J962">IFERROR(INDEX('Retirement Calculator'!K:K,MATCH('Lorri 401b'!N962,'Retirement Calculator'!A:A,0),0),0)</f>
        <v>20282.026119384056</v>
      </c>
      <c r="K962" s="455">
        <f t="shared" ca="1" si="79"/>
        <v>-83866.947536626511</v>
      </c>
      <c r="L962" s="455">
        <f t="shared" ca="1" si="80"/>
        <v>-20211934.356326986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-20211934.356326986</v>
      </c>
      <c r="J963" s="455">
        <f t="array" ref="J963">IFERROR(INDEX('Retirement Calculator'!K:K,MATCH('Lorri 401b'!N963,'Retirement Calculator'!A:A,0),0),0)</f>
        <v>20282.026119384056</v>
      </c>
      <c r="K963" s="455">
        <f t="shared" ca="1" si="79"/>
        <v>-84300.901593526549</v>
      </c>
      <c r="L963" s="455">
        <f t="shared" ca="1" si="80"/>
        <v>-20316517.284039896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-20316517.284039896</v>
      </c>
      <c r="J964" s="455">
        <f t="array" ref="J964">IFERROR(INDEX('Retirement Calculator'!K:K,MATCH('Lorri 401b'!N964,'Retirement Calculator'!A:A,0),0),0)</f>
        <v>20282.026119384056</v>
      </c>
      <c r="K964" s="455">
        <f t="shared" ca="1" si="79"/>
        <v>-84736.663792330335</v>
      </c>
      <c r="L964" s="455">
        <f t="shared" ca="1" si="80"/>
        <v>-20421535.973951612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-20421535.973951612</v>
      </c>
      <c r="J965" s="455">
        <f t="array" ref="J965">IFERROR(INDEX('Retirement Calculator'!K:K,MATCH('Lorri 401b'!N965,'Retirement Calculator'!A:A,0),0),0)</f>
        <v>20282.026119384056</v>
      </c>
      <c r="K965" s="455">
        <f t="shared" ca="1" si="79"/>
        <v>-85174.24166696248</v>
      </c>
      <c r="L965" s="455">
        <f t="shared" ca="1" si="80"/>
        <v>-20526992.241737958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-20526992.241737958</v>
      </c>
      <c r="J966" s="455">
        <f t="array" ref="J966">IFERROR(INDEX('Retirement Calculator'!K:K,MATCH('Lorri 401b'!N966,'Retirement Calculator'!A:A,0),0),0)</f>
        <v>20282.026119384056</v>
      </c>
      <c r="K966" s="455">
        <f t="shared" ca="1" si="79"/>
        <v>-85613.642782738927</v>
      </c>
      <c r="L966" s="455">
        <f t="shared" ca="1" si="80"/>
        <v>-20632887.910640083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-20632887.910640083</v>
      </c>
      <c r="J967" s="455">
        <f t="array" ref="J967">IFERROR(INDEX('Retirement Calculator'!K:K,MATCH('Lorri 401b'!N967,'Retirement Calculator'!A:A,0),0),0)</f>
        <v>20282.026119384056</v>
      </c>
      <c r="K967" s="455">
        <f t="shared" ca="1" si="79"/>
        <v>-86054.87473649779</v>
      </c>
      <c r="L967" s="455">
        <f t="shared" ca="1" si="80"/>
        <v>-20739224.811495967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-20739224.811495967</v>
      </c>
      <c r="J968" s="455">
        <f t="array" ref="J968">IFERROR(INDEX('Retirement Calculator'!K:K,MATCH('Lorri 401b'!N968,'Retirement Calculator'!A:A,0),0),0)</f>
        <v>20282.026119384056</v>
      </c>
      <c r="K968" s="455">
        <f t="shared" ca="1" si="79"/>
        <v>-86497.945156730639</v>
      </c>
      <c r="L968" s="455">
        <f t="shared" ca="1" si="80"/>
        <v>-20846004.782772083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-20846004.782772083</v>
      </c>
      <c r="J969" s="455">
        <f t="array" ref="J969">IFERROR(INDEX('Retirement Calculator'!K:K,MATCH('Lorri 401b'!N969,'Retirement Calculator'!A:A,0),0),0)</f>
        <v>20282.026119384056</v>
      </c>
      <c r="K969" s="455">
        <f t="shared" ca="1" si="79"/>
        <v>-86942.861703714443</v>
      </c>
      <c r="L969" s="455">
        <f t="shared" ca="1" si="80"/>
        <v>-20953229.670595184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-20953229.670595184</v>
      </c>
      <c r="J970" s="455">
        <f t="array" ref="J970">IFERROR(INDEX('Retirement Calculator'!K:K,MATCH('Lorri 401b'!N970,'Retirement Calculator'!A:A,0),0),0)</f>
        <v>20282.026119384056</v>
      </c>
      <c r="K970" s="455">
        <f t="shared" ca="1" si="79"/>
        <v>-87389.632069644038</v>
      </c>
      <c r="L970" s="455">
        <f t="shared" ca="1" si="80"/>
        <v>-21060901.328784212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-21060901.328784212</v>
      </c>
      <c r="J971" s="455">
        <f t="array" ref="J971">IFERROR(INDEX('Retirement Calculator'!K:K,MATCH('Lorri 401b'!N971,'Retirement Calculator'!A:A,0),0),0)</f>
        <v>20282.026119384056</v>
      </c>
      <c r="K971" s="455">
        <f t="shared" ca="1" si="79"/>
        <v>-87838.263978764982</v>
      </c>
      <c r="L971" s="455">
        <f t="shared" ca="1" si="80"/>
        <v>-21169021.618882362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-21169021.618882362</v>
      </c>
      <c r="J972" s="455">
        <f t="array" ref="J972">IFERROR(INDEX('Retirement Calculator'!K:K,MATCH('Lorri 401b'!N972,'Retirement Calculator'!A:A,0),0),0)</f>
        <v>20282.026119384056</v>
      </c>
      <c r="K972" s="455">
        <f t="shared" ca="1" si="79"/>
        <v>-88288.765187507277</v>
      </c>
      <c r="L972" s="455">
        <f t="shared" ca="1" si="80"/>
        <v>-21277592.410189252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-21277592.410189252</v>
      </c>
      <c r="J973" s="455">
        <f t="array" ref="J973">IFERROR(INDEX('Retirement Calculator'!K:K,MATCH('Lorri 401b'!N973,'Retirement Calculator'!A:A,0),0),0)</f>
        <v>20282.026119384056</v>
      </c>
      <c r="K973" s="455">
        <f t="shared" ca="1" si="79"/>
        <v>-88741.143484619315</v>
      </c>
      <c r="L973" s="455">
        <f t="shared" ca="1" si="80"/>
        <v>-21386615.579793256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-21386615.579793256</v>
      </c>
      <c r="J974" s="455">
        <f t="array" ref="J974">IFERROR(INDEX('Retirement Calculator'!K:K,MATCH('Lorri 401b'!N974,'Retirement Calculator'!A:A,0),0),0)</f>
        <v>20282.026119384056</v>
      </c>
      <c r="K974" s="455">
        <f t="shared" ca="1" si="79"/>
        <v>-89195.406691302662</v>
      </c>
      <c r="L974" s="455">
        <f t="shared" ca="1" si="80"/>
        <v>-21496093.012603942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-21496093.012603942</v>
      </c>
      <c r="J975" s="455">
        <f t="array" ref="J975">IFERROR(INDEX('Retirement Calculator'!K:K,MATCH('Lorri 401b'!N975,'Retirement Calculator'!A:A,0),0),0)</f>
        <v>20282.026119384056</v>
      </c>
      <c r="K975" s="455">
        <f t="shared" ca="1" si="79"/>
        <v>-89651.562661347198</v>
      </c>
      <c r="L975" s="455">
        <f t="shared" ca="1" si="80"/>
        <v>-21606026.601384673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-21606026.601384673</v>
      </c>
      <c r="J976" s="455">
        <f t="array" ref="J976">IFERROR(INDEX('Retirement Calculator'!K:K,MATCH('Lorri 401b'!N976,'Retirement Calculator'!A:A,0),0),0)</f>
        <v>20282.026119384056</v>
      </c>
      <c r="K976" s="455">
        <f t="shared" ca="1" si="79"/>
        <v>-90109.619281266903</v>
      </c>
      <c r="L976" s="455">
        <f t="shared" ca="1" si="80"/>
        <v>-21716418.246785324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-21716418.246785324</v>
      </c>
      <c r="J977" s="455">
        <f t="array" ref="J977">IFERROR(INDEX('Retirement Calculator'!K:K,MATCH('Lorri 401b'!N977,'Retirement Calculator'!A:A,0),0),0)</f>
        <v>20282.026119384056</v>
      </c>
      <c r="K977" s="455">
        <f t="shared" ca="1" si="79"/>
        <v>-90569.584470436283</v>
      </c>
      <c r="L977" s="455">
        <f t="shared" ca="1" si="80"/>
        <v>-21827269.857375145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-21827269.857375145</v>
      </c>
      <c r="J978" s="455">
        <f t="array" ref="J978">IFERROR(INDEX('Retirement Calculator'!K:K,MATCH('Lorri 401b'!N978,'Retirement Calculator'!A:A,0),0),0)</f>
        <v>20282.026119384056</v>
      </c>
      <c r="K978" s="455">
        <f t="shared" ca="1" si="79"/>
        <v>-91031.46618122721</v>
      </c>
      <c r="L978" s="455">
        <f t="shared" ca="1" si="80"/>
        <v>-21938583.349675756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-21938583.349675756</v>
      </c>
      <c r="J979" s="455">
        <f t="array" ref="J979">IFERROR(INDEX('Retirement Calculator'!K:K,MATCH('Lorri 401b'!N979,'Retirement Calculator'!A:A,0),0),0)</f>
        <v>20282.026119384056</v>
      </c>
      <c r="K979" s="455">
        <f t="shared" ca="1" si="79"/>
        <v>-91495.272399146415</v>
      </c>
      <c r="L979" s="455">
        <f t="shared" ca="1" si="80"/>
        <v>-22050360.648194287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-22050360.648194287</v>
      </c>
      <c r="J980" s="455">
        <f t="array" ref="J980">IFERROR(INDEX('Retirement Calculator'!K:K,MATCH('Lorri 401b'!N980,'Retirement Calculator'!A:A,0),0),0)</f>
        <v>20282.026119384056</v>
      </c>
      <c r="K980" s="455">
        <f t="shared" ca="1" si="79"/>
        <v>-91961.011142973628</v>
      </c>
      <c r="L980" s="455">
        <f t="shared" ca="1" si="80"/>
        <v>-22162603.685456645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-22162603.685456645</v>
      </c>
      <c r="J981" s="455">
        <f t="array" ref="J981">IFERROR(INDEX('Retirement Calculator'!K:K,MATCH('Lorri 401b'!N981,'Retirement Calculator'!A:A,0),0),0)</f>
        <v>20282.026119384056</v>
      </c>
      <c r="K981" s="455">
        <f t="shared" ca="1" si="79"/>
        <v>-92428.690464900123</v>
      </c>
      <c r="L981" s="455">
        <f t="shared" ca="1" si="80"/>
        <v>-22275314.402040929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-22275314.402040929</v>
      </c>
      <c r="J982" s="455">
        <f t="array" ref="J982">IFERROR(INDEX('Retirement Calculator'!K:K,MATCH('Lorri 401b'!N982,'Retirement Calculator'!A:A,0),0),0)</f>
        <v>20282.026119384056</v>
      </c>
      <c r="K982" s="455">
        <f t="shared" ca="1" si="79"/>
        <v>-92898.318450667968</v>
      </c>
      <c r="L982" s="455">
        <f t="shared" ca="1" si="80"/>
        <v>-22388494.74661098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-22388494.74661098</v>
      </c>
      <c r="J983" s="455">
        <f t="array" ref="J983">IFERROR(INDEX('Retirement Calculator'!K:K,MATCH('Lorri 401b'!N983,'Retirement Calculator'!A:A,0),0),0)</f>
        <v>20282.026119384056</v>
      </c>
      <c r="K983" s="455">
        <f t="shared" ca="1" si="79"/>
        <v>-93369.903219709857</v>
      </c>
      <c r="L983" s="455">
        <f t="shared" ca="1" si="80"/>
        <v>-22502146.675950076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-22502146.675950076</v>
      </c>
      <c r="J984" s="455">
        <f t="array" ref="J984">IFERROR(INDEX('Retirement Calculator'!K:K,MATCH('Lorri 401b'!N984,'Retirement Calculator'!A:A,0),0),0)</f>
        <v>20282.026119384056</v>
      </c>
      <c r="K984" s="455">
        <f t="shared" ca="1" si="79"/>
        <v>-93843.452925289428</v>
      </c>
      <c r="L984" s="455">
        <f t="shared" ca="1" si="80"/>
        <v>-22616272.154994752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-22616272.154994752</v>
      </c>
      <c r="J985" s="455">
        <f t="array" ref="J985">IFERROR(INDEX('Retirement Calculator'!K:K,MATCH('Lorri 401b'!N985,'Retirement Calculator'!A:A,0),0),0)</f>
        <v>20282.026119384056</v>
      </c>
      <c r="K985" s="455">
        <f t="shared" ca="1" si="79"/>
        <v>-94318.975754642233</v>
      </c>
      <c r="L985" s="455">
        <f t="shared" ca="1" si="80"/>
        <v>-22730873.156868778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-22730873.156868778</v>
      </c>
      <c r="J986" s="455">
        <f t="array" ref="J986">IFERROR(INDEX('Retirement Calculator'!K:K,MATCH('Lorri 401b'!N986,'Retirement Calculator'!A:A,0),0),0)</f>
        <v>20282.026119384056</v>
      </c>
      <c r="K986" s="455">
        <f t="shared" ca="1" si="79"/>
        <v>-94796.47992911734</v>
      </c>
      <c r="L986" s="455">
        <f t="shared" ca="1" si="80"/>
        <v>-22845951.662917279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-22845951.662917279</v>
      </c>
      <c r="J987" s="455">
        <f t="array" ref="J987">IFERROR(INDEX('Retirement Calculator'!K:K,MATCH('Lorri 401b'!N987,'Retirement Calculator'!A:A,0),0),0)</f>
        <v>20282.026119384056</v>
      </c>
      <c r="K987" s="455">
        <f t="shared" ca="1" si="79"/>
        <v>-95275.973704319433</v>
      </c>
      <c r="L987" s="455">
        <f t="shared" ca="1" si="80"/>
        <v>-22961509.662740983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-22961509.662740983</v>
      </c>
      <c r="J988" s="455">
        <f t="array" ref="J988">IFERROR(INDEX('Retirement Calculator'!K:K,MATCH('Lorri 401b'!N988,'Retirement Calculator'!A:A,0),0),0)</f>
        <v>20282.026119384056</v>
      </c>
      <c r="K988" s="455">
        <f t="shared" ca="1" si="79"/>
        <v>-95757.465370251535</v>
      </c>
      <c r="L988" s="455">
        <f t="shared" ca="1" si="80"/>
        <v>-23077549.154230621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-23077549.154230621</v>
      </c>
      <c r="J989" s="455">
        <f t="array" ref="J989">IFERROR(INDEX('Retirement Calculator'!K:K,MATCH('Lorri 401b'!N989,'Retirement Calculator'!A:A,0),0),0)</f>
        <v>20282.026119384056</v>
      </c>
      <c r="K989" s="455">
        <f t="shared" ca="1" si="79"/>
        <v>-96240.96325145835</v>
      </c>
      <c r="L989" s="455">
        <f t="shared" ca="1" si="80"/>
        <v>-23194072.143601462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-23194072.143601462</v>
      </c>
      <c r="J990" s="455">
        <f t="array" ref="J990">IFERROR(INDEX('Retirement Calculator'!K:K,MATCH('Lorri 401b'!N990,'Retirement Calculator'!A:A,0),0),0)</f>
        <v>20282.026119384056</v>
      </c>
      <c r="K990" s="455">
        <f t="shared" ca="1" si="79"/>
        <v>-96726.47570717019</v>
      </c>
      <c r="L990" s="455">
        <f t="shared" ca="1" si="80"/>
        <v>-23311080.645428017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-23311080.645428017</v>
      </c>
      <c r="J991" s="455">
        <f t="array" ref="J991">IFERROR(INDEX('Retirement Calculator'!K:K,MATCH('Lorri 401b'!N991,'Retirement Calculator'!A:A,0),0),0)</f>
        <v>20282.026119384056</v>
      </c>
      <c r="K991" s="455">
        <f t="shared" ca="1" si="79"/>
        <v>-97214.011131447507</v>
      </c>
      <c r="L991" s="455">
        <f t="shared" ca="1" si="80"/>
        <v>-23428576.682678849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-23428576.682678849</v>
      </c>
      <c r="J992" s="455">
        <f t="array" ref="J992">IFERROR(INDEX('Retirement Calculator'!K:K,MATCH('Lorri 401b'!N992,'Retirement Calculator'!A:A,0),0),0)</f>
        <v>20282.026119384056</v>
      </c>
      <c r="K992" s="455">
        <f t="shared" ca="1" si="79"/>
        <v>-97703.577953325977</v>
      </c>
      <c r="L992" s="455">
        <f t="shared" ca="1" si="80"/>
        <v>-23546562.286751561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-23546562.286751561</v>
      </c>
      <c r="J993" s="455">
        <f t="array" ref="J993">IFERROR(INDEX('Retirement Calculator'!K:K,MATCH('Lorri 401b'!N993,'Retirement Calculator'!A:A,0),0),0)</f>
        <v>20282.026119384056</v>
      </c>
      <c r="K993" s="455">
        <f t="shared" ca="1" si="79"/>
        <v>-98195.18463696228</v>
      </c>
      <c r="L993" s="455">
        <f t="shared" ca="1" si="80"/>
        <v>-23665039.497507907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-23665039.497507907</v>
      </c>
      <c r="J994" s="455">
        <f t="array" ref="J994">IFERROR(INDEX('Retirement Calculator'!K:K,MATCH('Lorri 401b'!N994,'Retirement Calculator'!A:A,0),0),0)</f>
        <v>20282.026119384056</v>
      </c>
      <c r="K994" s="455">
        <f t="shared" ca="1" si="79"/>
        <v>-98688.839681780388</v>
      </c>
      <c r="L994" s="455">
        <f t="shared" ca="1" si="80"/>
        <v>-23784010.363309074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-23784010.363309074</v>
      </c>
      <c r="J995" s="455">
        <f t="array" ref="J995">IFERROR(INDEX('Retirement Calculator'!K:K,MATCH('Lorri 401b'!N995,'Retirement Calculator'!A:A,0),0),0)</f>
        <v>20282.026119384056</v>
      </c>
      <c r="K995" s="455">
        <f t="shared" ca="1" si="79"/>
        <v>-99184.551622618572</v>
      </c>
      <c r="L995" s="455">
        <f t="shared" ca="1" si="80"/>
        <v>-23903476.941051077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-23903476.941051077</v>
      </c>
      <c r="J996" s="455">
        <f t="array" ref="J996">IFERROR(INDEX('Retirement Calculator'!K:K,MATCH('Lorri 401b'!N996,'Retirement Calculator'!A:A,0),0),0)</f>
        <v>20282.026119384056</v>
      </c>
      <c r="K996" s="455">
        <f t="shared" ca="1" si="79"/>
        <v>-99682.329029876928</v>
      </c>
      <c r="L996" s="455">
        <f t="shared" ca="1" si="80"/>
        <v>-24023441.296200339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-24023441.296200339</v>
      </c>
      <c r="J997" s="455">
        <f t="array" ref="J997">IFERROR(INDEX('Retirement Calculator'!K:K,MATCH('Lorri 401b'!N997,'Retirement Calculator'!A:A,0),0),0)</f>
        <v>20282.026119384056</v>
      </c>
      <c r="K997" s="455">
        <f t="shared" ca="1" si="79"/>
        <v>-100182.18050966552</v>
      </c>
      <c r="L997" s="455">
        <f t="shared" ca="1" si="80"/>
        <v>-24143905.502829388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-24143905.502829388</v>
      </c>
      <c r="J998" s="455">
        <f t="array" ref="J998">IFERROR(INDEX('Retirement Calculator'!K:K,MATCH('Lorri 401b'!N998,'Retirement Calculator'!A:A,0),0),0)</f>
        <v>20282.026119384056</v>
      </c>
      <c r="K998" s="455">
        <f t="shared" ca="1" si="79"/>
        <v>-100684.11470395322</v>
      </c>
      <c r="L998" s="455">
        <f t="shared" ca="1" si="80"/>
        <v>-24264871.643652726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-24264871.643652726</v>
      </c>
      <c r="J999" s="455">
        <f t="array" ref="J999">IFERROR(INDEX('Retirement Calculator'!K:K,MATCH('Lorri 401b'!N999,'Retirement Calculator'!A:A,0),0),0)</f>
        <v>20282.026119384056</v>
      </c>
      <c r="K999" s="455">
        <f t="shared" ca="1" si="79"/>
        <v>-101188.14029071713</v>
      </c>
      <c r="L999" s="455">
        <f t="shared" ca="1" si="80"/>
        <v>-24386341.810062829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-24386341.810062829</v>
      </c>
      <c r="J1000" s="455">
        <f t="array" ref="J1000">IFERROR(INDEX('Retirement Calculator'!K:K,MATCH('Lorri 401b'!N1000,'Retirement Calculator'!A:A,0),0),0)</f>
        <v>20282.026119384056</v>
      </c>
      <c r="K1000" s="455">
        <f t="shared" ca="1" si="79"/>
        <v>-101694.26598409256</v>
      </c>
      <c r="L1000" s="455">
        <f t="shared" ca="1" si="80"/>
        <v>-24508318.102166306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-24508318.102166306</v>
      </c>
      <c r="J1001" s="455">
        <f t="array" ref="J1001">IFERROR(INDEX('Retirement Calculator'!K:K,MATCH('Lorri 401b'!N1001,'Retirement Calculator'!A:A,0),0),0)</f>
        <v>20282.026119384056</v>
      </c>
      <c r="K1001" s="455">
        <f t="shared" ca="1" si="79"/>
        <v>-102202.50053452372</v>
      </c>
      <c r="L1001" s="455">
        <f t="shared" ca="1" si="80"/>
        <v>-24630802.628820214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-24630802.628820214</v>
      </c>
      <c r="J1002" s="455">
        <f t="array" ref="J1002">IFERROR(INDEX('Retirement Calculator'!K:K,MATCH('Lorri 401b'!N1002,'Retirement Calculator'!A:A,0),0),0)</f>
        <v>20282.026119384056</v>
      </c>
      <c r="K1002" s="455">
        <f t="shared" ca="1" si="79"/>
        <v>-102712.85272891499</v>
      </c>
      <c r="L1002" s="455">
        <f t="shared" ca="1" si="80"/>
        <v>-24753797.507668514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-24753797.507668514</v>
      </c>
      <c r="J1003" s="455">
        <f t="array" ref="J1003">IFERROR(INDEX('Retirement Calculator'!K:K,MATCH('Lorri 401b'!N1003,'Retirement Calculator'!A:A,0),0),0)</f>
        <v>20282.026119384056</v>
      </c>
      <c r="K1003" s="455">
        <f t="shared" ca="1" si="79"/>
        <v>-103225.33139078291</v>
      </c>
      <c r="L1003" s="455">
        <f t="shared" ca="1" si="80"/>
        <v>-24877304.865178682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/>
      <c r="H1004" s="470">
        <v>997</v>
      </c>
      <c r="I1004" s="455">
        <f t="shared" ca="1" si="81"/>
        <v>-24877304.865178682</v>
      </c>
      <c r="J1004" s="455">
        <f t="array" ref="J1004">IFERROR(INDEX('Retirement Calculator'!K:K,MATCH('Lorri 401b'!N1004,'Retirement Calculator'!A:A,0),0),0)</f>
        <v>20282.026119384056</v>
      </c>
      <c r="K1004" s="455">
        <f t="shared" ca="1" si="79"/>
        <v>-103739.94538040861</v>
      </c>
      <c r="L1004" s="455">
        <f t="shared" ca="1" si="80"/>
        <v>-25001326.836678475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/>
      <c r="H1005" s="470">
        <v>998</v>
      </c>
      <c r="I1005" s="455">
        <f t="shared" ca="1" si="81"/>
        <v>-25001326.836678475</v>
      </c>
      <c r="J1005" s="455">
        <f t="array" ref="J1005">IFERROR(INDEX('Retirement Calculator'!K:K,MATCH('Lorri 401b'!N1005,'Retirement Calculator'!A:A,0),0),0)</f>
        <v>20282.026119384056</v>
      </c>
      <c r="K1005" s="455">
        <f t="shared" ca="1" si="79"/>
        <v>-104256.70359499108</v>
      </c>
      <c r="L1005" s="455">
        <f t="shared" ca="1" si="80"/>
        <v>-25125865.56639285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/>
      <c r="H1006" s="470">
        <v>999</v>
      </c>
      <c r="I1006" s="455">
        <f t="shared" ca="1" si="81"/>
        <v>-25125865.56639285</v>
      </c>
      <c r="J1006" s="455">
        <f t="array" ref="J1006">IFERROR(INDEX('Retirement Calculator'!K:K,MATCH('Lorri 401b'!N1006,'Retirement Calculator'!A:A,0),0),0)</f>
        <v>20282.026119384056</v>
      </c>
      <c r="K1006" s="455">
        <f t="shared" ca="1" si="79"/>
        <v>-104775.61496880098</v>
      </c>
      <c r="L1006" s="455">
        <f t="shared" ca="1" si="80"/>
        <v>-25250923.207481038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/>
      <c r="H1007" s="470">
        <v>1000</v>
      </c>
      <c r="I1007" s="455">
        <f t="shared" ca="1" si="81"/>
        <v>-25250923.207481038</v>
      </c>
      <c r="J1007" s="455">
        <f t="array" ref="J1007">IFERROR(INDEX('Retirement Calculator'!K:K,MATCH('Lorri 401b'!N1007,'Retirement Calculator'!A:A,0),0),0)</f>
        <v>20282.026119384056</v>
      </c>
      <c r="K1007" s="455">
        <f t="shared" ca="1" si="79"/>
        <v>-105296.68847333509</v>
      </c>
      <c r="L1007" s="455">
        <f t="shared" ca="1" si="80"/>
        <v>-25376501.922073759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/>
      <c r="H1008" s="470">
        <v>1001</v>
      </c>
      <c r="I1008" s="455">
        <f t="shared" ca="1" si="81"/>
        <v>-25376501.922073759</v>
      </c>
      <c r="J1008" s="455">
        <f t="array" ref="J1008">IFERROR(INDEX('Retirement Calculator'!K:K,MATCH('Lorri 401b'!N1008,'Retirement Calculator'!A:A,0),0),0)</f>
        <v>20282.026119384056</v>
      </c>
      <c r="K1008" s="455">
        <f t="shared" ca="1" si="79"/>
        <v>-105819.93311747143</v>
      </c>
      <c r="L1008" s="455">
        <f t="shared" ca="1" si="80"/>
        <v>-25502603.881310616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/>
      <c r="H1009" s="470">
        <v>1002</v>
      </c>
      <c r="I1009" s="455">
        <f t="shared" ca="1" si="81"/>
        <v>-25502603.881310616</v>
      </c>
      <c r="J1009" s="455">
        <f t="array" ref="J1009">IFERROR(INDEX('Retirement Calculator'!K:K,MATCH('Lorri 401b'!N1009,'Retirement Calculator'!A:A,0),0),0)</f>
        <v>20282.026119384056</v>
      </c>
      <c r="K1009" s="455">
        <f t="shared" ca="1" si="79"/>
        <v>-106345.357947625</v>
      </c>
      <c r="L1009" s="455">
        <f t="shared" ca="1" si="80"/>
        <v>-25629231.265377626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/>
      <c r="H1010" s="470">
        <v>1003</v>
      </c>
      <c r="I1010" s="455">
        <f t="shared" ca="1" si="81"/>
        <v>-25629231.265377626</v>
      </c>
      <c r="J1010" s="455">
        <f t="array" ref="J1010">IFERROR(INDEX('Retirement Calculator'!K:K,MATCH('Lorri 401b'!N1010,'Retirement Calculator'!A:A,0),0),0)</f>
        <v>20282.026119384056</v>
      </c>
      <c r="K1010" s="455">
        <f t="shared" ca="1" si="79"/>
        <v>-106872.97204790422</v>
      </c>
      <c r="L1010" s="455">
        <f t="shared" ca="1" si="80"/>
        <v>-25756386.263544913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/>
      <c r="H1011" s="470">
        <v>1004</v>
      </c>
      <c r="I1011" s="455">
        <f t="shared" ca="1" si="81"/>
        <v>-25756386.263544913</v>
      </c>
      <c r="J1011" s="455">
        <f t="array" ref="J1011">IFERROR(INDEX('Retirement Calculator'!K:K,MATCH('Lorri 401b'!N1011,'Retirement Calculator'!A:A,0),0),0)</f>
        <v>20282.026119384056</v>
      </c>
      <c r="K1011" s="455">
        <f t="shared" ca="1" si="79"/>
        <v>-107402.78454026791</v>
      </c>
      <c r="L1011" s="455">
        <f t="shared" ca="1" si="80"/>
        <v>-25884071.074204568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/>
      <c r="H1012" s="470">
        <v>1005</v>
      </c>
      <c r="I1012" s="455">
        <f t="shared" ca="1" si="81"/>
        <v>-25884071.074204568</v>
      </c>
      <c r="J1012" s="455">
        <f t="array" ref="J1012">IFERROR(INDEX('Retirement Calculator'!K:K,MATCH('Lorri 401b'!N1012,'Retirement Calculator'!A:A,0),0),0)</f>
        <v>20282.026119384056</v>
      </c>
      <c r="K1012" s="455">
        <f t="shared" ca="1" si="79"/>
        <v>-107934.80458468314</v>
      </c>
      <c r="L1012" s="455">
        <f t="shared" ca="1" si="80"/>
        <v>-26012287.904908635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/>
      <c r="H1013" s="470">
        <v>1006</v>
      </c>
      <c r="I1013" s="455">
        <f t="shared" ca="1" si="81"/>
        <v>-26012287.904908635</v>
      </c>
      <c r="J1013" s="455">
        <f t="array" ref="J1013">IFERROR(INDEX('Retirement Calculator'!K:K,MATCH('Lorri 401b'!N1013,'Retirement Calculator'!A:A,0),0),0)</f>
        <v>20282.026119384056</v>
      </c>
      <c r="K1013" s="455">
        <f t="shared" ca="1" si="79"/>
        <v>-108469.04137928342</v>
      </c>
      <c r="L1013" s="455">
        <f t="shared" ca="1" si="80"/>
        <v>-26141038.972407304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/>
      <c r="H1014" s="470">
        <v>1007</v>
      </c>
      <c r="I1014" s="455">
        <f t="shared" ca="1" si="81"/>
        <v>-26141038.972407304</v>
      </c>
      <c r="J1014" s="455">
        <f t="array" ref="J1014">IFERROR(INDEX('Retirement Calculator'!K:K,MATCH('Lorri 401b'!N1014,'Retirement Calculator'!A:A,0),0),0)</f>
        <v>20282.026119384056</v>
      </c>
      <c r="K1014" s="455">
        <f t="shared" ca="1" si="79"/>
        <v>-109005.50416052788</v>
      </c>
      <c r="L1014" s="455">
        <f t="shared" ca="1" si="80"/>
        <v>-26270326.502687216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/>
      <c r="H1015" s="470">
        <v>1008</v>
      </c>
      <c r="I1015" s="455">
        <f t="shared" ca="1" si="81"/>
        <v>-26270326.502687216</v>
      </c>
      <c r="J1015" s="455">
        <f t="array" ref="J1015">IFERROR(INDEX('Retirement Calculator'!K:K,MATCH('Lorri 401b'!N1015,'Retirement Calculator'!A:A,0),0),0)</f>
        <v>20282.026119384056</v>
      </c>
      <c r="K1015" s="455">
        <f t="shared" ca="1" si="79"/>
        <v>-109544.20220336084</v>
      </c>
      <c r="L1015" s="455">
        <f t="shared" ca="1" si="80"/>
        <v>-26400152.73100996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/>
      <c r="H1016" s="470">
        <v>1009</v>
      </c>
      <c r="I1016" s="455">
        <f t="shared" ca="1" si="81"/>
        <v>-26400152.73100996</v>
      </c>
      <c r="J1016" s="455">
        <f t="array" ref="J1016">IFERROR(INDEX('Retirement Calculator'!K:K,MATCH('Lorri 401b'!N1016,'Retirement Calculator'!A:A,0),0),0)</f>
        <v>20282.026119384056</v>
      </c>
      <c r="K1016" s="455">
        <f t="shared" ca="1" si="79"/>
        <v>-110085.14482137228</v>
      </c>
      <c r="L1016" s="455">
        <f t="shared" ca="1" si="80"/>
        <v>-26530519.901950717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/>
      <c r="H1017" s="470">
        <v>1010</v>
      </c>
      <c r="I1017" s="455">
        <f t="shared" ca="1" si="81"/>
        <v>-26530519.901950717</v>
      </c>
      <c r="J1017" s="455">
        <f t="array" ref="J1017">IFERROR(INDEX('Retirement Calculator'!K:K,MATCH('Lorri 401b'!N1017,'Retirement Calculator'!A:A,0),0),0)</f>
        <v>20282.026119384056</v>
      </c>
      <c r="K1017" s="455">
        <f t="shared" ca="1" si="79"/>
        <v>-110628.34136695876</v>
      </c>
      <c r="L1017" s="455">
        <f t="shared" ca="1" si="80"/>
        <v>-26661430.26943706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/>
      <c r="H1018" s="470">
        <v>1011</v>
      </c>
      <c r="I1018" s="455">
        <f t="shared" ca="1" si="81"/>
        <v>-26661430.26943706</v>
      </c>
      <c r="J1018" s="455">
        <f t="array" ref="J1018">IFERROR(INDEX('Retirement Calculator'!K:K,MATCH('Lorri 401b'!N1018,'Retirement Calculator'!A:A,0),0),0)</f>
        <v>20282.026119384056</v>
      </c>
      <c r="K1018" s="455">
        <f t="shared" ca="1" si="79"/>
        <v>-111173.80123148518</v>
      </c>
      <c r="L1018" s="455">
        <f t="shared" ca="1" si="80"/>
        <v>-26792886.09678793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/>
      <c r="H1019" s="470">
        <v>1012</v>
      </c>
      <c r="I1019" s="455">
        <f t="shared" ca="1" si="81"/>
        <v>-26792886.09678793</v>
      </c>
      <c r="J1019" s="455">
        <f t="array" ref="J1019">IFERROR(INDEX('Retirement Calculator'!K:K,MATCH('Lorri 401b'!N1019,'Retirement Calculator'!A:A,0),0),0)</f>
        <v>20282.026119384056</v>
      </c>
      <c r="K1019" s="455">
        <f t="shared" ca="1" si="79"/>
        <v>-111721.53384544716</v>
      </c>
      <c r="L1019" s="455">
        <f t="shared" ca="1" si="80"/>
        <v>-26924889.656752761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/>
      <c r="H1020" s="470">
        <v>1013</v>
      </c>
      <c r="I1020" s="455">
        <f t="shared" ca="1" si="81"/>
        <v>-26924889.656752761</v>
      </c>
      <c r="J1020" s="455">
        <f t="array" ref="J1020">IFERROR(INDEX('Retirement Calculator'!K:K,MATCH('Lorri 401b'!N1020,'Retirement Calculator'!A:A,0),0),0)</f>
        <v>20282.026119384056</v>
      </c>
      <c r="K1020" s="455">
        <f t="shared" ca="1" si="79"/>
        <v>-112271.54867863393</v>
      </c>
      <c r="L1020" s="455">
        <f t="shared" ca="1" si="80"/>
        <v>-27057443.231550779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/>
      <c r="H1021" s="470">
        <v>1014</v>
      </c>
      <c r="I1021" s="455">
        <f t="shared" ca="1" si="81"/>
        <v>-27057443.231550779</v>
      </c>
      <c r="J1021" s="455">
        <f t="array" ref="J1021">IFERROR(INDEX('Retirement Calculator'!K:K,MATCH('Lorri 401b'!N1021,'Retirement Calculator'!A:A,0),0),0)</f>
        <v>20282.026119384056</v>
      </c>
      <c r="K1021" s="455">
        <f t="shared" ca="1" si="79"/>
        <v>-112823.85524029235</v>
      </c>
      <c r="L1021" s="455">
        <f t="shared" ca="1" si="80"/>
        <v>-27190549.112910457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/>
      <c r="H1022" s="470">
        <v>1015</v>
      </c>
      <c r="I1022" s="455">
        <f t="shared" ca="1" si="81"/>
        <v>-27190549.112910457</v>
      </c>
      <c r="J1022" s="455">
        <f t="array" ref="J1022">IFERROR(INDEX('Retirement Calculator'!K:K,MATCH('Lorri 401b'!N1022,'Retirement Calculator'!A:A,0),0),0)</f>
        <v>20282.026119384056</v>
      </c>
      <c r="K1022" s="455">
        <f t="shared" ca="1" si="79"/>
        <v>-113378.46307929099</v>
      </c>
      <c r="L1022" s="455">
        <f t="shared" ca="1" si="80"/>
        <v>-27324209.602109134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/>
      <c r="H1023" s="470">
        <v>1016</v>
      </c>
      <c r="I1023" s="455">
        <f t="shared" ca="1" si="81"/>
        <v>-27324209.602109134</v>
      </c>
      <c r="J1023" s="455">
        <f t="array" ref="J1023">IFERROR(INDEX('Retirement Calculator'!K:K,MATCH('Lorri 401b'!N1023,'Retirement Calculator'!A:A,0),0),0)</f>
        <v>20282.026119384056</v>
      </c>
      <c r="K1023" s="455">
        <f t="shared" ca="1" si="79"/>
        <v>-113935.38178428549</v>
      </c>
      <c r="L1023" s="455">
        <f t="shared" ca="1" si="80"/>
        <v>-27458427.010012805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/>
      <c r="H1024" s="470">
        <v>1017</v>
      </c>
      <c r="I1024" s="455">
        <f t="shared" ca="1" si="81"/>
        <v>-27458427.010012805</v>
      </c>
      <c r="J1024" s="455">
        <f t="array" ref="J1024">IFERROR(INDEX('Retirement Calculator'!K:K,MATCH('Lorri 401b'!N1024,'Retirement Calculator'!A:A,0),0),0)</f>
        <v>20282.026119384056</v>
      </c>
      <c r="K1024" s="455">
        <f t="shared" ca="1" si="79"/>
        <v>-114494.62098388415</v>
      </c>
      <c r="L1024" s="455">
        <f t="shared" ca="1" si="80"/>
        <v>-27593203.657116074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/>
      <c r="H1025" s="470">
        <v>1018</v>
      </c>
      <c r="I1025" s="455">
        <f t="shared" ca="1" si="81"/>
        <v>-27593203.657116074</v>
      </c>
      <c r="J1025" s="455">
        <f t="array" ref="J1025">IFERROR(INDEX('Retirement Calculator'!K:K,MATCH('Lorri 401b'!N1025,'Retirement Calculator'!A:A,0),0),0)</f>
        <v>20282.026119384056</v>
      </c>
      <c r="K1025" s="455">
        <f t="shared" ca="1" si="79"/>
        <v>-115056.19034681443</v>
      </c>
      <c r="L1025" s="455">
        <f t="shared" ca="1" si="80"/>
        <v>-27728541.873582274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/>
      <c r="H1026" s="470">
        <v>1019</v>
      </c>
      <c r="I1026" s="455">
        <f t="shared" ca="1" si="81"/>
        <v>-27728541.873582274</v>
      </c>
      <c r="J1026" s="455">
        <f t="array" ref="J1026">IFERROR(INDEX('Retirement Calculator'!K:K,MATCH('Lorri 401b'!N1026,'Retirement Calculator'!A:A,0),0),0)</f>
        <v>20282.026119384056</v>
      </c>
      <c r="K1026" s="455">
        <f t="shared" ca="1" si="79"/>
        <v>-115620.09958209025</v>
      </c>
      <c r="L1026" s="455">
        <f t="shared" ca="1" si="80"/>
        <v>-27864443.99928375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/>
      <c r="H1027" s="470">
        <v>1020</v>
      </c>
      <c r="I1027" s="455">
        <f t="shared" ca="1" si="81"/>
        <v>-27864443.99928375</v>
      </c>
      <c r="J1027" s="455">
        <f t="array" ref="J1027">IFERROR(INDEX('Retirement Calculator'!K:K,MATCH('Lorri 401b'!N1027,'Retirement Calculator'!A:A,0),0),0)</f>
        <v>20282.026119384056</v>
      </c>
      <c r="K1027" s="455">
        <f t="shared" ca="1" si="79"/>
        <v>-116186.35843917972</v>
      </c>
      <c r="L1027" s="455">
        <f t="shared" ca="1" si="80"/>
        <v>-28000912.383842316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/>
      <c r="H1028" s="470">
        <v>1021</v>
      </c>
      <c r="I1028" s="455">
        <f t="shared" ca="1" si="81"/>
        <v>-28000912.383842316</v>
      </c>
      <c r="J1028" s="455">
        <f t="array" ref="J1028">IFERROR(INDEX('Retirement Calculator'!K:K,MATCH('Lorri 401b'!N1028,'Retirement Calculator'!A:A,0),0),0)</f>
        <v>20282.026119384056</v>
      </c>
      <c r="K1028" s="455">
        <f t="shared" ref="K1028:K1282" ca="1" si="103">IPMT(M1028/12,1,12,-I1028+J1028,,0)</f>
        <v>-116754.97670817377</v>
      </c>
      <c r="L1028" s="455">
        <f t="shared" ref="L1028:L1282" ca="1" si="104">I1028-J1028+K1028</f>
        <v>-28137949.386669874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/>
      <c r="H1029" s="470">
        <v>1022</v>
      </c>
      <c r="I1029" s="455">
        <f t="shared" ref="I1029:I1283" ca="1" si="105">L1028</f>
        <v>-28137949.386669874</v>
      </c>
      <c r="J1029" s="455">
        <f t="array" ref="J1029">IFERROR(INDEX('Retirement Calculator'!K:K,MATCH('Lorri 401b'!N1029,'Retirement Calculator'!A:A,0),0),0)</f>
        <v>20282.026119384056</v>
      </c>
      <c r="K1029" s="455">
        <f t="shared" ca="1" si="103"/>
        <v>-117325.96421995525</v>
      </c>
      <c r="L1029" s="455">
        <f t="shared" ca="1" si="104"/>
        <v>-28275557.377009213</v>
      </c>
      <c r="M1029" s="471">
        <f t="shared" ref="M1029:M1283" si="106">M1028</f>
        <v>0.05</v>
      </c>
      <c r="N1029" s="475">
        <f t="shared" ref="N1029:N1283" si="107">EDATE(N1028,1)</f>
        <v>82363</v>
      </c>
    </row>
    <row r="1030" spans="7:14" ht="11.25" customHeight="1" x14ac:dyDescent="0.3">
      <c r="G1030" s="470"/>
      <c r="H1030" s="470">
        <v>1023</v>
      </c>
      <c r="I1030" s="455">
        <f t="shared" ca="1" si="105"/>
        <v>-28275557.377009213</v>
      </c>
      <c r="J1030" s="455">
        <f t="array" ref="J1030">IFERROR(INDEX('Retirement Calculator'!K:K,MATCH('Lorri 401b'!N1030,'Retirement Calculator'!A:A,0),0),0)</f>
        <v>20282.026119384056</v>
      </c>
      <c r="K1030" s="455">
        <f t="shared" ca="1" si="103"/>
        <v>-117899.33084636914</v>
      </c>
      <c r="L1030" s="455">
        <f t="shared" ca="1" si="104"/>
        <v>-28413738.733974967</v>
      </c>
      <c r="M1030" s="471">
        <f t="shared" si="106"/>
        <v>0.05</v>
      </c>
      <c r="N1030" s="475">
        <f t="shared" si="107"/>
        <v>82394</v>
      </c>
    </row>
    <row r="1031" spans="7:14" ht="11.25" customHeight="1" x14ac:dyDescent="0.3">
      <c r="G1031" s="470"/>
      <c r="H1031" s="470">
        <v>1024</v>
      </c>
      <c r="I1031" s="455">
        <f t="shared" ca="1" si="105"/>
        <v>-28413738.733974967</v>
      </c>
      <c r="J1031" s="455">
        <f t="array" ref="J1031">IFERROR(INDEX('Retirement Calculator'!K:K,MATCH('Lorri 401b'!N1031,'Retirement Calculator'!A:A,0),0),0)</f>
        <v>20282.026119384056</v>
      </c>
      <c r="K1031" s="455">
        <f t="shared" ca="1" si="103"/>
        <v>-118475.08650039312</v>
      </c>
      <c r="L1031" s="455">
        <f t="shared" ca="1" si="104"/>
        <v>-28552495.846594743</v>
      </c>
      <c r="M1031" s="471">
        <f t="shared" si="106"/>
        <v>0.05</v>
      </c>
      <c r="N1031" s="475">
        <f t="shared" si="107"/>
        <v>82425</v>
      </c>
    </row>
    <row r="1032" spans="7:14" ht="11.25" customHeight="1" x14ac:dyDescent="0.3">
      <c r="G1032" s="470"/>
      <c r="H1032" s="470">
        <v>1025</v>
      </c>
      <c r="I1032" s="455">
        <f t="shared" ca="1" si="105"/>
        <v>-28552495.846594743</v>
      </c>
      <c r="J1032" s="455">
        <f t="array" ref="J1032">IFERROR(INDEX('Retirement Calculator'!K:K,MATCH('Lorri 401b'!N1032,'Retirement Calculator'!A:A,0),0),0)</f>
        <v>20282.026119384056</v>
      </c>
      <c r="K1032" s="455">
        <f t="shared" ca="1" si="103"/>
        <v>-119053.24113630886</v>
      </c>
      <c r="L1032" s="455">
        <f t="shared" ca="1" si="104"/>
        <v>-28691831.113850437</v>
      </c>
      <c r="M1032" s="471">
        <f t="shared" si="106"/>
        <v>0.05</v>
      </c>
      <c r="N1032" s="475">
        <f t="shared" si="107"/>
        <v>82455</v>
      </c>
    </row>
    <row r="1033" spans="7:14" ht="11.25" customHeight="1" x14ac:dyDescent="0.3">
      <c r="G1033" s="470"/>
      <c r="H1033" s="470">
        <v>1026</v>
      </c>
      <c r="I1033" s="455">
        <f t="shared" ca="1" si="105"/>
        <v>-28691831.113850437</v>
      </c>
      <c r="J1033" s="455">
        <f t="array" ref="J1033">IFERROR(INDEX('Retirement Calculator'!K:K,MATCH('Lorri 401b'!N1033,'Retirement Calculator'!A:A,0),0),0)</f>
        <v>20282.026119384056</v>
      </c>
      <c r="K1033" s="455">
        <f t="shared" ca="1" si="103"/>
        <v>-119633.80474987427</v>
      </c>
      <c r="L1033" s="455">
        <f t="shared" ca="1" si="104"/>
        <v>-28831746.944719695</v>
      </c>
      <c r="M1033" s="471">
        <f t="shared" si="106"/>
        <v>0.05</v>
      </c>
      <c r="N1033" s="475">
        <f t="shared" si="107"/>
        <v>82486</v>
      </c>
    </row>
    <row r="1034" spans="7:14" ht="11.25" customHeight="1" x14ac:dyDescent="0.3">
      <c r="G1034" s="470"/>
      <c r="H1034" s="470">
        <v>1027</v>
      </c>
      <c r="I1034" s="455">
        <f t="shared" ca="1" si="105"/>
        <v>-28831746.944719695</v>
      </c>
      <c r="J1034" s="455">
        <f t="array" ref="J1034">IFERROR(INDEX('Retirement Calculator'!K:K,MATCH('Lorri 401b'!N1034,'Retirement Calculator'!A:A,0),0),0)</f>
        <v>20282.026119384056</v>
      </c>
      <c r="K1034" s="455">
        <f t="shared" ca="1" si="103"/>
        <v>-120216.78737849614</v>
      </c>
      <c r="L1034" s="455">
        <f t="shared" ca="1" si="104"/>
        <v>-28972245.758217577</v>
      </c>
      <c r="M1034" s="471">
        <f t="shared" si="106"/>
        <v>0.05</v>
      </c>
      <c r="N1034" s="475">
        <f t="shared" si="107"/>
        <v>82516</v>
      </c>
    </row>
    <row r="1035" spans="7:14" ht="11.25" customHeight="1" x14ac:dyDescent="0.3">
      <c r="G1035" s="470"/>
      <c r="H1035" s="470">
        <v>1028</v>
      </c>
      <c r="I1035" s="455">
        <f t="shared" ca="1" si="105"/>
        <v>-28972245.758217577</v>
      </c>
      <c r="J1035" s="455">
        <f t="array" ref="J1035">IFERROR(INDEX('Retirement Calculator'!K:K,MATCH('Lorri 401b'!N1035,'Retirement Calculator'!A:A,0),0),0)</f>
        <v>20282.026119384056</v>
      </c>
      <c r="K1035" s="455">
        <f t="shared" ca="1" si="103"/>
        <v>-120802.19910140401</v>
      </c>
      <c r="L1035" s="455">
        <f t="shared" ca="1" si="104"/>
        <v>-29113329.983438365</v>
      </c>
      <c r="M1035" s="471">
        <f t="shared" si="106"/>
        <v>0.05</v>
      </c>
      <c r="N1035" s="475">
        <f t="shared" si="107"/>
        <v>82547</v>
      </c>
    </row>
    <row r="1036" spans="7:14" ht="11.25" customHeight="1" x14ac:dyDescent="0.3">
      <c r="G1036" s="470"/>
      <c r="H1036" s="470">
        <v>1029</v>
      </c>
      <c r="I1036" s="455">
        <f t="shared" ca="1" si="105"/>
        <v>-29113329.983438365</v>
      </c>
      <c r="J1036" s="455">
        <f t="array" ref="J1036">IFERROR(INDEX('Retirement Calculator'!K:K,MATCH('Lorri 401b'!N1036,'Retirement Calculator'!A:A,0),0),0)</f>
        <v>20282.026119384056</v>
      </c>
      <c r="K1036" s="455">
        <f t="shared" ca="1" si="103"/>
        <v>-121390.05003982395</v>
      </c>
      <c r="L1036" s="455">
        <f t="shared" ca="1" si="104"/>
        <v>-29255002.059597574</v>
      </c>
      <c r="M1036" s="471">
        <f t="shared" si="106"/>
        <v>0.05</v>
      </c>
      <c r="N1036" s="475">
        <f t="shared" si="107"/>
        <v>82578</v>
      </c>
    </row>
    <row r="1037" spans="7:14" ht="11.25" customHeight="1" x14ac:dyDescent="0.3">
      <c r="G1037" s="470"/>
      <c r="H1037" s="470">
        <v>1030</v>
      </c>
      <c r="I1037" s="455">
        <f t="shared" ca="1" si="105"/>
        <v>-29255002.059597574</v>
      </c>
      <c r="J1037" s="455">
        <f t="array" ref="J1037">IFERROR(INDEX('Retirement Calculator'!K:K,MATCH('Lorri 401b'!N1037,'Retirement Calculator'!A:A,0),0),0)</f>
        <v>20282.026119384056</v>
      </c>
      <c r="K1037" s="455">
        <f t="shared" ca="1" si="103"/>
        <v>-121980.35035715399</v>
      </c>
      <c r="L1037" s="455">
        <f t="shared" ca="1" si="104"/>
        <v>-29397264.436074112</v>
      </c>
      <c r="M1037" s="471">
        <f t="shared" si="106"/>
        <v>0.05</v>
      </c>
      <c r="N1037" s="475">
        <f t="shared" si="107"/>
        <v>82606</v>
      </c>
    </row>
    <row r="1038" spans="7:14" ht="11.25" customHeight="1" x14ac:dyDescent="0.3">
      <c r="G1038" s="470"/>
      <c r="H1038" s="470">
        <v>1031</v>
      </c>
      <c r="I1038" s="455">
        <f t="shared" ca="1" si="105"/>
        <v>-29397264.436074112</v>
      </c>
      <c r="J1038" s="455">
        <f t="array" ref="J1038">IFERROR(INDEX('Retirement Calculator'!K:K,MATCH('Lorri 401b'!N1038,'Retirement Calculator'!A:A,0),0),0)</f>
        <v>20282.026119384056</v>
      </c>
      <c r="K1038" s="455">
        <f t="shared" ca="1" si="103"/>
        <v>-122573.11025913956</v>
      </c>
      <c r="L1038" s="455">
        <f t="shared" ca="1" si="104"/>
        <v>-29540119.572452635</v>
      </c>
      <c r="M1038" s="471">
        <f t="shared" si="106"/>
        <v>0.05</v>
      </c>
      <c r="N1038" s="475">
        <f t="shared" si="107"/>
        <v>82637</v>
      </c>
    </row>
    <row r="1039" spans="7:14" ht="11.25" customHeight="1" x14ac:dyDescent="0.3">
      <c r="G1039" s="470"/>
      <c r="H1039" s="470">
        <v>1032</v>
      </c>
      <c r="I1039" s="455">
        <f t="shared" ca="1" si="105"/>
        <v>-29540119.572452635</v>
      </c>
      <c r="J1039" s="455">
        <f t="array" ref="J1039">IFERROR(INDEX('Retirement Calculator'!K:K,MATCH('Lorri 401b'!N1039,'Retirement Calculator'!A:A,0),0),0)</f>
        <v>20282.026119384056</v>
      </c>
      <c r="K1039" s="455">
        <f t="shared" ca="1" si="103"/>
        <v>-123168.3399940501</v>
      </c>
      <c r="L1039" s="455">
        <f t="shared" ca="1" si="104"/>
        <v>-29683569.93856607</v>
      </c>
      <c r="M1039" s="471">
        <f t="shared" si="106"/>
        <v>0.05</v>
      </c>
      <c r="N1039" s="475">
        <f t="shared" si="107"/>
        <v>82667</v>
      </c>
    </row>
    <row r="1040" spans="7:14" ht="11.25" customHeight="1" x14ac:dyDescent="0.3">
      <c r="G1040" s="470"/>
      <c r="H1040" s="470">
        <v>1033</v>
      </c>
      <c r="I1040" s="455">
        <f t="shared" ca="1" si="105"/>
        <v>-29683569.93856607</v>
      </c>
      <c r="J1040" s="455">
        <f t="array" ref="J1040">IFERROR(INDEX('Retirement Calculator'!K:K,MATCH('Lorri 401b'!N1040,'Retirement Calculator'!A:A,0),0),0)</f>
        <v>20282.026119384056</v>
      </c>
      <c r="K1040" s="455">
        <f t="shared" ca="1" si="103"/>
        <v>-123766.04985285606</v>
      </c>
      <c r="L1040" s="455">
        <f t="shared" ca="1" si="104"/>
        <v>-29827618.01453831</v>
      </c>
      <c r="M1040" s="471">
        <f t="shared" si="106"/>
        <v>0.05</v>
      </c>
      <c r="N1040" s="475">
        <f t="shared" si="107"/>
        <v>82698</v>
      </c>
    </row>
    <row r="1041" spans="7:14" ht="11.25" customHeight="1" x14ac:dyDescent="0.3">
      <c r="G1041" s="470"/>
      <c r="H1041" s="470">
        <v>1034</v>
      </c>
      <c r="I1041" s="455">
        <f t="shared" ca="1" si="105"/>
        <v>-29827618.01453831</v>
      </c>
      <c r="J1041" s="455">
        <f t="array" ref="J1041">IFERROR(INDEX('Retirement Calculator'!K:K,MATCH('Lorri 401b'!N1041,'Retirement Calculator'!A:A,0),0),0)</f>
        <v>20282.026119384056</v>
      </c>
      <c r="K1041" s="455">
        <f t="shared" ca="1" si="103"/>
        <v>-124366.25016940707</v>
      </c>
      <c r="L1041" s="455">
        <f t="shared" ca="1" si="104"/>
        <v>-29972266.290827103</v>
      </c>
      <c r="M1041" s="471">
        <f t="shared" si="106"/>
        <v>0.05</v>
      </c>
      <c r="N1041" s="475">
        <f t="shared" si="107"/>
        <v>82728</v>
      </c>
    </row>
    <row r="1042" spans="7:14" ht="11.25" customHeight="1" x14ac:dyDescent="0.3">
      <c r="G1042" s="470"/>
      <c r="H1042" s="470">
        <v>1035</v>
      </c>
      <c r="I1042" s="455">
        <f t="shared" ca="1" si="105"/>
        <v>-29972266.290827103</v>
      </c>
      <c r="J1042" s="455">
        <f t="array" ref="J1042">IFERROR(INDEX('Retirement Calculator'!K:K,MATCH('Lorri 401b'!N1042,'Retirement Calculator'!A:A,0),0),0)</f>
        <v>20282.026119384056</v>
      </c>
      <c r="K1042" s="455">
        <f t="shared" ca="1" si="103"/>
        <v>-124968.95132061036</v>
      </c>
      <c r="L1042" s="455">
        <f t="shared" ca="1" si="104"/>
        <v>-30117517.268267099</v>
      </c>
      <c r="M1042" s="471">
        <f t="shared" si="106"/>
        <v>0.05</v>
      </c>
      <c r="N1042" s="475">
        <f t="shared" si="107"/>
        <v>82759</v>
      </c>
    </row>
    <row r="1043" spans="7:14" ht="11.25" customHeight="1" x14ac:dyDescent="0.3">
      <c r="G1043" s="470"/>
      <c r="H1043" s="470">
        <v>1036</v>
      </c>
      <c r="I1043" s="455">
        <f t="shared" ca="1" si="105"/>
        <v>-30117517.268267099</v>
      </c>
      <c r="J1043" s="455">
        <f t="array" ref="J1043">IFERROR(INDEX('Retirement Calculator'!K:K,MATCH('Lorri 401b'!N1043,'Retirement Calculator'!A:A,0),0),0)</f>
        <v>20282.026119384056</v>
      </c>
      <c r="K1043" s="455">
        <f t="shared" ca="1" si="103"/>
        <v>-125574.16372661036</v>
      </c>
      <c r="L1043" s="455">
        <f t="shared" ca="1" si="104"/>
        <v>-30263373.458113093</v>
      </c>
      <c r="M1043" s="471">
        <f t="shared" si="106"/>
        <v>0.05</v>
      </c>
      <c r="N1043" s="475">
        <f t="shared" si="107"/>
        <v>82790</v>
      </c>
    </row>
    <row r="1044" spans="7:14" ht="11.25" customHeight="1" x14ac:dyDescent="0.3">
      <c r="G1044" s="470"/>
      <c r="H1044" s="470">
        <v>1037</v>
      </c>
      <c r="I1044" s="455">
        <f t="shared" ca="1" si="105"/>
        <v>-30263373.458113093</v>
      </c>
      <c r="J1044" s="455">
        <f t="array" ref="J1044">IFERROR(INDEX('Retirement Calculator'!K:K,MATCH('Lorri 401b'!N1044,'Retirement Calculator'!A:A,0),0),0)</f>
        <v>20282.026119384056</v>
      </c>
      <c r="K1044" s="455">
        <f t="shared" ca="1" si="103"/>
        <v>-126181.89785096866</v>
      </c>
      <c r="L1044" s="455">
        <f t="shared" ca="1" si="104"/>
        <v>-30409837.382083446</v>
      </c>
      <c r="M1044" s="471">
        <f t="shared" si="106"/>
        <v>0.05</v>
      </c>
      <c r="N1044" s="475">
        <f t="shared" si="107"/>
        <v>82820</v>
      </c>
    </row>
    <row r="1045" spans="7:14" ht="11.25" customHeight="1" x14ac:dyDescent="0.3">
      <c r="G1045" s="470"/>
      <c r="H1045" s="470">
        <v>1038</v>
      </c>
      <c r="I1045" s="455">
        <f t="shared" ca="1" si="105"/>
        <v>-30409837.382083446</v>
      </c>
      <c r="J1045" s="455">
        <f t="array" ref="J1045">IFERROR(INDEX('Retirement Calculator'!K:K,MATCH('Lorri 401b'!N1045,'Retirement Calculator'!A:A,0),0),0)</f>
        <v>20282.026119384056</v>
      </c>
      <c r="K1045" s="455">
        <f t="shared" ca="1" si="103"/>
        <v>-126792.16420084513</v>
      </c>
      <c r="L1045" s="455">
        <f t="shared" ca="1" si="104"/>
        <v>-30556911.572403677</v>
      </c>
      <c r="M1045" s="471">
        <f t="shared" si="106"/>
        <v>0.05</v>
      </c>
      <c r="N1045" s="475">
        <f t="shared" si="107"/>
        <v>82851</v>
      </c>
    </row>
    <row r="1046" spans="7:14" ht="11.25" customHeight="1" x14ac:dyDescent="0.3">
      <c r="G1046" s="470"/>
      <c r="H1046" s="470">
        <v>1039</v>
      </c>
      <c r="I1046" s="455">
        <f t="shared" ca="1" si="105"/>
        <v>-30556911.572403677</v>
      </c>
      <c r="J1046" s="455">
        <f t="array" ref="J1046">IFERROR(INDEX('Retirement Calculator'!K:K,MATCH('Lorri 401b'!N1046,'Retirement Calculator'!A:A,0),0),0)</f>
        <v>20282.026119384056</v>
      </c>
      <c r="K1046" s="455">
        <f t="shared" ca="1" si="103"/>
        <v>-127404.97332717942</v>
      </c>
      <c r="L1046" s="455">
        <f t="shared" ca="1" si="104"/>
        <v>-30704598.57185024</v>
      </c>
      <c r="M1046" s="471">
        <f t="shared" si="106"/>
        <v>0.05</v>
      </c>
      <c r="N1046" s="475">
        <f t="shared" si="107"/>
        <v>82881</v>
      </c>
    </row>
    <row r="1047" spans="7:14" ht="11.25" customHeight="1" x14ac:dyDescent="0.3">
      <c r="G1047" s="470"/>
      <c r="H1047" s="470">
        <v>1040</v>
      </c>
      <c r="I1047" s="455">
        <f t="shared" ca="1" si="105"/>
        <v>-30704598.57185024</v>
      </c>
      <c r="J1047" s="455">
        <f t="array" ref="J1047">IFERROR(INDEX('Retirement Calculator'!K:K,MATCH('Lorri 401b'!N1047,'Retirement Calculator'!A:A,0),0),0)</f>
        <v>20282.026119384056</v>
      </c>
      <c r="K1047" s="455">
        <f t="shared" ca="1" si="103"/>
        <v>-128020.33582487341</v>
      </c>
      <c r="L1047" s="455">
        <f t="shared" ca="1" si="104"/>
        <v>-30852900.933794498</v>
      </c>
      <c r="M1047" s="471">
        <f t="shared" si="106"/>
        <v>0.05</v>
      </c>
      <c r="N1047" s="475">
        <f t="shared" si="107"/>
        <v>82912</v>
      </c>
    </row>
    <row r="1048" spans="7:14" ht="11.25" customHeight="1" x14ac:dyDescent="0.3">
      <c r="G1048" s="470"/>
      <c r="H1048" s="470">
        <v>1041</v>
      </c>
      <c r="I1048" s="455">
        <f t="shared" ca="1" si="105"/>
        <v>-30852900.933794498</v>
      </c>
      <c r="J1048" s="455">
        <f t="array" ref="J1048">IFERROR(INDEX('Retirement Calculator'!K:K,MATCH('Lorri 401b'!N1048,'Retirement Calculator'!A:A,0),0),0)</f>
        <v>20282.026119384056</v>
      </c>
      <c r="K1048" s="455">
        <f t="shared" ca="1" si="103"/>
        <v>-128638.26233297451</v>
      </c>
      <c r="L1048" s="455">
        <f t="shared" ca="1" si="104"/>
        <v>-31001821.222246859</v>
      </c>
      <c r="M1048" s="471">
        <f t="shared" si="106"/>
        <v>0.05</v>
      </c>
      <c r="N1048" s="475">
        <f t="shared" si="107"/>
        <v>82943</v>
      </c>
    </row>
    <row r="1049" spans="7:14" ht="11.25" customHeight="1" x14ac:dyDescent="0.3">
      <c r="G1049" s="470"/>
      <c r="H1049" s="470">
        <v>1042</v>
      </c>
      <c r="I1049" s="455">
        <f t="shared" ca="1" si="105"/>
        <v>-31001821.222246859</v>
      </c>
      <c r="J1049" s="455">
        <f t="array" ref="J1049">IFERROR(INDEX('Retirement Calculator'!K:K,MATCH('Lorri 401b'!N1049,'Retirement Calculator'!A:A,0),0),0)</f>
        <v>20282.026119384056</v>
      </c>
      <c r="K1049" s="455">
        <f t="shared" ca="1" si="103"/>
        <v>-129258.76353485935</v>
      </c>
      <c r="L1049" s="455">
        <f t="shared" ca="1" si="104"/>
        <v>-31151362.011901103</v>
      </c>
      <c r="M1049" s="471">
        <f t="shared" si="106"/>
        <v>0.05</v>
      </c>
      <c r="N1049" s="475">
        <f t="shared" si="107"/>
        <v>82971</v>
      </c>
    </row>
    <row r="1050" spans="7:14" ht="11.25" customHeight="1" x14ac:dyDescent="0.3">
      <c r="G1050" s="470"/>
      <c r="H1050" s="470">
        <v>1043</v>
      </c>
      <c r="I1050" s="455">
        <f t="shared" ca="1" si="105"/>
        <v>-31151362.011901103</v>
      </c>
      <c r="J1050" s="455">
        <f t="array" ref="J1050">IFERROR(INDEX('Retirement Calculator'!K:K,MATCH('Lorri 401b'!N1050,'Retirement Calculator'!A:A,0),0),0)</f>
        <v>20282.026119384056</v>
      </c>
      <c r="K1050" s="455">
        <f t="shared" ca="1" si="103"/>
        <v>-129881.85015841869</v>
      </c>
      <c r="L1050" s="455">
        <f t="shared" ca="1" si="104"/>
        <v>-31301525.888178907</v>
      </c>
      <c r="M1050" s="471">
        <f t="shared" si="106"/>
        <v>0.05</v>
      </c>
      <c r="N1050" s="475">
        <f t="shared" si="107"/>
        <v>83002</v>
      </c>
    </row>
    <row r="1051" spans="7:14" ht="11.25" customHeight="1" x14ac:dyDescent="0.3">
      <c r="G1051" s="470"/>
      <c r="H1051" s="470">
        <v>1044</v>
      </c>
      <c r="I1051" s="455">
        <f t="shared" ca="1" si="105"/>
        <v>-31301525.888178907</v>
      </c>
      <c r="J1051" s="455">
        <f t="array" ref="J1051">IFERROR(INDEX('Retirement Calculator'!K:K,MATCH('Lorri 401b'!N1051,'Retirement Calculator'!A:A,0),0),0)</f>
        <v>20282.026119384056</v>
      </c>
      <c r="K1051" s="455">
        <f t="shared" ca="1" si="103"/>
        <v>-130507.53297624289</v>
      </c>
      <c r="L1051" s="455">
        <f t="shared" ca="1" si="104"/>
        <v>-31452315.447274536</v>
      </c>
      <c r="M1051" s="471">
        <f t="shared" si="106"/>
        <v>0.05</v>
      </c>
      <c r="N1051" s="475">
        <f t="shared" si="107"/>
        <v>83032</v>
      </c>
    </row>
    <row r="1052" spans="7:14" ht="11.25" customHeight="1" x14ac:dyDescent="0.3">
      <c r="G1052" s="470"/>
      <c r="H1052" s="470">
        <v>1045</v>
      </c>
      <c r="I1052" s="455">
        <f t="shared" ca="1" si="105"/>
        <v>-31452315.447274536</v>
      </c>
      <c r="J1052" s="455">
        <f t="array" ref="J1052">IFERROR(INDEX('Retirement Calculator'!K:K,MATCH('Lorri 401b'!N1052,'Retirement Calculator'!A:A,0),0),0)</f>
        <v>20282.026119384056</v>
      </c>
      <c r="K1052" s="455">
        <f t="shared" ca="1" si="103"/>
        <v>-131135.82280580801</v>
      </c>
      <c r="L1052" s="455">
        <f t="shared" ca="1" si="104"/>
        <v>-31603733.296199728</v>
      </c>
      <c r="M1052" s="471">
        <f t="shared" si="106"/>
        <v>0.05</v>
      </c>
      <c r="N1052" s="475">
        <f t="shared" si="107"/>
        <v>83063</v>
      </c>
    </row>
    <row r="1053" spans="7:14" ht="11.25" customHeight="1" x14ac:dyDescent="0.3">
      <c r="G1053" s="470"/>
      <c r="H1053" s="470">
        <v>1046</v>
      </c>
      <c r="I1053" s="455">
        <f t="shared" ca="1" si="105"/>
        <v>-31603733.296199728</v>
      </c>
      <c r="J1053" s="455">
        <f t="array" ref="J1053">IFERROR(INDEX('Retirement Calculator'!K:K,MATCH('Lorri 401b'!N1053,'Retirement Calculator'!A:A,0),0),0)</f>
        <v>20282.026119384056</v>
      </c>
      <c r="K1053" s="455">
        <f t="shared" ca="1" si="103"/>
        <v>-131766.73050966297</v>
      </c>
      <c r="L1053" s="455">
        <f t="shared" ca="1" si="104"/>
        <v>-31755782.052828774</v>
      </c>
      <c r="M1053" s="471">
        <f t="shared" si="106"/>
        <v>0.05</v>
      </c>
      <c r="N1053" s="475">
        <f t="shared" si="107"/>
        <v>83093</v>
      </c>
    </row>
    <row r="1054" spans="7:14" ht="11.25" customHeight="1" x14ac:dyDescent="0.3">
      <c r="G1054" s="470"/>
      <c r="H1054" s="470">
        <v>1047</v>
      </c>
      <c r="I1054" s="455">
        <f t="shared" ca="1" si="105"/>
        <v>-31755782.052828774</v>
      </c>
      <c r="J1054" s="455">
        <f t="array" ref="J1054">IFERROR(INDEX('Retirement Calculator'!K:K,MATCH('Lorri 401b'!N1054,'Retirement Calculator'!A:A,0),0),0)</f>
        <v>20282.026119384056</v>
      </c>
      <c r="K1054" s="455">
        <f t="shared" ca="1" si="103"/>
        <v>-132400.2669956173</v>
      </c>
      <c r="L1054" s="455">
        <f t="shared" ca="1" si="104"/>
        <v>-31908464.345943775</v>
      </c>
      <c r="M1054" s="471">
        <f t="shared" si="106"/>
        <v>0.05</v>
      </c>
      <c r="N1054" s="475">
        <f t="shared" si="107"/>
        <v>83124</v>
      </c>
    </row>
    <row r="1055" spans="7:14" ht="11.25" customHeight="1" x14ac:dyDescent="0.3">
      <c r="G1055" s="470"/>
      <c r="H1055" s="470">
        <v>1048</v>
      </c>
      <c r="I1055" s="455">
        <f t="shared" ca="1" si="105"/>
        <v>-31908464.345943775</v>
      </c>
      <c r="J1055" s="455">
        <f t="array" ref="J1055">IFERROR(INDEX('Retirement Calculator'!K:K,MATCH('Lorri 401b'!N1055,'Retirement Calculator'!A:A,0),0),0)</f>
        <v>20282.026119384056</v>
      </c>
      <c r="K1055" s="455">
        <f t="shared" ca="1" si="103"/>
        <v>-133036.44321692985</v>
      </c>
      <c r="L1055" s="455">
        <f t="shared" ca="1" si="104"/>
        <v>-32061782.815280091</v>
      </c>
      <c r="M1055" s="471">
        <f t="shared" si="106"/>
        <v>0.05</v>
      </c>
      <c r="N1055" s="475">
        <f t="shared" si="107"/>
        <v>83155</v>
      </c>
    </row>
    <row r="1056" spans="7:14" ht="11.25" customHeight="1" x14ac:dyDescent="0.3">
      <c r="G1056" s="470"/>
      <c r="H1056" s="470">
        <v>1049</v>
      </c>
      <c r="I1056" s="455">
        <f t="shared" ca="1" si="105"/>
        <v>-32061782.815280091</v>
      </c>
      <c r="J1056" s="455">
        <f t="array" ref="J1056">IFERROR(INDEX('Retirement Calculator'!K:K,MATCH('Lorri 401b'!N1056,'Retirement Calculator'!A:A,0),0),0)</f>
        <v>20282.026119384056</v>
      </c>
      <c r="K1056" s="455">
        <f t="shared" ca="1" si="103"/>
        <v>-133675.27017249781</v>
      </c>
      <c r="L1056" s="455">
        <f t="shared" ca="1" si="104"/>
        <v>-32215740.111571975</v>
      </c>
      <c r="M1056" s="471">
        <f t="shared" si="106"/>
        <v>0.05</v>
      </c>
      <c r="N1056" s="475">
        <f t="shared" si="107"/>
        <v>83185</v>
      </c>
    </row>
    <row r="1057" spans="7:14" ht="11.25" customHeight="1" x14ac:dyDescent="0.3">
      <c r="G1057" s="470"/>
      <c r="H1057" s="470">
        <v>1050</v>
      </c>
      <c r="I1057" s="455">
        <f t="shared" ca="1" si="105"/>
        <v>-32215740.111571975</v>
      </c>
      <c r="J1057" s="455">
        <f t="array" ref="J1057">IFERROR(INDEX('Retirement Calculator'!K:K,MATCH('Lorri 401b'!N1057,'Retirement Calculator'!A:A,0),0),0)</f>
        <v>20282.026119384056</v>
      </c>
      <c r="K1057" s="455">
        <f t="shared" ca="1" si="103"/>
        <v>-134316.7589070473</v>
      </c>
      <c r="L1057" s="455">
        <f t="shared" ca="1" si="104"/>
        <v>-32370338.896598406</v>
      </c>
      <c r="M1057" s="471">
        <f t="shared" si="106"/>
        <v>0.05</v>
      </c>
      <c r="N1057" s="475">
        <f t="shared" si="107"/>
        <v>83216</v>
      </c>
    </row>
    <row r="1058" spans="7:14" ht="11.25" customHeight="1" x14ac:dyDescent="0.3">
      <c r="G1058" s="470"/>
      <c r="H1058" s="470">
        <v>1051</v>
      </c>
      <c r="I1058" s="455">
        <f t="shared" ca="1" si="105"/>
        <v>-32370338.896598406</v>
      </c>
      <c r="J1058" s="455">
        <f t="array" ref="J1058">IFERROR(INDEX('Retirement Calculator'!K:K,MATCH('Lorri 401b'!N1058,'Retirement Calculator'!A:A,0),0),0)</f>
        <v>20282.026119384056</v>
      </c>
      <c r="K1058" s="455">
        <f t="shared" ca="1" si="103"/>
        <v>-134960.92051132413</v>
      </c>
      <c r="L1058" s="455">
        <f t="shared" ca="1" si="104"/>
        <v>-32525581.843229115</v>
      </c>
      <c r="M1058" s="471">
        <f t="shared" si="106"/>
        <v>0.05</v>
      </c>
      <c r="N1058" s="475">
        <f t="shared" si="107"/>
        <v>83246</v>
      </c>
    </row>
    <row r="1059" spans="7:14" ht="11.25" customHeight="1" x14ac:dyDescent="0.3">
      <c r="G1059" s="470"/>
      <c r="H1059" s="470">
        <v>1052</v>
      </c>
      <c r="I1059" s="455">
        <f t="shared" ca="1" si="105"/>
        <v>-32525581.843229115</v>
      </c>
      <c r="J1059" s="455">
        <f t="array" ref="J1059">IFERROR(INDEX('Retirement Calculator'!K:K,MATCH('Lorri 401b'!N1059,'Retirement Calculator'!A:A,0),0),0)</f>
        <v>20282.026119384056</v>
      </c>
      <c r="K1059" s="455">
        <f t="shared" ca="1" si="103"/>
        <v>-135607.76612228542</v>
      </c>
      <c r="L1059" s="455">
        <f t="shared" ca="1" si="104"/>
        <v>-32681471.635470785</v>
      </c>
      <c r="M1059" s="471">
        <f t="shared" si="106"/>
        <v>0.05</v>
      </c>
      <c r="N1059" s="475">
        <f t="shared" si="107"/>
        <v>83277</v>
      </c>
    </row>
    <row r="1060" spans="7:14" ht="11.25" customHeight="1" x14ac:dyDescent="0.3">
      <c r="G1060" s="470"/>
      <c r="H1060" s="470">
        <v>1053</v>
      </c>
      <c r="I1060" s="455">
        <f t="shared" ca="1" si="105"/>
        <v>-32681471.635470785</v>
      </c>
      <c r="J1060" s="455">
        <f t="array" ref="J1060">IFERROR(INDEX('Retirement Calculator'!K:K,MATCH('Lorri 401b'!N1060,'Retirement Calculator'!A:A,0),0),0)</f>
        <v>20282.026119384056</v>
      </c>
      <c r="K1060" s="455">
        <f t="shared" ca="1" si="103"/>
        <v>-136257.30692329237</v>
      </c>
      <c r="L1060" s="455">
        <f t="shared" ca="1" si="104"/>
        <v>-32838010.968513463</v>
      </c>
      <c r="M1060" s="471">
        <f t="shared" si="106"/>
        <v>0.05</v>
      </c>
      <c r="N1060" s="475">
        <f t="shared" si="107"/>
        <v>83308</v>
      </c>
    </row>
    <row r="1061" spans="7:14" ht="11.25" customHeight="1" x14ac:dyDescent="0.3">
      <c r="G1061" s="470"/>
      <c r="H1061" s="470">
        <v>1054</v>
      </c>
      <c r="I1061" s="455">
        <f t="shared" ca="1" si="105"/>
        <v>-32838010.968513463</v>
      </c>
      <c r="J1061" s="455">
        <f t="array" ref="J1061">IFERROR(INDEX('Retirement Calculator'!K:K,MATCH('Lorri 401b'!N1061,'Retirement Calculator'!A:A,0),0),0)</f>
        <v>20282.026119384056</v>
      </c>
      <c r="K1061" s="455">
        <f t="shared" ca="1" si="103"/>
        <v>-136909.55414430352</v>
      </c>
      <c r="L1061" s="455">
        <f t="shared" ca="1" si="104"/>
        <v>-32995202.548777152</v>
      </c>
      <c r="M1061" s="471">
        <f t="shared" si="106"/>
        <v>0.05</v>
      </c>
      <c r="N1061" s="475">
        <f t="shared" si="107"/>
        <v>83337</v>
      </c>
    </row>
    <row r="1062" spans="7:14" ht="11.25" customHeight="1" x14ac:dyDescent="0.3">
      <c r="G1062" s="470"/>
      <c r="H1062" s="470">
        <v>1055</v>
      </c>
      <c r="I1062" s="455">
        <f t="shared" ca="1" si="105"/>
        <v>-32995202.548777152</v>
      </c>
      <c r="J1062" s="455">
        <f t="array" ref="J1062">IFERROR(INDEX('Retirement Calculator'!K:K,MATCH('Lorri 401b'!N1062,'Retirement Calculator'!A:A,0),0),0)</f>
        <v>20282.026119384056</v>
      </c>
      <c r="K1062" s="455">
        <f t="shared" ca="1" si="103"/>
        <v>-137564.51906206892</v>
      </c>
      <c r="L1062" s="455">
        <f t="shared" ca="1" si="104"/>
        <v>-33153049.093958605</v>
      </c>
      <c r="M1062" s="471">
        <f t="shared" si="106"/>
        <v>0.05</v>
      </c>
      <c r="N1062" s="475">
        <f t="shared" si="107"/>
        <v>83368</v>
      </c>
    </row>
    <row r="1063" spans="7:14" ht="11.25" customHeight="1" x14ac:dyDescent="0.3">
      <c r="G1063" s="470"/>
      <c r="H1063" s="470">
        <v>1056</v>
      </c>
      <c r="I1063" s="455">
        <f t="shared" ca="1" si="105"/>
        <v>-33153049.093958605</v>
      </c>
      <c r="J1063" s="455">
        <f t="array" ref="J1063">IFERROR(INDEX('Retirement Calculator'!K:K,MATCH('Lorri 401b'!N1063,'Retirement Calculator'!A:A,0),0),0)</f>
        <v>20282.026119384056</v>
      </c>
      <c r="K1063" s="455">
        <f t="shared" ca="1" si="103"/>
        <v>-138222.21300032496</v>
      </c>
      <c r="L1063" s="455">
        <f t="shared" ca="1" si="104"/>
        <v>-33311553.333078314</v>
      </c>
      <c r="M1063" s="471">
        <f t="shared" si="106"/>
        <v>0.05</v>
      </c>
      <c r="N1063" s="475">
        <f t="shared" si="107"/>
        <v>83398</v>
      </c>
    </row>
    <row r="1064" spans="7:14" ht="11.25" customHeight="1" x14ac:dyDescent="0.3">
      <c r="G1064" s="470"/>
      <c r="H1064" s="470">
        <v>1057</v>
      </c>
      <c r="I1064" s="455">
        <f t="shared" ca="1" si="105"/>
        <v>-33311553.333078314</v>
      </c>
      <c r="J1064" s="455">
        <f t="array" ref="J1064">IFERROR(INDEX('Retirement Calculator'!K:K,MATCH('Lorri 401b'!N1064,'Retirement Calculator'!A:A,0),0),0)</f>
        <v>20282.026119384056</v>
      </c>
      <c r="K1064" s="455">
        <f t="shared" ca="1" si="103"/>
        <v>-138882.6473299904</v>
      </c>
      <c r="L1064" s="455">
        <f t="shared" ca="1" si="104"/>
        <v>-33470718.006527688</v>
      </c>
      <c r="M1064" s="471">
        <f t="shared" si="106"/>
        <v>0.05</v>
      </c>
      <c r="N1064" s="475">
        <f t="shared" si="107"/>
        <v>83429</v>
      </c>
    </row>
    <row r="1065" spans="7:14" ht="11.25" customHeight="1" x14ac:dyDescent="0.3">
      <c r="G1065" s="470"/>
      <c r="H1065" s="470">
        <v>1058</v>
      </c>
      <c r="I1065" s="455">
        <f t="shared" ca="1" si="105"/>
        <v>-33470718.006527688</v>
      </c>
      <c r="J1065" s="455">
        <f t="array" ref="J1065">IFERROR(INDEX('Retirement Calculator'!K:K,MATCH('Lorri 401b'!N1065,'Retirement Calculator'!A:A,0),0),0)</f>
        <v>20282.026119384056</v>
      </c>
      <c r="K1065" s="455">
        <f t="shared" ca="1" si="103"/>
        <v>-139545.83346936281</v>
      </c>
      <c r="L1065" s="455">
        <f t="shared" ca="1" si="104"/>
        <v>-33630545.866116434</v>
      </c>
      <c r="M1065" s="471">
        <f t="shared" si="106"/>
        <v>0.05</v>
      </c>
      <c r="N1065" s="475">
        <f t="shared" si="107"/>
        <v>83459</v>
      </c>
    </row>
    <row r="1066" spans="7:14" ht="11.25" customHeight="1" x14ac:dyDescent="0.3">
      <c r="G1066" s="470"/>
      <c r="H1066" s="470">
        <v>1059</v>
      </c>
      <c r="I1066" s="455">
        <f t="shared" ca="1" si="105"/>
        <v>-33630545.866116434</v>
      </c>
      <c r="J1066" s="455">
        <f t="array" ref="J1066">IFERROR(INDEX('Retirement Calculator'!K:K,MATCH('Lorri 401b'!N1066,'Retirement Calculator'!A:A,0),0),0)</f>
        <v>20282.026119384056</v>
      </c>
      <c r="K1066" s="455">
        <f t="shared" ca="1" si="103"/>
        <v>-140211.78288431591</v>
      </c>
      <c r="L1066" s="455">
        <f t="shared" ca="1" si="104"/>
        <v>-33791039.67512013</v>
      </c>
      <c r="M1066" s="471">
        <f t="shared" si="106"/>
        <v>0.05</v>
      </c>
      <c r="N1066" s="475">
        <f t="shared" si="107"/>
        <v>83490</v>
      </c>
    </row>
    <row r="1067" spans="7:14" ht="11.25" customHeight="1" x14ac:dyDescent="0.3">
      <c r="G1067" s="470"/>
      <c r="H1067" s="470">
        <v>1060</v>
      </c>
      <c r="I1067" s="455">
        <f t="shared" ca="1" si="105"/>
        <v>-33791039.67512013</v>
      </c>
      <c r="J1067" s="455">
        <f t="array" ref="J1067">IFERROR(INDEX('Retirement Calculator'!K:K,MATCH('Lorri 401b'!N1067,'Retirement Calculator'!A:A,0),0),0)</f>
        <v>20282.026119384056</v>
      </c>
      <c r="K1067" s="455">
        <f t="shared" ca="1" si="103"/>
        <v>-140880.50708849795</v>
      </c>
      <c r="L1067" s="455">
        <f t="shared" ca="1" si="104"/>
        <v>-33952202.208328009</v>
      </c>
      <c r="M1067" s="471">
        <f t="shared" si="106"/>
        <v>0.05</v>
      </c>
      <c r="N1067" s="475">
        <f t="shared" si="107"/>
        <v>83521</v>
      </c>
    </row>
    <row r="1068" spans="7:14" ht="11.25" customHeight="1" x14ac:dyDescent="0.3">
      <c r="G1068" s="470"/>
      <c r="H1068" s="470">
        <v>1061</v>
      </c>
      <c r="I1068" s="455">
        <f t="shared" ca="1" si="105"/>
        <v>-33952202.208328009</v>
      </c>
      <c r="J1068" s="455">
        <f t="array" ref="J1068">IFERROR(INDEX('Retirement Calculator'!K:K,MATCH('Lorri 401b'!N1068,'Retirement Calculator'!A:A,0),0),0)</f>
        <v>20282.026119384056</v>
      </c>
      <c r="K1068" s="455">
        <f t="shared" ca="1" si="103"/>
        <v>-141552.01764353079</v>
      </c>
      <c r="L1068" s="455">
        <f t="shared" ca="1" si="104"/>
        <v>-34114036.252090923</v>
      </c>
      <c r="M1068" s="471">
        <f t="shared" si="106"/>
        <v>0.05</v>
      </c>
      <c r="N1068" s="475">
        <f t="shared" si="107"/>
        <v>83551</v>
      </c>
    </row>
    <row r="1069" spans="7:14" ht="11.25" customHeight="1" x14ac:dyDescent="0.3">
      <c r="G1069" s="470"/>
      <c r="H1069" s="470">
        <v>1062</v>
      </c>
      <c r="I1069" s="455">
        <f t="shared" ca="1" si="105"/>
        <v>-34114036.252090923</v>
      </c>
      <c r="J1069" s="455">
        <f t="array" ref="J1069">IFERROR(INDEX('Retirement Calculator'!K:K,MATCH('Lorri 401b'!N1069,'Retirement Calculator'!A:A,0),0),0)</f>
        <v>20282.026119384056</v>
      </c>
      <c r="K1069" s="455">
        <f t="shared" ca="1" si="103"/>
        <v>-142226.3261592096</v>
      </c>
      <c r="L1069" s="455">
        <f t="shared" ca="1" si="104"/>
        <v>-34276544.604369514</v>
      </c>
      <c r="M1069" s="471">
        <f t="shared" si="106"/>
        <v>0.05</v>
      </c>
      <c r="N1069" s="475">
        <f t="shared" si="107"/>
        <v>83582</v>
      </c>
    </row>
    <row r="1070" spans="7:14" ht="11.25" customHeight="1" x14ac:dyDescent="0.3">
      <c r="G1070" s="470"/>
      <c r="H1070" s="470">
        <v>1063</v>
      </c>
      <c r="I1070" s="455">
        <f t="shared" ca="1" si="105"/>
        <v>-34276544.604369514</v>
      </c>
      <c r="J1070" s="455">
        <f t="array" ref="J1070">IFERROR(INDEX('Retirement Calculator'!K:K,MATCH('Lorri 401b'!N1070,'Retirement Calculator'!A:A,0),0),0)</f>
        <v>20282.026119384056</v>
      </c>
      <c r="K1070" s="455">
        <f t="shared" ca="1" si="103"/>
        <v>-142903.44429370374</v>
      </c>
      <c r="L1070" s="455">
        <f t="shared" ca="1" si="104"/>
        <v>-34439730.074782595</v>
      </c>
      <c r="M1070" s="471">
        <f t="shared" si="106"/>
        <v>0.05</v>
      </c>
      <c r="N1070" s="475">
        <f t="shared" si="107"/>
        <v>83612</v>
      </c>
    </row>
    <row r="1071" spans="7:14" ht="11.25" customHeight="1" x14ac:dyDescent="0.3">
      <c r="G1071" s="470"/>
      <c r="H1071" s="470">
        <v>1064</v>
      </c>
      <c r="I1071" s="455">
        <f t="shared" ca="1" si="105"/>
        <v>-34439730.074782595</v>
      </c>
      <c r="J1071" s="455">
        <f t="array" ref="J1071">IFERROR(INDEX('Retirement Calculator'!K:K,MATCH('Lorri 401b'!N1071,'Retirement Calculator'!A:A,0),0),0)</f>
        <v>20282.026119384056</v>
      </c>
      <c r="K1071" s="455">
        <f t="shared" ca="1" si="103"/>
        <v>-143583.38375375824</v>
      </c>
      <c r="L1071" s="455">
        <f t="shared" ca="1" si="104"/>
        <v>-34603595.484655738</v>
      </c>
      <c r="M1071" s="471">
        <f t="shared" si="106"/>
        <v>0.05</v>
      </c>
      <c r="N1071" s="475">
        <f t="shared" si="107"/>
        <v>83643</v>
      </c>
    </row>
    <row r="1072" spans="7:14" ht="11.25" customHeight="1" x14ac:dyDescent="0.3">
      <c r="G1072" s="470"/>
      <c r="H1072" s="470">
        <v>1065</v>
      </c>
      <c r="I1072" s="455">
        <f t="shared" ca="1" si="105"/>
        <v>-34603595.484655738</v>
      </c>
      <c r="J1072" s="455">
        <f t="array" ref="J1072">IFERROR(INDEX('Retirement Calculator'!K:K,MATCH('Lorri 401b'!N1072,'Retirement Calculator'!A:A,0),0),0)</f>
        <v>20282.026119384056</v>
      </c>
      <c r="K1072" s="455">
        <f t="shared" ca="1" si="103"/>
        <v>-144266.15629489633</v>
      </c>
      <c r="L1072" s="455">
        <f t="shared" ca="1" si="104"/>
        <v>-34768143.667070016</v>
      </c>
      <c r="M1072" s="471">
        <f t="shared" si="106"/>
        <v>0.05</v>
      </c>
      <c r="N1072" s="475">
        <f t="shared" si="107"/>
        <v>83674</v>
      </c>
    </row>
    <row r="1073" spans="7:14" ht="11.25" customHeight="1" x14ac:dyDescent="0.3">
      <c r="G1073" s="470"/>
      <c r="H1073" s="470">
        <v>1066</v>
      </c>
      <c r="I1073" s="455">
        <f t="shared" ca="1" si="105"/>
        <v>-34768143.667070016</v>
      </c>
      <c r="J1073" s="455">
        <f t="array" ref="J1073">IFERROR(INDEX('Retirement Calculator'!K:K,MATCH('Lorri 401b'!N1073,'Retirement Calculator'!A:A,0),0),0)</f>
        <v>20282.026119384056</v>
      </c>
      <c r="K1073" s="455">
        <f t="shared" ca="1" si="103"/>
        <v>-144951.77372162248</v>
      </c>
      <c r="L1073" s="455">
        <f t="shared" ca="1" si="104"/>
        <v>-34933377.466911018</v>
      </c>
      <c r="M1073" s="471">
        <f t="shared" si="106"/>
        <v>0.05</v>
      </c>
      <c r="N1073" s="475">
        <f t="shared" si="107"/>
        <v>83702</v>
      </c>
    </row>
    <row r="1074" spans="7:14" ht="11.25" customHeight="1" x14ac:dyDescent="0.3">
      <c r="G1074" s="470"/>
      <c r="H1074" s="470">
        <v>1067</v>
      </c>
      <c r="I1074" s="455">
        <f t="shared" ca="1" si="105"/>
        <v>-34933377.466911018</v>
      </c>
      <c r="J1074" s="455">
        <f t="array" ref="J1074">IFERROR(INDEX('Retirement Calculator'!K:K,MATCH('Lorri 401b'!N1074,'Retirement Calculator'!A:A,0),0),0)</f>
        <v>20282.026119384056</v>
      </c>
      <c r="K1074" s="455">
        <f t="shared" ca="1" si="103"/>
        <v>-145640.24788762667</v>
      </c>
      <c r="L1074" s="455">
        <f t="shared" ca="1" si="104"/>
        <v>-35099299.740918025</v>
      </c>
      <c r="M1074" s="471">
        <f t="shared" si="106"/>
        <v>0.05</v>
      </c>
      <c r="N1074" s="475">
        <f t="shared" si="107"/>
        <v>83733</v>
      </c>
    </row>
    <row r="1075" spans="7:14" ht="11.25" customHeight="1" x14ac:dyDescent="0.3">
      <c r="G1075" s="470"/>
      <c r="H1075" s="470">
        <v>1068</v>
      </c>
      <c r="I1075" s="455">
        <f t="shared" ca="1" si="105"/>
        <v>-35099299.740918025</v>
      </c>
      <c r="J1075" s="455">
        <f t="array" ref="J1075">IFERROR(INDEX('Retirement Calculator'!K:K,MATCH('Lorri 401b'!N1075,'Retirement Calculator'!A:A,0),0),0)</f>
        <v>20282.026119384056</v>
      </c>
      <c r="K1075" s="455">
        <f t="shared" ca="1" si="103"/>
        <v>-146331.5906959892</v>
      </c>
      <c r="L1075" s="455">
        <f t="shared" ca="1" si="104"/>
        <v>-35265913.357733399</v>
      </c>
      <c r="M1075" s="471">
        <f t="shared" si="106"/>
        <v>0.05</v>
      </c>
      <c r="N1075" s="475">
        <f t="shared" si="107"/>
        <v>83763</v>
      </c>
    </row>
    <row r="1076" spans="7:14" ht="11.25" customHeight="1" x14ac:dyDescent="0.3">
      <c r="G1076" s="470"/>
      <c r="H1076" s="470">
        <v>1069</v>
      </c>
      <c r="I1076" s="455">
        <f t="shared" ca="1" si="105"/>
        <v>-35265913.357733399</v>
      </c>
      <c r="J1076" s="455">
        <f t="array" ref="J1076">IFERROR(INDEX('Retirement Calculator'!K:K,MATCH('Lorri 401b'!N1076,'Retirement Calculator'!A:A,0),0),0)</f>
        <v>20282.026119384056</v>
      </c>
      <c r="K1076" s="455">
        <f t="shared" ca="1" si="103"/>
        <v>-147025.81409938657</v>
      </c>
      <c r="L1076" s="455">
        <f t="shared" ca="1" si="104"/>
        <v>-35433221.197952166</v>
      </c>
      <c r="M1076" s="471">
        <f t="shared" si="106"/>
        <v>0.05</v>
      </c>
      <c r="N1076" s="475">
        <f t="shared" si="107"/>
        <v>83794</v>
      </c>
    </row>
    <row r="1077" spans="7:14" ht="11.25" customHeight="1" x14ac:dyDescent="0.3">
      <c r="G1077" s="470"/>
      <c r="H1077" s="470">
        <v>1070</v>
      </c>
      <c r="I1077" s="455">
        <f t="shared" ca="1" si="105"/>
        <v>-35433221.197952166</v>
      </c>
      <c r="J1077" s="455">
        <f t="array" ref="J1077">IFERROR(INDEX('Retirement Calculator'!K:K,MATCH('Lorri 401b'!N1077,'Retirement Calculator'!A:A,0),0),0)</f>
        <v>20282.026119384056</v>
      </c>
      <c r="K1077" s="455">
        <f t="shared" ca="1" si="103"/>
        <v>-147722.93010029811</v>
      </c>
      <c r="L1077" s="455">
        <f t="shared" ca="1" si="104"/>
        <v>-35601226.154171847</v>
      </c>
      <c r="M1077" s="471">
        <f t="shared" si="106"/>
        <v>0.05</v>
      </c>
      <c r="N1077" s="475">
        <f t="shared" si="107"/>
        <v>83824</v>
      </c>
    </row>
    <row r="1078" spans="7:14" ht="11.25" customHeight="1" x14ac:dyDescent="0.3">
      <c r="G1078" s="470"/>
      <c r="H1078" s="470">
        <v>1071</v>
      </c>
      <c r="I1078" s="455">
        <f t="shared" ca="1" si="105"/>
        <v>-35601226.154171847</v>
      </c>
      <c r="J1078" s="455">
        <f t="array" ref="J1078">IFERROR(INDEX('Retirement Calculator'!K:K,MATCH('Lorri 401b'!N1078,'Retirement Calculator'!A:A,0),0),0)</f>
        <v>20282.026119384056</v>
      </c>
      <c r="K1078" s="455">
        <f t="shared" ca="1" si="103"/>
        <v>-148422.95075121344</v>
      </c>
      <c r="L1078" s="455">
        <f t="shared" ca="1" si="104"/>
        <v>-35769931.131042443</v>
      </c>
      <c r="M1078" s="471">
        <f t="shared" si="106"/>
        <v>0.05</v>
      </c>
      <c r="N1078" s="475">
        <f t="shared" si="107"/>
        <v>83855</v>
      </c>
    </row>
    <row r="1079" spans="7:14" ht="11.25" customHeight="1" x14ac:dyDescent="0.3">
      <c r="G1079" s="470"/>
      <c r="H1079" s="470">
        <v>1072</v>
      </c>
      <c r="I1079" s="455">
        <f t="shared" ca="1" si="105"/>
        <v>-35769931.131042443</v>
      </c>
      <c r="J1079" s="455">
        <f t="array" ref="J1079">IFERROR(INDEX('Retirement Calculator'!K:K,MATCH('Lorri 401b'!N1079,'Retirement Calculator'!A:A,0),0),0)</f>
        <v>20282.026119384056</v>
      </c>
      <c r="K1079" s="455">
        <f t="shared" ca="1" si="103"/>
        <v>-149125.88815484094</v>
      </c>
      <c r="L1079" s="455">
        <f t="shared" ca="1" si="104"/>
        <v>-35939339.045316666</v>
      </c>
      <c r="M1079" s="471">
        <f t="shared" si="106"/>
        <v>0.05</v>
      </c>
      <c r="N1079" s="475">
        <f t="shared" si="107"/>
        <v>83886</v>
      </c>
    </row>
    <row r="1080" spans="7:14" ht="11.25" customHeight="1" x14ac:dyDescent="0.3">
      <c r="G1080" s="470"/>
      <c r="H1080" s="470">
        <v>1073</v>
      </c>
      <c r="I1080" s="455">
        <f t="shared" ca="1" si="105"/>
        <v>-35939339.045316666</v>
      </c>
      <c r="J1080" s="455">
        <f t="array" ref="J1080">IFERROR(INDEX('Retirement Calculator'!K:K,MATCH('Lorri 401b'!N1080,'Retirement Calculator'!A:A,0),0),0)</f>
        <v>20282.026119384056</v>
      </c>
      <c r="K1080" s="455">
        <f t="shared" ca="1" si="103"/>
        <v>-149831.75446431685</v>
      </c>
      <c r="L1080" s="455">
        <f t="shared" ca="1" si="104"/>
        <v>-36109452.825900361</v>
      </c>
      <c r="M1080" s="471">
        <f t="shared" si="106"/>
        <v>0.05</v>
      </c>
      <c r="N1080" s="475">
        <f t="shared" si="107"/>
        <v>83916</v>
      </c>
    </row>
    <row r="1081" spans="7:14" ht="11.25" customHeight="1" x14ac:dyDescent="0.3">
      <c r="G1081" s="470"/>
      <c r="H1081" s="470">
        <v>1074</v>
      </c>
      <c r="I1081" s="455">
        <f t="shared" ca="1" si="105"/>
        <v>-36109452.825900361</v>
      </c>
      <c r="J1081" s="455">
        <f t="array" ref="J1081">IFERROR(INDEX('Retirement Calculator'!K:K,MATCH('Lorri 401b'!N1081,'Retirement Calculator'!A:A,0),0),0)</f>
        <v>20282.026119384056</v>
      </c>
      <c r="K1081" s="455">
        <f t="shared" ca="1" si="103"/>
        <v>-150540.56188341559</v>
      </c>
      <c r="L1081" s="455">
        <f t="shared" ca="1" si="104"/>
        <v>-36280275.413903154</v>
      </c>
      <c r="M1081" s="471">
        <f t="shared" si="106"/>
        <v>0.05</v>
      </c>
      <c r="N1081" s="475">
        <f t="shared" si="107"/>
        <v>83947</v>
      </c>
    </row>
    <row r="1082" spans="7:14" ht="11.25" customHeight="1" x14ac:dyDescent="0.3">
      <c r="G1082" s="470"/>
      <c r="H1082" s="470">
        <v>1075</v>
      </c>
      <c r="I1082" s="455">
        <f t="shared" ca="1" si="105"/>
        <v>-36280275.413903154</v>
      </c>
      <c r="J1082" s="455">
        <f t="array" ref="J1082">IFERROR(INDEX('Retirement Calculator'!K:K,MATCH('Lorri 401b'!N1082,'Retirement Calculator'!A:A,0),0),0)</f>
        <v>20282.026119384056</v>
      </c>
      <c r="K1082" s="455">
        <f t="shared" ca="1" si="103"/>
        <v>-151252.32266676056</v>
      </c>
      <c r="L1082" s="455">
        <f t="shared" ca="1" si="104"/>
        <v>-36451809.7626893</v>
      </c>
      <c r="M1082" s="471">
        <f t="shared" si="106"/>
        <v>0.05</v>
      </c>
      <c r="N1082" s="475">
        <f t="shared" si="107"/>
        <v>83977</v>
      </c>
    </row>
    <row r="1083" spans="7:14" ht="11.25" customHeight="1" x14ac:dyDescent="0.3">
      <c r="G1083" s="470"/>
      <c r="H1083" s="470">
        <v>1076</v>
      </c>
      <c r="I1083" s="455">
        <f t="shared" ca="1" si="105"/>
        <v>-36451809.7626893</v>
      </c>
      <c r="J1083" s="455">
        <f t="array" ref="J1083">IFERROR(INDEX('Retirement Calculator'!K:K,MATCH('Lorri 401b'!N1083,'Retirement Calculator'!A:A,0),0),0)</f>
        <v>20282.026119384056</v>
      </c>
      <c r="K1083" s="455">
        <f t="shared" ca="1" si="103"/>
        <v>-151967.04912003616</v>
      </c>
      <c r="L1083" s="455">
        <f t="shared" ca="1" si="104"/>
        <v>-36624058.83792872</v>
      </c>
      <c r="M1083" s="471">
        <f t="shared" si="106"/>
        <v>0.05</v>
      </c>
      <c r="N1083" s="475">
        <f t="shared" si="107"/>
        <v>84008</v>
      </c>
    </row>
    <row r="1084" spans="7:14" ht="11.25" customHeight="1" x14ac:dyDescent="0.3">
      <c r="G1084" s="470"/>
      <c r="H1084" s="470">
        <v>1077</v>
      </c>
      <c r="I1084" s="455">
        <f t="shared" ca="1" si="105"/>
        <v>-36624058.83792872</v>
      </c>
      <c r="J1084" s="455">
        <f t="array" ref="J1084">IFERROR(INDEX('Retirement Calculator'!K:K,MATCH('Lorri 401b'!N1084,'Retirement Calculator'!A:A,0),0),0)</f>
        <v>20282.026119384056</v>
      </c>
      <c r="K1084" s="455">
        <f t="shared" ca="1" si="103"/>
        <v>-152684.75360020041</v>
      </c>
      <c r="L1084" s="455">
        <f t="shared" ca="1" si="104"/>
        <v>-36797025.617648304</v>
      </c>
      <c r="M1084" s="471">
        <f t="shared" si="106"/>
        <v>0.05</v>
      </c>
      <c r="N1084" s="475">
        <f t="shared" si="107"/>
        <v>84039</v>
      </c>
    </row>
    <row r="1085" spans="7:14" ht="11.25" customHeight="1" x14ac:dyDescent="0.3">
      <c r="G1085" s="470"/>
      <c r="H1085" s="470">
        <v>1078</v>
      </c>
      <c r="I1085" s="455">
        <f t="shared" ca="1" si="105"/>
        <v>-36797025.617648304</v>
      </c>
      <c r="J1085" s="455">
        <f t="array" ref="J1085">IFERROR(INDEX('Retirement Calculator'!K:K,MATCH('Lorri 401b'!N1085,'Retirement Calculator'!A:A,0),0),0)</f>
        <v>20282.026119384056</v>
      </c>
      <c r="K1085" s="455">
        <f t="shared" ca="1" si="103"/>
        <v>-153405.44851569869</v>
      </c>
      <c r="L1085" s="455">
        <f t="shared" ca="1" si="104"/>
        <v>-36970713.092283383</v>
      </c>
      <c r="M1085" s="471">
        <f t="shared" si="106"/>
        <v>0.05</v>
      </c>
      <c r="N1085" s="475">
        <f t="shared" si="107"/>
        <v>84067</v>
      </c>
    </row>
    <row r="1086" spans="7:14" ht="11.25" customHeight="1" x14ac:dyDescent="0.3">
      <c r="G1086" s="470"/>
      <c r="H1086" s="470">
        <v>1079</v>
      </c>
      <c r="I1086" s="455">
        <f t="shared" ca="1" si="105"/>
        <v>-36970713.092283383</v>
      </c>
      <c r="J1086" s="455">
        <f t="array" ref="J1086">IFERROR(INDEX('Retirement Calculator'!K:K,MATCH('Lorri 401b'!N1086,'Retirement Calculator'!A:A,0),0),0)</f>
        <v>20282.026119384056</v>
      </c>
      <c r="K1086" s="455">
        <f t="shared" ca="1" si="103"/>
        <v>-154129.14632667819</v>
      </c>
      <c r="L1086" s="455">
        <f t="shared" ca="1" si="104"/>
        <v>-37145124.26472944</v>
      </c>
      <c r="M1086" s="471">
        <f t="shared" si="106"/>
        <v>0.05</v>
      </c>
      <c r="N1086" s="475">
        <f t="shared" si="107"/>
        <v>84098</v>
      </c>
    </row>
    <row r="1087" spans="7:14" ht="11.25" customHeight="1" x14ac:dyDescent="0.3">
      <c r="G1087" s="470"/>
      <c r="H1087" s="470">
        <v>1080</v>
      </c>
      <c r="I1087" s="455">
        <f t="shared" ca="1" si="105"/>
        <v>-37145124.26472944</v>
      </c>
      <c r="J1087" s="455">
        <f t="array" ref="J1087">IFERROR(INDEX('Retirement Calculator'!K:K,MATCH('Lorri 401b'!N1087,'Retirement Calculator'!A:A,0),0),0)</f>
        <v>20282.026119384056</v>
      </c>
      <c r="K1087" s="455">
        <f t="shared" ca="1" si="103"/>
        <v>-154855.85954520342</v>
      </c>
      <c r="L1087" s="455">
        <f t="shared" ca="1" si="104"/>
        <v>-37320262.150394022</v>
      </c>
      <c r="M1087" s="471">
        <f t="shared" si="106"/>
        <v>0.05</v>
      </c>
      <c r="N1087" s="475">
        <f t="shared" si="107"/>
        <v>84128</v>
      </c>
    </row>
    <row r="1088" spans="7:14" ht="11.25" customHeight="1" x14ac:dyDescent="0.3">
      <c r="G1088" s="470"/>
      <c r="H1088" s="470">
        <v>1081</v>
      </c>
      <c r="I1088" s="455">
        <f t="shared" ca="1" si="105"/>
        <v>-37320262.150394022</v>
      </c>
      <c r="J1088" s="455">
        <f t="array" ref="J1088">IFERROR(INDEX('Retirement Calculator'!K:K,MATCH('Lorri 401b'!N1088,'Retirement Calculator'!A:A,0),0),0)</f>
        <v>20282.026119384056</v>
      </c>
      <c r="K1088" s="455">
        <f t="shared" ca="1" si="103"/>
        <v>-155585.60073547252</v>
      </c>
      <c r="L1088" s="455">
        <f t="shared" ca="1" si="104"/>
        <v>-37496129.777248874</v>
      </c>
      <c r="M1088" s="471">
        <f t="shared" si="106"/>
        <v>0.05</v>
      </c>
      <c r="N1088" s="475">
        <f t="shared" si="107"/>
        <v>84159</v>
      </c>
    </row>
    <row r="1089" spans="7:14" ht="11.25" customHeight="1" x14ac:dyDescent="0.3">
      <c r="G1089" s="470"/>
      <c r="H1089" s="470">
        <v>1082</v>
      </c>
      <c r="I1089" s="455">
        <f t="shared" ca="1" si="105"/>
        <v>-37496129.777248874</v>
      </c>
      <c r="J1089" s="455">
        <f t="array" ref="J1089">IFERROR(INDEX('Retirement Calculator'!K:K,MATCH('Lorri 401b'!N1089,'Retirement Calculator'!A:A,0),0),0)</f>
        <v>20282.026119384056</v>
      </c>
      <c r="K1089" s="455">
        <f t="shared" ca="1" si="103"/>
        <v>-156318.3825140344</v>
      </c>
      <c r="L1089" s="455">
        <f t="shared" ca="1" si="104"/>
        <v>-37672730.185882293</v>
      </c>
      <c r="M1089" s="471">
        <f t="shared" si="106"/>
        <v>0.05</v>
      </c>
      <c r="N1089" s="475">
        <f t="shared" si="107"/>
        <v>84189</v>
      </c>
    </row>
    <row r="1090" spans="7:14" ht="11.25" customHeight="1" x14ac:dyDescent="0.3">
      <c r="G1090" s="470"/>
      <c r="H1090" s="470">
        <v>1083</v>
      </c>
      <c r="I1090" s="455">
        <f t="shared" ca="1" si="105"/>
        <v>-37672730.185882293</v>
      </c>
      <c r="J1090" s="455">
        <f t="array" ref="J1090">IFERROR(INDEX('Retirement Calculator'!K:K,MATCH('Lorri 401b'!N1090,'Retirement Calculator'!A:A,0),0),0)</f>
        <v>20282.026119384056</v>
      </c>
      <c r="K1090" s="455">
        <f t="shared" ca="1" si="103"/>
        <v>-157054.21755000699</v>
      </c>
      <c r="L1090" s="455">
        <f t="shared" ca="1" si="104"/>
        <v>-37850066.429551683</v>
      </c>
      <c r="M1090" s="471">
        <f t="shared" si="106"/>
        <v>0.05</v>
      </c>
      <c r="N1090" s="475">
        <f t="shared" si="107"/>
        <v>84220</v>
      </c>
    </row>
    <row r="1091" spans="7:14" ht="11.25" customHeight="1" x14ac:dyDescent="0.3">
      <c r="G1091" s="470"/>
      <c r="H1091" s="470">
        <v>1084</v>
      </c>
      <c r="I1091" s="455">
        <f t="shared" ca="1" si="105"/>
        <v>-37850066.429551683</v>
      </c>
      <c r="J1091" s="455">
        <f t="array" ref="J1091">IFERROR(INDEX('Retirement Calculator'!K:K,MATCH('Lorri 401b'!N1091,'Retirement Calculator'!A:A,0),0),0)</f>
        <v>20282.026119384056</v>
      </c>
      <c r="K1091" s="455">
        <f t="shared" ca="1" si="103"/>
        <v>-157793.11856529611</v>
      </c>
      <c r="L1091" s="455">
        <f t="shared" ca="1" si="104"/>
        <v>-38028141.574236363</v>
      </c>
      <c r="M1091" s="471">
        <f t="shared" si="106"/>
        <v>0.05</v>
      </c>
      <c r="N1091" s="475">
        <f t="shared" si="107"/>
        <v>84251</v>
      </c>
    </row>
    <row r="1092" spans="7:14" ht="11.25" customHeight="1" x14ac:dyDescent="0.3">
      <c r="G1092" s="470"/>
      <c r="H1092" s="470">
        <v>1085</v>
      </c>
      <c r="I1092" s="455">
        <f t="shared" ca="1" si="105"/>
        <v>-38028141.574236363</v>
      </c>
      <c r="J1092" s="455">
        <f t="array" ref="J1092">IFERROR(INDEX('Retirement Calculator'!K:K,MATCH('Lorri 401b'!N1092,'Retirement Calculator'!A:A,0),0),0)</f>
        <v>20282.026119384056</v>
      </c>
      <c r="K1092" s="455">
        <f t="shared" ca="1" si="103"/>
        <v>-158535.09833481559</v>
      </c>
      <c r="L1092" s="455">
        <f t="shared" ca="1" si="104"/>
        <v>-38206958.698690563</v>
      </c>
      <c r="M1092" s="471">
        <f t="shared" si="106"/>
        <v>0.05</v>
      </c>
      <c r="N1092" s="475">
        <f t="shared" si="107"/>
        <v>84281</v>
      </c>
    </row>
    <row r="1093" spans="7:14" ht="11.25" customHeight="1" x14ac:dyDescent="0.3">
      <c r="G1093" s="470"/>
      <c r="H1093" s="470">
        <v>1086</v>
      </c>
      <c r="I1093" s="455">
        <f t="shared" ca="1" si="105"/>
        <v>-38206958.698690563</v>
      </c>
      <c r="J1093" s="455">
        <f t="array" ref="J1093">IFERROR(INDEX('Retirement Calculator'!K:K,MATCH('Lorri 401b'!N1093,'Retirement Calculator'!A:A,0),0),0)</f>
        <v>20282.026119384056</v>
      </c>
      <c r="K1093" s="455">
        <f t="shared" ca="1" si="103"/>
        <v>-159280.1696867081</v>
      </c>
      <c r="L1093" s="455">
        <f t="shared" ca="1" si="104"/>
        <v>-38386520.89449665</v>
      </c>
      <c r="M1093" s="471">
        <f t="shared" si="106"/>
        <v>0.05</v>
      </c>
      <c r="N1093" s="475">
        <f t="shared" si="107"/>
        <v>84312</v>
      </c>
    </row>
    <row r="1094" spans="7:14" ht="11.25" customHeight="1" x14ac:dyDescent="0.3">
      <c r="G1094" s="470"/>
      <c r="H1094" s="470">
        <v>1087</v>
      </c>
      <c r="I1094" s="455">
        <f t="shared" ca="1" si="105"/>
        <v>-38386520.89449665</v>
      </c>
      <c r="J1094" s="455">
        <f t="array" ref="J1094">IFERROR(INDEX('Retirement Calculator'!K:K,MATCH('Lorri 401b'!N1094,'Retirement Calculator'!A:A,0),0),0)</f>
        <v>20282.026119384056</v>
      </c>
      <c r="K1094" s="455">
        <f t="shared" ca="1" si="103"/>
        <v>-160028.34550256678</v>
      </c>
      <c r="L1094" s="455">
        <f t="shared" ca="1" si="104"/>
        <v>-38566831.266118601</v>
      </c>
      <c r="M1094" s="471">
        <f t="shared" si="106"/>
        <v>0.05</v>
      </c>
      <c r="N1094" s="475">
        <f t="shared" si="107"/>
        <v>84342</v>
      </c>
    </row>
    <row r="1095" spans="7:14" ht="11.25" customHeight="1" x14ac:dyDescent="0.3">
      <c r="G1095" s="470"/>
      <c r="H1095" s="470">
        <v>1088</v>
      </c>
      <c r="I1095" s="455">
        <f t="shared" ca="1" si="105"/>
        <v>-38566831.266118601</v>
      </c>
      <c r="J1095" s="455">
        <f t="array" ref="J1095">IFERROR(INDEX('Retirement Calculator'!K:K,MATCH('Lorri 401b'!N1095,'Retirement Calculator'!A:A,0),0),0)</f>
        <v>20282.026119384056</v>
      </c>
      <c r="K1095" s="455">
        <f t="shared" ca="1" si="103"/>
        <v>-160779.63871765826</v>
      </c>
      <c r="L1095" s="455">
        <f t="shared" ca="1" si="104"/>
        <v>-38747892.930955641</v>
      </c>
      <c r="M1095" s="471">
        <f t="shared" si="106"/>
        <v>0.05</v>
      </c>
      <c r="N1095" s="475">
        <f t="shared" si="107"/>
        <v>84373</v>
      </c>
    </row>
    <row r="1096" spans="7:14" ht="11.25" customHeight="1" x14ac:dyDescent="0.3">
      <c r="G1096" s="470"/>
      <c r="H1096" s="470">
        <v>1089</v>
      </c>
      <c r="I1096" s="455">
        <f t="shared" ca="1" si="105"/>
        <v>-38747892.930955641</v>
      </c>
      <c r="J1096" s="455">
        <f t="array" ref="J1096">IFERROR(INDEX('Retirement Calculator'!K:K,MATCH('Lorri 401b'!N1096,'Retirement Calculator'!A:A,0),0),0)</f>
        <v>20282.026119384056</v>
      </c>
      <c r="K1096" s="455">
        <f t="shared" ca="1" si="103"/>
        <v>-161534.06232114593</v>
      </c>
      <c r="L1096" s="455">
        <f t="shared" ca="1" si="104"/>
        <v>-38929709.019396171</v>
      </c>
      <c r="M1096" s="471">
        <f t="shared" si="106"/>
        <v>0.05</v>
      </c>
      <c r="N1096" s="475">
        <f t="shared" si="107"/>
        <v>84404</v>
      </c>
    </row>
    <row r="1097" spans="7:14" ht="11.25" customHeight="1" x14ac:dyDescent="0.3">
      <c r="G1097" s="470"/>
      <c r="H1097" s="470">
        <v>1090</v>
      </c>
      <c r="I1097" s="455">
        <f t="shared" ca="1" si="105"/>
        <v>-38929709.019396171</v>
      </c>
      <c r="J1097" s="455">
        <f t="array" ref="J1097">IFERROR(INDEX('Retirement Calculator'!K:K,MATCH('Lorri 401b'!N1097,'Retirement Calculator'!A:A,0),0),0)</f>
        <v>20282.026119384056</v>
      </c>
      <c r="K1097" s="455">
        <f t="shared" ca="1" si="103"/>
        <v>-162291.62935631481</v>
      </c>
      <c r="L1097" s="455">
        <f t="shared" ca="1" si="104"/>
        <v>-39112282.674871869</v>
      </c>
      <c r="M1097" s="471">
        <f t="shared" si="106"/>
        <v>0.05</v>
      </c>
      <c r="N1097" s="475">
        <f t="shared" si="107"/>
        <v>84432</v>
      </c>
    </row>
    <row r="1098" spans="7:14" ht="11.25" customHeight="1" x14ac:dyDescent="0.3">
      <c r="G1098" s="470"/>
      <c r="H1098" s="470">
        <v>1091</v>
      </c>
      <c r="I1098" s="455">
        <f t="shared" ca="1" si="105"/>
        <v>-39112282.674871869</v>
      </c>
      <c r="J1098" s="455">
        <f t="array" ref="J1098">IFERROR(INDEX('Retirement Calculator'!K:K,MATCH('Lorri 401b'!N1098,'Retirement Calculator'!A:A,0),0),0)</f>
        <v>20282.026119384056</v>
      </c>
      <c r="K1098" s="455">
        <f t="shared" ca="1" si="103"/>
        <v>-163052.35292079687</v>
      </c>
      <c r="L1098" s="455">
        <f t="shared" ca="1" si="104"/>
        <v>-39295617.053912051</v>
      </c>
      <c r="M1098" s="471">
        <f t="shared" si="106"/>
        <v>0.05</v>
      </c>
      <c r="N1098" s="475">
        <f t="shared" si="107"/>
        <v>84463</v>
      </c>
    </row>
    <row r="1099" spans="7:14" ht="11.25" customHeight="1" x14ac:dyDescent="0.3">
      <c r="G1099" s="470"/>
      <c r="H1099" s="470">
        <v>1092</v>
      </c>
      <c r="I1099" s="455">
        <f t="shared" ca="1" si="105"/>
        <v>-39295617.053912051</v>
      </c>
      <c r="J1099" s="455">
        <f t="array" ref="J1099">IFERROR(INDEX('Retirement Calculator'!K:K,MATCH('Lorri 401b'!N1099,'Retirement Calculator'!A:A,0),0),0)</f>
        <v>20282.026119384056</v>
      </c>
      <c r="K1099" s="455">
        <f t="shared" ca="1" si="103"/>
        <v>-163816.24616679765</v>
      </c>
      <c r="L1099" s="455">
        <f t="shared" ca="1" si="104"/>
        <v>-39479715.326198228</v>
      </c>
      <c r="M1099" s="471">
        <f t="shared" si="106"/>
        <v>0.05</v>
      </c>
      <c r="N1099" s="475">
        <f t="shared" si="107"/>
        <v>84493</v>
      </c>
    </row>
    <row r="1100" spans="7:14" ht="11.25" customHeight="1" x14ac:dyDescent="0.3">
      <c r="G1100" s="470"/>
      <c r="H1100" s="470">
        <v>1093</v>
      </c>
      <c r="I1100" s="455">
        <f t="shared" ca="1" si="105"/>
        <v>-39479715.326198228</v>
      </c>
      <c r="J1100" s="455">
        <f t="array" ref="J1100">IFERROR(INDEX('Retirement Calculator'!K:K,MATCH('Lorri 401b'!N1100,'Retirement Calculator'!A:A,0),0),0)</f>
        <v>20282.026119384056</v>
      </c>
      <c r="K1100" s="455">
        <f t="shared" ca="1" si="103"/>
        <v>-164583.32230132338</v>
      </c>
      <c r="L1100" s="455">
        <f t="shared" ca="1" si="104"/>
        <v>-39664580.67461893</v>
      </c>
      <c r="M1100" s="471">
        <f t="shared" si="106"/>
        <v>0.05</v>
      </c>
      <c r="N1100" s="475">
        <f t="shared" si="107"/>
        <v>84524</v>
      </c>
    </row>
    <row r="1101" spans="7:14" ht="11.25" customHeight="1" x14ac:dyDescent="0.3">
      <c r="G1101" s="470"/>
      <c r="H1101" s="470">
        <v>1094</v>
      </c>
      <c r="I1101" s="455">
        <f t="shared" ca="1" si="105"/>
        <v>-39664580.67461893</v>
      </c>
      <c r="J1101" s="455">
        <f t="array" ref="J1101">IFERROR(INDEX('Retirement Calculator'!K:K,MATCH('Lorri 401b'!N1101,'Retirement Calculator'!A:A,0),0),0)</f>
        <v>20282.026119384056</v>
      </c>
      <c r="K1101" s="455">
        <f t="shared" ca="1" si="103"/>
        <v>-165353.59458640963</v>
      </c>
      <c r="L1101" s="455">
        <f t="shared" ca="1" si="104"/>
        <v>-39850216.29532472</v>
      </c>
      <c r="M1101" s="471">
        <f t="shared" si="106"/>
        <v>0.05</v>
      </c>
      <c r="N1101" s="475">
        <f t="shared" si="107"/>
        <v>84554</v>
      </c>
    </row>
    <row r="1102" spans="7:14" ht="11.25" customHeight="1" x14ac:dyDescent="0.3">
      <c r="G1102" s="470"/>
      <c r="H1102" s="470">
        <v>1095</v>
      </c>
      <c r="I1102" s="455">
        <f t="shared" ca="1" si="105"/>
        <v>-39850216.29532472</v>
      </c>
      <c r="J1102" s="455">
        <f t="array" ref="J1102">IFERROR(INDEX('Retirement Calculator'!K:K,MATCH('Lorri 401b'!N1102,'Retirement Calculator'!A:A,0),0),0)</f>
        <v>20282.026119384056</v>
      </c>
      <c r="K1102" s="455">
        <f t="shared" ca="1" si="103"/>
        <v>-166127.07633935043</v>
      </c>
      <c r="L1102" s="455">
        <f t="shared" ca="1" si="104"/>
        <v>-40036625.397783451</v>
      </c>
      <c r="M1102" s="471">
        <f t="shared" si="106"/>
        <v>0.05</v>
      </c>
      <c r="N1102" s="475">
        <f t="shared" si="107"/>
        <v>84585</v>
      </c>
    </row>
    <row r="1103" spans="7:14" ht="11.25" customHeight="1" x14ac:dyDescent="0.3">
      <c r="G1103" s="470"/>
      <c r="H1103" s="470">
        <v>1096</v>
      </c>
      <c r="I1103" s="455">
        <f t="shared" ca="1" si="105"/>
        <v>-40036625.397783451</v>
      </c>
      <c r="J1103" s="455">
        <f t="array" ref="J1103">IFERROR(INDEX('Retirement Calculator'!K:K,MATCH('Lorri 401b'!N1103,'Retirement Calculator'!A:A,0),0),0)</f>
        <v>20282.026119384056</v>
      </c>
      <c r="K1103" s="455">
        <f t="shared" ca="1" si="103"/>
        <v>-166903.78093292846</v>
      </c>
      <c r="L1103" s="455">
        <f t="shared" ca="1" si="104"/>
        <v>-40223811.204835758</v>
      </c>
      <c r="M1103" s="471">
        <f t="shared" si="106"/>
        <v>0.05</v>
      </c>
      <c r="N1103" s="475">
        <f t="shared" si="107"/>
        <v>84616</v>
      </c>
    </row>
    <row r="1104" spans="7:14" ht="11.25" customHeight="1" x14ac:dyDescent="0.3">
      <c r="G1104" s="470"/>
      <c r="H1104" s="470">
        <v>1097</v>
      </c>
      <c r="I1104" s="455">
        <f t="shared" ca="1" si="105"/>
        <v>-40223811.204835758</v>
      </c>
      <c r="J1104" s="455">
        <f t="array" ref="J1104">IFERROR(INDEX('Retirement Calculator'!K:K,MATCH('Lorri 401b'!N1104,'Retirement Calculator'!A:A,0),0),0)</f>
        <v>20282.026119384056</v>
      </c>
      <c r="K1104" s="455">
        <f t="shared" ca="1" si="103"/>
        <v>-167683.72179564642</v>
      </c>
      <c r="L1104" s="455">
        <f t="shared" ca="1" si="104"/>
        <v>-40411776.952750787</v>
      </c>
      <c r="M1104" s="471">
        <f t="shared" si="106"/>
        <v>0.05</v>
      </c>
      <c r="N1104" s="475">
        <f t="shared" si="107"/>
        <v>84646</v>
      </c>
    </row>
    <row r="1105" spans="7:14" ht="11.25" customHeight="1" x14ac:dyDescent="0.3">
      <c r="G1105" s="470"/>
      <c r="H1105" s="470">
        <v>1098</v>
      </c>
      <c r="I1105" s="455">
        <f t="shared" ca="1" si="105"/>
        <v>-40411776.952750787</v>
      </c>
      <c r="J1105" s="455">
        <f t="array" ref="J1105">IFERROR(INDEX('Retirement Calculator'!K:K,MATCH('Lorri 401b'!N1105,'Retirement Calculator'!A:A,0),0),0)</f>
        <v>20282.026119384056</v>
      </c>
      <c r="K1105" s="455">
        <f t="shared" ca="1" si="103"/>
        <v>-168466.91241195903</v>
      </c>
      <c r="L1105" s="455">
        <f t="shared" ca="1" si="104"/>
        <v>-40600525.891282126</v>
      </c>
      <c r="M1105" s="471">
        <f t="shared" si="106"/>
        <v>0.05</v>
      </c>
      <c r="N1105" s="475">
        <f t="shared" si="107"/>
        <v>84677</v>
      </c>
    </row>
    <row r="1106" spans="7:14" ht="11.25" customHeight="1" x14ac:dyDescent="0.3">
      <c r="G1106" s="470"/>
      <c r="H1106" s="470">
        <v>1099</v>
      </c>
      <c r="I1106" s="455">
        <f t="shared" ca="1" si="105"/>
        <v>-40600525.891282126</v>
      </c>
      <c r="J1106" s="455">
        <f t="array" ref="J1106">IFERROR(INDEX('Retirement Calculator'!K:K,MATCH('Lorri 401b'!N1106,'Retirement Calculator'!A:A,0),0),0)</f>
        <v>20282.026119384056</v>
      </c>
      <c r="K1106" s="455">
        <f t="shared" ca="1" si="103"/>
        <v>-169253.36632250628</v>
      </c>
      <c r="L1106" s="455">
        <f t="shared" ca="1" si="104"/>
        <v>-40790061.283724017</v>
      </c>
      <c r="M1106" s="471">
        <f t="shared" si="106"/>
        <v>0.05</v>
      </c>
      <c r="N1106" s="475">
        <f t="shared" si="107"/>
        <v>84707</v>
      </c>
    </row>
    <row r="1107" spans="7:14" ht="11.25" customHeight="1" x14ac:dyDescent="0.3">
      <c r="G1107" s="470"/>
      <c r="H1107" s="470">
        <v>1100</v>
      </c>
      <c r="I1107" s="455">
        <f t="shared" ca="1" si="105"/>
        <v>-40790061.283724017</v>
      </c>
      <c r="J1107" s="455">
        <f t="array" ref="J1107">IFERROR(INDEX('Retirement Calculator'!K:K,MATCH('Lorri 401b'!N1107,'Retirement Calculator'!A:A,0),0),0)</f>
        <v>20282.026119384056</v>
      </c>
      <c r="K1107" s="455">
        <f t="shared" ca="1" si="103"/>
        <v>-170043.09712434749</v>
      </c>
      <c r="L1107" s="455">
        <f t="shared" ca="1" si="104"/>
        <v>-40980386.406967744</v>
      </c>
      <c r="M1107" s="471">
        <f t="shared" si="106"/>
        <v>0.05</v>
      </c>
      <c r="N1107" s="475">
        <f t="shared" si="107"/>
        <v>84738</v>
      </c>
    </row>
    <row r="1108" spans="7:14" ht="11.25" customHeight="1" x14ac:dyDescent="0.3">
      <c r="G1108" s="470"/>
      <c r="H1108" s="470">
        <v>1101</v>
      </c>
      <c r="I1108" s="455">
        <f t="shared" ca="1" si="105"/>
        <v>-40980386.406967744</v>
      </c>
      <c r="J1108" s="455">
        <f t="array" ref="J1108">IFERROR(INDEX('Retirement Calculator'!K:K,MATCH('Lorri 401b'!N1108,'Retirement Calculator'!A:A,0),0),0)</f>
        <v>20282.026119384056</v>
      </c>
      <c r="K1108" s="455">
        <f t="shared" ca="1" si="103"/>
        <v>-170836.11847119636</v>
      </c>
      <c r="L1108" s="455">
        <f t="shared" ca="1" si="104"/>
        <v>-41171504.551558323</v>
      </c>
      <c r="M1108" s="471">
        <f t="shared" si="106"/>
        <v>0.05</v>
      </c>
      <c r="N1108" s="475">
        <f t="shared" si="107"/>
        <v>84769</v>
      </c>
    </row>
    <row r="1109" spans="7:14" ht="11.25" customHeight="1" x14ac:dyDescent="0.3">
      <c r="G1109" s="470"/>
      <c r="H1109" s="470">
        <v>1102</v>
      </c>
      <c r="I1109" s="455">
        <f t="shared" ca="1" si="105"/>
        <v>-41171504.551558323</v>
      </c>
      <c r="J1109" s="455">
        <f t="array" ref="J1109">IFERROR(INDEX('Retirement Calculator'!K:K,MATCH('Lorri 401b'!N1109,'Retirement Calculator'!A:A,0),0),0)</f>
        <v>20282.026119384056</v>
      </c>
      <c r="K1109" s="455">
        <f t="shared" ca="1" si="103"/>
        <v>-171632.4440736571</v>
      </c>
      <c r="L1109" s="455">
        <f t="shared" ca="1" si="104"/>
        <v>-41363419.021751359</v>
      </c>
      <c r="M1109" s="471">
        <f t="shared" si="106"/>
        <v>0.05</v>
      </c>
      <c r="N1109" s="475">
        <f t="shared" si="107"/>
        <v>84798</v>
      </c>
    </row>
    <row r="1110" spans="7:14" ht="11.25" customHeight="1" x14ac:dyDescent="0.3">
      <c r="G1110" s="470"/>
      <c r="H1110" s="470">
        <v>1103</v>
      </c>
      <c r="I1110" s="455">
        <f t="shared" ca="1" si="105"/>
        <v>-41363419.021751359</v>
      </c>
      <c r="J1110" s="455">
        <f t="array" ref="J1110">IFERROR(INDEX('Retirement Calculator'!K:K,MATCH('Lorri 401b'!N1110,'Retirement Calculator'!A:A,0),0),0)</f>
        <v>20282.026119384056</v>
      </c>
      <c r="K1110" s="455">
        <f t="shared" ca="1" si="103"/>
        <v>-172432.08769946141</v>
      </c>
      <c r="L1110" s="455">
        <f t="shared" ca="1" si="104"/>
        <v>-41556133.135570198</v>
      </c>
      <c r="M1110" s="471">
        <f t="shared" si="106"/>
        <v>0.05</v>
      </c>
      <c r="N1110" s="475">
        <f t="shared" si="107"/>
        <v>84829</v>
      </c>
    </row>
    <row r="1111" spans="7:14" ht="11.25" customHeight="1" x14ac:dyDescent="0.3">
      <c r="G1111" s="470"/>
      <c r="H1111" s="470">
        <v>1104</v>
      </c>
      <c r="I1111" s="455">
        <f t="shared" ca="1" si="105"/>
        <v>-41556133.135570198</v>
      </c>
      <c r="J1111" s="455">
        <f t="array" ref="J1111">IFERROR(INDEX('Retirement Calculator'!K:K,MATCH('Lorri 401b'!N1111,'Retirement Calculator'!A:A,0),0),0)</f>
        <v>20282.026119384056</v>
      </c>
      <c r="K1111" s="455">
        <f t="shared" ca="1" si="103"/>
        <v>-173235.06317370659</v>
      </c>
      <c r="L1111" s="455">
        <f t="shared" ca="1" si="104"/>
        <v>-41749650.224863283</v>
      </c>
      <c r="M1111" s="471">
        <f t="shared" si="106"/>
        <v>0.05</v>
      </c>
      <c r="N1111" s="475">
        <f t="shared" si="107"/>
        <v>84859</v>
      </c>
    </row>
    <row r="1112" spans="7:14" ht="11.25" customHeight="1" x14ac:dyDescent="0.3">
      <c r="G1112" s="470"/>
      <c r="H1112" s="470">
        <v>1105</v>
      </c>
      <c r="I1112" s="455">
        <f t="shared" ca="1" si="105"/>
        <v>-41749650.224863283</v>
      </c>
      <c r="J1112" s="455">
        <f t="array" ref="J1112">IFERROR(INDEX('Retirement Calculator'!K:K,MATCH('Lorri 401b'!N1112,'Retirement Calculator'!A:A,0),0),0)</f>
        <v>20282.026119384056</v>
      </c>
      <c r="K1112" s="455">
        <f t="shared" ca="1" si="103"/>
        <v>-174041.38437909444</v>
      </c>
      <c r="L1112" s="455">
        <f t="shared" ca="1" si="104"/>
        <v>-41943973.635361761</v>
      </c>
      <c r="M1112" s="471">
        <f t="shared" si="106"/>
        <v>0.05</v>
      </c>
      <c r="N1112" s="475">
        <f t="shared" si="107"/>
        <v>84890</v>
      </c>
    </row>
    <row r="1113" spans="7:14" ht="11.25" customHeight="1" x14ac:dyDescent="0.3">
      <c r="G1113" s="470"/>
      <c r="H1113" s="470">
        <v>1106</v>
      </c>
      <c r="I1113" s="455">
        <f t="shared" ca="1" si="105"/>
        <v>-41943973.635361761</v>
      </c>
      <c r="J1113" s="455">
        <f t="array" ref="J1113">IFERROR(INDEX('Retirement Calculator'!K:K,MATCH('Lorri 401b'!N1113,'Retirement Calculator'!A:A,0),0),0)</f>
        <v>20282.026119384056</v>
      </c>
      <c r="K1113" s="455">
        <f t="shared" ca="1" si="103"/>
        <v>-174851.06525617142</v>
      </c>
      <c r="L1113" s="455">
        <f t="shared" ca="1" si="104"/>
        <v>-42139106.726737313</v>
      </c>
      <c r="M1113" s="471">
        <f t="shared" si="106"/>
        <v>0.05</v>
      </c>
      <c r="N1113" s="475">
        <f t="shared" si="107"/>
        <v>84920</v>
      </c>
    </row>
    <row r="1114" spans="7:14" ht="11.25" customHeight="1" x14ac:dyDescent="0.3">
      <c r="G1114" s="470"/>
      <c r="H1114" s="470">
        <v>1107</v>
      </c>
      <c r="I1114" s="455">
        <f t="shared" ca="1" si="105"/>
        <v>-42139106.726737313</v>
      </c>
      <c r="J1114" s="455">
        <f t="array" ref="J1114">IFERROR(INDEX('Retirement Calculator'!K:K,MATCH('Lorri 401b'!N1114,'Retirement Calculator'!A:A,0),0),0)</f>
        <v>20282.026119384056</v>
      </c>
      <c r="K1114" s="455">
        <f t="shared" ca="1" si="103"/>
        <v>-175664.11980356957</v>
      </c>
      <c r="L1114" s="455">
        <f t="shared" ca="1" si="104"/>
        <v>-42335052.872660264</v>
      </c>
      <c r="M1114" s="471">
        <f t="shared" si="106"/>
        <v>0.05</v>
      </c>
      <c r="N1114" s="475">
        <f t="shared" si="107"/>
        <v>84951</v>
      </c>
    </row>
    <row r="1115" spans="7:14" ht="11.25" customHeight="1" x14ac:dyDescent="0.3">
      <c r="G1115" s="470"/>
      <c r="H1115" s="470">
        <v>1108</v>
      </c>
      <c r="I1115" s="455">
        <f t="shared" ca="1" si="105"/>
        <v>-42335052.872660264</v>
      </c>
      <c r="J1115" s="455">
        <f t="array" ref="J1115">IFERROR(INDEX('Retirement Calculator'!K:K,MATCH('Lorri 401b'!N1115,'Retirement Calculator'!A:A,0),0),0)</f>
        <v>20282.026119384056</v>
      </c>
      <c r="K1115" s="455">
        <f t="shared" ca="1" si="103"/>
        <v>-176480.56207824853</v>
      </c>
      <c r="L1115" s="455">
        <f t="shared" ca="1" si="104"/>
        <v>-42531815.460857891</v>
      </c>
      <c r="M1115" s="471">
        <f t="shared" si="106"/>
        <v>0.05</v>
      </c>
      <c r="N1115" s="475">
        <f t="shared" si="107"/>
        <v>84982</v>
      </c>
    </row>
    <row r="1116" spans="7:14" ht="11.25" customHeight="1" x14ac:dyDescent="0.3">
      <c r="G1116" s="470"/>
      <c r="H1116" s="470">
        <v>1109</v>
      </c>
      <c r="I1116" s="455">
        <f t="shared" ca="1" si="105"/>
        <v>-42531815.460857891</v>
      </c>
      <c r="J1116" s="455">
        <f t="array" ref="J1116">IFERROR(INDEX('Retirement Calculator'!K:K,MATCH('Lorri 401b'!N1116,'Retirement Calculator'!A:A,0),0),0)</f>
        <v>20282.026119384056</v>
      </c>
      <c r="K1116" s="455">
        <f t="shared" ca="1" si="103"/>
        <v>-177300.40619573864</v>
      </c>
      <c r="L1116" s="455">
        <f t="shared" ca="1" si="104"/>
        <v>-42729397.893173009</v>
      </c>
      <c r="M1116" s="471">
        <f t="shared" si="106"/>
        <v>0.05</v>
      </c>
      <c r="N1116" s="475">
        <f t="shared" si="107"/>
        <v>85012</v>
      </c>
    </row>
    <row r="1117" spans="7:14" ht="11.25" customHeight="1" x14ac:dyDescent="0.3">
      <c r="G1117" s="470"/>
      <c r="H1117" s="470">
        <v>1110</v>
      </c>
      <c r="I1117" s="455">
        <f t="shared" ca="1" si="105"/>
        <v>-42729397.893173009</v>
      </c>
      <c r="J1117" s="455">
        <f t="array" ref="J1117">IFERROR(INDEX('Retirement Calculator'!K:K,MATCH('Lorri 401b'!N1117,'Retirement Calculator'!A:A,0),0),0)</f>
        <v>20282.026119384056</v>
      </c>
      <c r="K1117" s="455">
        <f t="shared" ca="1" si="103"/>
        <v>-178123.66633038496</v>
      </c>
      <c r="L1117" s="455">
        <f t="shared" ca="1" si="104"/>
        <v>-42927803.585622773</v>
      </c>
      <c r="M1117" s="471">
        <f t="shared" si="106"/>
        <v>0.05</v>
      </c>
      <c r="N1117" s="475">
        <f t="shared" si="107"/>
        <v>85043</v>
      </c>
    </row>
    <row r="1118" spans="7:14" ht="11.25" customHeight="1" x14ac:dyDescent="0.3">
      <c r="G1118" s="470"/>
      <c r="H1118" s="470">
        <v>1111</v>
      </c>
      <c r="I1118" s="455">
        <f t="shared" ca="1" si="105"/>
        <v>-42927803.585622773</v>
      </c>
      <c r="J1118" s="455">
        <f t="array" ref="J1118">IFERROR(INDEX('Retirement Calculator'!K:K,MATCH('Lorri 401b'!N1118,'Retirement Calculator'!A:A,0),0),0)</f>
        <v>20282.026119384056</v>
      </c>
      <c r="K1118" s="455">
        <f t="shared" ca="1" si="103"/>
        <v>-178950.35671559229</v>
      </c>
      <c r="L1118" s="455">
        <f t="shared" ca="1" si="104"/>
        <v>-43127035.968457744</v>
      </c>
      <c r="M1118" s="471">
        <f t="shared" si="106"/>
        <v>0.05</v>
      </c>
      <c r="N1118" s="475">
        <f t="shared" si="107"/>
        <v>85073</v>
      </c>
    </row>
    <row r="1119" spans="7:14" ht="11.25" customHeight="1" x14ac:dyDescent="0.3">
      <c r="G1119" s="470"/>
      <c r="H1119" s="470">
        <v>1112</v>
      </c>
      <c r="I1119" s="455">
        <f t="shared" ca="1" si="105"/>
        <v>-43127035.968457744</v>
      </c>
      <c r="J1119" s="455">
        <f t="array" ref="J1119">IFERROR(INDEX('Retirement Calculator'!K:K,MATCH('Lorri 401b'!N1119,'Retirement Calculator'!A:A,0),0),0)</f>
        <v>20282.026119384056</v>
      </c>
      <c r="K1119" s="455">
        <f t="shared" ca="1" si="103"/>
        <v>-179780.49164407136</v>
      </c>
      <c r="L1119" s="455">
        <f t="shared" ca="1" si="104"/>
        <v>-43327098.486221194</v>
      </c>
      <c r="M1119" s="471">
        <f t="shared" si="106"/>
        <v>0.05</v>
      </c>
      <c r="N1119" s="475">
        <f t="shared" si="107"/>
        <v>85104</v>
      </c>
    </row>
    <row r="1120" spans="7:14" ht="11.25" customHeight="1" x14ac:dyDescent="0.3">
      <c r="G1120" s="470"/>
      <c r="H1120" s="470">
        <v>1113</v>
      </c>
      <c r="I1120" s="455">
        <f t="shared" ca="1" si="105"/>
        <v>-43327098.486221194</v>
      </c>
      <c r="J1120" s="455">
        <f t="array" ref="J1120">IFERROR(INDEX('Retirement Calculator'!K:K,MATCH('Lorri 401b'!N1120,'Retirement Calculator'!A:A,0),0),0)</f>
        <v>20282.026119384056</v>
      </c>
      <c r="K1120" s="455">
        <f t="shared" ca="1" si="103"/>
        <v>-180614.08546808572</v>
      </c>
      <c r="L1120" s="455">
        <f t="shared" ca="1" si="104"/>
        <v>-43527994.597808659</v>
      </c>
      <c r="M1120" s="471">
        <f t="shared" si="106"/>
        <v>0.05</v>
      </c>
      <c r="N1120" s="475">
        <f t="shared" si="107"/>
        <v>85135</v>
      </c>
    </row>
    <row r="1121" spans="7:14" ht="11.25" customHeight="1" x14ac:dyDescent="0.3">
      <c r="G1121" s="470"/>
      <c r="H1121" s="470">
        <v>1114</v>
      </c>
      <c r="I1121" s="455">
        <f t="shared" ca="1" si="105"/>
        <v>-43527994.597808659</v>
      </c>
      <c r="J1121" s="455">
        <f t="array" ref="J1121">IFERROR(INDEX('Retirement Calculator'!K:K,MATCH('Lorri 401b'!N1121,'Retirement Calculator'!A:A,0),0),0)</f>
        <v>20282.026119384056</v>
      </c>
      <c r="K1121" s="455">
        <f t="shared" ca="1" si="103"/>
        <v>-181451.15259970017</v>
      </c>
      <c r="L1121" s="455">
        <f t="shared" ca="1" si="104"/>
        <v>-43729727.77652774</v>
      </c>
      <c r="M1121" s="471">
        <f t="shared" si="106"/>
        <v>0.05</v>
      </c>
      <c r="N1121" s="475">
        <f t="shared" si="107"/>
        <v>85163</v>
      </c>
    </row>
    <row r="1122" spans="7:14" ht="11.25" customHeight="1" x14ac:dyDescent="0.3">
      <c r="G1122" s="470"/>
      <c r="H1122" s="470">
        <v>1115</v>
      </c>
      <c r="I1122" s="455">
        <f t="shared" ca="1" si="105"/>
        <v>-43729727.77652774</v>
      </c>
      <c r="J1122" s="455">
        <f t="array" ref="J1122">IFERROR(INDEX('Retirement Calculator'!K:K,MATCH('Lorri 401b'!N1122,'Retirement Calculator'!A:A,0),0),0)</f>
        <v>20282.026119384056</v>
      </c>
      <c r="K1122" s="455">
        <f t="shared" ca="1" si="103"/>
        <v>-182291.70751102967</v>
      </c>
      <c r="L1122" s="455">
        <f t="shared" ca="1" si="104"/>
        <v>-43932301.510158151</v>
      </c>
      <c r="M1122" s="471">
        <f t="shared" si="106"/>
        <v>0.05</v>
      </c>
      <c r="N1122" s="475">
        <f t="shared" si="107"/>
        <v>85194</v>
      </c>
    </row>
    <row r="1123" spans="7:14" ht="11.25" customHeight="1" x14ac:dyDescent="0.3">
      <c r="G1123" s="470"/>
      <c r="H1123" s="470">
        <v>1116</v>
      </c>
      <c r="I1123" s="455">
        <f t="shared" ca="1" si="105"/>
        <v>-43932301.510158151</v>
      </c>
      <c r="J1123" s="455">
        <f t="array" ref="J1123">IFERROR(INDEX('Retirement Calculator'!K:K,MATCH('Lorri 401b'!N1123,'Retirement Calculator'!A:A,0),0),0)</f>
        <v>20282.026119384056</v>
      </c>
      <c r="K1123" s="455">
        <f t="shared" ca="1" si="103"/>
        <v>-183135.76473448973</v>
      </c>
      <c r="L1123" s="455">
        <f t="shared" ca="1" si="104"/>
        <v>-44135719.301012024</v>
      </c>
      <c r="M1123" s="471">
        <f t="shared" si="106"/>
        <v>0.05</v>
      </c>
      <c r="N1123" s="475">
        <f t="shared" si="107"/>
        <v>85224</v>
      </c>
    </row>
    <row r="1124" spans="7:14" ht="11.25" customHeight="1" x14ac:dyDescent="0.3">
      <c r="G1124" s="470"/>
      <c r="H1124" s="470">
        <v>1117</v>
      </c>
      <c r="I1124" s="455">
        <f t="shared" ca="1" si="105"/>
        <v>-44135719.301012024</v>
      </c>
      <c r="J1124" s="455">
        <f t="array" ref="J1124">IFERROR(INDEX('Retirement Calculator'!K:K,MATCH('Lorri 401b'!N1124,'Retirement Calculator'!A:A,0),0),0)</f>
        <v>20282.026119384056</v>
      </c>
      <c r="K1124" s="455">
        <f t="shared" ca="1" si="103"/>
        <v>-183983.33886304751</v>
      </c>
      <c r="L1124" s="455">
        <f t="shared" ca="1" si="104"/>
        <v>-44339984.66599445</v>
      </c>
      <c r="M1124" s="471">
        <f t="shared" si="106"/>
        <v>0.05</v>
      </c>
      <c r="N1124" s="475">
        <f t="shared" si="107"/>
        <v>85255</v>
      </c>
    </row>
    <row r="1125" spans="7:14" ht="11.25" customHeight="1" x14ac:dyDescent="0.3">
      <c r="G1125" s="470"/>
      <c r="H1125" s="470">
        <v>1118</v>
      </c>
      <c r="I1125" s="455">
        <f t="shared" ca="1" si="105"/>
        <v>-44339984.66599445</v>
      </c>
      <c r="J1125" s="455">
        <f t="array" ref="J1125">IFERROR(INDEX('Retirement Calculator'!K:K,MATCH('Lorri 401b'!N1125,'Retirement Calculator'!A:A,0),0),0)</f>
        <v>20282.026119384056</v>
      </c>
      <c r="K1125" s="455">
        <f t="shared" ca="1" si="103"/>
        <v>-184834.44455047429</v>
      </c>
      <c r="L1125" s="455">
        <f t="shared" ca="1" si="104"/>
        <v>-44545101.136664309</v>
      </c>
      <c r="M1125" s="471">
        <f t="shared" si="106"/>
        <v>0.05</v>
      </c>
      <c r="N1125" s="475">
        <f t="shared" si="107"/>
        <v>85285</v>
      </c>
    </row>
    <row r="1126" spans="7:14" ht="11.25" customHeight="1" x14ac:dyDescent="0.3">
      <c r="G1126" s="470"/>
      <c r="H1126" s="470">
        <v>1119</v>
      </c>
      <c r="I1126" s="455">
        <f t="shared" ca="1" si="105"/>
        <v>-44545101.136664309</v>
      </c>
      <c r="J1126" s="455">
        <f t="array" ref="J1126">IFERROR(INDEX('Retirement Calculator'!K:K,MATCH('Lorri 401b'!N1126,'Retirement Calculator'!A:A,0),0),0)</f>
        <v>20282.026119384056</v>
      </c>
      <c r="K1126" s="455">
        <f t="shared" ca="1" si="103"/>
        <v>-185689.09651159871</v>
      </c>
      <c r="L1126" s="455">
        <f t="shared" ca="1" si="104"/>
        <v>-44751072.259295292</v>
      </c>
      <c r="M1126" s="471">
        <f t="shared" si="106"/>
        <v>0.05</v>
      </c>
      <c r="N1126" s="475">
        <f t="shared" si="107"/>
        <v>85316</v>
      </c>
    </row>
    <row r="1127" spans="7:14" ht="11.25" customHeight="1" x14ac:dyDescent="0.3">
      <c r="G1127" s="470"/>
      <c r="H1127" s="470">
        <v>1120</v>
      </c>
      <c r="I1127" s="455">
        <f t="shared" ca="1" si="105"/>
        <v>-44751072.259295292</v>
      </c>
      <c r="J1127" s="455">
        <f t="array" ref="J1127">IFERROR(INDEX('Retirement Calculator'!K:K,MATCH('Lorri 401b'!N1127,'Retirement Calculator'!A:A,0),0),0)</f>
        <v>20282.026119384056</v>
      </c>
      <c r="K1127" s="455">
        <f t="shared" ca="1" si="103"/>
        <v>-186547.30952256115</v>
      </c>
      <c r="L1127" s="455">
        <f t="shared" ca="1" si="104"/>
        <v>-44957901.594937235</v>
      </c>
      <c r="M1127" s="471">
        <f t="shared" si="106"/>
        <v>0.05</v>
      </c>
      <c r="N1127" s="475">
        <f t="shared" si="107"/>
        <v>85347</v>
      </c>
    </row>
    <row r="1128" spans="7:14" ht="11.25" customHeight="1" x14ac:dyDescent="0.3">
      <c r="G1128" s="470"/>
      <c r="H1128" s="470">
        <v>1121</v>
      </c>
      <c r="I1128" s="455">
        <f t="shared" ca="1" si="105"/>
        <v>-44957901.594937235</v>
      </c>
      <c r="J1128" s="455">
        <f t="array" ref="J1128">IFERROR(INDEX('Retirement Calculator'!K:K,MATCH('Lorri 401b'!N1128,'Retirement Calculator'!A:A,0),0),0)</f>
        <v>20282.026119384056</v>
      </c>
      <c r="K1128" s="455">
        <f t="shared" ca="1" si="103"/>
        <v>-187409.09842106924</v>
      </c>
      <c r="L1128" s="455">
        <f t="shared" ca="1" si="104"/>
        <v>-45165592.719477683</v>
      </c>
      <c r="M1128" s="471">
        <f t="shared" si="106"/>
        <v>0.05</v>
      </c>
      <c r="N1128" s="475">
        <f t="shared" si="107"/>
        <v>85377</v>
      </c>
    </row>
    <row r="1129" spans="7:14" ht="11.25" customHeight="1" x14ac:dyDescent="0.3">
      <c r="G1129" s="470"/>
      <c r="H1129" s="470">
        <v>1122</v>
      </c>
      <c r="I1129" s="455">
        <f t="shared" ca="1" si="105"/>
        <v>-45165592.719477683</v>
      </c>
      <c r="J1129" s="455">
        <f t="array" ref="J1129">IFERROR(INDEX('Retirement Calculator'!K:K,MATCH('Lorri 401b'!N1129,'Retirement Calculator'!A:A,0),0),0)</f>
        <v>20282.026119384056</v>
      </c>
      <c r="K1129" s="455">
        <f t="shared" ca="1" si="103"/>
        <v>-188274.47810665442</v>
      </c>
      <c r="L1129" s="455">
        <f t="shared" ca="1" si="104"/>
        <v>-45374149.22370372</v>
      </c>
      <c r="M1129" s="471">
        <f t="shared" si="106"/>
        <v>0.05</v>
      </c>
      <c r="N1129" s="475">
        <f t="shared" si="107"/>
        <v>85408</v>
      </c>
    </row>
    <row r="1130" spans="7:14" ht="11.25" customHeight="1" x14ac:dyDescent="0.3">
      <c r="G1130" s="470"/>
      <c r="H1130" s="470">
        <v>1123</v>
      </c>
      <c r="I1130" s="455">
        <f t="shared" ca="1" si="105"/>
        <v>-45374149.22370372</v>
      </c>
      <c r="J1130" s="455">
        <f t="array" ref="J1130">IFERROR(INDEX('Retirement Calculator'!K:K,MATCH('Lorri 401b'!N1130,'Retirement Calculator'!A:A,0),0),0)</f>
        <v>20282.026119384056</v>
      </c>
      <c r="K1130" s="455">
        <f t="shared" ca="1" si="103"/>
        <v>-189143.46354092957</v>
      </c>
      <c r="L1130" s="455">
        <f t="shared" ca="1" si="104"/>
        <v>-45583574.713364027</v>
      </c>
      <c r="M1130" s="471">
        <f t="shared" si="106"/>
        <v>0.05</v>
      </c>
      <c r="N1130" s="475">
        <f t="shared" si="107"/>
        <v>85438</v>
      </c>
    </row>
    <row r="1131" spans="7:14" ht="11.25" customHeight="1" x14ac:dyDescent="0.3">
      <c r="G1131" s="470"/>
      <c r="H1131" s="470">
        <v>1124</v>
      </c>
      <c r="I1131" s="455">
        <f t="shared" ca="1" si="105"/>
        <v>-45583574.713364027</v>
      </c>
      <c r="J1131" s="455">
        <f t="array" ref="J1131">IFERROR(INDEX('Retirement Calculator'!K:K,MATCH('Lorri 401b'!N1131,'Retirement Calculator'!A:A,0),0),0)</f>
        <v>20282.026119384056</v>
      </c>
      <c r="K1131" s="455">
        <f t="shared" ca="1" si="103"/>
        <v>-190016.06974784753</v>
      </c>
      <c r="L1131" s="455">
        <f t="shared" ca="1" si="104"/>
        <v>-45793872.809231259</v>
      </c>
      <c r="M1131" s="471">
        <f t="shared" si="106"/>
        <v>0.05</v>
      </c>
      <c r="N1131" s="475">
        <f t="shared" si="107"/>
        <v>85469</v>
      </c>
    </row>
    <row r="1132" spans="7:14" ht="11.25" customHeight="1" x14ac:dyDescent="0.3">
      <c r="G1132" s="470"/>
      <c r="H1132" s="470">
        <v>1125</v>
      </c>
      <c r="I1132" s="455">
        <f t="shared" ca="1" si="105"/>
        <v>-45793872.809231259</v>
      </c>
      <c r="J1132" s="455">
        <f t="array" ref="J1132">IFERROR(INDEX('Retirement Calculator'!K:K,MATCH('Lorri 401b'!N1132,'Retirement Calculator'!A:A,0),0),0)</f>
        <v>20282.026119384056</v>
      </c>
      <c r="K1132" s="455">
        <f t="shared" ca="1" si="103"/>
        <v>-190892.31181396099</v>
      </c>
      <c r="L1132" s="455">
        <f t="shared" ca="1" si="104"/>
        <v>-46005047.147164598</v>
      </c>
      <c r="M1132" s="471">
        <f t="shared" si="106"/>
        <v>0.05</v>
      </c>
      <c r="N1132" s="475">
        <f t="shared" si="107"/>
        <v>85500</v>
      </c>
    </row>
    <row r="1133" spans="7:14" ht="11.25" customHeight="1" x14ac:dyDescent="0.3">
      <c r="G1133" s="470"/>
      <c r="H1133" s="470">
        <v>1126</v>
      </c>
      <c r="I1133" s="455">
        <f t="shared" ca="1" si="105"/>
        <v>-46005047.147164598</v>
      </c>
      <c r="J1133" s="455">
        <f t="array" ref="J1133">IFERROR(INDEX('Retirement Calculator'!K:K,MATCH('Lorri 401b'!N1133,'Retirement Calculator'!A:A,0),0),0)</f>
        <v>20282.026119384056</v>
      </c>
      <c r="K1133" s="455">
        <f t="shared" ca="1" si="103"/>
        <v>-191772.20488868325</v>
      </c>
      <c r="L1133" s="455">
        <f t="shared" ca="1" si="104"/>
        <v>-46217101.378172666</v>
      </c>
      <c r="M1133" s="471">
        <f t="shared" si="106"/>
        <v>0.05</v>
      </c>
      <c r="N1133" s="475">
        <f t="shared" si="107"/>
        <v>85528</v>
      </c>
    </row>
    <row r="1134" spans="7:14" ht="11.25" customHeight="1" x14ac:dyDescent="0.3">
      <c r="G1134" s="470"/>
      <c r="H1134" s="470">
        <v>1127</v>
      </c>
      <c r="I1134" s="455">
        <f t="shared" ca="1" si="105"/>
        <v>-46217101.378172666</v>
      </c>
      <c r="J1134" s="455">
        <f t="array" ref="J1134">IFERROR(INDEX('Retirement Calculator'!K:K,MATCH('Lorri 401b'!N1134,'Retirement Calculator'!A:A,0),0),0)</f>
        <v>20282.026119384056</v>
      </c>
      <c r="K1134" s="455">
        <f t="shared" ca="1" si="103"/>
        <v>-192655.76418455021</v>
      </c>
      <c r="L1134" s="455">
        <f t="shared" ca="1" si="104"/>
        <v>-46430039.168476596</v>
      </c>
      <c r="M1134" s="471">
        <f t="shared" si="106"/>
        <v>0.05</v>
      </c>
      <c r="N1134" s="475">
        <f t="shared" si="107"/>
        <v>85559</v>
      </c>
    </row>
    <row r="1135" spans="7:14" ht="11.25" customHeight="1" x14ac:dyDescent="0.3">
      <c r="G1135" s="470"/>
      <c r="H1135" s="470">
        <v>1128</v>
      </c>
      <c r="I1135" s="455">
        <f t="shared" ca="1" si="105"/>
        <v>-46430039.168476596</v>
      </c>
      <c r="J1135" s="455">
        <f t="array" ref="J1135">IFERROR(INDEX('Retirement Calculator'!K:K,MATCH('Lorri 401b'!N1135,'Retirement Calculator'!A:A,0),0),0)</f>
        <v>20282.026119384056</v>
      </c>
      <c r="K1135" s="455">
        <f t="shared" ca="1" si="103"/>
        <v>-193543.00497748324</v>
      </c>
      <c r="L1135" s="455">
        <f t="shared" ca="1" si="104"/>
        <v>-46643864.199573457</v>
      </c>
      <c r="M1135" s="471">
        <f t="shared" si="106"/>
        <v>0.05</v>
      </c>
      <c r="N1135" s="475">
        <f t="shared" si="107"/>
        <v>85589</v>
      </c>
    </row>
    <row r="1136" spans="7:14" ht="11.25" customHeight="1" x14ac:dyDescent="0.3">
      <c r="G1136" s="470"/>
      <c r="H1136" s="470">
        <v>1129</v>
      </c>
      <c r="I1136" s="455">
        <f t="shared" ca="1" si="105"/>
        <v>-46643864.199573457</v>
      </c>
      <c r="J1136" s="455">
        <f t="array" ref="J1136">IFERROR(INDEX('Retirement Calculator'!K:K,MATCH('Lorri 401b'!N1136,'Retirement Calculator'!A:A,0),0),0)</f>
        <v>20282.026119384056</v>
      </c>
      <c r="K1136" s="455">
        <f t="shared" ca="1" si="103"/>
        <v>-194433.9426070535</v>
      </c>
      <c r="L1136" s="455">
        <f t="shared" ca="1" si="104"/>
        <v>-46858580.168299891</v>
      </c>
      <c r="M1136" s="471">
        <f t="shared" si="106"/>
        <v>0.05</v>
      </c>
      <c r="N1136" s="475">
        <f t="shared" si="107"/>
        <v>85620</v>
      </c>
    </row>
    <row r="1137" spans="7:14" ht="11.25" customHeight="1" x14ac:dyDescent="0.3">
      <c r="G1137" s="470"/>
      <c r="H1137" s="470">
        <v>1130</v>
      </c>
      <c r="I1137" s="455">
        <f t="shared" ca="1" si="105"/>
        <v>-46858580.168299891</v>
      </c>
      <c r="J1137" s="455">
        <f t="array" ref="J1137">IFERROR(INDEX('Retirement Calculator'!K:K,MATCH('Lorri 401b'!N1137,'Retirement Calculator'!A:A,0),0),0)</f>
        <v>20282.026119384056</v>
      </c>
      <c r="K1137" s="455">
        <f t="shared" ca="1" si="103"/>
        <v>-195328.59247674697</v>
      </c>
      <c r="L1137" s="455">
        <f t="shared" ca="1" si="104"/>
        <v>-47074190.78689602</v>
      </c>
      <c r="M1137" s="471">
        <f t="shared" si="106"/>
        <v>0.05</v>
      </c>
      <c r="N1137" s="475">
        <f t="shared" si="107"/>
        <v>85650</v>
      </c>
    </row>
    <row r="1138" spans="7:14" ht="11.25" customHeight="1" x14ac:dyDescent="0.3">
      <c r="G1138" s="470"/>
      <c r="H1138" s="470">
        <v>1131</v>
      </c>
      <c r="I1138" s="455">
        <f t="shared" ca="1" si="105"/>
        <v>-47074190.78689602</v>
      </c>
      <c r="J1138" s="455">
        <f t="array" ref="J1138">IFERROR(INDEX('Retirement Calculator'!K:K,MATCH('Lorri 401b'!N1138,'Retirement Calculator'!A:A,0),0),0)</f>
        <v>20282.026119384056</v>
      </c>
      <c r="K1138" s="455">
        <f t="shared" ca="1" si="103"/>
        <v>-196226.97005423083</v>
      </c>
      <c r="L1138" s="455">
        <f t="shared" ca="1" si="104"/>
        <v>-47290699.783069633</v>
      </c>
      <c r="M1138" s="471">
        <f t="shared" si="106"/>
        <v>0.05</v>
      </c>
      <c r="N1138" s="475">
        <f t="shared" si="107"/>
        <v>85681</v>
      </c>
    </row>
    <row r="1139" spans="7:14" ht="11.25" customHeight="1" x14ac:dyDescent="0.3">
      <c r="G1139" s="470"/>
      <c r="H1139" s="470">
        <v>1132</v>
      </c>
      <c r="I1139" s="455">
        <f t="shared" ca="1" si="105"/>
        <v>-47290699.783069633</v>
      </c>
      <c r="J1139" s="455">
        <f t="array" ref="J1139">IFERROR(INDEX('Retirement Calculator'!K:K,MATCH('Lorri 401b'!N1139,'Retirement Calculator'!A:A,0),0),0)</f>
        <v>20282.026119384056</v>
      </c>
      <c r="K1139" s="455">
        <f t="shared" ca="1" si="103"/>
        <v>-197129.09087162089</v>
      </c>
      <c r="L1139" s="455">
        <f t="shared" ca="1" si="104"/>
        <v>-47508110.900060631</v>
      </c>
      <c r="M1139" s="471">
        <f t="shared" si="106"/>
        <v>0.05</v>
      </c>
      <c r="N1139" s="475">
        <f t="shared" si="107"/>
        <v>85712</v>
      </c>
    </row>
    <row r="1140" spans="7:14" ht="11.25" customHeight="1" x14ac:dyDescent="0.3">
      <c r="G1140" s="470"/>
      <c r="H1140" s="470">
        <v>1133</v>
      </c>
      <c r="I1140" s="455">
        <f t="shared" ca="1" si="105"/>
        <v>-47508110.900060631</v>
      </c>
      <c r="J1140" s="455">
        <f t="array" ref="J1140">IFERROR(INDEX('Retirement Calculator'!K:K,MATCH('Lorri 401b'!N1140,'Retirement Calculator'!A:A,0),0),0)</f>
        <v>20282.026119384056</v>
      </c>
      <c r="K1140" s="455">
        <f t="shared" ca="1" si="103"/>
        <v>-198034.97052575005</v>
      </c>
      <c r="L1140" s="455">
        <f t="shared" ca="1" si="104"/>
        <v>-47726427.896705762</v>
      </c>
      <c r="M1140" s="471">
        <f t="shared" si="106"/>
        <v>0.05</v>
      </c>
      <c r="N1140" s="475">
        <f t="shared" si="107"/>
        <v>85742</v>
      </c>
    </row>
    <row r="1141" spans="7:14" ht="11.25" customHeight="1" x14ac:dyDescent="0.3">
      <c r="G1141" s="470"/>
      <c r="H1141" s="470">
        <v>1134</v>
      </c>
      <c r="I1141" s="455">
        <f t="shared" ca="1" si="105"/>
        <v>-47726427.896705762</v>
      </c>
      <c r="J1141" s="455">
        <f t="array" ref="J1141">IFERROR(INDEX('Retirement Calculator'!K:K,MATCH('Lorri 401b'!N1141,'Retirement Calculator'!A:A,0),0),0)</f>
        <v>20282.026119384056</v>
      </c>
      <c r="K1141" s="455">
        <f t="shared" ca="1" si="103"/>
        <v>-198944.62467843809</v>
      </c>
      <c r="L1141" s="455">
        <f t="shared" ca="1" si="104"/>
        <v>-47945654.547503583</v>
      </c>
      <c r="M1141" s="471">
        <f t="shared" si="106"/>
        <v>0.05</v>
      </c>
      <c r="N1141" s="475">
        <f t="shared" si="107"/>
        <v>85773</v>
      </c>
    </row>
    <row r="1142" spans="7:14" ht="11.25" customHeight="1" x14ac:dyDescent="0.3">
      <c r="G1142" s="470"/>
      <c r="H1142" s="470">
        <v>1135</v>
      </c>
      <c r="I1142" s="455">
        <f t="shared" ca="1" si="105"/>
        <v>-47945654.547503583</v>
      </c>
      <c r="J1142" s="455">
        <f t="array" ref="J1142">IFERROR(INDEX('Retirement Calculator'!K:K,MATCH('Lorri 401b'!N1142,'Retirement Calculator'!A:A,0),0),0)</f>
        <v>20282.026119384056</v>
      </c>
      <c r="K1142" s="455">
        <f t="shared" ca="1" si="103"/>
        <v>-199858.06905676235</v>
      </c>
      <c r="L1142" s="455">
        <f t="shared" ca="1" si="104"/>
        <v>-48165794.642679729</v>
      </c>
      <c r="M1142" s="471">
        <f t="shared" si="106"/>
        <v>0.05</v>
      </c>
      <c r="N1142" s="475">
        <f t="shared" si="107"/>
        <v>85803</v>
      </c>
    </row>
    <row r="1143" spans="7:14" ht="11.25" customHeight="1" x14ac:dyDescent="0.3">
      <c r="G1143" s="470"/>
      <c r="H1143" s="470">
        <v>1136</v>
      </c>
      <c r="I1143" s="455">
        <f t="shared" ca="1" si="105"/>
        <v>-48165794.642679729</v>
      </c>
      <c r="J1143" s="455">
        <f t="array" ref="J1143">IFERROR(INDEX('Retirement Calculator'!K:K,MATCH('Lorri 401b'!N1143,'Retirement Calculator'!A:A,0),0),0)</f>
        <v>20282.026119384056</v>
      </c>
      <c r="K1143" s="455">
        <f t="shared" ca="1" si="103"/>
        <v>-200775.31945332963</v>
      </c>
      <c r="L1143" s="455">
        <f t="shared" ca="1" si="104"/>
        <v>-48386851.988252439</v>
      </c>
      <c r="M1143" s="471">
        <f t="shared" si="106"/>
        <v>0.05</v>
      </c>
      <c r="N1143" s="475">
        <f t="shared" si="107"/>
        <v>85834</v>
      </c>
    </row>
    <row r="1144" spans="7:14" ht="11.25" customHeight="1" x14ac:dyDescent="0.3">
      <c r="G1144" s="470"/>
      <c r="H1144" s="470">
        <v>1137</v>
      </c>
      <c r="I1144" s="455">
        <f t="shared" ca="1" si="105"/>
        <v>-48386851.988252439</v>
      </c>
      <c r="J1144" s="455">
        <f t="array" ref="J1144">IFERROR(INDEX('Retirement Calculator'!K:K,MATCH('Lorri 401b'!N1144,'Retirement Calculator'!A:A,0),0),0)</f>
        <v>20282.026119384056</v>
      </c>
      <c r="K1144" s="455">
        <f t="shared" ca="1" si="103"/>
        <v>-201696.39172654925</v>
      </c>
      <c r="L1144" s="455">
        <f t="shared" ca="1" si="104"/>
        <v>-48608830.406098366</v>
      </c>
      <c r="M1144" s="471">
        <f t="shared" si="106"/>
        <v>0.05</v>
      </c>
      <c r="N1144" s="475">
        <f t="shared" si="107"/>
        <v>85865</v>
      </c>
    </row>
    <row r="1145" spans="7:14" ht="11.25" customHeight="1" x14ac:dyDescent="0.3">
      <c r="G1145" s="470"/>
      <c r="H1145" s="470">
        <v>1138</v>
      </c>
      <c r="I1145" s="455">
        <f t="shared" ca="1" si="105"/>
        <v>-48608830.406098366</v>
      </c>
      <c r="J1145" s="455">
        <f t="array" ref="J1145">IFERROR(INDEX('Retirement Calculator'!K:K,MATCH('Lorri 401b'!N1145,'Retirement Calculator'!A:A,0),0),0)</f>
        <v>20282.026119384056</v>
      </c>
      <c r="K1145" s="455">
        <f t="shared" ca="1" si="103"/>
        <v>-202621.30180090727</v>
      </c>
      <c r="L1145" s="455">
        <f t="shared" ca="1" si="104"/>
        <v>-48831733.734018654</v>
      </c>
      <c r="M1145" s="471">
        <f t="shared" si="106"/>
        <v>0.05</v>
      </c>
      <c r="N1145" s="475">
        <f t="shared" si="107"/>
        <v>85893</v>
      </c>
    </row>
    <row r="1146" spans="7:14" ht="11.25" customHeight="1" x14ac:dyDescent="0.3">
      <c r="G1146" s="470"/>
      <c r="H1146" s="470">
        <v>1139</v>
      </c>
      <c r="I1146" s="455">
        <f t="shared" ca="1" si="105"/>
        <v>-48831733.734018654</v>
      </c>
      <c r="J1146" s="455">
        <f t="array" ref="J1146">IFERROR(INDEX('Retirement Calculator'!K:K,MATCH('Lorri 401b'!N1146,'Retirement Calculator'!A:A,0),0),0)</f>
        <v>20282.026119384056</v>
      </c>
      <c r="K1146" s="455">
        <f t="shared" ca="1" si="103"/>
        <v>-203550.06566724181</v>
      </c>
      <c r="L1146" s="455">
        <f t="shared" ca="1" si="104"/>
        <v>-49055565.825805277</v>
      </c>
      <c r="M1146" s="471">
        <f t="shared" si="106"/>
        <v>0.05</v>
      </c>
      <c r="N1146" s="475">
        <f t="shared" si="107"/>
        <v>85924</v>
      </c>
    </row>
    <row r="1147" spans="7:14" ht="11.25" customHeight="1" x14ac:dyDescent="0.3">
      <c r="G1147" s="470"/>
      <c r="H1147" s="470">
        <v>1140</v>
      </c>
      <c r="I1147" s="455">
        <f t="shared" ca="1" si="105"/>
        <v>-49055565.825805277</v>
      </c>
      <c r="J1147" s="455">
        <f t="array" ref="J1147">IFERROR(INDEX('Retirement Calculator'!K:K,MATCH('Lorri 401b'!N1147,'Retirement Calculator'!A:A,0),0),0)</f>
        <v>20282.026119384056</v>
      </c>
      <c r="K1147" s="455">
        <f t="shared" ca="1" si="103"/>
        <v>-204482.69938301941</v>
      </c>
      <c r="L1147" s="455">
        <f t="shared" ca="1" si="104"/>
        <v>-49280330.551307678</v>
      </c>
      <c r="M1147" s="471">
        <f t="shared" si="106"/>
        <v>0.05</v>
      </c>
      <c r="N1147" s="475">
        <f t="shared" si="107"/>
        <v>85954</v>
      </c>
    </row>
    <row r="1148" spans="7:14" ht="11.25" customHeight="1" x14ac:dyDescent="0.3">
      <c r="G1148" s="470"/>
      <c r="H1148" s="470">
        <v>1141</v>
      </c>
      <c r="I1148" s="455">
        <f t="shared" ca="1" si="105"/>
        <v>-49280330.551307678</v>
      </c>
      <c r="J1148" s="455">
        <f t="array" ref="J1148">IFERROR(INDEX('Retirement Calculator'!K:K,MATCH('Lorri 401b'!N1148,'Retirement Calculator'!A:A,0),0),0)</f>
        <v>20282.026119384056</v>
      </c>
      <c r="K1148" s="455">
        <f t="shared" ca="1" si="103"/>
        <v>-205419.21907261276</v>
      </c>
      <c r="L1148" s="455">
        <f t="shared" ca="1" si="104"/>
        <v>-49506031.79649967</v>
      </c>
      <c r="M1148" s="471">
        <f t="shared" si="106"/>
        <v>0.05</v>
      </c>
      <c r="N1148" s="475">
        <f t="shared" si="107"/>
        <v>85985</v>
      </c>
    </row>
    <row r="1149" spans="7:14" ht="11.25" customHeight="1" x14ac:dyDescent="0.3">
      <c r="G1149" s="470"/>
      <c r="H1149" s="470">
        <v>1142</v>
      </c>
      <c r="I1149" s="455">
        <f t="shared" ca="1" si="105"/>
        <v>-49506031.79649967</v>
      </c>
      <c r="J1149" s="455">
        <f t="array" ref="J1149">IFERROR(INDEX('Retirement Calculator'!K:K,MATCH('Lorri 401b'!N1149,'Retirement Calculator'!A:A,0),0),0)</f>
        <v>20282.026119384056</v>
      </c>
      <c r="K1149" s="455">
        <f t="shared" ca="1" si="103"/>
        <v>-206359.64092757937</v>
      </c>
      <c r="L1149" s="455">
        <f t="shared" ca="1" si="104"/>
        <v>-49732673.463546634</v>
      </c>
      <c r="M1149" s="471">
        <f t="shared" si="106"/>
        <v>0.05</v>
      </c>
      <c r="N1149" s="475">
        <f t="shared" si="107"/>
        <v>86015</v>
      </c>
    </row>
    <row r="1150" spans="7:14" ht="11.25" customHeight="1" x14ac:dyDescent="0.3">
      <c r="G1150" s="470"/>
      <c r="H1150" s="470">
        <v>1143</v>
      </c>
      <c r="I1150" s="455">
        <f t="shared" ca="1" si="105"/>
        <v>-49732673.463546634</v>
      </c>
      <c r="J1150" s="455">
        <f t="array" ref="J1150">IFERROR(INDEX('Retirement Calculator'!K:K,MATCH('Lorri 401b'!N1150,'Retirement Calculator'!A:A,0),0),0)</f>
        <v>20282.026119384056</v>
      </c>
      <c r="K1150" s="455">
        <f t="shared" ca="1" si="103"/>
        <v>-207303.98120694174</v>
      </c>
      <c r="L1150" s="455">
        <f t="shared" ca="1" si="104"/>
        <v>-49960259.470872954</v>
      </c>
      <c r="M1150" s="471">
        <f t="shared" si="106"/>
        <v>0.05</v>
      </c>
      <c r="N1150" s="475">
        <f t="shared" si="107"/>
        <v>86046</v>
      </c>
    </row>
    <row r="1151" spans="7:14" ht="11.25" customHeight="1" x14ac:dyDescent="0.3">
      <c r="G1151" s="470"/>
      <c r="H1151" s="470">
        <v>1144</v>
      </c>
      <c r="I1151" s="455">
        <f t="shared" ca="1" si="105"/>
        <v>-49960259.470872954</v>
      </c>
      <c r="J1151" s="455">
        <f t="array" ref="J1151">IFERROR(INDEX('Retirement Calculator'!K:K,MATCH('Lorri 401b'!N1151,'Retirement Calculator'!A:A,0),0),0)</f>
        <v>20282.026119384056</v>
      </c>
      <c r="K1151" s="455">
        <f t="shared" ca="1" si="103"/>
        <v>-208252.25623746807</v>
      </c>
      <c r="L1151" s="455">
        <f t="shared" ca="1" si="104"/>
        <v>-50188793.753229804</v>
      </c>
      <c r="M1151" s="471">
        <f t="shared" si="106"/>
        <v>0.05</v>
      </c>
      <c r="N1151" s="475">
        <f t="shared" si="107"/>
        <v>86077</v>
      </c>
    </row>
    <row r="1152" spans="7:14" ht="11.25" customHeight="1" x14ac:dyDescent="0.3">
      <c r="G1152" s="470"/>
      <c r="H1152" s="470">
        <v>1145</v>
      </c>
      <c r="I1152" s="455">
        <f t="shared" ca="1" si="105"/>
        <v>-50188793.753229804</v>
      </c>
      <c r="J1152" s="455">
        <f t="array" ref="J1152">IFERROR(INDEX('Retirement Calculator'!K:K,MATCH('Lorri 401b'!N1152,'Retirement Calculator'!A:A,0),0),0)</f>
        <v>20282.026119384056</v>
      </c>
      <c r="K1152" s="455">
        <f t="shared" ca="1" si="103"/>
        <v>-209204.48241395495</v>
      </c>
      <c r="L1152" s="455">
        <f t="shared" ca="1" si="104"/>
        <v>-50418280.261763141</v>
      </c>
      <c r="M1152" s="471">
        <f t="shared" si="106"/>
        <v>0.05</v>
      </c>
      <c r="N1152" s="475">
        <f t="shared" si="107"/>
        <v>86107</v>
      </c>
    </row>
    <row r="1153" spans="7:14" ht="11.25" customHeight="1" x14ac:dyDescent="0.3">
      <c r="G1153" s="470"/>
      <c r="H1153" s="470">
        <v>1146</v>
      </c>
      <c r="I1153" s="455">
        <f t="shared" ca="1" si="105"/>
        <v>-50418280.261763141</v>
      </c>
      <c r="J1153" s="455">
        <f t="array" ref="J1153">IFERROR(INDEX('Retirement Calculator'!K:K,MATCH('Lorri 401b'!N1153,'Retirement Calculator'!A:A,0),0),0)</f>
        <v>20282.026119384056</v>
      </c>
      <c r="K1153" s="455">
        <f t="shared" ca="1" si="103"/>
        <v>-210160.67619951052</v>
      </c>
      <c r="L1153" s="455">
        <f t="shared" ca="1" si="104"/>
        <v>-50648722.964082032</v>
      </c>
      <c r="M1153" s="471">
        <f t="shared" si="106"/>
        <v>0.05</v>
      </c>
      <c r="N1153" s="475">
        <f t="shared" si="107"/>
        <v>86138</v>
      </c>
    </row>
    <row r="1154" spans="7:14" ht="11.25" customHeight="1" x14ac:dyDescent="0.3">
      <c r="G1154" s="470"/>
      <c r="H1154" s="470">
        <v>1147</v>
      </c>
      <c r="I1154" s="455">
        <f t="shared" ca="1" si="105"/>
        <v>-50648722.964082032</v>
      </c>
      <c r="J1154" s="455">
        <f t="array" ref="J1154">IFERROR(INDEX('Retirement Calculator'!K:K,MATCH('Lorri 401b'!N1154,'Retirement Calculator'!A:A,0),0),0)</f>
        <v>20282.026119384056</v>
      </c>
      <c r="K1154" s="455">
        <f t="shared" ca="1" si="103"/>
        <v>-211120.85412583922</v>
      </c>
      <c r="L1154" s="455">
        <f t="shared" ca="1" si="104"/>
        <v>-50880125.844327256</v>
      </c>
      <c r="M1154" s="471">
        <f t="shared" si="106"/>
        <v>0.05</v>
      </c>
      <c r="N1154" s="475">
        <f t="shared" si="107"/>
        <v>86168</v>
      </c>
    </row>
    <row r="1155" spans="7:14" ht="11.25" customHeight="1" x14ac:dyDescent="0.3">
      <c r="G1155" s="470"/>
      <c r="H1155" s="470">
        <v>1148</v>
      </c>
      <c r="I1155" s="455">
        <f t="shared" ca="1" si="105"/>
        <v>-50880125.844327256</v>
      </c>
      <c r="J1155" s="455">
        <f t="array" ref="J1155">IFERROR(INDEX('Retirement Calculator'!K:K,MATCH('Lorri 401b'!N1155,'Retirement Calculator'!A:A,0),0),0)</f>
        <v>20282.026119384056</v>
      </c>
      <c r="K1155" s="455">
        <f t="shared" ca="1" si="103"/>
        <v>-212085.03279352764</v>
      </c>
      <c r="L1155" s="455">
        <f t="shared" ca="1" si="104"/>
        <v>-51112492.903240167</v>
      </c>
      <c r="M1155" s="471">
        <f t="shared" si="106"/>
        <v>0.05</v>
      </c>
      <c r="N1155" s="475">
        <f t="shared" si="107"/>
        <v>86199</v>
      </c>
    </row>
    <row r="1156" spans="7:14" ht="11.25" customHeight="1" x14ac:dyDescent="0.3">
      <c r="G1156" s="470"/>
      <c r="H1156" s="470">
        <v>1149</v>
      </c>
      <c r="I1156" s="455">
        <f t="shared" ca="1" si="105"/>
        <v>-51112492.903240167</v>
      </c>
      <c r="J1156" s="455">
        <f t="array" ref="J1156">IFERROR(INDEX('Retirement Calculator'!K:K,MATCH('Lorri 401b'!N1156,'Retirement Calculator'!A:A,0),0),0)</f>
        <v>20282.026119384056</v>
      </c>
      <c r="K1156" s="455">
        <f t="shared" ca="1" si="103"/>
        <v>-213053.22887233144</v>
      </c>
      <c r="L1156" s="455">
        <f t="shared" ca="1" si="104"/>
        <v>-51345828.158231877</v>
      </c>
      <c r="M1156" s="471">
        <f t="shared" si="106"/>
        <v>0.05</v>
      </c>
      <c r="N1156" s="475">
        <f t="shared" si="107"/>
        <v>86230</v>
      </c>
    </row>
    <row r="1157" spans="7:14" ht="11.25" customHeight="1" x14ac:dyDescent="0.3">
      <c r="G1157" s="470"/>
      <c r="H1157" s="470">
        <v>1150</v>
      </c>
      <c r="I1157" s="455">
        <f t="shared" ca="1" si="105"/>
        <v>-51345828.158231877</v>
      </c>
      <c r="J1157" s="455">
        <f t="array" ref="J1157">IFERROR(INDEX('Retirement Calculator'!K:K,MATCH('Lorri 401b'!N1157,'Retirement Calculator'!A:A,0),0),0)</f>
        <v>20282.026119384056</v>
      </c>
      <c r="K1157" s="455">
        <f t="shared" ca="1" si="103"/>
        <v>-214025.45910146358</v>
      </c>
      <c r="L1157" s="455">
        <f t="shared" ca="1" si="104"/>
        <v>-51580135.643452719</v>
      </c>
      <c r="M1157" s="471">
        <f t="shared" si="106"/>
        <v>0.05</v>
      </c>
      <c r="N1157" s="475">
        <f t="shared" si="107"/>
        <v>86259</v>
      </c>
    </row>
    <row r="1158" spans="7:14" ht="11.25" customHeight="1" x14ac:dyDescent="0.3">
      <c r="G1158" s="470"/>
      <c r="H1158" s="470">
        <v>1151</v>
      </c>
      <c r="I1158" s="455">
        <f t="shared" ca="1" si="105"/>
        <v>-51580135.643452719</v>
      </c>
      <c r="J1158" s="455">
        <f t="array" ref="J1158">IFERROR(INDEX('Retirement Calculator'!K:K,MATCH('Lorri 401b'!N1158,'Retirement Calculator'!A:A,0),0),0)</f>
        <v>20282.026119384056</v>
      </c>
      <c r="K1158" s="455">
        <f t="shared" ca="1" si="103"/>
        <v>-215001.74028988375</v>
      </c>
      <c r="L1158" s="455">
        <f t="shared" ca="1" si="104"/>
        <v>-51815419.409861982</v>
      </c>
      <c r="M1158" s="471">
        <f t="shared" si="106"/>
        <v>0.05</v>
      </c>
      <c r="N1158" s="475">
        <f t="shared" si="107"/>
        <v>86290</v>
      </c>
    </row>
    <row r="1159" spans="7:14" ht="11.25" customHeight="1" x14ac:dyDescent="0.3">
      <c r="G1159" s="470"/>
      <c r="H1159" s="470">
        <v>1152</v>
      </c>
      <c r="I1159" s="455">
        <f t="shared" ca="1" si="105"/>
        <v>-51815419.409861982</v>
      </c>
      <c r="J1159" s="455">
        <f t="array" ref="J1159">IFERROR(INDEX('Retirement Calculator'!K:K,MATCH('Lorri 401b'!N1159,'Retirement Calculator'!A:A,0),0),0)</f>
        <v>20282.026119384056</v>
      </c>
      <c r="K1159" s="455">
        <f t="shared" ca="1" si="103"/>
        <v>-215982.089316589</v>
      </c>
      <c r="L1159" s="455">
        <f t="shared" ca="1" si="104"/>
        <v>-52051683.525297955</v>
      </c>
      <c r="M1159" s="471">
        <f t="shared" si="106"/>
        <v>0.05</v>
      </c>
      <c r="N1159" s="475">
        <f t="shared" si="107"/>
        <v>86320</v>
      </c>
    </row>
    <row r="1160" spans="7:14" ht="11.25" customHeight="1" x14ac:dyDescent="0.3">
      <c r="G1160" s="470"/>
      <c r="H1160" s="470">
        <v>1153</v>
      </c>
      <c r="I1160" s="455">
        <f t="shared" ca="1" si="105"/>
        <v>-52051683.525297955</v>
      </c>
      <c r="J1160" s="455">
        <f t="array" ref="J1160">IFERROR(INDEX('Retirement Calculator'!K:K,MATCH('Lorri 401b'!N1160,'Retirement Calculator'!A:A,0),0),0)</f>
        <v>20282.026119384056</v>
      </c>
      <c r="K1160" s="455">
        <f t="shared" ca="1" si="103"/>
        <v>-216966.52313090555</v>
      </c>
      <c r="L1160" s="455">
        <f t="shared" ca="1" si="104"/>
        <v>-52288932.074548244</v>
      </c>
      <c r="M1160" s="471">
        <f t="shared" si="106"/>
        <v>0.05</v>
      </c>
      <c r="N1160" s="475">
        <f t="shared" si="107"/>
        <v>86351</v>
      </c>
    </row>
    <row r="1161" spans="7:14" ht="11.25" customHeight="1" x14ac:dyDescent="0.3">
      <c r="G1161" s="470"/>
      <c r="H1161" s="470">
        <v>1154</v>
      </c>
      <c r="I1161" s="455">
        <f t="shared" ca="1" si="105"/>
        <v>-52288932.074548244</v>
      </c>
      <c r="J1161" s="455">
        <f t="array" ref="J1161">IFERROR(INDEX('Retirement Calculator'!K:K,MATCH('Lorri 401b'!N1161,'Retirement Calculator'!A:A,0),0),0)</f>
        <v>20282.026119384056</v>
      </c>
      <c r="K1161" s="455">
        <f t="shared" ca="1" si="103"/>
        <v>-217955.05875278177</v>
      </c>
      <c r="L1161" s="455">
        <f t="shared" ca="1" si="104"/>
        <v>-52527169.159420408</v>
      </c>
      <c r="M1161" s="471">
        <f t="shared" si="106"/>
        <v>0.05</v>
      </c>
      <c r="N1161" s="475">
        <f t="shared" si="107"/>
        <v>86381</v>
      </c>
    </row>
    <row r="1162" spans="7:14" ht="11.25" customHeight="1" x14ac:dyDescent="0.3">
      <c r="G1162" s="470"/>
      <c r="H1162" s="470">
        <v>1155</v>
      </c>
      <c r="I1162" s="455">
        <f t="shared" ca="1" si="105"/>
        <v>-52527169.159420408</v>
      </c>
      <c r="J1162" s="455">
        <f t="array" ref="J1162">IFERROR(INDEX('Retirement Calculator'!K:K,MATCH('Lorri 401b'!N1162,'Retirement Calculator'!A:A,0),0),0)</f>
        <v>20282.026119384056</v>
      </c>
      <c r="K1162" s="455">
        <f t="shared" ca="1" si="103"/>
        <v>-218947.71327308245</v>
      </c>
      <c r="L1162" s="455">
        <f t="shared" ca="1" si="104"/>
        <v>-52766398.898812875</v>
      </c>
      <c r="M1162" s="471">
        <f t="shared" si="106"/>
        <v>0.05</v>
      </c>
      <c r="N1162" s="475">
        <f t="shared" si="107"/>
        <v>86412</v>
      </c>
    </row>
    <row r="1163" spans="7:14" ht="11.25" customHeight="1" x14ac:dyDescent="0.3">
      <c r="G1163" s="470"/>
      <c r="H1163" s="470">
        <v>1156</v>
      </c>
      <c r="I1163" s="455">
        <f t="shared" ca="1" si="105"/>
        <v>-52766398.898812875</v>
      </c>
      <c r="J1163" s="455">
        <f t="array" ref="J1163">IFERROR(INDEX('Retirement Calculator'!K:K,MATCH('Lorri 401b'!N1163,'Retirement Calculator'!A:A,0),0),0)</f>
        <v>20282.026119384056</v>
      </c>
      <c r="K1163" s="455">
        <f t="shared" ca="1" si="103"/>
        <v>-219944.50385388441</v>
      </c>
      <c r="L1163" s="455">
        <f t="shared" ca="1" si="104"/>
        <v>-53006625.428786144</v>
      </c>
      <c r="M1163" s="471">
        <f t="shared" si="106"/>
        <v>0.05</v>
      </c>
      <c r="N1163" s="475">
        <f t="shared" si="107"/>
        <v>86443</v>
      </c>
    </row>
    <row r="1164" spans="7:14" ht="11.25" customHeight="1" x14ac:dyDescent="0.3">
      <c r="G1164" s="470"/>
      <c r="H1164" s="470">
        <v>1157</v>
      </c>
      <c r="I1164" s="455">
        <f t="shared" ca="1" si="105"/>
        <v>-53006625.428786144</v>
      </c>
      <c r="J1164" s="455">
        <f t="array" ref="J1164">IFERROR(INDEX('Retirement Calculator'!K:K,MATCH('Lorri 401b'!N1164,'Retirement Calculator'!A:A,0),0),0)</f>
        <v>20282.026119384056</v>
      </c>
      <c r="K1164" s="455">
        <f t="shared" ca="1" si="103"/>
        <v>-220945.44772877303</v>
      </c>
      <c r="L1164" s="455">
        <f t="shared" ca="1" si="104"/>
        <v>-53247852.9026343</v>
      </c>
      <c r="M1164" s="471">
        <f t="shared" si="106"/>
        <v>0.05</v>
      </c>
      <c r="N1164" s="475">
        <f t="shared" si="107"/>
        <v>86473</v>
      </c>
    </row>
    <row r="1165" spans="7:14" ht="11.25" customHeight="1" x14ac:dyDescent="0.3">
      <c r="G1165" s="470"/>
      <c r="H1165" s="470">
        <v>1158</v>
      </c>
      <c r="I1165" s="455">
        <f t="shared" ca="1" si="105"/>
        <v>-53247852.9026343</v>
      </c>
      <c r="J1165" s="455">
        <f t="array" ref="J1165">IFERROR(INDEX('Retirement Calculator'!K:K,MATCH('Lorri 401b'!N1165,'Retirement Calculator'!A:A,0),0),0)</f>
        <v>20282.026119384056</v>
      </c>
      <c r="K1165" s="455">
        <f t="shared" ca="1" si="103"/>
        <v>-221950.56220314038</v>
      </c>
      <c r="L1165" s="455">
        <f t="shared" ca="1" si="104"/>
        <v>-53490085.490956821</v>
      </c>
      <c r="M1165" s="471">
        <f t="shared" si="106"/>
        <v>0.05</v>
      </c>
      <c r="N1165" s="475">
        <f t="shared" si="107"/>
        <v>86504</v>
      </c>
    </row>
    <row r="1166" spans="7:14" ht="11.25" customHeight="1" x14ac:dyDescent="0.3">
      <c r="G1166" s="470"/>
      <c r="H1166" s="470">
        <v>1159</v>
      </c>
      <c r="I1166" s="455">
        <f t="shared" ca="1" si="105"/>
        <v>-53490085.490956821</v>
      </c>
      <c r="J1166" s="455">
        <f t="array" ref="J1166">IFERROR(INDEX('Retirement Calculator'!K:K,MATCH('Lorri 401b'!N1166,'Retirement Calculator'!A:A,0),0),0)</f>
        <v>20282.026119384056</v>
      </c>
      <c r="K1166" s="455">
        <f t="shared" ca="1" si="103"/>
        <v>-222959.86465448418</v>
      </c>
      <c r="L1166" s="455">
        <f t="shared" ca="1" si="104"/>
        <v>-53733327.381730683</v>
      </c>
      <c r="M1166" s="471">
        <f t="shared" si="106"/>
        <v>0.05</v>
      </c>
      <c r="N1166" s="475">
        <f t="shared" si="107"/>
        <v>86534</v>
      </c>
    </row>
    <row r="1167" spans="7:14" ht="11.25" customHeight="1" x14ac:dyDescent="0.3">
      <c r="G1167" s="470"/>
      <c r="H1167" s="470">
        <v>1160</v>
      </c>
      <c r="I1167" s="455">
        <f t="shared" ca="1" si="105"/>
        <v>-53733327.381730683</v>
      </c>
      <c r="J1167" s="455">
        <f t="array" ref="J1167">IFERROR(INDEX('Retirement Calculator'!K:K,MATCH('Lorri 401b'!N1167,'Retirement Calculator'!A:A,0),0),0)</f>
        <v>20282.026119384056</v>
      </c>
      <c r="K1167" s="455">
        <f t="shared" ca="1" si="103"/>
        <v>-223973.37253270857</v>
      </c>
      <c r="L1167" s="455">
        <f t="shared" ca="1" si="104"/>
        <v>-53977582.780382775</v>
      </c>
      <c r="M1167" s="471">
        <f t="shared" si="106"/>
        <v>0.05</v>
      </c>
      <c r="N1167" s="475">
        <f t="shared" si="107"/>
        <v>86565</v>
      </c>
    </row>
    <row r="1168" spans="7:14" ht="11.25" customHeight="1" x14ac:dyDescent="0.3">
      <c r="G1168" s="470"/>
      <c r="H1168" s="470">
        <v>1161</v>
      </c>
      <c r="I1168" s="455">
        <f t="shared" ca="1" si="105"/>
        <v>-53977582.780382775</v>
      </c>
      <c r="J1168" s="455">
        <f t="array" ref="J1168">IFERROR(INDEX('Retirement Calculator'!K:K,MATCH('Lorri 401b'!N1168,'Retirement Calculator'!A:A,0),0),0)</f>
        <v>20282.026119384056</v>
      </c>
      <c r="K1168" s="455">
        <f t="shared" ca="1" si="103"/>
        <v>-224991.10336042565</v>
      </c>
      <c r="L1168" s="455">
        <f t="shared" ca="1" si="104"/>
        <v>-54222855.909862578</v>
      </c>
      <c r="M1168" s="471">
        <f t="shared" si="106"/>
        <v>0.05</v>
      </c>
      <c r="N1168" s="475">
        <f t="shared" si="107"/>
        <v>86596</v>
      </c>
    </row>
    <row r="1169" spans="7:14" ht="11.25" customHeight="1" x14ac:dyDescent="0.3">
      <c r="G1169" s="470"/>
      <c r="H1169" s="470">
        <v>1162</v>
      </c>
      <c r="I1169" s="455">
        <f t="shared" ca="1" si="105"/>
        <v>-54222855.909862578</v>
      </c>
      <c r="J1169" s="455">
        <f t="array" ref="J1169">IFERROR(INDEX('Retirement Calculator'!K:K,MATCH('Lorri 401b'!N1169,'Retirement Calculator'!A:A,0),0),0)</f>
        <v>0</v>
      </c>
      <c r="K1169" s="455">
        <f t="shared" ca="1" si="103"/>
        <v>-225928.56629109406</v>
      </c>
      <c r="L1169" s="455">
        <f t="shared" ca="1" si="104"/>
        <v>-54448784.476153672</v>
      </c>
      <c r="M1169" s="471">
        <f t="shared" si="106"/>
        <v>0.05</v>
      </c>
      <c r="N1169" s="475">
        <f t="shared" si="107"/>
        <v>86624</v>
      </c>
    </row>
    <row r="1170" spans="7:14" ht="11.25" customHeight="1" x14ac:dyDescent="0.3">
      <c r="G1170" s="470"/>
      <c r="H1170" s="470">
        <v>1163</v>
      </c>
      <c r="I1170" s="455">
        <f t="shared" ca="1" si="105"/>
        <v>-54448784.476153672</v>
      </c>
      <c r="J1170" s="455">
        <f t="array" ref="J1170">IFERROR(INDEX('Retirement Calculator'!K:K,MATCH('Lorri 401b'!N1170,'Retirement Calculator'!A:A,0),0),0)</f>
        <v>0</v>
      </c>
      <c r="K1170" s="455">
        <f t="shared" ca="1" si="103"/>
        <v>-226869.93531730695</v>
      </c>
      <c r="L1170" s="455">
        <f t="shared" ca="1" si="104"/>
        <v>-54675654.411470979</v>
      </c>
      <c r="M1170" s="471">
        <f t="shared" si="106"/>
        <v>0.05</v>
      </c>
      <c r="N1170" s="475">
        <f t="shared" si="107"/>
        <v>86655</v>
      </c>
    </row>
    <row r="1171" spans="7:14" ht="11.25" customHeight="1" x14ac:dyDescent="0.3">
      <c r="G1171" s="470"/>
      <c r="H1171" s="470">
        <v>1164</v>
      </c>
      <c r="I1171" s="455">
        <f t="shared" ca="1" si="105"/>
        <v>-54675654.411470979</v>
      </c>
      <c r="J1171" s="455">
        <f t="array" ref="J1171">IFERROR(INDEX('Retirement Calculator'!K:K,MATCH('Lorri 401b'!N1171,'Retirement Calculator'!A:A,0),0),0)</f>
        <v>0</v>
      </c>
      <c r="K1171" s="455">
        <f t="shared" ca="1" si="103"/>
        <v>-227815.22671446239</v>
      </c>
      <c r="L1171" s="455">
        <f t="shared" ca="1" si="104"/>
        <v>-54903469.638185441</v>
      </c>
      <c r="M1171" s="471">
        <f t="shared" si="106"/>
        <v>0.05</v>
      </c>
      <c r="N1171" s="475">
        <f t="shared" si="107"/>
        <v>86685</v>
      </c>
    </row>
    <row r="1172" spans="7:14" ht="11.25" customHeight="1" x14ac:dyDescent="0.3">
      <c r="G1172" s="470"/>
      <c r="H1172" s="470">
        <v>1165</v>
      </c>
      <c r="I1172" s="455">
        <f t="shared" ca="1" si="105"/>
        <v>-54903469.638185441</v>
      </c>
      <c r="J1172" s="455">
        <f t="array" ref="J1172">IFERROR(INDEX('Retirement Calculator'!K:K,MATCH('Lorri 401b'!N1172,'Retirement Calculator'!A:A,0),0),0)</f>
        <v>0</v>
      </c>
      <c r="K1172" s="455">
        <f t="shared" ca="1" si="103"/>
        <v>-228764.45682577268</v>
      </c>
      <c r="L1172" s="455">
        <f t="shared" ca="1" si="104"/>
        <v>-55132234.095011212</v>
      </c>
      <c r="M1172" s="471">
        <f t="shared" si="106"/>
        <v>0.05</v>
      </c>
      <c r="N1172" s="475">
        <f t="shared" si="107"/>
        <v>86716</v>
      </c>
    </row>
    <row r="1173" spans="7:14" ht="11.25" customHeight="1" x14ac:dyDescent="0.3">
      <c r="G1173" s="470"/>
      <c r="H1173" s="470">
        <v>1166</v>
      </c>
      <c r="I1173" s="455">
        <f t="shared" ca="1" si="105"/>
        <v>-55132234.095011212</v>
      </c>
      <c r="J1173" s="455">
        <f t="array" ref="J1173">IFERROR(INDEX('Retirement Calculator'!K:K,MATCH('Lorri 401b'!N1173,'Retirement Calculator'!A:A,0),0),0)</f>
        <v>0</v>
      </c>
      <c r="K1173" s="455">
        <f t="shared" ca="1" si="103"/>
        <v>-229717.64206254671</v>
      </c>
      <c r="L1173" s="455">
        <f t="shared" ca="1" si="104"/>
        <v>-55361951.737073757</v>
      </c>
      <c r="M1173" s="471">
        <f t="shared" si="106"/>
        <v>0.05</v>
      </c>
      <c r="N1173" s="475">
        <f t="shared" si="107"/>
        <v>86746</v>
      </c>
    </row>
    <row r="1174" spans="7:14" ht="11.25" customHeight="1" x14ac:dyDescent="0.3">
      <c r="G1174" s="470"/>
      <c r="H1174" s="470">
        <v>1167</v>
      </c>
      <c r="I1174" s="455">
        <f t="shared" ca="1" si="105"/>
        <v>-55361951.737073757</v>
      </c>
      <c r="J1174" s="455">
        <f t="array" ref="J1174">IFERROR(INDEX('Retirement Calculator'!K:K,MATCH('Lorri 401b'!N1174,'Retirement Calculator'!A:A,0),0),0)</f>
        <v>0</v>
      </c>
      <c r="K1174" s="455">
        <f t="shared" ca="1" si="103"/>
        <v>-230674.79890447398</v>
      </c>
      <c r="L1174" s="455">
        <f t="shared" ca="1" si="104"/>
        <v>-55592626.535978228</v>
      </c>
      <c r="M1174" s="471">
        <f t="shared" si="106"/>
        <v>0.05</v>
      </c>
      <c r="N1174" s="475">
        <f t="shared" si="107"/>
        <v>86777</v>
      </c>
    </row>
    <row r="1175" spans="7:14" ht="11.25" customHeight="1" x14ac:dyDescent="0.3">
      <c r="G1175" s="470"/>
      <c r="H1175" s="470">
        <v>1168</v>
      </c>
      <c r="I1175" s="455">
        <f t="shared" ca="1" si="105"/>
        <v>-55592626.535978228</v>
      </c>
      <c r="J1175" s="455">
        <f t="array" ref="J1175">IFERROR(INDEX('Retirement Calculator'!K:K,MATCH('Lorri 401b'!N1175,'Retirement Calculator'!A:A,0),0),0)</f>
        <v>0</v>
      </c>
      <c r="K1175" s="455">
        <f t="shared" ca="1" si="103"/>
        <v>-231635.94389990927</v>
      </c>
      <c r="L1175" s="455">
        <f t="shared" ca="1" si="104"/>
        <v>-55824262.479878135</v>
      </c>
      <c r="M1175" s="471">
        <f t="shared" si="106"/>
        <v>0.05</v>
      </c>
      <c r="N1175" s="475">
        <f t="shared" si="107"/>
        <v>86808</v>
      </c>
    </row>
    <row r="1176" spans="7:14" ht="11.25" customHeight="1" x14ac:dyDescent="0.3">
      <c r="G1176" s="470"/>
      <c r="H1176" s="470">
        <v>1169</v>
      </c>
      <c r="I1176" s="455">
        <f t="shared" ca="1" si="105"/>
        <v>-55824262.479878135</v>
      </c>
      <c r="J1176" s="455">
        <f t="array" ref="J1176">IFERROR(INDEX('Retirement Calculator'!K:K,MATCH('Lorri 401b'!N1176,'Retirement Calculator'!A:A,0),0),0)</f>
        <v>0</v>
      </c>
      <c r="K1176" s="455">
        <f t="shared" ca="1" si="103"/>
        <v>-232601.09366615888</v>
      </c>
      <c r="L1176" s="455">
        <f t="shared" ca="1" si="104"/>
        <v>-56056863.573544294</v>
      </c>
      <c r="M1176" s="471">
        <f t="shared" si="106"/>
        <v>0.05</v>
      </c>
      <c r="N1176" s="475">
        <f t="shared" si="107"/>
        <v>86838</v>
      </c>
    </row>
    <row r="1177" spans="7:14" ht="11.25" customHeight="1" x14ac:dyDescent="0.3">
      <c r="G1177" s="470"/>
      <c r="H1177" s="470">
        <v>1170</v>
      </c>
      <c r="I1177" s="455">
        <f t="shared" ca="1" si="105"/>
        <v>-56056863.573544294</v>
      </c>
      <c r="J1177" s="455">
        <f t="array" ref="J1177">IFERROR(INDEX('Retirement Calculator'!K:K,MATCH('Lorri 401b'!N1177,'Retirement Calculator'!A:A,0),0),0)</f>
        <v>0</v>
      </c>
      <c r="K1177" s="455">
        <f t="shared" ca="1" si="103"/>
        <v>-233570.26488976789</v>
      </c>
      <c r="L1177" s="455">
        <f t="shared" ca="1" si="104"/>
        <v>-56290433.838434063</v>
      </c>
      <c r="M1177" s="471">
        <f t="shared" si="106"/>
        <v>0.05</v>
      </c>
      <c r="N1177" s="475">
        <f t="shared" si="107"/>
        <v>86869</v>
      </c>
    </row>
    <row r="1178" spans="7:14" ht="11.25" customHeight="1" x14ac:dyDescent="0.3">
      <c r="G1178" s="470"/>
      <c r="H1178" s="470">
        <v>1171</v>
      </c>
      <c r="I1178" s="455">
        <f t="shared" ca="1" si="105"/>
        <v>-56290433.838434063</v>
      </c>
      <c r="J1178" s="455">
        <f t="array" ref="J1178">IFERROR(INDEX('Retirement Calculator'!K:K,MATCH('Lorri 401b'!N1178,'Retirement Calculator'!A:A,0),0),0)</f>
        <v>0</v>
      </c>
      <c r="K1178" s="455">
        <f t="shared" ca="1" si="103"/>
        <v>-234543.47432680859</v>
      </c>
      <c r="L1178" s="455">
        <f t="shared" ca="1" si="104"/>
        <v>-56524977.312760875</v>
      </c>
      <c r="M1178" s="471">
        <f t="shared" si="106"/>
        <v>0.05</v>
      </c>
      <c r="N1178" s="475">
        <f t="shared" si="107"/>
        <v>86899</v>
      </c>
    </row>
    <row r="1179" spans="7:14" ht="11.25" customHeight="1" x14ac:dyDescent="0.3">
      <c r="G1179" s="470"/>
      <c r="H1179" s="470">
        <v>1172</v>
      </c>
      <c r="I1179" s="455">
        <f t="shared" ca="1" si="105"/>
        <v>-56524977.312760875</v>
      </c>
      <c r="J1179" s="455">
        <f t="array" ref="J1179">IFERROR(INDEX('Retirement Calculator'!K:K,MATCH('Lorri 401b'!N1179,'Retirement Calculator'!A:A,0),0),0)</f>
        <v>0</v>
      </c>
      <c r="K1179" s="455">
        <f t="shared" ca="1" si="103"/>
        <v>-235520.7388031703</v>
      </c>
      <c r="L1179" s="455">
        <f t="shared" ca="1" si="104"/>
        <v>-56760498.051564045</v>
      </c>
      <c r="M1179" s="471">
        <f t="shared" si="106"/>
        <v>0.05</v>
      </c>
      <c r="N1179" s="475">
        <f t="shared" si="107"/>
        <v>86930</v>
      </c>
    </row>
    <row r="1180" spans="7:14" ht="11.25" customHeight="1" x14ac:dyDescent="0.3">
      <c r="G1180" s="470"/>
      <c r="H1180" s="470">
        <v>1173</v>
      </c>
      <c r="I1180" s="455">
        <f t="shared" ca="1" si="105"/>
        <v>-56760498.051564045</v>
      </c>
      <c r="J1180" s="455">
        <f t="array" ref="J1180">IFERROR(INDEX('Retirement Calculator'!K:K,MATCH('Lorri 401b'!N1180,'Retirement Calculator'!A:A,0),0),0)</f>
        <v>0</v>
      </c>
      <c r="K1180" s="455">
        <f t="shared" ca="1" si="103"/>
        <v>-236502.07521485019</v>
      </c>
      <c r="L1180" s="455">
        <f t="shared" ca="1" si="104"/>
        <v>-56997000.126778893</v>
      </c>
      <c r="M1180" s="471">
        <f t="shared" si="106"/>
        <v>0.05</v>
      </c>
      <c r="N1180" s="475">
        <f t="shared" si="107"/>
        <v>86961</v>
      </c>
    </row>
    <row r="1181" spans="7:14" ht="11.25" customHeight="1" x14ac:dyDescent="0.3">
      <c r="G1181" s="470"/>
      <c r="H1181" s="470">
        <v>1174</v>
      </c>
      <c r="I1181" s="455">
        <f t="shared" ca="1" si="105"/>
        <v>-56997000.126778893</v>
      </c>
      <c r="J1181" s="455">
        <f t="array" ref="J1181">IFERROR(INDEX('Retirement Calculator'!K:K,MATCH('Lorri 401b'!N1181,'Retirement Calculator'!A:A,0),0),0)</f>
        <v>0</v>
      </c>
      <c r="K1181" s="455">
        <f t="shared" ca="1" si="103"/>
        <v>-237487.50052824541</v>
      </c>
      <c r="L1181" s="455">
        <f t="shared" ca="1" si="104"/>
        <v>-57234487.627307139</v>
      </c>
      <c r="M1181" s="471">
        <f t="shared" si="106"/>
        <v>0.05</v>
      </c>
      <c r="N1181" s="475">
        <f t="shared" si="107"/>
        <v>86989</v>
      </c>
    </row>
    <row r="1182" spans="7:14" ht="11.25" customHeight="1" x14ac:dyDescent="0.3">
      <c r="G1182" s="470"/>
      <c r="H1182" s="470">
        <v>1175</v>
      </c>
      <c r="I1182" s="455">
        <f t="shared" ca="1" si="105"/>
        <v>-57234487.627307139</v>
      </c>
      <c r="J1182" s="455">
        <f t="array" ref="J1182">IFERROR(INDEX('Retirement Calculator'!K:K,MATCH('Lorri 401b'!N1182,'Retirement Calculator'!A:A,0),0),0)</f>
        <v>0</v>
      </c>
      <c r="K1182" s="455">
        <f t="shared" ca="1" si="103"/>
        <v>-238477.03178044641</v>
      </c>
      <c r="L1182" s="455">
        <f t="shared" ca="1" si="104"/>
        <v>-57472964.659087583</v>
      </c>
      <c r="M1182" s="471">
        <f t="shared" si="106"/>
        <v>0.05</v>
      </c>
      <c r="N1182" s="475">
        <f t="shared" si="107"/>
        <v>87020</v>
      </c>
    </row>
    <row r="1183" spans="7:14" ht="11.25" customHeight="1" x14ac:dyDescent="0.3">
      <c r="G1183" s="470"/>
      <c r="H1183" s="470">
        <v>1176</v>
      </c>
      <c r="I1183" s="455">
        <f t="shared" ca="1" si="105"/>
        <v>-57472964.659087583</v>
      </c>
      <c r="J1183" s="455">
        <f t="array" ref="J1183">IFERROR(INDEX('Retirement Calculator'!K:K,MATCH('Lorri 401b'!N1183,'Retirement Calculator'!A:A,0),0),0)</f>
        <v>0</v>
      </c>
      <c r="K1183" s="455">
        <f t="shared" ca="1" si="103"/>
        <v>-239470.68607953156</v>
      </c>
      <c r="L1183" s="455">
        <f t="shared" ca="1" si="104"/>
        <v>-57712435.345167115</v>
      </c>
      <c r="M1183" s="471">
        <f t="shared" si="106"/>
        <v>0.05</v>
      </c>
      <c r="N1183" s="475">
        <f t="shared" si="107"/>
        <v>87050</v>
      </c>
    </row>
    <row r="1184" spans="7:14" ht="11.25" customHeight="1" x14ac:dyDescent="0.3">
      <c r="G1184" s="470"/>
      <c r="H1184" s="470">
        <v>1177</v>
      </c>
      <c r="I1184" s="455">
        <f t="shared" ca="1" si="105"/>
        <v>-57712435.345167115</v>
      </c>
      <c r="J1184" s="455">
        <f t="array" ref="J1184">IFERROR(INDEX('Retirement Calculator'!K:K,MATCH('Lorri 401b'!N1184,'Retirement Calculator'!A:A,0),0),0)</f>
        <v>0</v>
      </c>
      <c r="K1184" s="455">
        <f t="shared" ca="1" si="103"/>
        <v>-240468.48060486294</v>
      </c>
      <c r="L1184" s="455">
        <f t="shared" ca="1" si="104"/>
        <v>-57952903.82577198</v>
      </c>
      <c r="M1184" s="471">
        <f t="shared" si="106"/>
        <v>0.05</v>
      </c>
      <c r="N1184" s="475">
        <f t="shared" si="107"/>
        <v>87081</v>
      </c>
    </row>
    <row r="1185" spans="7:14" ht="11.25" customHeight="1" x14ac:dyDescent="0.3">
      <c r="G1185" s="470"/>
      <c r="H1185" s="470">
        <v>1178</v>
      </c>
      <c r="I1185" s="455">
        <f t="shared" ca="1" si="105"/>
        <v>-57952903.82577198</v>
      </c>
      <c r="J1185" s="455">
        <f t="array" ref="J1185">IFERROR(INDEX('Retirement Calculator'!K:K,MATCH('Lorri 401b'!N1185,'Retirement Calculator'!A:A,0),0),0)</f>
        <v>0</v>
      </c>
      <c r="K1185" s="455">
        <f t="shared" ca="1" si="103"/>
        <v>-241470.43260738323</v>
      </c>
      <c r="L1185" s="455">
        <f t="shared" ca="1" si="104"/>
        <v>-58194374.258379363</v>
      </c>
      <c r="M1185" s="471">
        <f t="shared" si="106"/>
        <v>0.05</v>
      </c>
      <c r="N1185" s="475">
        <f t="shared" si="107"/>
        <v>87111</v>
      </c>
    </row>
    <row r="1186" spans="7:14" ht="11.25" customHeight="1" x14ac:dyDescent="0.3">
      <c r="G1186" s="470"/>
      <c r="H1186" s="470">
        <v>1179</v>
      </c>
      <c r="I1186" s="455">
        <f t="shared" ca="1" si="105"/>
        <v>-58194374.258379363</v>
      </c>
      <c r="J1186" s="455">
        <f t="array" ref="J1186">IFERROR(INDEX('Retirement Calculator'!K:K,MATCH('Lorri 401b'!N1186,'Retirement Calculator'!A:A,0),0),0)</f>
        <v>0</v>
      </c>
      <c r="K1186" s="455">
        <f t="shared" ca="1" si="103"/>
        <v>-242476.55940991401</v>
      </c>
      <c r="L1186" s="455">
        <f t="shared" ca="1" si="104"/>
        <v>-58436850.817789279</v>
      </c>
      <c r="M1186" s="471">
        <f t="shared" si="106"/>
        <v>0.05</v>
      </c>
      <c r="N1186" s="475">
        <f t="shared" si="107"/>
        <v>87142</v>
      </c>
    </row>
    <row r="1187" spans="7:14" ht="11.25" customHeight="1" x14ac:dyDescent="0.3">
      <c r="G1187" s="470"/>
      <c r="H1187" s="470">
        <v>1180</v>
      </c>
      <c r="I1187" s="455">
        <f t="shared" ca="1" si="105"/>
        <v>-58436850.817789279</v>
      </c>
      <c r="J1187" s="455">
        <f t="array" ref="J1187">IFERROR(INDEX('Retirement Calculator'!K:K,MATCH('Lorri 401b'!N1187,'Retirement Calculator'!A:A,0),0),0)</f>
        <v>0</v>
      </c>
      <c r="K1187" s="455">
        <f t="shared" ca="1" si="103"/>
        <v>-243486.87840745531</v>
      </c>
      <c r="L1187" s="455">
        <f t="shared" ca="1" si="104"/>
        <v>-58680337.696196735</v>
      </c>
      <c r="M1187" s="471">
        <f t="shared" si="106"/>
        <v>0.05</v>
      </c>
      <c r="N1187" s="475">
        <f t="shared" si="107"/>
        <v>87173</v>
      </c>
    </row>
    <row r="1188" spans="7:14" ht="11.25" customHeight="1" x14ac:dyDescent="0.3">
      <c r="G1188" s="470"/>
      <c r="H1188" s="470">
        <v>1181</v>
      </c>
      <c r="I1188" s="455">
        <f t="shared" ca="1" si="105"/>
        <v>-58680337.696196735</v>
      </c>
      <c r="J1188" s="455">
        <f t="array" ref="J1188">IFERROR(INDEX('Retirement Calculator'!K:K,MATCH('Lorri 401b'!N1188,'Retirement Calculator'!A:A,0),0),0)</f>
        <v>0</v>
      </c>
      <c r="K1188" s="455">
        <f t="shared" ca="1" si="103"/>
        <v>-244501.40706748641</v>
      </c>
      <c r="L1188" s="455">
        <f t="shared" ca="1" si="104"/>
        <v>-58924839.10326422</v>
      </c>
      <c r="M1188" s="471">
        <f t="shared" si="106"/>
        <v>0.05</v>
      </c>
      <c r="N1188" s="475">
        <f t="shared" si="107"/>
        <v>87203</v>
      </c>
    </row>
    <row r="1189" spans="7:14" ht="11.25" customHeight="1" x14ac:dyDescent="0.3">
      <c r="G1189" s="470"/>
      <c r="H1189" s="470">
        <v>1182</v>
      </c>
      <c r="I1189" s="455">
        <f t="shared" ca="1" si="105"/>
        <v>-58924839.10326422</v>
      </c>
      <c r="J1189" s="455">
        <f t="array" ref="J1189">IFERROR(INDEX('Retirement Calculator'!K:K,MATCH('Lorri 401b'!N1189,'Retirement Calculator'!A:A,0),0),0)</f>
        <v>0</v>
      </c>
      <c r="K1189" s="455">
        <f t="shared" ca="1" si="103"/>
        <v>-245520.16293026757</v>
      </c>
      <c r="L1189" s="455">
        <f t="shared" ca="1" si="104"/>
        <v>-59170359.266194485</v>
      </c>
      <c r="M1189" s="471">
        <f t="shared" si="106"/>
        <v>0.05</v>
      </c>
      <c r="N1189" s="475">
        <f t="shared" si="107"/>
        <v>87234</v>
      </c>
    </row>
    <row r="1190" spans="7:14" ht="11.25" customHeight="1" x14ac:dyDescent="0.3">
      <c r="G1190" s="470"/>
      <c r="H1190" s="470">
        <v>1183</v>
      </c>
      <c r="I1190" s="455">
        <f t="shared" ca="1" si="105"/>
        <v>-59170359.266194485</v>
      </c>
      <c r="J1190" s="455">
        <f t="array" ref="J1190">IFERROR(INDEX('Retirement Calculator'!K:K,MATCH('Lorri 401b'!N1190,'Retirement Calculator'!A:A,0),0),0)</f>
        <v>0</v>
      </c>
      <c r="K1190" s="455">
        <f t="shared" ca="1" si="103"/>
        <v>-246543.1636091437</v>
      </c>
      <c r="L1190" s="455">
        <f t="shared" ca="1" si="104"/>
        <v>-59416902.429803632</v>
      </c>
      <c r="M1190" s="471">
        <f t="shared" si="106"/>
        <v>0.05</v>
      </c>
      <c r="N1190" s="475">
        <f t="shared" si="107"/>
        <v>87264</v>
      </c>
    </row>
    <row r="1191" spans="7:14" ht="11.25" customHeight="1" x14ac:dyDescent="0.3">
      <c r="G1191" s="470"/>
      <c r="H1191" s="470">
        <v>1184</v>
      </c>
      <c r="I1191" s="455">
        <f t="shared" ca="1" si="105"/>
        <v>-59416902.429803632</v>
      </c>
      <c r="J1191" s="455">
        <f t="array" ref="J1191">IFERROR(INDEX('Retirement Calculator'!K:K,MATCH('Lorri 401b'!N1191,'Retirement Calculator'!A:A,0),0),0)</f>
        <v>0</v>
      </c>
      <c r="K1191" s="455">
        <f t="shared" ca="1" si="103"/>
        <v>-247570.42679084846</v>
      </c>
      <c r="L1191" s="455">
        <f t="shared" ca="1" si="104"/>
        <v>-59664472.856594481</v>
      </c>
      <c r="M1191" s="471">
        <f t="shared" si="106"/>
        <v>0.05</v>
      </c>
      <c r="N1191" s="475">
        <f t="shared" si="107"/>
        <v>87295</v>
      </c>
    </row>
    <row r="1192" spans="7:14" ht="11.25" customHeight="1" x14ac:dyDescent="0.3">
      <c r="G1192" s="470"/>
      <c r="H1192" s="470">
        <v>1185</v>
      </c>
      <c r="I1192" s="455">
        <f t="shared" ca="1" si="105"/>
        <v>-59664472.856594481</v>
      </c>
      <c r="J1192" s="455">
        <f t="array" ref="J1192">IFERROR(INDEX('Retirement Calculator'!K:K,MATCH('Lorri 401b'!N1192,'Retirement Calculator'!A:A,0),0),0)</f>
        <v>0</v>
      </c>
      <c r="K1192" s="455">
        <f t="shared" ca="1" si="103"/>
        <v>-248601.97023581035</v>
      </c>
      <c r="L1192" s="455">
        <f t="shared" ca="1" si="104"/>
        <v>-59913074.82683029</v>
      </c>
      <c r="M1192" s="471">
        <f t="shared" si="106"/>
        <v>0.05</v>
      </c>
      <c r="N1192" s="475">
        <f t="shared" si="107"/>
        <v>87326</v>
      </c>
    </row>
    <row r="1193" spans="7:14" ht="11.25" customHeight="1" x14ac:dyDescent="0.3">
      <c r="G1193" s="470"/>
      <c r="H1193" s="470">
        <v>1186</v>
      </c>
      <c r="I1193" s="455">
        <f t="shared" ca="1" si="105"/>
        <v>-59913074.82683029</v>
      </c>
      <c r="J1193" s="455">
        <f t="array" ref="J1193">IFERROR(INDEX('Retirement Calculator'!K:K,MATCH('Lorri 401b'!N1193,'Retirement Calculator'!A:A,0),0),0)</f>
        <v>0</v>
      </c>
      <c r="K1193" s="455">
        <f t="shared" ca="1" si="103"/>
        <v>-249637.81177845955</v>
      </c>
      <c r="L1193" s="455">
        <f t="shared" ca="1" si="104"/>
        <v>-60162712.638608746</v>
      </c>
      <c r="M1193" s="471">
        <f t="shared" si="106"/>
        <v>0.05</v>
      </c>
      <c r="N1193" s="475">
        <f t="shared" si="107"/>
        <v>87354</v>
      </c>
    </row>
    <row r="1194" spans="7:14" ht="11.25" customHeight="1" x14ac:dyDescent="0.3">
      <c r="G1194" s="470"/>
      <c r="H1194" s="470">
        <v>1187</v>
      </c>
      <c r="I1194" s="455">
        <f t="shared" ca="1" si="105"/>
        <v>-60162712.638608746</v>
      </c>
      <c r="J1194" s="455">
        <f t="array" ref="J1194">IFERROR(INDEX('Retirement Calculator'!K:K,MATCH('Lorri 401b'!N1194,'Retirement Calculator'!A:A,0),0),0)</f>
        <v>0</v>
      </c>
      <c r="K1194" s="455">
        <f t="shared" ca="1" si="103"/>
        <v>-250677.96932753644</v>
      </c>
      <c r="L1194" s="455">
        <f t="shared" ca="1" si="104"/>
        <v>-60413390.607936285</v>
      </c>
      <c r="M1194" s="471">
        <f t="shared" si="106"/>
        <v>0.05</v>
      </c>
      <c r="N1194" s="475">
        <f t="shared" si="107"/>
        <v>87385</v>
      </c>
    </row>
    <row r="1195" spans="7:14" ht="11.25" customHeight="1" x14ac:dyDescent="0.3">
      <c r="G1195" s="470"/>
      <c r="H1195" s="470">
        <v>1188</v>
      </c>
      <c r="I1195" s="455">
        <f t="shared" ca="1" si="105"/>
        <v>-60413390.607936285</v>
      </c>
      <c r="J1195" s="455">
        <f t="array" ref="J1195">IFERROR(INDEX('Retirement Calculator'!K:K,MATCH('Lorri 401b'!N1195,'Retirement Calculator'!A:A,0),0),0)</f>
        <v>0</v>
      </c>
      <c r="K1195" s="455">
        <f t="shared" ca="1" si="103"/>
        <v>-251722.46086640118</v>
      </c>
      <c r="L1195" s="455">
        <f t="shared" ca="1" si="104"/>
        <v>-60665113.068802685</v>
      </c>
      <c r="M1195" s="471">
        <f t="shared" si="106"/>
        <v>0.05</v>
      </c>
      <c r="N1195" s="475">
        <f t="shared" si="107"/>
        <v>87415</v>
      </c>
    </row>
    <row r="1196" spans="7:14" ht="11.25" customHeight="1" x14ac:dyDescent="0.3">
      <c r="G1196" s="470"/>
      <c r="H1196" s="470">
        <v>1189</v>
      </c>
      <c r="I1196" s="455">
        <f t="shared" ca="1" si="105"/>
        <v>-60665113.068802685</v>
      </c>
      <c r="J1196" s="455">
        <f t="array" ref="J1196">IFERROR(INDEX('Retirement Calculator'!K:K,MATCH('Lorri 401b'!N1196,'Retirement Calculator'!A:A,0),0),0)</f>
        <v>0</v>
      </c>
      <c r="K1196" s="455">
        <f t="shared" ca="1" si="103"/>
        <v>-252771.30445334452</v>
      </c>
      <c r="L1196" s="455">
        <f t="shared" ca="1" si="104"/>
        <v>-60917884.373256028</v>
      </c>
      <c r="M1196" s="471">
        <f t="shared" si="106"/>
        <v>0.05</v>
      </c>
      <c r="N1196" s="475">
        <f t="shared" si="107"/>
        <v>87446</v>
      </c>
    </row>
    <row r="1197" spans="7:14" ht="11.25" customHeight="1" x14ac:dyDescent="0.3">
      <c r="G1197" s="470"/>
      <c r="H1197" s="470">
        <v>1190</v>
      </c>
      <c r="I1197" s="455">
        <f t="shared" ca="1" si="105"/>
        <v>-60917884.373256028</v>
      </c>
      <c r="J1197" s="455">
        <f t="array" ref="J1197">IFERROR(INDEX('Retirement Calculator'!K:K,MATCH('Lorri 401b'!N1197,'Retirement Calculator'!A:A,0),0),0)</f>
        <v>0</v>
      </c>
      <c r="K1197" s="455">
        <f t="shared" ca="1" si="103"/>
        <v>-253824.5182219001</v>
      </c>
      <c r="L1197" s="455">
        <f t="shared" ca="1" si="104"/>
        <v>-61171708.891477928</v>
      </c>
      <c r="M1197" s="471">
        <f t="shared" si="106"/>
        <v>0.05</v>
      </c>
      <c r="N1197" s="475">
        <f t="shared" si="107"/>
        <v>87476</v>
      </c>
    </row>
    <row r="1198" spans="7:14" ht="11.25" customHeight="1" x14ac:dyDescent="0.3">
      <c r="G1198" s="470"/>
      <c r="H1198" s="470">
        <v>1191</v>
      </c>
      <c r="I1198" s="455">
        <f t="shared" ca="1" si="105"/>
        <v>-61171708.891477928</v>
      </c>
      <c r="J1198" s="455">
        <f t="array" ref="J1198">IFERROR(INDEX('Retirement Calculator'!K:K,MATCH('Lorri 401b'!N1198,'Retirement Calculator'!A:A,0),0),0)</f>
        <v>0</v>
      </c>
      <c r="K1198" s="455">
        <f t="shared" ca="1" si="103"/>
        <v>-254882.12038115799</v>
      </c>
      <c r="L1198" s="455">
        <f t="shared" ca="1" si="104"/>
        <v>-61426591.011859089</v>
      </c>
      <c r="M1198" s="471">
        <f t="shared" si="106"/>
        <v>0.05</v>
      </c>
      <c r="N1198" s="475">
        <f t="shared" si="107"/>
        <v>87507</v>
      </c>
    </row>
    <row r="1199" spans="7:14" ht="11.25" customHeight="1" x14ac:dyDescent="0.3">
      <c r="G1199" s="470"/>
      <c r="H1199" s="470">
        <v>1192</v>
      </c>
      <c r="I1199" s="455">
        <f t="shared" ca="1" si="105"/>
        <v>-61426591.011859089</v>
      </c>
      <c r="J1199" s="455">
        <f t="array" ref="J1199">IFERROR(INDEX('Retirement Calculator'!K:K,MATCH('Lorri 401b'!N1199,'Retirement Calculator'!A:A,0),0),0)</f>
        <v>0</v>
      </c>
      <c r="K1199" s="455">
        <f t="shared" ca="1" si="103"/>
        <v>-255944.12921607951</v>
      </c>
      <c r="L1199" s="455">
        <f t="shared" ca="1" si="104"/>
        <v>-61682535.141075172</v>
      </c>
      <c r="M1199" s="471">
        <f t="shared" si="106"/>
        <v>0.05</v>
      </c>
      <c r="N1199" s="475">
        <f t="shared" si="107"/>
        <v>87538</v>
      </c>
    </row>
    <row r="1200" spans="7:14" ht="11.25" customHeight="1" x14ac:dyDescent="0.3">
      <c r="G1200" s="470"/>
      <c r="H1200" s="470">
        <v>1193</v>
      </c>
      <c r="I1200" s="455">
        <f t="shared" ca="1" si="105"/>
        <v>-61682535.141075172</v>
      </c>
      <c r="J1200" s="455">
        <f t="array" ref="J1200">IFERROR(INDEX('Retirement Calculator'!K:K,MATCH('Lorri 401b'!N1200,'Retirement Calculator'!A:A,0),0),0)</f>
        <v>0</v>
      </c>
      <c r="K1200" s="455">
        <f t="shared" ca="1" si="103"/>
        <v>-257010.56308781318</v>
      </c>
      <c r="L1200" s="455">
        <f t="shared" ca="1" si="104"/>
        <v>-61939545.704162985</v>
      </c>
      <c r="M1200" s="471">
        <f t="shared" si="106"/>
        <v>0.05</v>
      </c>
      <c r="N1200" s="475">
        <f t="shared" si="107"/>
        <v>87568</v>
      </c>
    </row>
    <row r="1201" spans="7:14" ht="11.25" customHeight="1" x14ac:dyDescent="0.3">
      <c r="G1201" s="470"/>
      <c r="H1201" s="470">
        <v>1194</v>
      </c>
      <c r="I1201" s="455">
        <f t="shared" ca="1" si="105"/>
        <v>-61939545.704162985</v>
      </c>
      <c r="J1201" s="455">
        <f t="array" ref="J1201">IFERROR(INDEX('Retirement Calculator'!K:K,MATCH('Lorri 401b'!N1201,'Retirement Calculator'!A:A,0),0),0)</f>
        <v>0</v>
      </c>
      <c r="K1201" s="455">
        <f t="shared" ca="1" si="103"/>
        <v>-258081.44043401247</v>
      </c>
      <c r="L1201" s="455">
        <f t="shared" ca="1" si="104"/>
        <v>-62197627.144596994</v>
      </c>
      <c r="M1201" s="471">
        <f t="shared" si="106"/>
        <v>0.05</v>
      </c>
      <c r="N1201" s="475">
        <f t="shared" si="107"/>
        <v>87599</v>
      </c>
    </row>
    <row r="1202" spans="7:14" ht="11.25" customHeight="1" x14ac:dyDescent="0.3">
      <c r="G1202" s="470"/>
      <c r="H1202" s="470">
        <v>1195</v>
      </c>
      <c r="I1202" s="455">
        <f t="shared" ca="1" si="105"/>
        <v>-62197627.144596994</v>
      </c>
      <c r="J1202" s="455">
        <f t="array" ref="J1202">IFERROR(INDEX('Retirement Calculator'!K:K,MATCH('Lorri 401b'!N1202,'Retirement Calculator'!A:A,0),0),0)</f>
        <v>0</v>
      </c>
      <c r="K1202" s="455">
        <f t="shared" ca="1" si="103"/>
        <v>-259156.77976915415</v>
      </c>
      <c r="L1202" s="455">
        <f t="shared" ca="1" si="104"/>
        <v>-62456783.924366146</v>
      </c>
      <c r="M1202" s="471">
        <f t="shared" si="106"/>
        <v>0.05</v>
      </c>
      <c r="N1202" s="475">
        <f t="shared" si="107"/>
        <v>87629</v>
      </c>
    </row>
    <row r="1203" spans="7:14" ht="11.25" customHeight="1" x14ac:dyDescent="0.3">
      <c r="G1203" s="470"/>
      <c r="H1203" s="470">
        <v>1196</v>
      </c>
      <c r="I1203" s="455">
        <f t="shared" ca="1" si="105"/>
        <v>-62456783.924366146</v>
      </c>
      <c r="J1203" s="455">
        <f t="array" ref="J1203">IFERROR(INDEX('Retirement Calculator'!K:K,MATCH('Lorri 401b'!N1203,'Retirement Calculator'!A:A,0),0),0)</f>
        <v>0</v>
      </c>
      <c r="K1203" s="455">
        <f t="shared" ca="1" si="103"/>
        <v>-260236.59968485893</v>
      </c>
      <c r="L1203" s="455">
        <f t="shared" ca="1" si="104"/>
        <v>-62717020.524051003</v>
      </c>
      <c r="M1203" s="471">
        <f t="shared" si="106"/>
        <v>0.05</v>
      </c>
      <c r="N1203" s="475">
        <f t="shared" si="107"/>
        <v>87660</v>
      </c>
    </row>
    <row r="1204" spans="7:14" ht="11.25" customHeight="1" x14ac:dyDescent="0.3">
      <c r="G1204" s="470"/>
      <c r="H1204" s="470">
        <v>1197</v>
      </c>
      <c r="I1204" s="455">
        <f t="shared" ca="1" si="105"/>
        <v>-62717020.524051003</v>
      </c>
      <c r="J1204" s="455">
        <f t="array" ref="J1204">IFERROR(INDEX('Retirement Calculator'!K:K,MATCH('Lorri 401b'!N1204,'Retirement Calculator'!A:A,0),0),0)</f>
        <v>0</v>
      </c>
      <c r="K1204" s="455">
        <f t="shared" ca="1" si="103"/>
        <v>-261320.91885021247</v>
      </c>
      <c r="L1204" s="455">
        <f t="shared" ca="1" si="104"/>
        <v>-62978341.442901216</v>
      </c>
      <c r="M1204" s="471">
        <f t="shared" si="106"/>
        <v>0.05</v>
      </c>
      <c r="N1204" s="475">
        <f t="shared" si="107"/>
        <v>87691</v>
      </c>
    </row>
    <row r="1205" spans="7:14" ht="11.25" customHeight="1" x14ac:dyDescent="0.3">
      <c r="G1205" s="470"/>
      <c r="H1205" s="470">
        <v>1198</v>
      </c>
      <c r="I1205" s="455">
        <f t="shared" ca="1" si="105"/>
        <v>-62978341.442901216</v>
      </c>
      <c r="J1205" s="455">
        <f t="array" ref="J1205">IFERROR(INDEX('Retirement Calculator'!K:K,MATCH('Lorri 401b'!N1205,'Retirement Calculator'!A:A,0),0),0)</f>
        <v>0</v>
      </c>
      <c r="K1205" s="455">
        <f t="shared" ca="1" si="103"/>
        <v>-262409.75601208839</v>
      </c>
      <c r="L1205" s="455">
        <f t="shared" ca="1" si="104"/>
        <v>-63240751.198913306</v>
      </c>
      <c r="M1205" s="471">
        <f t="shared" si="106"/>
        <v>0.05</v>
      </c>
      <c r="N1205" s="475">
        <f t="shared" si="107"/>
        <v>87720</v>
      </c>
    </row>
    <row r="1206" spans="7:14" ht="11.25" customHeight="1" x14ac:dyDescent="0.3">
      <c r="G1206" s="470"/>
      <c r="H1206" s="470">
        <v>1199</v>
      </c>
      <c r="I1206" s="455">
        <f t="shared" ca="1" si="105"/>
        <v>-63240751.198913306</v>
      </c>
      <c r="J1206" s="455">
        <f t="array" ref="J1206">IFERROR(INDEX('Retirement Calculator'!K:K,MATCH('Lorri 401b'!N1206,'Retirement Calculator'!A:A,0),0),0)</f>
        <v>0</v>
      </c>
      <c r="K1206" s="455">
        <f t="shared" ca="1" si="103"/>
        <v>-263503.12999547209</v>
      </c>
      <c r="L1206" s="455">
        <f t="shared" ca="1" si="104"/>
        <v>-63504254.328908779</v>
      </c>
      <c r="M1206" s="471">
        <f t="shared" si="106"/>
        <v>0.05</v>
      </c>
      <c r="N1206" s="475">
        <f t="shared" si="107"/>
        <v>87751</v>
      </c>
    </row>
    <row r="1207" spans="7:14" ht="11.25" customHeight="1" x14ac:dyDescent="0.3">
      <c r="G1207" s="470"/>
      <c r="H1207" s="470">
        <v>1200</v>
      </c>
      <c r="I1207" s="455">
        <f t="shared" ca="1" si="105"/>
        <v>-63504254.328908779</v>
      </c>
      <c r="J1207" s="455">
        <f t="array" ref="J1207">IFERROR(INDEX('Retirement Calculator'!K:K,MATCH('Lorri 401b'!N1207,'Retirement Calculator'!A:A,0),0),0)</f>
        <v>0</v>
      </c>
      <c r="K1207" s="455">
        <f t="shared" ca="1" si="103"/>
        <v>-264601.05970378662</v>
      </c>
      <c r="L1207" s="455">
        <f t="shared" ca="1" si="104"/>
        <v>-63768855.388612568</v>
      </c>
      <c r="M1207" s="471">
        <f t="shared" si="106"/>
        <v>0.05</v>
      </c>
      <c r="N1207" s="475">
        <f t="shared" si="107"/>
        <v>87781</v>
      </c>
    </row>
    <row r="1208" spans="7:14" ht="11.25" customHeight="1" x14ac:dyDescent="0.3">
      <c r="G1208" s="470"/>
      <c r="H1208" s="470">
        <v>1201</v>
      </c>
      <c r="I1208" s="455">
        <f t="shared" ca="1" si="105"/>
        <v>-63768855.388612568</v>
      </c>
      <c r="J1208" s="455">
        <f t="array" ref="J1208">IFERROR(INDEX('Retirement Calculator'!K:K,MATCH('Lorri 401b'!N1208,'Retirement Calculator'!A:A,0),0),0)</f>
        <v>0</v>
      </c>
      <c r="K1208" s="455">
        <f t="shared" ca="1" si="103"/>
        <v>-265703.56411921902</v>
      </c>
      <c r="L1208" s="455">
        <f t="shared" ca="1" si="104"/>
        <v>-64034558.952731788</v>
      </c>
      <c r="M1208" s="471">
        <f t="shared" si="106"/>
        <v>0.05</v>
      </c>
      <c r="N1208" s="475">
        <f t="shared" si="107"/>
        <v>87812</v>
      </c>
    </row>
    <row r="1209" spans="7:14" ht="11.25" customHeight="1" x14ac:dyDescent="0.3">
      <c r="G1209" s="470"/>
      <c r="H1209" s="470">
        <v>1202</v>
      </c>
      <c r="I1209" s="455">
        <f t="shared" ca="1" si="105"/>
        <v>-64034558.952731788</v>
      </c>
      <c r="J1209" s="455">
        <f t="array" ref="J1209">IFERROR(INDEX('Retirement Calculator'!K:K,MATCH('Lorri 401b'!N1209,'Retirement Calculator'!A:A,0),0),0)</f>
        <v>0</v>
      </c>
      <c r="K1209" s="455">
        <f t="shared" ca="1" si="103"/>
        <v>-266810.66230304906</v>
      </c>
      <c r="L1209" s="455">
        <f t="shared" ca="1" si="104"/>
        <v>-64301369.615034834</v>
      </c>
      <c r="M1209" s="471">
        <f t="shared" si="106"/>
        <v>0.05</v>
      </c>
      <c r="N1209" s="475">
        <f t="shared" si="107"/>
        <v>87842</v>
      </c>
    </row>
    <row r="1210" spans="7:14" ht="11.25" customHeight="1" x14ac:dyDescent="0.3">
      <c r="G1210" s="470"/>
      <c r="H1210" s="470">
        <v>1203</v>
      </c>
      <c r="I1210" s="455">
        <f t="shared" ca="1" si="105"/>
        <v>-64301369.615034834</v>
      </c>
      <c r="J1210" s="455">
        <f t="array" ref="J1210">IFERROR(INDEX('Retirement Calculator'!K:K,MATCH('Lorri 401b'!N1210,'Retirement Calculator'!A:A,0),0),0)</f>
        <v>0</v>
      </c>
      <c r="K1210" s="455">
        <f t="shared" ca="1" si="103"/>
        <v>-267922.37339597847</v>
      </c>
      <c r="L1210" s="455">
        <f t="shared" ca="1" si="104"/>
        <v>-64569291.988430813</v>
      </c>
      <c r="M1210" s="471">
        <f t="shared" si="106"/>
        <v>0.05</v>
      </c>
      <c r="N1210" s="475">
        <f t="shared" si="107"/>
        <v>87873</v>
      </c>
    </row>
    <row r="1211" spans="7:14" ht="11.25" customHeight="1" x14ac:dyDescent="0.3">
      <c r="G1211" s="470"/>
      <c r="H1211" s="470">
        <v>1204</v>
      </c>
      <c r="I1211" s="455">
        <f t="shared" ca="1" si="105"/>
        <v>-64569291.988430813</v>
      </c>
      <c r="J1211" s="455">
        <f t="array" ref="J1211">IFERROR(INDEX('Retirement Calculator'!K:K,MATCH('Lorri 401b'!N1211,'Retirement Calculator'!A:A,0),0),0)</f>
        <v>0</v>
      </c>
      <c r="K1211" s="455">
        <f t="shared" ca="1" si="103"/>
        <v>-269038.71661846171</v>
      </c>
      <c r="L1211" s="455">
        <f t="shared" ca="1" si="104"/>
        <v>-64838330.705049276</v>
      </c>
      <c r="M1211" s="471">
        <f t="shared" si="106"/>
        <v>0.05</v>
      </c>
      <c r="N1211" s="475">
        <f t="shared" si="107"/>
        <v>87904</v>
      </c>
    </row>
    <row r="1212" spans="7:14" ht="11.25" customHeight="1" x14ac:dyDescent="0.3">
      <c r="G1212" s="470"/>
      <c r="H1212" s="470">
        <v>1205</v>
      </c>
      <c r="I1212" s="455">
        <f t="shared" ca="1" si="105"/>
        <v>-64838330.705049276</v>
      </c>
      <c r="J1212" s="455">
        <f t="array" ref="J1212">IFERROR(INDEX('Retirement Calculator'!K:K,MATCH('Lorri 401b'!N1212,'Retirement Calculator'!A:A,0),0),0)</f>
        <v>0</v>
      </c>
      <c r="K1212" s="455">
        <f t="shared" ca="1" si="103"/>
        <v>-270159.71127103863</v>
      </c>
      <c r="L1212" s="455">
        <f t="shared" ca="1" si="104"/>
        <v>-65108490.416320316</v>
      </c>
      <c r="M1212" s="471">
        <f t="shared" si="106"/>
        <v>0.05</v>
      </c>
      <c r="N1212" s="475">
        <f t="shared" si="107"/>
        <v>87934</v>
      </c>
    </row>
    <row r="1213" spans="7:14" ht="11.25" customHeight="1" x14ac:dyDescent="0.3">
      <c r="G1213" s="470"/>
      <c r="H1213" s="470">
        <v>1206</v>
      </c>
      <c r="I1213" s="455">
        <f t="shared" ca="1" si="105"/>
        <v>-65108490.416320316</v>
      </c>
      <c r="J1213" s="455">
        <f t="array" ref="J1213">IFERROR(INDEX('Retirement Calculator'!K:K,MATCH('Lorri 401b'!N1213,'Retirement Calculator'!A:A,0),0),0)</f>
        <v>0</v>
      </c>
      <c r="K1213" s="455">
        <f t="shared" ca="1" si="103"/>
        <v>-271285.37673466792</v>
      </c>
      <c r="L1213" s="455">
        <f t="shared" ca="1" si="104"/>
        <v>-65379775.793054983</v>
      </c>
      <c r="M1213" s="471">
        <f t="shared" si="106"/>
        <v>0.05</v>
      </c>
      <c r="N1213" s="475">
        <f t="shared" si="107"/>
        <v>87965</v>
      </c>
    </row>
    <row r="1214" spans="7:14" ht="11.25" customHeight="1" x14ac:dyDescent="0.3">
      <c r="G1214" s="470"/>
      <c r="H1214" s="470">
        <v>1207</v>
      </c>
      <c r="I1214" s="455">
        <f t="shared" ca="1" si="105"/>
        <v>-65379775.793054983</v>
      </c>
      <c r="J1214" s="455">
        <f t="array" ref="J1214">IFERROR(INDEX('Retirement Calculator'!K:K,MATCH('Lorri 401b'!N1214,'Retirement Calculator'!A:A,0),0),0)</f>
        <v>0</v>
      </c>
      <c r="K1214" s="455">
        <f t="shared" ca="1" si="103"/>
        <v>-272415.73247106245</v>
      </c>
      <c r="L1214" s="455">
        <f t="shared" ca="1" si="104"/>
        <v>-65652191.525526047</v>
      </c>
      <c r="M1214" s="471">
        <f t="shared" si="106"/>
        <v>0.05</v>
      </c>
      <c r="N1214" s="475">
        <f t="shared" si="107"/>
        <v>87995</v>
      </c>
    </row>
    <row r="1215" spans="7:14" ht="11.25" customHeight="1" x14ac:dyDescent="0.3">
      <c r="G1215" s="470"/>
      <c r="H1215" s="470">
        <v>1208</v>
      </c>
      <c r="I1215" s="455">
        <f t="shared" ca="1" si="105"/>
        <v>-65652191.525526047</v>
      </c>
      <c r="J1215" s="455">
        <f t="array" ref="J1215">IFERROR(INDEX('Retirement Calculator'!K:K,MATCH('Lorri 401b'!N1215,'Retirement Calculator'!A:A,0),0),0)</f>
        <v>0</v>
      </c>
      <c r="K1215" s="455">
        <f t="shared" ca="1" si="103"/>
        <v>-273550.79802302521</v>
      </c>
      <c r="L1215" s="455">
        <f t="shared" ca="1" si="104"/>
        <v>-65925742.323549069</v>
      </c>
      <c r="M1215" s="471">
        <f t="shared" si="106"/>
        <v>0.05</v>
      </c>
      <c r="N1215" s="475">
        <f t="shared" si="107"/>
        <v>88026</v>
      </c>
    </row>
    <row r="1216" spans="7:14" ht="11.25" customHeight="1" x14ac:dyDescent="0.3">
      <c r="G1216" s="470"/>
      <c r="H1216" s="470">
        <v>1209</v>
      </c>
      <c r="I1216" s="455">
        <f t="shared" ca="1" si="105"/>
        <v>-65925742.323549069</v>
      </c>
      <c r="J1216" s="455">
        <f t="array" ref="J1216">IFERROR(INDEX('Retirement Calculator'!K:K,MATCH('Lorri 401b'!N1216,'Retirement Calculator'!A:A,0),0),0)</f>
        <v>0</v>
      </c>
      <c r="K1216" s="455">
        <f t="shared" ca="1" si="103"/>
        <v>-274690.59301478777</v>
      </c>
      <c r="L1216" s="455">
        <f t="shared" ca="1" si="104"/>
        <v>-66200432.916563854</v>
      </c>
      <c r="M1216" s="471">
        <f t="shared" si="106"/>
        <v>0.05</v>
      </c>
      <c r="N1216" s="475">
        <f t="shared" si="107"/>
        <v>88057</v>
      </c>
    </row>
    <row r="1217" spans="7:14" ht="11.25" customHeight="1" x14ac:dyDescent="0.3">
      <c r="G1217" s="470"/>
      <c r="H1217" s="470">
        <v>1210</v>
      </c>
      <c r="I1217" s="455">
        <f t="shared" ca="1" si="105"/>
        <v>-66200432.916563854</v>
      </c>
      <c r="J1217" s="455">
        <f t="array" ref="J1217">IFERROR(INDEX('Retirement Calculator'!K:K,MATCH('Lorri 401b'!N1217,'Retirement Calculator'!A:A,0),0),0)</f>
        <v>0</v>
      </c>
      <c r="K1217" s="455">
        <f t="shared" ca="1" si="103"/>
        <v>-275835.1371523494</v>
      </c>
      <c r="L1217" s="455">
        <f t="shared" ca="1" si="104"/>
        <v>-66476268.053716205</v>
      </c>
      <c r="M1217" s="471">
        <f t="shared" si="106"/>
        <v>0.05</v>
      </c>
      <c r="N1217" s="475">
        <f t="shared" si="107"/>
        <v>88085</v>
      </c>
    </row>
    <row r="1218" spans="7:14" ht="11.25" customHeight="1" x14ac:dyDescent="0.3">
      <c r="G1218" s="470"/>
      <c r="H1218" s="470">
        <v>1211</v>
      </c>
      <c r="I1218" s="455">
        <f t="shared" ca="1" si="105"/>
        <v>-66476268.053716205</v>
      </c>
      <c r="J1218" s="455">
        <f t="array" ref="J1218">IFERROR(INDEX('Retirement Calculator'!K:K,MATCH('Lorri 401b'!N1218,'Retirement Calculator'!A:A,0),0),0)</f>
        <v>0</v>
      </c>
      <c r="K1218" s="455">
        <f t="shared" ca="1" si="103"/>
        <v>-276984.45022381749</v>
      </c>
      <c r="L1218" s="455">
        <f t="shared" ca="1" si="104"/>
        <v>-66753252.503940023</v>
      </c>
      <c r="M1218" s="471">
        <f t="shared" si="106"/>
        <v>0.05</v>
      </c>
      <c r="N1218" s="475">
        <f t="shared" si="107"/>
        <v>88116</v>
      </c>
    </row>
    <row r="1219" spans="7:14" ht="11.25" customHeight="1" x14ac:dyDescent="0.3">
      <c r="G1219" s="470"/>
      <c r="H1219" s="470">
        <v>1212</v>
      </c>
      <c r="I1219" s="455">
        <f t="shared" ca="1" si="105"/>
        <v>-66753252.503940023</v>
      </c>
      <c r="J1219" s="455">
        <f t="array" ref="J1219">IFERROR(INDEX('Retirement Calculator'!K:K,MATCH('Lorri 401b'!N1219,'Retirement Calculator'!A:A,0),0),0)</f>
        <v>0</v>
      </c>
      <c r="K1219" s="455">
        <f t="shared" ca="1" si="103"/>
        <v>-278138.55209975009</v>
      </c>
      <c r="L1219" s="455">
        <f t="shared" ca="1" si="104"/>
        <v>-67031391.056039773</v>
      </c>
      <c r="M1219" s="471">
        <f t="shared" si="106"/>
        <v>0.05</v>
      </c>
      <c r="N1219" s="475">
        <f t="shared" si="107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5"/>
        <v>-67031391.056039773</v>
      </c>
      <c r="J1220" s="455">
        <f t="array" ref="J1220">IFERROR(INDEX('Retirement Calculator'!K:K,MATCH('Lorri 401b'!N1220,'Retirement Calculator'!A:A,0),0),0)</f>
        <v>0</v>
      </c>
      <c r="K1220" s="455">
        <f t="shared" ca="1" si="103"/>
        <v>-279297.46273349907</v>
      </c>
      <c r="L1220" s="455">
        <f t="shared" ca="1" si="104"/>
        <v>-67310688.518773273</v>
      </c>
      <c r="M1220" s="471">
        <f t="shared" si="106"/>
        <v>0.05</v>
      </c>
      <c r="N1220" s="475">
        <f t="shared" si="107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5"/>
        <v>-67310688.518773273</v>
      </c>
      <c r="J1221" s="455">
        <f t="array" ref="J1221">IFERROR(INDEX('Retirement Calculator'!K:K,MATCH('Lorri 401b'!N1221,'Retirement Calculator'!A:A,0),0),0)</f>
        <v>0</v>
      </c>
      <c r="K1221" s="455">
        <f t="shared" ca="1" si="103"/>
        <v>-280461.20216155529</v>
      </c>
      <c r="L1221" s="455">
        <f t="shared" ca="1" si="104"/>
        <v>-67591149.720934823</v>
      </c>
      <c r="M1221" s="471">
        <f t="shared" si="106"/>
        <v>0.05</v>
      </c>
      <c r="N1221" s="475">
        <f t="shared" si="107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5"/>
        <v>-67591149.720934823</v>
      </c>
      <c r="J1222" s="455">
        <f t="array" ref="J1222">IFERROR(INDEX('Retirement Calculator'!K:K,MATCH('Lorri 401b'!N1222,'Retirement Calculator'!A:A,0),0),0)</f>
        <v>0</v>
      </c>
      <c r="K1222" s="455">
        <f t="shared" ca="1" si="103"/>
        <v>-281629.79050389508</v>
      </c>
      <c r="L1222" s="455">
        <f t="shared" ca="1" si="104"/>
        <v>-67872779.511438712</v>
      </c>
      <c r="M1222" s="471">
        <f t="shared" si="106"/>
        <v>0.05</v>
      </c>
      <c r="N1222" s="475">
        <f t="shared" si="107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5"/>
        <v>-67872779.511438712</v>
      </c>
      <c r="J1223" s="455">
        <f t="array" ref="J1223">IFERROR(INDEX('Retirement Calculator'!K:K,MATCH('Lorri 401b'!N1223,'Retirement Calculator'!A:A,0),0),0)</f>
        <v>0</v>
      </c>
      <c r="K1223" s="455">
        <f t="shared" ca="1" si="103"/>
        <v>-282803.24796432798</v>
      </c>
      <c r="L1223" s="455">
        <f t="shared" ca="1" si="104"/>
        <v>-68155582.759403035</v>
      </c>
      <c r="M1223" s="471">
        <f t="shared" si="106"/>
        <v>0.05</v>
      </c>
      <c r="N1223" s="475">
        <f t="shared" si="107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5"/>
        <v>-68155582.759403035</v>
      </c>
      <c r="J1224" s="455">
        <f t="array" ref="J1224">IFERROR(INDEX('Retirement Calculator'!K:K,MATCH('Lorri 401b'!N1224,'Retirement Calculator'!A:A,0),0),0)</f>
        <v>0</v>
      </c>
      <c r="K1224" s="455">
        <f t="shared" ca="1" si="103"/>
        <v>-283981.59483084595</v>
      </c>
      <c r="L1224" s="455">
        <f t="shared" ca="1" si="104"/>
        <v>-68439564.354233876</v>
      </c>
      <c r="M1224" s="471">
        <f t="shared" si="106"/>
        <v>0.05</v>
      </c>
      <c r="N1224" s="475">
        <f t="shared" si="107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5"/>
        <v>-68439564.354233876</v>
      </c>
      <c r="J1225" s="455">
        <f t="array" ref="J1225">IFERROR(INDEX('Retirement Calculator'!K:K,MATCH('Lorri 401b'!N1225,'Retirement Calculator'!A:A,0),0),0)</f>
        <v>0</v>
      </c>
      <c r="K1225" s="455">
        <f t="shared" ca="1" si="103"/>
        <v>-285164.85147597449</v>
      </c>
      <c r="L1225" s="455">
        <f t="shared" ca="1" si="104"/>
        <v>-68724729.205709845</v>
      </c>
      <c r="M1225" s="471">
        <f t="shared" si="106"/>
        <v>0.05</v>
      </c>
      <c r="N1225" s="475">
        <f t="shared" si="107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5"/>
        <v>-68724729.205709845</v>
      </c>
      <c r="J1226" s="455">
        <f t="array" ref="J1226">IFERROR(INDEX('Retirement Calculator'!K:K,MATCH('Lorri 401b'!N1226,'Retirement Calculator'!A:A,0),0),0)</f>
        <v>0</v>
      </c>
      <c r="K1226" s="455">
        <f t="shared" ca="1" si="103"/>
        <v>-286353.03835712437</v>
      </c>
      <c r="L1226" s="455">
        <f t="shared" ca="1" si="104"/>
        <v>-69011082.244066969</v>
      </c>
      <c r="M1226" s="471">
        <f t="shared" si="106"/>
        <v>0.05</v>
      </c>
      <c r="N1226" s="475">
        <f t="shared" si="107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5"/>
        <v>-69011082.244066969</v>
      </c>
      <c r="J1227" s="455">
        <f t="array" ref="J1227">IFERROR(INDEX('Retirement Calculator'!K:K,MATCH('Lorri 401b'!N1227,'Retirement Calculator'!A:A,0),0),0)</f>
        <v>0</v>
      </c>
      <c r="K1227" s="455">
        <f t="shared" ca="1" si="103"/>
        <v>-287546.17601694568</v>
      </c>
      <c r="L1227" s="455">
        <f t="shared" ca="1" si="104"/>
        <v>-69298628.42008391</v>
      </c>
      <c r="M1227" s="471">
        <f t="shared" si="106"/>
        <v>0.05</v>
      </c>
      <c r="N1227" s="475">
        <f t="shared" si="107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5"/>
        <v>-69298628.42008391</v>
      </c>
      <c r="J1228" s="455">
        <f t="array" ref="J1228">IFERROR(INDEX('Retirement Calculator'!K:K,MATCH('Lorri 401b'!N1228,'Retirement Calculator'!A:A,0),0),0)</f>
        <v>0</v>
      </c>
      <c r="K1228" s="455">
        <f t="shared" ca="1" si="103"/>
        <v>-288744.28508368297</v>
      </c>
      <c r="L1228" s="455">
        <f t="shared" ca="1" si="104"/>
        <v>-69587372.705167592</v>
      </c>
      <c r="M1228" s="471">
        <f t="shared" si="106"/>
        <v>0.05</v>
      </c>
      <c r="N1228" s="475">
        <f t="shared" si="107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5"/>
        <v>-69587372.705167592</v>
      </c>
      <c r="J1229" s="455">
        <f t="array" ref="J1229">IFERROR(INDEX('Retirement Calculator'!K:K,MATCH('Lorri 401b'!N1229,'Retirement Calculator'!A:A,0),0),0)</f>
        <v>0</v>
      </c>
      <c r="K1229" s="455">
        <f t="shared" ca="1" si="103"/>
        <v>-289947.38627153164</v>
      </c>
      <c r="L1229" s="455">
        <f t="shared" ca="1" si="104"/>
        <v>-69877320.091439128</v>
      </c>
      <c r="M1229" s="471">
        <f t="shared" si="106"/>
        <v>0.05</v>
      </c>
      <c r="N1229" s="475">
        <f t="shared" si="107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5"/>
        <v>-69877320.091439128</v>
      </c>
      <c r="J1230" s="455">
        <f t="array" ref="J1230">IFERROR(INDEX('Retirement Calculator'!K:K,MATCH('Lorri 401b'!N1230,'Retirement Calculator'!A:A,0),0),0)</f>
        <v>0</v>
      </c>
      <c r="K1230" s="455">
        <f t="shared" ca="1" si="103"/>
        <v>-291155.50038099638</v>
      </c>
      <c r="L1230" s="455">
        <f t="shared" ca="1" si="104"/>
        <v>-70168475.591820121</v>
      </c>
      <c r="M1230" s="471">
        <f t="shared" si="106"/>
        <v>0.05</v>
      </c>
      <c r="N1230" s="475">
        <f t="shared" si="107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5"/>
        <v>-70168475.591820121</v>
      </c>
      <c r="J1231" s="455">
        <f t="array" ref="J1231">IFERROR(INDEX('Retirement Calculator'!K:K,MATCH('Lorri 401b'!N1231,'Retirement Calculator'!A:A,0),0),0)</f>
        <v>0</v>
      </c>
      <c r="K1231" s="455">
        <f t="shared" ca="1" si="103"/>
        <v>-292368.64829925052</v>
      </c>
      <c r="L1231" s="455">
        <f t="shared" ca="1" si="104"/>
        <v>-70460844.240119368</v>
      </c>
      <c r="M1231" s="471">
        <f t="shared" si="106"/>
        <v>0.05</v>
      </c>
      <c r="N1231" s="475">
        <f t="shared" si="107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5"/>
        <v>-70460844.240119368</v>
      </c>
      <c r="J1232" s="455">
        <f t="array" ref="J1232">IFERROR(INDEX('Retirement Calculator'!K:K,MATCH('Lorri 401b'!N1232,'Retirement Calculator'!A:A,0),0),0)</f>
        <v>0</v>
      </c>
      <c r="K1232" s="455">
        <f t="shared" ca="1" si="103"/>
        <v>-293586.85100049735</v>
      </c>
      <c r="L1232" s="455">
        <f t="shared" ca="1" si="104"/>
        <v>-70754431.091119871</v>
      </c>
      <c r="M1232" s="471">
        <f t="shared" si="106"/>
        <v>0.05</v>
      </c>
      <c r="N1232" s="475">
        <f t="shared" si="107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5"/>
        <v>-70754431.091119871</v>
      </c>
      <c r="J1233" s="455">
        <f t="array" ref="J1233">IFERROR(INDEX('Retirement Calculator'!K:K,MATCH('Lorri 401b'!N1233,'Retirement Calculator'!A:A,0),0),0)</f>
        <v>0</v>
      </c>
      <c r="K1233" s="455">
        <f t="shared" ca="1" si="103"/>
        <v>-294810.12954633281</v>
      </c>
      <c r="L1233" s="455">
        <f t="shared" ca="1" si="104"/>
        <v>-71049241.2206662</v>
      </c>
      <c r="M1233" s="471">
        <f t="shared" si="106"/>
        <v>0.05</v>
      </c>
      <c r="N1233" s="475">
        <f t="shared" si="107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5"/>
        <v>-71049241.2206662</v>
      </c>
      <c r="J1234" s="455">
        <f t="array" ref="J1234">IFERROR(INDEX('Retirement Calculator'!K:K,MATCH('Lorri 401b'!N1234,'Retirement Calculator'!A:A,0),0),0)</f>
        <v>0</v>
      </c>
      <c r="K1234" s="455">
        <f t="shared" ca="1" si="103"/>
        <v>-296038.50508610916</v>
      </c>
      <c r="L1234" s="455">
        <f t="shared" ca="1" si="104"/>
        <v>-71345279.725752309</v>
      </c>
      <c r="M1234" s="471">
        <f t="shared" si="106"/>
        <v>0.05</v>
      </c>
      <c r="N1234" s="475">
        <f t="shared" si="107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5"/>
        <v>-71345279.725752309</v>
      </c>
      <c r="J1235" s="455">
        <f t="array" ref="J1235">IFERROR(INDEX('Retirement Calculator'!K:K,MATCH('Lorri 401b'!N1235,'Retirement Calculator'!A:A,0),0),0)</f>
        <v>0</v>
      </c>
      <c r="K1235" s="455">
        <f t="shared" ca="1" si="103"/>
        <v>-297271.99885730131</v>
      </c>
      <c r="L1235" s="455">
        <f t="shared" ca="1" si="104"/>
        <v>-71642551.724609613</v>
      </c>
      <c r="M1235" s="471">
        <f t="shared" si="106"/>
        <v>0.05</v>
      </c>
      <c r="N1235" s="475">
        <f t="shared" si="107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5"/>
        <v>-71642551.724609613</v>
      </c>
      <c r="J1236" s="455">
        <f t="array" ref="J1236">IFERROR(INDEX('Retirement Calculator'!K:K,MATCH('Lorri 401b'!N1236,'Retirement Calculator'!A:A,0),0),0)</f>
        <v>0</v>
      </c>
      <c r="K1236" s="455">
        <f t="shared" ca="1" si="103"/>
        <v>-298510.6321858734</v>
      </c>
      <c r="L1236" s="455">
        <f t="shared" ca="1" si="104"/>
        <v>-71941062.35679549</v>
      </c>
      <c r="M1236" s="471">
        <f t="shared" si="106"/>
        <v>0.05</v>
      </c>
      <c r="N1236" s="475">
        <f t="shared" si="107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5"/>
        <v>-71941062.35679549</v>
      </c>
      <c r="J1237" s="455">
        <f t="array" ref="J1237">IFERROR(INDEX('Retirement Calculator'!K:K,MATCH('Lorri 401b'!N1237,'Retirement Calculator'!A:A,0),0),0)</f>
        <v>0</v>
      </c>
      <c r="K1237" s="455">
        <f t="shared" ca="1" si="103"/>
        <v>-299754.42648664786</v>
      </c>
      <c r="L1237" s="455">
        <f t="shared" ca="1" si="104"/>
        <v>-72240816.783282131</v>
      </c>
      <c r="M1237" s="471">
        <f t="shared" si="106"/>
        <v>0.05</v>
      </c>
      <c r="N1237" s="475">
        <f t="shared" si="107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5"/>
        <v>-72240816.783282131</v>
      </c>
      <c r="J1238" s="455">
        <f t="array" ref="J1238">IFERROR(INDEX('Retirement Calculator'!K:K,MATCH('Lorri 401b'!N1238,'Retirement Calculator'!A:A,0),0),0)</f>
        <v>0</v>
      </c>
      <c r="K1238" s="455">
        <f t="shared" ca="1" si="103"/>
        <v>-301003.40326367551</v>
      </c>
      <c r="L1238" s="455">
        <f t="shared" ca="1" si="104"/>
        <v>-72541820.186545804</v>
      </c>
      <c r="M1238" s="471">
        <f t="shared" si="106"/>
        <v>0.05</v>
      </c>
      <c r="N1238" s="475">
        <f t="shared" si="107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5"/>
        <v>-72541820.186545804</v>
      </c>
      <c r="J1239" s="455">
        <f t="array" ref="J1239">IFERROR(INDEX('Retirement Calculator'!K:K,MATCH('Lorri 401b'!N1239,'Retirement Calculator'!A:A,0),0),0)</f>
        <v>0</v>
      </c>
      <c r="K1239" s="455">
        <f t="shared" ca="1" si="103"/>
        <v>-302257.58411060751</v>
      </c>
      <c r="L1239" s="455">
        <f t="shared" ca="1" si="104"/>
        <v>-72844077.770656407</v>
      </c>
      <c r="M1239" s="471">
        <f t="shared" si="106"/>
        <v>0.05</v>
      </c>
      <c r="N1239" s="475">
        <f t="shared" si="107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5"/>
        <v>-72844077.770656407</v>
      </c>
      <c r="J1240" s="455">
        <f t="array" ref="J1240">IFERROR(INDEX('Retirement Calculator'!K:K,MATCH('Lorri 401b'!N1240,'Retirement Calculator'!A:A,0),0),0)</f>
        <v>0</v>
      </c>
      <c r="K1240" s="455">
        <f t="shared" ca="1" si="103"/>
        <v>-303516.99071106839</v>
      </c>
      <c r="L1240" s="455">
        <f t="shared" ca="1" si="104"/>
        <v>-73147594.76136747</v>
      </c>
      <c r="M1240" s="471">
        <f t="shared" si="106"/>
        <v>0.05</v>
      </c>
      <c r="N1240" s="475">
        <f t="shared" si="107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5"/>
        <v>-73147594.76136747</v>
      </c>
      <c r="J1241" s="455">
        <f t="array" ref="J1241">IFERROR(INDEX('Retirement Calculator'!K:K,MATCH('Lorri 401b'!N1241,'Retirement Calculator'!A:A,0),0),0)</f>
        <v>0</v>
      </c>
      <c r="K1241" s="455">
        <f t="shared" ca="1" si="103"/>
        <v>-304781.6448390311</v>
      </c>
      <c r="L1241" s="455">
        <f t="shared" ca="1" si="104"/>
        <v>-73452376.406206504</v>
      </c>
      <c r="M1241" s="471">
        <f t="shared" si="106"/>
        <v>0.05</v>
      </c>
      <c r="N1241" s="475">
        <f t="shared" si="107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5"/>
        <v>-73452376.406206504</v>
      </c>
      <c r="J1242" s="455">
        <f t="array" ref="J1242">IFERROR(INDEX('Retirement Calculator'!K:K,MATCH('Lorri 401b'!N1242,'Retirement Calculator'!A:A,0),0),0)</f>
        <v>0</v>
      </c>
      <c r="K1242" s="455">
        <f t="shared" ca="1" si="103"/>
        <v>-306051.56835919374</v>
      </c>
      <c r="L1242" s="455">
        <f t="shared" ca="1" si="104"/>
        <v>-73758427.9745657</v>
      </c>
      <c r="M1242" s="471">
        <f t="shared" si="106"/>
        <v>0.05</v>
      </c>
      <c r="N1242" s="475">
        <f t="shared" si="107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5"/>
        <v>-73758427.9745657</v>
      </c>
      <c r="J1243" s="455">
        <f t="array" ref="J1243">IFERROR(INDEX('Retirement Calculator'!K:K,MATCH('Lorri 401b'!N1243,'Retirement Calculator'!A:A,0),0),0)</f>
        <v>0</v>
      </c>
      <c r="K1243" s="455">
        <f t="shared" ca="1" si="103"/>
        <v>-307326.78322735708</v>
      </c>
      <c r="L1243" s="455">
        <f t="shared" ca="1" si="104"/>
        <v>-74065754.757793054</v>
      </c>
      <c r="M1243" s="471">
        <f t="shared" si="106"/>
        <v>0.05</v>
      </c>
      <c r="N1243" s="475">
        <f t="shared" si="107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5"/>
        <v>-74065754.757793054</v>
      </c>
      <c r="J1244" s="455">
        <f t="array" ref="J1244">IFERROR(INDEX('Retirement Calculator'!K:K,MATCH('Lorri 401b'!N1244,'Retirement Calculator'!A:A,0),0),0)</f>
        <v>0</v>
      </c>
      <c r="K1244" s="455">
        <f t="shared" ca="1" si="103"/>
        <v>-308607.31149080436</v>
      </c>
      <c r="L1244" s="455">
        <f t="shared" ca="1" si="104"/>
        <v>-74374362.069283858</v>
      </c>
      <c r="M1244" s="471">
        <f t="shared" si="106"/>
        <v>0.05</v>
      </c>
      <c r="N1244" s="475">
        <f t="shared" si="107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5"/>
        <v>-74374362.069283858</v>
      </c>
      <c r="J1245" s="455">
        <f t="array" ref="J1245">IFERROR(INDEX('Retirement Calculator'!K:K,MATCH('Lorri 401b'!N1245,'Retirement Calculator'!A:A,0),0),0)</f>
        <v>0</v>
      </c>
      <c r="K1245" s="455">
        <f t="shared" ca="1" si="103"/>
        <v>-309893.17528868275</v>
      </c>
      <c r="L1245" s="455">
        <f t="shared" ca="1" si="104"/>
        <v>-74684255.244572535</v>
      </c>
      <c r="M1245" s="471">
        <f t="shared" si="106"/>
        <v>0.05</v>
      </c>
      <c r="N1245" s="475">
        <f t="shared" si="107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5"/>
        <v>-74684255.244572535</v>
      </c>
      <c r="J1246" s="455">
        <f t="array" ref="J1246">IFERROR(INDEX('Retirement Calculator'!K:K,MATCH('Lorri 401b'!N1246,'Retirement Calculator'!A:A,0),0),0)</f>
        <v>0</v>
      </c>
      <c r="K1246" s="455">
        <f t="shared" ca="1" si="103"/>
        <v>-311184.39685238554</v>
      </c>
      <c r="L1246" s="455">
        <f t="shared" ca="1" si="104"/>
        <v>-74995439.641424924</v>
      </c>
      <c r="M1246" s="471">
        <f t="shared" si="106"/>
        <v>0.05</v>
      </c>
      <c r="N1246" s="475">
        <f t="shared" si="107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5"/>
        <v>-74995439.641424924</v>
      </c>
      <c r="J1247" s="455">
        <f t="array" ref="J1247">IFERROR(INDEX('Retirement Calculator'!K:K,MATCH('Lorri 401b'!N1247,'Retirement Calculator'!A:A,0),0),0)</f>
        <v>0</v>
      </c>
      <c r="K1247" s="455">
        <f t="shared" ca="1" si="103"/>
        <v>-312480.99850593717</v>
      </c>
      <c r="L1247" s="455">
        <f t="shared" ca="1" si="104"/>
        <v>-75307920.639930859</v>
      </c>
      <c r="M1247" s="471">
        <f t="shared" si="106"/>
        <v>0.05</v>
      </c>
      <c r="N1247" s="475">
        <f t="shared" si="107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5"/>
        <v>-75307920.639930859</v>
      </c>
      <c r="J1248" s="455">
        <f t="array" ref="J1248">IFERROR(INDEX('Retirement Calculator'!K:K,MATCH('Lorri 401b'!N1248,'Retirement Calculator'!A:A,0),0),0)</f>
        <v>0</v>
      </c>
      <c r="K1248" s="455">
        <f t="shared" ca="1" si="103"/>
        <v>-313783.00266637857</v>
      </c>
      <c r="L1248" s="455">
        <f t="shared" ca="1" si="104"/>
        <v>-75621703.642597243</v>
      </c>
      <c r="M1248" s="471">
        <f t="shared" si="106"/>
        <v>0.05</v>
      </c>
      <c r="N1248" s="475">
        <f t="shared" si="107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5"/>
        <v>-75621703.642597243</v>
      </c>
      <c r="J1249" s="455">
        <f t="array" ref="J1249">IFERROR(INDEX('Retirement Calculator'!K:K,MATCH('Lorri 401b'!N1249,'Retirement Calculator'!A:A,0),0),0)</f>
        <v>0</v>
      </c>
      <c r="K1249" s="455">
        <f t="shared" ca="1" si="103"/>
        <v>-315090.43184415519</v>
      </c>
      <c r="L1249" s="455">
        <f t="shared" ca="1" si="104"/>
        <v>-75936794.074441403</v>
      </c>
      <c r="M1249" s="471">
        <f t="shared" si="106"/>
        <v>0.05</v>
      </c>
      <c r="N1249" s="475">
        <f t="shared" si="107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5"/>
        <v>-75936794.074441403</v>
      </c>
      <c r="J1250" s="455">
        <f t="array" ref="J1250">IFERROR(INDEX('Retirement Calculator'!K:K,MATCH('Lorri 401b'!N1250,'Retirement Calculator'!A:A,0),0),0)</f>
        <v>0</v>
      </c>
      <c r="K1250" s="455">
        <f t="shared" ca="1" si="103"/>
        <v>-316403.30864350585</v>
      </c>
      <c r="L1250" s="455">
        <f t="shared" ca="1" si="104"/>
        <v>-76253197.383084908</v>
      </c>
      <c r="M1250" s="471">
        <f t="shared" si="106"/>
        <v>0.05</v>
      </c>
      <c r="N1250" s="475">
        <f t="shared" si="107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5"/>
        <v>-76253197.383084908</v>
      </c>
      <c r="J1251" s="455">
        <f t="array" ref="J1251">IFERROR(INDEX('Retirement Calculator'!K:K,MATCH('Lorri 401b'!N1251,'Retirement Calculator'!A:A,0),0),0)</f>
        <v>0</v>
      </c>
      <c r="K1251" s="455">
        <f t="shared" ca="1" si="103"/>
        <v>-317721.6557628538</v>
      </c>
      <c r="L1251" s="455">
        <f t="shared" ca="1" si="104"/>
        <v>-76570919.038847759</v>
      </c>
      <c r="M1251" s="471">
        <f t="shared" si="106"/>
        <v>0.05</v>
      </c>
      <c r="N1251" s="475">
        <f t="shared" si="107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5"/>
        <v>-76570919.038847759</v>
      </c>
      <c r="J1252" s="455">
        <f t="array" ref="J1252">IFERROR(INDEX('Retirement Calculator'!K:K,MATCH('Lorri 401b'!N1252,'Retirement Calculator'!A:A,0),0),0)</f>
        <v>0</v>
      </c>
      <c r="K1252" s="455">
        <f t="shared" ca="1" si="103"/>
        <v>-319045.49599519902</v>
      </c>
      <c r="L1252" s="455">
        <f t="shared" ca="1" si="104"/>
        <v>-76889964.534842953</v>
      </c>
      <c r="M1252" s="471">
        <f t="shared" si="106"/>
        <v>0.05</v>
      </c>
      <c r="N1252" s="475">
        <f t="shared" si="107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5"/>
        <v>-76889964.534842953</v>
      </c>
      <c r="J1253" s="455">
        <f t="array" ref="J1253">IFERROR(INDEX('Retirement Calculator'!K:K,MATCH('Lorri 401b'!N1253,'Retirement Calculator'!A:A,0),0),0)</f>
        <v>0</v>
      </c>
      <c r="K1253" s="455">
        <f t="shared" ca="1" si="103"/>
        <v>-320374.85222851229</v>
      </c>
      <c r="L1253" s="455">
        <f t="shared" ca="1" si="104"/>
        <v>-77210339.38707146</v>
      </c>
      <c r="M1253" s="471">
        <f t="shared" si="106"/>
        <v>0.05</v>
      </c>
      <c r="N1253" s="475">
        <f t="shared" si="107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5"/>
        <v>-77210339.38707146</v>
      </c>
      <c r="J1254" s="455">
        <f t="array" ref="J1254">IFERROR(INDEX('Retirement Calculator'!K:K,MATCH('Lorri 401b'!N1254,'Retirement Calculator'!A:A,0),0),0)</f>
        <v>0</v>
      </c>
      <c r="K1254" s="455">
        <f t="shared" ca="1" si="103"/>
        <v>-321709.74744613108</v>
      </c>
      <c r="L1254" s="455">
        <f t="shared" ca="1" si="104"/>
        <v>-77532049.134517595</v>
      </c>
      <c r="M1254" s="471">
        <f t="shared" si="106"/>
        <v>0.05</v>
      </c>
      <c r="N1254" s="475">
        <f t="shared" si="107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5"/>
        <v>-77532049.134517595</v>
      </c>
      <c r="J1255" s="455">
        <f t="array" ref="J1255">IFERROR(INDEX('Retirement Calculator'!K:K,MATCH('Lorri 401b'!N1255,'Retirement Calculator'!A:A,0),0),0)</f>
        <v>0</v>
      </c>
      <c r="K1255" s="455">
        <f t="shared" ca="1" si="103"/>
        <v>-323050.20472715667</v>
      </c>
      <c r="L1255" s="455">
        <f t="shared" ca="1" si="104"/>
        <v>-77855099.339244753</v>
      </c>
      <c r="M1255" s="471">
        <f t="shared" si="106"/>
        <v>0.05</v>
      </c>
      <c r="N1255" s="475">
        <f t="shared" si="107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5"/>
        <v>-77855099.339244753</v>
      </c>
      <c r="J1256" s="455">
        <f t="array" ref="J1256">IFERROR(INDEX('Retirement Calculator'!K:K,MATCH('Lorri 401b'!N1256,'Retirement Calculator'!A:A,0),0),0)</f>
        <v>0</v>
      </c>
      <c r="K1256" s="455">
        <f t="shared" ca="1" si="103"/>
        <v>-324396.24724685313</v>
      </c>
      <c r="L1256" s="455">
        <f t="shared" ca="1" si="104"/>
        <v>-78179495.5864916</v>
      </c>
      <c r="M1256" s="471">
        <f t="shared" si="106"/>
        <v>0.05</v>
      </c>
      <c r="N1256" s="475">
        <f t="shared" si="107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5"/>
        <v>-78179495.5864916</v>
      </c>
      <c r="J1257" s="455">
        <f t="array" ref="J1257">IFERROR(INDEX('Retirement Calculator'!K:K,MATCH('Lorri 401b'!N1257,'Retirement Calculator'!A:A,0),0),0)</f>
        <v>0</v>
      </c>
      <c r="K1257" s="455">
        <f t="shared" ca="1" si="103"/>
        <v>-325747.89827704831</v>
      </c>
      <c r="L1257" s="455">
        <f t="shared" ca="1" si="104"/>
        <v>-78505243.484768644</v>
      </c>
      <c r="M1257" s="471">
        <f t="shared" si="106"/>
        <v>0.05</v>
      </c>
      <c r="N1257" s="475">
        <f t="shared" si="107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5"/>
        <v>-78505243.484768644</v>
      </c>
      <c r="J1258" s="455">
        <f t="array" ref="J1258">IFERROR(INDEX('Retirement Calculator'!K:K,MATCH('Lorri 401b'!N1258,'Retirement Calculator'!A:A,0),0),0)</f>
        <v>0</v>
      </c>
      <c r="K1258" s="455">
        <f t="shared" ca="1" si="103"/>
        <v>-327105.18118653604</v>
      </c>
      <c r="L1258" s="455">
        <f t="shared" ca="1" si="104"/>
        <v>-78832348.665955186</v>
      </c>
      <c r="M1258" s="471">
        <f t="shared" si="106"/>
        <v>0.05</v>
      </c>
      <c r="N1258" s="475">
        <f t="shared" si="107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5"/>
        <v>-78832348.665955186</v>
      </c>
      <c r="J1259" s="455">
        <f t="array" ref="J1259">IFERROR(INDEX('Retirement Calculator'!K:K,MATCH('Lorri 401b'!N1259,'Retirement Calculator'!A:A,0),0),0)</f>
        <v>0</v>
      </c>
      <c r="K1259" s="455">
        <f t="shared" ca="1" si="103"/>
        <v>-328468.11944147991</v>
      </c>
      <c r="L1259" s="455">
        <f t="shared" ca="1" si="104"/>
        <v>-79160816.785396665</v>
      </c>
      <c r="M1259" s="471">
        <f t="shared" si="106"/>
        <v>0.05</v>
      </c>
      <c r="N1259" s="475">
        <f t="shared" si="107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5"/>
        <v>-79160816.785396665</v>
      </c>
      <c r="J1260" s="455">
        <f t="array" ref="J1260">IFERROR(INDEX('Retirement Calculator'!K:K,MATCH('Lorri 401b'!N1260,'Retirement Calculator'!A:A,0),0),0)</f>
        <v>0</v>
      </c>
      <c r="K1260" s="455">
        <f t="shared" ca="1" si="103"/>
        <v>-329836.73660581943</v>
      </c>
      <c r="L1260" s="455">
        <f t="shared" ca="1" si="104"/>
        <v>-79490653.522002488</v>
      </c>
      <c r="M1260" s="471">
        <f t="shared" si="106"/>
        <v>0.05</v>
      </c>
      <c r="N1260" s="475">
        <f t="shared" si="107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5"/>
        <v>-79490653.522002488</v>
      </c>
      <c r="J1261" s="455">
        <f t="array" ref="J1261">IFERROR(INDEX('Retirement Calculator'!K:K,MATCH('Lorri 401b'!N1261,'Retirement Calculator'!A:A,0),0),0)</f>
        <v>0</v>
      </c>
      <c r="K1261" s="455">
        <f t="shared" ca="1" si="103"/>
        <v>-331211.05634167703</v>
      </c>
      <c r="L1261" s="455">
        <f t="shared" ca="1" si="104"/>
        <v>-79821864.578344166</v>
      </c>
      <c r="M1261" s="471">
        <f t="shared" si="106"/>
        <v>0.05</v>
      </c>
      <c r="N1261" s="475">
        <f t="shared" si="107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5"/>
        <v>-79821864.578344166</v>
      </c>
      <c r="J1262" s="455">
        <f t="array" ref="J1262">IFERROR(INDEX('Retirement Calculator'!K:K,MATCH('Lorri 401b'!N1262,'Retirement Calculator'!A:A,0),0),0)</f>
        <v>0</v>
      </c>
      <c r="K1262" s="455">
        <f t="shared" ca="1" si="103"/>
        <v>-332591.10240976734</v>
      </c>
      <c r="L1262" s="455">
        <f t="shared" ca="1" si="104"/>
        <v>-80154455.680753931</v>
      </c>
      <c r="M1262" s="471">
        <f t="shared" si="106"/>
        <v>0.05</v>
      </c>
      <c r="N1262" s="475">
        <f t="shared" si="107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5"/>
        <v>-80154455.680753931</v>
      </c>
      <c r="J1263" s="455">
        <f t="array" ref="J1263">IFERROR(INDEX('Retirement Calculator'!K:K,MATCH('Lorri 401b'!N1263,'Retirement Calculator'!A:A,0),0),0)</f>
        <v>0</v>
      </c>
      <c r="K1263" s="455">
        <f t="shared" ca="1" si="103"/>
        <v>-333976.89866980806</v>
      </c>
      <c r="L1263" s="455">
        <f t="shared" ca="1" si="104"/>
        <v>-80488432.579423741</v>
      </c>
      <c r="M1263" s="471">
        <f t="shared" si="106"/>
        <v>0.05</v>
      </c>
      <c r="N1263" s="475">
        <f t="shared" si="107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5"/>
        <v>-80488432.579423741</v>
      </c>
      <c r="J1264" s="455">
        <f t="array" ref="J1264">IFERROR(INDEX('Retirement Calculator'!K:K,MATCH('Lorri 401b'!N1264,'Retirement Calculator'!A:A,0),0),0)</f>
        <v>0</v>
      </c>
      <c r="K1264" s="455">
        <f t="shared" ca="1" si="103"/>
        <v>-335368.46908093226</v>
      </c>
      <c r="L1264" s="455">
        <f t="shared" ca="1" si="104"/>
        <v>-80823801.048504665</v>
      </c>
      <c r="M1264" s="471">
        <f t="shared" si="106"/>
        <v>0.05</v>
      </c>
      <c r="N1264" s="475">
        <f t="shared" si="107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5"/>
        <v>-80823801.048504665</v>
      </c>
      <c r="J1265" s="455">
        <f t="array" ref="J1265">IFERROR(INDEX('Retirement Calculator'!K:K,MATCH('Lorri 401b'!N1265,'Retirement Calculator'!A:A,0),0),0)</f>
        <v>0</v>
      </c>
      <c r="K1265" s="455">
        <f t="shared" ca="1" si="103"/>
        <v>-336765.83770210278</v>
      </c>
      <c r="L1265" s="455">
        <f t="shared" ca="1" si="104"/>
        <v>-81160566.886206761</v>
      </c>
      <c r="M1265" s="471">
        <f t="shared" si="106"/>
        <v>0.05</v>
      </c>
      <c r="N1265" s="475">
        <f t="shared" si="107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5"/>
        <v>-81160566.886206761</v>
      </c>
      <c r="J1266" s="455">
        <f t="array" ref="J1266">IFERROR(INDEX('Retirement Calculator'!K:K,MATCH('Lorri 401b'!N1266,'Retirement Calculator'!A:A,0),0),0)</f>
        <v>0</v>
      </c>
      <c r="K1266" s="455">
        <f t="shared" ca="1" si="103"/>
        <v>-338169.02869252814</v>
      </c>
      <c r="L1266" s="455">
        <f t="shared" ca="1" si="104"/>
        <v>-81498735.91489929</v>
      </c>
      <c r="M1266" s="471">
        <f t="shared" si="106"/>
        <v>0.05</v>
      </c>
      <c r="N1266" s="475">
        <f t="shared" si="107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5"/>
        <v>-81498735.91489929</v>
      </c>
      <c r="J1267" s="455">
        <f t="array" ref="J1267">IFERROR(INDEX('Retirement Calculator'!K:K,MATCH('Lorri 401b'!N1267,'Retirement Calculator'!A:A,0),0),0)</f>
        <v>0</v>
      </c>
      <c r="K1267" s="455">
        <f t="shared" ca="1" si="103"/>
        <v>-339578.06631208037</v>
      </c>
      <c r="L1267" s="455">
        <f t="shared" ca="1" si="104"/>
        <v>-81838313.981211364</v>
      </c>
      <c r="M1267" s="471">
        <f t="shared" si="106"/>
        <v>0.05</v>
      </c>
      <c r="N1267" s="475">
        <f t="shared" si="107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5"/>
        <v>-81838313.981211364</v>
      </c>
      <c r="J1268" s="455">
        <f t="array" ref="J1268">IFERROR(INDEX('Retirement Calculator'!K:K,MATCH('Lorri 401b'!N1268,'Retirement Calculator'!A:A,0),0),0)</f>
        <v>0</v>
      </c>
      <c r="K1268" s="455">
        <f t="shared" ca="1" si="103"/>
        <v>-340992.97492171399</v>
      </c>
      <c r="L1268" s="455">
        <f t="shared" ca="1" si="104"/>
        <v>-82179306.956133083</v>
      </c>
      <c r="M1268" s="471">
        <f t="shared" si="106"/>
        <v>0.05</v>
      </c>
      <c r="N1268" s="475">
        <f t="shared" si="107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5"/>
        <v>-82179306.956133083</v>
      </c>
      <c r="J1269" s="455">
        <f t="array" ref="J1269">IFERROR(INDEX('Retirement Calculator'!K:K,MATCH('Lorri 401b'!N1269,'Retirement Calculator'!A:A,0),0),0)</f>
        <v>0</v>
      </c>
      <c r="K1269" s="455">
        <f t="shared" ca="1" si="103"/>
        <v>-342413.77898388787</v>
      </c>
      <c r="L1269" s="455">
        <f t="shared" ca="1" si="104"/>
        <v>-82521720.735116974</v>
      </c>
      <c r="M1269" s="471">
        <f t="shared" si="106"/>
        <v>0.05</v>
      </c>
      <c r="N1269" s="475">
        <f t="shared" si="107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5"/>
        <v>-82521720.735116974</v>
      </c>
      <c r="J1270" s="455">
        <f t="array" ref="J1270">IFERROR(INDEX('Retirement Calculator'!K:K,MATCH('Lorri 401b'!N1270,'Retirement Calculator'!A:A,0),0),0)</f>
        <v>0</v>
      </c>
      <c r="K1270" s="455">
        <f t="shared" ca="1" si="103"/>
        <v>-343840.50306298741</v>
      </c>
      <c r="L1270" s="455">
        <f t="shared" ca="1" si="104"/>
        <v>-82865561.238179967</v>
      </c>
      <c r="M1270" s="471">
        <f t="shared" si="106"/>
        <v>0.05</v>
      </c>
      <c r="N1270" s="475">
        <f t="shared" si="107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5"/>
        <v>-82865561.238179967</v>
      </c>
      <c r="J1271" s="455">
        <f t="array" ref="J1271">IFERROR(INDEX('Retirement Calculator'!K:K,MATCH('Lorri 401b'!N1271,'Retirement Calculator'!A:A,0),0),0)</f>
        <v>0</v>
      </c>
      <c r="K1271" s="455">
        <f t="shared" ca="1" si="103"/>
        <v>-345273.17182574986</v>
      </c>
      <c r="L1271" s="455">
        <f t="shared" ca="1" si="104"/>
        <v>-83210834.410005718</v>
      </c>
      <c r="M1271" s="471">
        <f t="shared" si="106"/>
        <v>0.05</v>
      </c>
      <c r="N1271" s="475">
        <f t="shared" si="107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5"/>
        <v>-83210834.410005718</v>
      </c>
      <c r="J1272" s="455">
        <f t="array" ref="J1272">IFERROR(INDEX('Retirement Calculator'!K:K,MATCH('Lorri 401b'!N1272,'Retirement Calculator'!A:A,0),0),0)</f>
        <v>0</v>
      </c>
      <c r="K1272" s="455">
        <f t="shared" ca="1" si="103"/>
        <v>-346711.81004169048</v>
      </c>
      <c r="L1272" s="455">
        <f t="shared" ca="1" si="104"/>
        <v>-83557546.220047414</v>
      </c>
      <c r="M1272" s="471">
        <f t="shared" si="106"/>
        <v>0.05</v>
      </c>
      <c r="N1272" s="475">
        <f t="shared" si="107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5"/>
        <v>-83557546.220047414</v>
      </c>
      <c r="J1273" s="455">
        <f t="array" ref="J1273">IFERROR(INDEX('Retirement Calculator'!K:K,MATCH('Lorri 401b'!N1273,'Retirement Calculator'!A:A,0),0),0)</f>
        <v>0</v>
      </c>
      <c r="K1273" s="455">
        <f t="shared" ca="1" si="103"/>
        <v>-348156.44258353091</v>
      </c>
      <c r="L1273" s="455">
        <f t="shared" ca="1" si="104"/>
        <v>-83905702.662630945</v>
      </c>
      <c r="M1273" s="471">
        <f t="shared" si="106"/>
        <v>0.05</v>
      </c>
      <c r="N1273" s="475">
        <f t="shared" si="107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5"/>
        <v>-83905702.662630945</v>
      </c>
      <c r="J1274" s="455">
        <f t="array" ref="J1274">IFERROR(INDEX('Retirement Calculator'!K:K,MATCH('Lorri 401b'!N1274,'Retirement Calculator'!A:A,0),0),0)</f>
        <v>0</v>
      </c>
      <c r="K1274" s="455">
        <f t="shared" ca="1" si="103"/>
        <v>-349607.09442762891</v>
      </c>
      <c r="L1274" s="455">
        <f t="shared" ca="1" si="104"/>
        <v>-84255309.757058576</v>
      </c>
      <c r="M1274" s="471">
        <f t="shared" si="106"/>
        <v>0.05</v>
      </c>
      <c r="N1274" s="475">
        <f t="shared" si="107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5"/>
        <v>-84255309.757058576</v>
      </c>
      <c r="J1275" s="455">
        <f t="array" ref="J1275">IFERROR(INDEX('Retirement Calculator'!K:K,MATCH('Lorri 401b'!N1275,'Retirement Calculator'!A:A,0),0),0)</f>
        <v>0</v>
      </c>
      <c r="K1275" s="455">
        <f t="shared" ca="1" si="103"/>
        <v>-351063.79065441072</v>
      </c>
      <c r="L1275" s="455">
        <f t="shared" ca="1" si="104"/>
        <v>-84606373.547712982</v>
      </c>
      <c r="M1275" s="471">
        <f t="shared" si="106"/>
        <v>0.05</v>
      </c>
      <c r="N1275" s="475">
        <f t="shared" si="107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5"/>
        <v>-84606373.547712982</v>
      </c>
      <c r="J1276" s="455">
        <f t="array" ref="J1276">IFERROR(INDEX('Retirement Calculator'!K:K,MATCH('Lorri 401b'!N1276,'Retirement Calculator'!A:A,0),0),0)</f>
        <v>0</v>
      </c>
      <c r="K1276" s="455">
        <f t="shared" ca="1" si="103"/>
        <v>-352526.5564488041</v>
      </c>
      <c r="L1276" s="455">
        <f t="shared" ca="1" si="104"/>
        <v>-84958900.104161784</v>
      </c>
      <c r="M1276" s="471">
        <f t="shared" si="106"/>
        <v>0.05</v>
      </c>
      <c r="N1276" s="475">
        <f t="shared" si="107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5"/>
        <v>-84958900.104161784</v>
      </c>
      <c r="J1277" s="455">
        <f t="array" ref="J1277">IFERROR(INDEX('Retirement Calculator'!K:K,MATCH('Lorri 401b'!N1277,'Retirement Calculator'!A:A,0),0),0)</f>
        <v>0</v>
      </c>
      <c r="K1277" s="455">
        <f t="shared" ca="1" si="103"/>
        <v>-353995.41710067412</v>
      </c>
      <c r="L1277" s="455">
        <f t="shared" ca="1" si="104"/>
        <v>-85312895.521262452</v>
      </c>
      <c r="M1277" s="471">
        <f t="shared" si="106"/>
        <v>0.05</v>
      </c>
      <c r="N1277" s="475">
        <f t="shared" si="107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5"/>
        <v>-85312895.521262452</v>
      </c>
      <c r="J1278" s="455">
        <f t="array" ref="J1278">IFERROR(INDEX('Retirement Calculator'!K:K,MATCH('Lorri 401b'!N1278,'Retirement Calculator'!A:A,0),0),0)</f>
        <v>0</v>
      </c>
      <c r="K1278" s="455">
        <f t="shared" ca="1" si="103"/>
        <v>-355470.39800526021</v>
      </c>
      <c r="L1278" s="455">
        <f t="shared" ca="1" si="104"/>
        <v>-85668365.919267714</v>
      </c>
      <c r="M1278" s="471">
        <f t="shared" si="106"/>
        <v>0.05</v>
      </c>
      <c r="N1278" s="475">
        <f t="shared" si="107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5"/>
        <v>-85668365.919267714</v>
      </c>
      <c r="J1279" s="455">
        <f t="array" ref="J1279">IFERROR(INDEX('Retirement Calculator'!K:K,MATCH('Lorri 401b'!N1279,'Retirement Calculator'!A:A,0),0),0)</f>
        <v>0</v>
      </c>
      <c r="K1279" s="455">
        <f t="shared" ca="1" si="103"/>
        <v>-356951.52466361545</v>
      </c>
      <c r="L1279" s="455">
        <f t="shared" ca="1" si="104"/>
        <v>-86025317.443931326</v>
      </c>
      <c r="M1279" s="471">
        <f t="shared" si="106"/>
        <v>0.05</v>
      </c>
      <c r="N1279" s="475">
        <f t="shared" si="107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5"/>
        <v>-86025317.443931326</v>
      </c>
      <c r="J1280" s="455">
        <f t="array" ref="J1280">IFERROR(INDEX('Retirement Calculator'!K:K,MATCH('Lorri 401b'!N1280,'Retirement Calculator'!A:A,0),0),0)</f>
        <v>0</v>
      </c>
      <c r="K1280" s="455">
        <f t="shared" ca="1" si="103"/>
        <v>-358438.82268304721</v>
      </c>
      <c r="L1280" s="455">
        <f t="shared" ca="1" si="104"/>
        <v>-86383756.266614377</v>
      </c>
      <c r="M1280" s="471">
        <f t="shared" si="106"/>
        <v>0.05</v>
      </c>
      <c r="N1280" s="475">
        <f t="shared" si="107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5"/>
        <v>-86383756.266614377</v>
      </c>
      <c r="J1281" s="455">
        <f t="array" ref="J1281">IFERROR(INDEX('Retirement Calculator'!K:K,MATCH('Lorri 401b'!N1281,'Retirement Calculator'!A:A,0),0),0)</f>
        <v>0</v>
      </c>
      <c r="K1281" s="455">
        <f t="shared" ca="1" si="103"/>
        <v>-359932.31777755992</v>
      </c>
      <c r="L1281" s="455">
        <f t="shared" ca="1" si="104"/>
        <v>-86743688.584391937</v>
      </c>
      <c r="M1281" s="471">
        <f t="shared" si="106"/>
        <v>0.05</v>
      </c>
      <c r="N1281" s="475">
        <f t="shared" si="107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5"/>
        <v>-86743688.584391937</v>
      </c>
      <c r="J1282" s="455">
        <f t="array" ref="J1282">IFERROR(INDEX('Retirement Calculator'!K:K,MATCH('Lorri 401b'!N1282,'Retirement Calculator'!A:A,0),0),0)</f>
        <v>0</v>
      </c>
      <c r="K1282" s="455">
        <f t="shared" ca="1" si="103"/>
        <v>-361432.03576829971</v>
      </c>
      <c r="L1282" s="455">
        <f t="shared" ca="1" si="104"/>
        <v>-87105120.620160237</v>
      </c>
      <c r="M1282" s="471">
        <f t="shared" si="106"/>
        <v>0.05</v>
      </c>
      <c r="N1282" s="475">
        <f t="shared" si="107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5"/>
        <v>-87105120.620160237</v>
      </c>
      <c r="J1283" s="455">
        <f t="array" ref="J1283">IFERROR(INDEX('Retirement Calculator'!K:K,MATCH('Lorri 401b'!N1283,'Retirement Calculator'!A:A,0),0),0)</f>
        <v>0</v>
      </c>
      <c r="K1283" s="455">
        <f t="shared" ref="K1283:K1537" ca="1" si="108">IPMT(M1283/12,1,12,-I1283+J1283,,0)</f>
        <v>-362938.00258400099</v>
      </c>
      <c r="L1283" s="455">
        <f t="shared" ref="L1283:L1537" ca="1" si="109">I1283-J1283+K1283</f>
        <v>-87468058.622744232</v>
      </c>
      <c r="M1283" s="471">
        <f t="shared" si="106"/>
        <v>0.05</v>
      </c>
      <c r="N1283" s="475">
        <f t="shared" si="107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10">L1283</f>
        <v>-87468058.622744232</v>
      </c>
      <c r="J1284" s="455">
        <f t="array" ref="J1284">IFERROR(INDEX('Retirement Calculator'!K:K,MATCH('Lorri 401b'!N1284,'Retirement Calculator'!A:A,0),0),0)</f>
        <v>0</v>
      </c>
      <c r="K1284" s="455">
        <f t="shared" ca="1" si="108"/>
        <v>-364450.2442614343</v>
      </c>
      <c r="L1284" s="455">
        <f t="shared" ca="1" si="109"/>
        <v>-87832508.867005661</v>
      </c>
      <c r="M1284" s="471">
        <f t="shared" ref="M1284:M1538" si="111">M1283</f>
        <v>0.05</v>
      </c>
      <c r="N1284" s="475">
        <f t="shared" ref="N1284:N1538" si="112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10"/>
        <v>-87832508.867005661</v>
      </c>
      <c r="J1285" s="455">
        <f t="array" ref="J1285">IFERROR(INDEX('Retirement Calculator'!K:K,MATCH('Lorri 401b'!N1285,'Retirement Calculator'!A:A,0),0),0)</f>
        <v>0</v>
      </c>
      <c r="K1285" s="455">
        <f t="shared" ca="1" si="108"/>
        <v>-365968.78694585693</v>
      </c>
      <c r="L1285" s="455">
        <f t="shared" ca="1" si="109"/>
        <v>-88198477.653951511</v>
      </c>
      <c r="M1285" s="471">
        <f t="shared" si="111"/>
        <v>0.05</v>
      </c>
      <c r="N1285" s="475">
        <f t="shared" si="112"/>
        <v>90156</v>
      </c>
    </row>
    <row r="1286" spans="7:14" ht="11.25" customHeight="1" x14ac:dyDescent="0.3">
      <c r="G1286" s="470"/>
      <c r="H1286" s="470">
        <v>1279</v>
      </c>
      <c r="I1286" s="455">
        <f t="shared" ca="1" si="110"/>
        <v>-88198477.653951511</v>
      </c>
      <c r="J1286" s="455">
        <f t="array" ref="J1286">IFERROR(INDEX('Retirement Calculator'!K:K,MATCH('Lorri 401b'!N1286,'Retirement Calculator'!A:A,0),0),0)</f>
        <v>0</v>
      </c>
      <c r="K1286" s="455">
        <f t="shared" ca="1" si="108"/>
        <v>-367493.6568914646</v>
      </c>
      <c r="L1286" s="455">
        <f t="shared" ca="1" si="109"/>
        <v>-88565971.310842976</v>
      </c>
      <c r="M1286" s="471">
        <f t="shared" si="111"/>
        <v>0.05</v>
      </c>
      <c r="N1286" s="475">
        <f t="shared" si="112"/>
        <v>90186</v>
      </c>
    </row>
    <row r="1287" spans="7:14" ht="11.25" customHeight="1" x14ac:dyDescent="0.3">
      <c r="G1287" s="470"/>
      <c r="H1287" s="470">
        <v>1280</v>
      </c>
      <c r="I1287" s="455">
        <f t="shared" ca="1" si="110"/>
        <v>-88565971.310842976</v>
      </c>
      <c r="J1287" s="455">
        <f t="array" ref="J1287">IFERROR(INDEX('Retirement Calculator'!K:K,MATCH('Lorri 401b'!N1287,'Retirement Calculator'!A:A,0),0),0)</f>
        <v>0</v>
      </c>
      <c r="K1287" s="455">
        <f t="shared" ca="1" si="108"/>
        <v>-369024.88046184572</v>
      </c>
      <c r="L1287" s="455">
        <f t="shared" ca="1" si="109"/>
        <v>-88934996.191304818</v>
      </c>
      <c r="M1287" s="471">
        <f t="shared" si="111"/>
        <v>0.05</v>
      </c>
      <c r="N1287" s="475">
        <f t="shared" si="112"/>
        <v>90217</v>
      </c>
    </row>
    <row r="1288" spans="7:14" ht="11.25" customHeight="1" x14ac:dyDescent="0.3">
      <c r="G1288" s="470"/>
      <c r="H1288" s="470">
        <v>1281</v>
      </c>
      <c r="I1288" s="455">
        <f t="shared" ca="1" si="110"/>
        <v>-88934996.191304818</v>
      </c>
      <c r="J1288" s="455">
        <f t="array" ref="J1288">IFERROR(INDEX('Retirement Calculator'!K:K,MATCH('Lorri 401b'!N1288,'Retirement Calculator'!A:A,0),0),0)</f>
        <v>0</v>
      </c>
      <c r="K1288" s="455">
        <f t="shared" ca="1" si="108"/>
        <v>-370562.48413043673</v>
      </c>
      <c r="L1288" s="455">
        <f t="shared" ca="1" si="109"/>
        <v>-89305558.67543526</v>
      </c>
      <c r="M1288" s="471">
        <f t="shared" si="111"/>
        <v>0.05</v>
      </c>
      <c r="N1288" s="475">
        <f t="shared" si="112"/>
        <v>90248</v>
      </c>
    </row>
    <row r="1289" spans="7:14" ht="11.25" customHeight="1" x14ac:dyDescent="0.3">
      <c r="G1289" s="470"/>
      <c r="H1289" s="470">
        <v>1282</v>
      </c>
      <c r="I1289" s="455">
        <f t="shared" ca="1" si="110"/>
        <v>-89305558.67543526</v>
      </c>
      <c r="J1289" s="455">
        <f t="array" ref="J1289">IFERROR(INDEX('Retirement Calculator'!K:K,MATCH('Lorri 401b'!N1289,'Retirement Calculator'!A:A,0),0),0)</f>
        <v>0</v>
      </c>
      <c r="K1289" s="455">
        <f t="shared" ca="1" si="108"/>
        <v>-372106.49448098027</v>
      </c>
      <c r="L1289" s="455">
        <f t="shared" ca="1" si="109"/>
        <v>-89677665.169916242</v>
      </c>
      <c r="M1289" s="471">
        <f t="shared" si="111"/>
        <v>0.05</v>
      </c>
      <c r="N1289" s="475">
        <f t="shared" si="112"/>
        <v>90276</v>
      </c>
    </row>
    <row r="1290" spans="7:14" ht="11.25" customHeight="1" x14ac:dyDescent="0.3">
      <c r="G1290" s="470"/>
      <c r="H1290" s="470">
        <v>1283</v>
      </c>
      <c r="I1290" s="455">
        <f t="shared" ca="1" si="110"/>
        <v>-89677665.169916242</v>
      </c>
      <c r="J1290" s="455">
        <f t="array" ref="J1290">IFERROR(INDEX('Retirement Calculator'!K:K,MATCH('Lorri 401b'!N1290,'Retirement Calculator'!A:A,0),0),0)</f>
        <v>0</v>
      </c>
      <c r="K1290" s="455">
        <f t="shared" ca="1" si="108"/>
        <v>-373656.93820798432</v>
      </c>
      <c r="L1290" s="455">
        <f t="shared" ca="1" si="109"/>
        <v>-90051322.108124226</v>
      </c>
      <c r="M1290" s="471">
        <f t="shared" si="111"/>
        <v>0.05</v>
      </c>
      <c r="N1290" s="475">
        <f t="shared" si="112"/>
        <v>90307</v>
      </c>
    </row>
    <row r="1291" spans="7:14" ht="11.25" customHeight="1" x14ac:dyDescent="0.3">
      <c r="G1291" s="470"/>
      <c r="H1291" s="470">
        <v>1284</v>
      </c>
      <c r="I1291" s="455">
        <f t="shared" ca="1" si="110"/>
        <v>-90051322.108124226</v>
      </c>
      <c r="J1291" s="455">
        <f t="array" ref="J1291">IFERROR(INDEX('Retirement Calculator'!K:K,MATCH('Lorri 401b'!N1291,'Retirement Calculator'!A:A,0),0),0)</f>
        <v>0</v>
      </c>
      <c r="K1291" s="455">
        <f t="shared" ca="1" si="108"/>
        <v>-375213.84211718425</v>
      </c>
      <c r="L1291" s="455">
        <f t="shared" ca="1" si="109"/>
        <v>-90426535.950241417</v>
      </c>
      <c r="M1291" s="471">
        <f t="shared" si="111"/>
        <v>0.05</v>
      </c>
      <c r="N1291" s="475">
        <f t="shared" si="112"/>
        <v>90337</v>
      </c>
    </row>
    <row r="1292" spans="7:14" ht="11.25" customHeight="1" x14ac:dyDescent="0.3">
      <c r="G1292" s="470"/>
      <c r="H1292" s="470">
        <v>1285</v>
      </c>
      <c r="I1292" s="455">
        <f t="shared" ca="1" si="110"/>
        <v>-90426535.950241417</v>
      </c>
      <c r="J1292" s="455">
        <f t="array" ref="J1292">IFERROR(INDEX('Retirement Calculator'!K:K,MATCH('Lorri 401b'!N1292,'Retirement Calculator'!A:A,0),0),0)</f>
        <v>0</v>
      </c>
      <c r="K1292" s="455">
        <f t="shared" ca="1" si="108"/>
        <v>-376777.23312600591</v>
      </c>
      <c r="L1292" s="455">
        <f t="shared" ca="1" si="109"/>
        <v>-90803313.183367416</v>
      </c>
      <c r="M1292" s="471">
        <f t="shared" si="111"/>
        <v>0.05</v>
      </c>
      <c r="N1292" s="475">
        <f t="shared" si="112"/>
        <v>90368</v>
      </c>
    </row>
    <row r="1293" spans="7:14" ht="11.25" customHeight="1" x14ac:dyDescent="0.3">
      <c r="G1293" s="470"/>
      <c r="H1293" s="470">
        <v>1286</v>
      </c>
      <c r="I1293" s="455">
        <f t="shared" ca="1" si="110"/>
        <v>-90803313.183367416</v>
      </c>
      <c r="J1293" s="455">
        <f t="array" ref="J1293">IFERROR(INDEX('Retirement Calculator'!K:K,MATCH('Lorri 401b'!N1293,'Retirement Calculator'!A:A,0),0),0)</f>
        <v>0</v>
      </c>
      <c r="K1293" s="455">
        <f t="shared" ca="1" si="108"/>
        <v>-378347.13826403092</v>
      </c>
      <c r="L1293" s="455">
        <f t="shared" ca="1" si="109"/>
        <v>-91181660.321631446</v>
      </c>
      <c r="M1293" s="471">
        <f t="shared" si="111"/>
        <v>0.05</v>
      </c>
      <c r="N1293" s="475">
        <f t="shared" si="112"/>
        <v>90398</v>
      </c>
    </row>
    <row r="1294" spans="7:14" ht="11.25" customHeight="1" x14ac:dyDescent="0.3">
      <c r="G1294" s="470"/>
      <c r="H1294" s="470">
        <v>1287</v>
      </c>
      <c r="I1294" s="455">
        <f t="shared" ca="1" si="110"/>
        <v>-91181660.321631446</v>
      </c>
      <c r="J1294" s="455">
        <f t="array" ref="J1294">IFERROR(INDEX('Retirement Calculator'!K:K,MATCH('Lorri 401b'!N1294,'Retirement Calculator'!A:A,0),0),0)</f>
        <v>0</v>
      </c>
      <c r="K1294" s="455">
        <f t="shared" ca="1" si="108"/>
        <v>-379923.58467346436</v>
      </c>
      <c r="L1294" s="455">
        <f t="shared" ca="1" si="109"/>
        <v>-91561583.906304911</v>
      </c>
      <c r="M1294" s="471">
        <f t="shared" si="111"/>
        <v>0.05</v>
      </c>
      <c r="N1294" s="475">
        <f t="shared" si="112"/>
        <v>90429</v>
      </c>
    </row>
    <row r="1295" spans="7:14" ht="11.25" customHeight="1" x14ac:dyDescent="0.3">
      <c r="G1295" s="470"/>
      <c r="H1295" s="470">
        <v>1288</v>
      </c>
      <c r="I1295" s="455">
        <f t="shared" ca="1" si="110"/>
        <v>-91561583.906304911</v>
      </c>
      <c r="J1295" s="455">
        <f t="array" ref="J1295">IFERROR(INDEX('Retirement Calculator'!K:K,MATCH('Lorri 401b'!N1295,'Retirement Calculator'!A:A,0),0),0)</f>
        <v>0</v>
      </c>
      <c r="K1295" s="455">
        <f t="shared" ca="1" si="108"/>
        <v>-381506.59960960381</v>
      </c>
      <c r="L1295" s="455">
        <f t="shared" ca="1" si="109"/>
        <v>-91943090.505914509</v>
      </c>
      <c r="M1295" s="471">
        <f t="shared" si="111"/>
        <v>0.05</v>
      </c>
      <c r="N1295" s="475">
        <f t="shared" si="112"/>
        <v>90460</v>
      </c>
    </row>
    <row r="1296" spans="7:14" ht="11.25" customHeight="1" x14ac:dyDescent="0.3">
      <c r="G1296" s="470"/>
      <c r="H1296" s="470">
        <v>1289</v>
      </c>
      <c r="I1296" s="455">
        <f t="shared" ca="1" si="110"/>
        <v>-91943090.505914509</v>
      </c>
      <c r="J1296" s="455">
        <f t="array" ref="J1296">IFERROR(INDEX('Retirement Calculator'!K:K,MATCH('Lorri 401b'!N1296,'Retirement Calculator'!A:A,0),0),0)</f>
        <v>0</v>
      </c>
      <c r="K1296" s="455">
        <f t="shared" ca="1" si="108"/>
        <v>-383096.21044131042</v>
      </c>
      <c r="L1296" s="455">
        <f t="shared" ca="1" si="109"/>
        <v>-92326186.716355816</v>
      </c>
      <c r="M1296" s="471">
        <f t="shared" si="111"/>
        <v>0.05</v>
      </c>
      <c r="N1296" s="475">
        <f t="shared" si="112"/>
        <v>90490</v>
      </c>
    </row>
    <row r="1297" spans="7:14" ht="11.25" customHeight="1" x14ac:dyDescent="0.3">
      <c r="G1297" s="470"/>
      <c r="H1297" s="470">
        <v>1290</v>
      </c>
      <c r="I1297" s="455">
        <f t="shared" ca="1" si="110"/>
        <v>-92326186.716355816</v>
      </c>
      <c r="J1297" s="455">
        <f t="array" ref="J1297">IFERROR(INDEX('Retirement Calculator'!K:K,MATCH('Lorri 401b'!N1297,'Retirement Calculator'!A:A,0),0),0)</f>
        <v>0</v>
      </c>
      <c r="K1297" s="455">
        <f t="shared" ca="1" si="108"/>
        <v>-384692.44465148257</v>
      </c>
      <c r="L1297" s="455">
        <f t="shared" ca="1" si="109"/>
        <v>-92710879.1610073</v>
      </c>
      <c r="M1297" s="471">
        <f t="shared" si="111"/>
        <v>0.05</v>
      </c>
      <c r="N1297" s="475">
        <f t="shared" si="112"/>
        <v>90521</v>
      </c>
    </row>
    <row r="1298" spans="7:14" ht="11.25" customHeight="1" x14ac:dyDescent="0.3">
      <c r="G1298" s="470"/>
      <c r="H1298" s="470">
        <v>1291</v>
      </c>
      <c r="I1298" s="455">
        <f t="shared" ca="1" si="110"/>
        <v>-92710879.1610073</v>
      </c>
      <c r="J1298" s="455">
        <f t="array" ref="J1298">IFERROR(INDEX('Retirement Calculator'!K:K,MATCH('Lorri 401b'!N1298,'Retirement Calculator'!A:A,0),0),0)</f>
        <v>0</v>
      </c>
      <c r="K1298" s="455">
        <f t="shared" ca="1" si="108"/>
        <v>-386295.32983753039</v>
      </c>
      <c r="L1298" s="455">
        <f t="shared" ca="1" si="109"/>
        <v>-93097174.490844831</v>
      </c>
      <c r="M1298" s="471">
        <f t="shared" si="111"/>
        <v>0.05</v>
      </c>
      <c r="N1298" s="475">
        <f t="shared" si="112"/>
        <v>90551</v>
      </c>
    </row>
    <row r="1299" spans="7:14" ht="11.25" customHeight="1" x14ac:dyDescent="0.3">
      <c r="G1299" s="470"/>
      <c r="H1299" s="470">
        <v>1292</v>
      </c>
      <c r="I1299" s="455">
        <f t="shared" ca="1" si="110"/>
        <v>-93097174.490844831</v>
      </c>
      <c r="J1299" s="455">
        <f t="array" ref="J1299">IFERROR(INDEX('Retirement Calculator'!K:K,MATCH('Lorri 401b'!N1299,'Retirement Calculator'!A:A,0),0),0)</f>
        <v>0</v>
      </c>
      <c r="K1299" s="455">
        <f t="shared" ca="1" si="108"/>
        <v>-387904.89371185348</v>
      </c>
      <c r="L1299" s="455">
        <f t="shared" ca="1" si="109"/>
        <v>-93485079.384556681</v>
      </c>
      <c r="M1299" s="471">
        <f t="shared" si="111"/>
        <v>0.05</v>
      </c>
      <c r="N1299" s="475">
        <f t="shared" si="112"/>
        <v>90582</v>
      </c>
    </row>
    <row r="1300" spans="7:14" ht="11.25" customHeight="1" x14ac:dyDescent="0.3">
      <c r="G1300" s="470"/>
      <c r="H1300" s="470">
        <v>1293</v>
      </c>
      <c r="I1300" s="455">
        <f t="shared" ca="1" si="110"/>
        <v>-93485079.384556681</v>
      </c>
      <c r="J1300" s="455">
        <f t="array" ref="J1300">IFERROR(INDEX('Retirement Calculator'!K:K,MATCH('Lorri 401b'!N1300,'Retirement Calculator'!A:A,0),0),0)</f>
        <v>0</v>
      </c>
      <c r="K1300" s="455">
        <f t="shared" ca="1" si="108"/>
        <v>-389521.16410231951</v>
      </c>
      <c r="L1300" s="455">
        <f t="shared" ca="1" si="109"/>
        <v>-93874600.548658997</v>
      </c>
      <c r="M1300" s="471">
        <f t="shared" si="111"/>
        <v>0.05</v>
      </c>
      <c r="N1300" s="475">
        <f t="shared" si="112"/>
        <v>90613</v>
      </c>
    </row>
    <row r="1301" spans="7:14" ht="11.25" customHeight="1" x14ac:dyDescent="0.3">
      <c r="G1301" s="470"/>
      <c r="H1301" s="470">
        <v>1294</v>
      </c>
      <c r="I1301" s="455">
        <f t="shared" ca="1" si="110"/>
        <v>-93874600.548658997</v>
      </c>
      <c r="J1301" s="455">
        <f t="array" ref="J1301">IFERROR(INDEX('Retirement Calculator'!K:K,MATCH('Lorri 401b'!N1301,'Retirement Calculator'!A:A,0),0),0)</f>
        <v>0</v>
      </c>
      <c r="K1301" s="455">
        <f t="shared" ca="1" si="108"/>
        <v>-391144.16895274579</v>
      </c>
      <c r="L1301" s="455">
        <f t="shared" ca="1" si="109"/>
        <v>-94265744.717611745</v>
      </c>
      <c r="M1301" s="471">
        <f t="shared" si="111"/>
        <v>0.05</v>
      </c>
      <c r="N1301" s="475">
        <f t="shared" si="112"/>
        <v>90642</v>
      </c>
    </row>
    <row r="1302" spans="7:14" ht="11.25" customHeight="1" x14ac:dyDescent="0.3">
      <c r="G1302" s="470"/>
      <c r="H1302" s="470">
        <v>1295</v>
      </c>
      <c r="I1302" s="455">
        <f t="shared" ca="1" si="110"/>
        <v>-94265744.717611745</v>
      </c>
      <c r="J1302" s="455">
        <f t="array" ref="J1302">IFERROR(INDEX('Retirement Calculator'!K:K,MATCH('Lorri 401b'!N1302,'Retirement Calculator'!A:A,0),0),0)</f>
        <v>0</v>
      </c>
      <c r="K1302" s="455">
        <f t="shared" ca="1" si="108"/>
        <v>-392773.93632338225</v>
      </c>
      <c r="L1302" s="455">
        <f t="shared" ca="1" si="109"/>
        <v>-94658518.653935134</v>
      </c>
      <c r="M1302" s="471">
        <f t="shared" si="111"/>
        <v>0.05</v>
      </c>
      <c r="N1302" s="475">
        <f t="shared" si="112"/>
        <v>90673</v>
      </c>
    </row>
    <row r="1303" spans="7:14" ht="11.25" customHeight="1" x14ac:dyDescent="0.3">
      <c r="G1303" s="470"/>
      <c r="H1303" s="470">
        <v>1296</v>
      </c>
      <c r="I1303" s="455">
        <f t="shared" ca="1" si="110"/>
        <v>-94658518.653935134</v>
      </c>
      <c r="J1303" s="455">
        <f t="array" ref="J1303">IFERROR(INDEX('Retirement Calculator'!K:K,MATCH('Lorri 401b'!N1303,'Retirement Calculator'!A:A,0),0),0)</f>
        <v>0</v>
      </c>
      <c r="K1303" s="455">
        <f t="shared" ca="1" si="108"/>
        <v>-394410.49439139641</v>
      </c>
      <c r="L1303" s="455">
        <f t="shared" ca="1" si="109"/>
        <v>-95052929.148326531</v>
      </c>
      <c r="M1303" s="471">
        <f t="shared" si="111"/>
        <v>0.05</v>
      </c>
      <c r="N1303" s="475">
        <f t="shared" si="112"/>
        <v>90703</v>
      </c>
    </row>
    <row r="1304" spans="7:14" ht="11.25" customHeight="1" x14ac:dyDescent="0.3">
      <c r="G1304" s="470"/>
      <c r="H1304" s="470">
        <v>1297</v>
      </c>
      <c r="I1304" s="455">
        <f t="shared" ca="1" si="110"/>
        <v>-95052929.148326531</v>
      </c>
      <c r="J1304" s="455">
        <f t="array" ref="J1304">IFERROR(INDEX('Retirement Calculator'!K:K,MATCH('Lorri 401b'!N1304,'Retirement Calculator'!A:A,0),0),0)</f>
        <v>0</v>
      </c>
      <c r="K1304" s="455">
        <f t="shared" ca="1" si="108"/>
        <v>-396053.87145136052</v>
      </c>
      <c r="L1304" s="455">
        <f t="shared" ca="1" si="109"/>
        <v>-95448983.019777894</v>
      </c>
      <c r="M1304" s="471">
        <f t="shared" si="111"/>
        <v>0.05</v>
      </c>
      <c r="N1304" s="475">
        <f t="shared" si="112"/>
        <v>90734</v>
      </c>
    </row>
    <row r="1305" spans="7:14" ht="11.25" customHeight="1" x14ac:dyDescent="0.3">
      <c r="G1305" s="470"/>
      <c r="H1305" s="470">
        <v>1298</v>
      </c>
      <c r="I1305" s="455">
        <f t="shared" ca="1" si="110"/>
        <v>-95448983.019777894</v>
      </c>
      <c r="J1305" s="455">
        <f t="array" ref="J1305">IFERROR(INDEX('Retirement Calculator'!K:K,MATCH('Lorri 401b'!N1305,'Retirement Calculator'!A:A,0),0),0)</f>
        <v>0</v>
      </c>
      <c r="K1305" s="455">
        <f t="shared" ca="1" si="108"/>
        <v>-397704.09591574123</v>
      </c>
      <c r="L1305" s="455">
        <f t="shared" ca="1" si="109"/>
        <v>-95846687.115693629</v>
      </c>
      <c r="M1305" s="471">
        <f t="shared" si="111"/>
        <v>0.05</v>
      </c>
      <c r="N1305" s="475">
        <f t="shared" si="112"/>
        <v>90764</v>
      </c>
    </row>
    <row r="1306" spans="7:14" ht="11.25" customHeight="1" x14ac:dyDescent="0.3">
      <c r="G1306" s="470"/>
      <c r="H1306" s="470">
        <v>1299</v>
      </c>
      <c r="I1306" s="455">
        <f t="shared" ca="1" si="110"/>
        <v>-95846687.115693629</v>
      </c>
      <c r="J1306" s="455">
        <f t="array" ref="J1306">IFERROR(INDEX('Retirement Calculator'!K:K,MATCH('Lorri 401b'!N1306,'Retirement Calculator'!A:A,0),0),0)</f>
        <v>0</v>
      </c>
      <c r="K1306" s="455">
        <f t="shared" ca="1" si="108"/>
        <v>-399361.19631539012</v>
      </c>
      <c r="L1306" s="455">
        <f t="shared" ca="1" si="109"/>
        <v>-96246048.312009022</v>
      </c>
      <c r="M1306" s="471">
        <f t="shared" si="111"/>
        <v>0.05</v>
      </c>
      <c r="N1306" s="475">
        <f t="shared" si="112"/>
        <v>90795</v>
      </c>
    </row>
    <row r="1307" spans="7:14" ht="11.25" customHeight="1" x14ac:dyDescent="0.3">
      <c r="G1307" s="470"/>
      <c r="H1307" s="470">
        <v>1300</v>
      </c>
      <c r="I1307" s="455">
        <f t="shared" ca="1" si="110"/>
        <v>-96246048.312009022</v>
      </c>
      <c r="J1307" s="455">
        <f t="array" ref="J1307">IFERROR(INDEX('Retirement Calculator'!K:K,MATCH('Lorri 401b'!N1307,'Retirement Calculator'!A:A,0),0),0)</f>
        <v>0</v>
      </c>
      <c r="K1307" s="455">
        <f t="shared" ca="1" si="108"/>
        <v>-401025.20130003756</v>
      </c>
      <c r="L1307" s="455">
        <f t="shared" ca="1" si="109"/>
        <v>-96647073.513309062</v>
      </c>
      <c r="M1307" s="471">
        <f t="shared" si="111"/>
        <v>0.05</v>
      </c>
      <c r="N1307" s="475">
        <f t="shared" si="112"/>
        <v>90826</v>
      </c>
    </row>
    <row r="1308" spans="7:14" ht="11.25" customHeight="1" x14ac:dyDescent="0.3">
      <c r="G1308" s="470"/>
      <c r="H1308" s="470">
        <v>1301</v>
      </c>
      <c r="I1308" s="455">
        <f t="shared" ca="1" si="110"/>
        <v>-96647073.513309062</v>
      </c>
      <c r="J1308" s="455">
        <f t="array" ref="J1308">IFERROR(INDEX('Retirement Calculator'!K:K,MATCH('Lorri 401b'!N1308,'Retirement Calculator'!A:A,0),0),0)</f>
        <v>0</v>
      </c>
      <c r="K1308" s="455">
        <f t="shared" ca="1" si="108"/>
        <v>-402696.13963878778</v>
      </c>
      <c r="L1308" s="455">
        <f t="shared" ca="1" si="109"/>
        <v>-97049769.652947843</v>
      </c>
      <c r="M1308" s="471">
        <f t="shared" si="111"/>
        <v>0.05</v>
      </c>
      <c r="N1308" s="475">
        <f t="shared" si="112"/>
        <v>90856</v>
      </c>
    </row>
    <row r="1309" spans="7:14" ht="11.25" customHeight="1" x14ac:dyDescent="0.3">
      <c r="G1309" s="470"/>
      <c r="H1309" s="470">
        <v>1302</v>
      </c>
      <c r="I1309" s="455">
        <f t="shared" ca="1" si="110"/>
        <v>-97049769.652947843</v>
      </c>
      <c r="J1309" s="455">
        <f t="array" ref="J1309">IFERROR(INDEX('Retirement Calculator'!K:K,MATCH('Lorri 401b'!N1309,'Retirement Calculator'!A:A,0),0),0)</f>
        <v>0</v>
      </c>
      <c r="K1309" s="455">
        <f t="shared" ca="1" si="108"/>
        <v>-404374.04022061604</v>
      </c>
      <c r="L1309" s="455">
        <f t="shared" ca="1" si="109"/>
        <v>-97454143.693168461</v>
      </c>
      <c r="M1309" s="471">
        <f t="shared" si="111"/>
        <v>0.05</v>
      </c>
      <c r="N1309" s="475">
        <f t="shared" si="112"/>
        <v>90887</v>
      </c>
    </row>
    <row r="1310" spans="7:14" ht="11.25" customHeight="1" x14ac:dyDescent="0.3">
      <c r="G1310" s="470"/>
      <c r="H1310" s="470">
        <v>1303</v>
      </c>
      <c r="I1310" s="455">
        <f t="shared" ca="1" si="110"/>
        <v>-97454143.693168461</v>
      </c>
      <c r="J1310" s="455">
        <f t="array" ref="J1310">IFERROR(INDEX('Retirement Calculator'!K:K,MATCH('Lorri 401b'!N1310,'Retirement Calculator'!A:A,0),0),0)</f>
        <v>0</v>
      </c>
      <c r="K1310" s="455">
        <f t="shared" ca="1" si="108"/>
        <v>-406058.93205486861</v>
      </c>
      <c r="L1310" s="455">
        <f t="shared" ca="1" si="109"/>
        <v>-97860202.625223324</v>
      </c>
      <c r="M1310" s="471">
        <f t="shared" si="111"/>
        <v>0.05</v>
      </c>
      <c r="N1310" s="475">
        <f t="shared" si="112"/>
        <v>90917</v>
      </c>
    </row>
    <row r="1311" spans="7:14" ht="11.25" customHeight="1" x14ac:dyDescent="0.3">
      <c r="G1311" s="470"/>
      <c r="H1311" s="470">
        <v>1304</v>
      </c>
      <c r="I1311" s="455">
        <f t="shared" ca="1" si="110"/>
        <v>-97860202.625223324</v>
      </c>
      <c r="J1311" s="455">
        <f t="array" ref="J1311">IFERROR(INDEX('Retirement Calculator'!K:K,MATCH('Lorri 401b'!N1311,'Retirement Calculator'!A:A,0),0),0)</f>
        <v>0</v>
      </c>
      <c r="K1311" s="455">
        <f t="shared" ca="1" si="108"/>
        <v>-407750.84427176387</v>
      </c>
      <c r="L1311" s="455">
        <f t="shared" ca="1" si="109"/>
        <v>-98267953.469495088</v>
      </c>
      <c r="M1311" s="471">
        <f t="shared" si="111"/>
        <v>0.05</v>
      </c>
      <c r="N1311" s="475">
        <f t="shared" si="112"/>
        <v>90948</v>
      </c>
    </row>
    <row r="1312" spans="7:14" ht="11.25" customHeight="1" x14ac:dyDescent="0.3">
      <c r="G1312" s="470"/>
      <c r="H1312" s="470">
        <v>1305</v>
      </c>
      <c r="I1312" s="455">
        <f t="shared" ca="1" si="110"/>
        <v>-98267953.469495088</v>
      </c>
      <c r="J1312" s="455">
        <f t="array" ref="J1312">IFERROR(INDEX('Retirement Calculator'!K:K,MATCH('Lorri 401b'!N1312,'Retirement Calculator'!A:A,0),0),0)</f>
        <v>0</v>
      </c>
      <c r="K1312" s="455">
        <f t="shared" ca="1" si="108"/>
        <v>-409449.8061228962</v>
      </c>
      <c r="L1312" s="455">
        <f t="shared" ca="1" si="109"/>
        <v>-98677403.275617987</v>
      </c>
      <c r="M1312" s="471">
        <f t="shared" si="111"/>
        <v>0.05</v>
      </c>
      <c r="N1312" s="475">
        <f t="shared" si="112"/>
        <v>90979</v>
      </c>
    </row>
    <row r="1313" spans="7:14" ht="11.25" customHeight="1" x14ac:dyDescent="0.3">
      <c r="G1313" s="470"/>
      <c r="H1313" s="470">
        <v>1306</v>
      </c>
      <c r="I1313" s="455">
        <f t="shared" ca="1" si="110"/>
        <v>-98677403.275617987</v>
      </c>
      <c r="J1313" s="455">
        <f t="array" ref="J1313">IFERROR(INDEX('Retirement Calculator'!K:K,MATCH('Lorri 401b'!N1313,'Retirement Calculator'!A:A,0),0),0)</f>
        <v>0</v>
      </c>
      <c r="K1313" s="455">
        <f t="shared" ca="1" si="108"/>
        <v>-411155.8469817416</v>
      </c>
      <c r="L1313" s="455">
        <f t="shared" ca="1" si="109"/>
        <v>-99088559.122599736</v>
      </c>
      <c r="M1313" s="471">
        <f t="shared" si="111"/>
        <v>0.05</v>
      </c>
      <c r="N1313" s="475">
        <f t="shared" si="112"/>
        <v>91007</v>
      </c>
    </row>
    <row r="1314" spans="7:14" ht="11.25" customHeight="1" x14ac:dyDescent="0.3">
      <c r="G1314" s="470"/>
      <c r="H1314" s="470">
        <v>1307</v>
      </c>
      <c r="I1314" s="455">
        <f t="shared" ca="1" si="110"/>
        <v>-99088559.122599736</v>
      </c>
      <c r="J1314" s="455">
        <f t="array" ref="J1314">IFERROR(INDEX('Retirement Calculator'!K:K,MATCH('Lorri 401b'!N1314,'Retirement Calculator'!A:A,0),0),0)</f>
        <v>0</v>
      </c>
      <c r="K1314" s="455">
        <f t="shared" ca="1" si="108"/>
        <v>-412868.99634416559</v>
      </c>
      <c r="L1314" s="455">
        <f t="shared" ca="1" si="109"/>
        <v>-99501428.1189439</v>
      </c>
      <c r="M1314" s="471">
        <f t="shared" si="111"/>
        <v>0.05</v>
      </c>
      <c r="N1314" s="475">
        <f t="shared" si="112"/>
        <v>91038</v>
      </c>
    </row>
    <row r="1315" spans="7:14" ht="11.25" customHeight="1" x14ac:dyDescent="0.3">
      <c r="G1315" s="470"/>
      <c r="H1315" s="470">
        <v>1308</v>
      </c>
      <c r="I1315" s="455">
        <f t="shared" ca="1" si="110"/>
        <v>-99501428.1189439</v>
      </c>
      <c r="J1315" s="455">
        <f t="array" ref="J1315">IFERROR(INDEX('Retirement Calculator'!K:K,MATCH('Lorri 401b'!N1315,'Retirement Calculator'!A:A,0),0),0)</f>
        <v>0</v>
      </c>
      <c r="K1315" s="455">
        <f t="shared" ca="1" si="108"/>
        <v>-414589.28382893291</v>
      </c>
      <c r="L1315" s="455">
        <f t="shared" ca="1" si="109"/>
        <v>-99916017.402772829</v>
      </c>
      <c r="M1315" s="471">
        <f t="shared" si="111"/>
        <v>0.05</v>
      </c>
      <c r="N1315" s="475">
        <f t="shared" si="112"/>
        <v>91068</v>
      </c>
    </row>
    <row r="1316" spans="7:14" ht="11.25" customHeight="1" x14ac:dyDescent="0.3">
      <c r="G1316" s="470"/>
      <c r="H1316" s="470">
        <v>1309</v>
      </c>
      <c r="I1316" s="455">
        <f t="shared" ca="1" si="110"/>
        <v>-99916017.402772829</v>
      </c>
      <c r="J1316" s="455">
        <f t="array" ref="J1316">IFERROR(INDEX('Retirement Calculator'!K:K,MATCH('Lorri 401b'!N1316,'Retirement Calculator'!A:A,0),0),0)</f>
        <v>0</v>
      </c>
      <c r="K1316" s="455">
        <f t="shared" ca="1" si="108"/>
        <v>-416316.7391782201</v>
      </c>
      <c r="L1316" s="455">
        <f t="shared" ca="1" si="109"/>
        <v>-100332334.14195105</v>
      </c>
      <c r="M1316" s="471">
        <f t="shared" si="111"/>
        <v>0.05</v>
      </c>
      <c r="N1316" s="475">
        <f t="shared" si="112"/>
        <v>91099</v>
      </c>
    </row>
    <row r="1317" spans="7:14" ht="11.25" customHeight="1" x14ac:dyDescent="0.3">
      <c r="G1317" s="470"/>
      <c r="H1317" s="470">
        <v>1310</v>
      </c>
      <c r="I1317" s="455">
        <f t="shared" ca="1" si="110"/>
        <v>-100332334.14195105</v>
      </c>
      <c r="J1317" s="455">
        <f t="array" ref="J1317">IFERROR(INDEX('Retirement Calculator'!K:K,MATCH('Lorri 401b'!N1317,'Retirement Calculator'!A:A,0),0),0)</f>
        <v>0</v>
      </c>
      <c r="K1317" s="455">
        <f t="shared" ca="1" si="108"/>
        <v>-418051.39225812937</v>
      </c>
      <c r="L1317" s="455">
        <f t="shared" ca="1" si="109"/>
        <v>-100750385.53420918</v>
      </c>
      <c r="M1317" s="471">
        <f t="shared" si="111"/>
        <v>0.05</v>
      </c>
      <c r="N1317" s="475">
        <f t="shared" si="112"/>
        <v>91129</v>
      </c>
    </row>
    <row r="1318" spans="7:14" ht="11.25" customHeight="1" x14ac:dyDescent="0.3">
      <c r="G1318" s="470"/>
      <c r="H1318" s="470">
        <v>1311</v>
      </c>
      <c r="I1318" s="455">
        <f t="shared" ca="1" si="110"/>
        <v>-100750385.53420918</v>
      </c>
      <c r="J1318" s="455">
        <f t="array" ref="J1318">IFERROR(INDEX('Retirement Calculator'!K:K,MATCH('Lorri 401b'!N1318,'Retirement Calculator'!A:A,0),0),0)</f>
        <v>0</v>
      </c>
      <c r="K1318" s="455">
        <f t="shared" ca="1" si="108"/>
        <v>-419793.27305920492</v>
      </c>
      <c r="L1318" s="455">
        <f t="shared" ca="1" si="109"/>
        <v>-101170178.80726838</v>
      </c>
      <c r="M1318" s="471">
        <f t="shared" si="111"/>
        <v>0.05</v>
      </c>
      <c r="N1318" s="475">
        <f t="shared" si="112"/>
        <v>91160</v>
      </c>
    </row>
    <row r="1319" spans="7:14" ht="11.25" customHeight="1" x14ac:dyDescent="0.3">
      <c r="G1319" s="470"/>
      <c r="H1319" s="470">
        <v>1312</v>
      </c>
      <c r="I1319" s="455">
        <f t="shared" ca="1" si="110"/>
        <v>-101170178.80726838</v>
      </c>
      <c r="J1319" s="455">
        <f t="array" ref="J1319">IFERROR(INDEX('Retirement Calculator'!K:K,MATCH('Lorri 401b'!N1319,'Retirement Calculator'!A:A,0),0),0)</f>
        <v>0</v>
      </c>
      <c r="K1319" s="455">
        <f t="shared" ca="1" si="108"/>
        <v>-421542.4116969516</v>
      </c>
      <c r="L1319" s="455">
        <f t="shared" ca="1" si="109"/>
        <v>-101591721.21896534</v>
      </c>
      <c r="M1319" s="471">
        <f t="shared" si="111"/>
        <v>0.05</v>
      </c>
      <c r="N1319" s="475">
        <f t="shared" si="112"/>
        <v>91191</v>
      </c>
    </row>
    <row r="1320" spans="7:14" ht="11.25" customHeight="1" x14ac:dyDescent="0.3">
      <c r="G1320" s="470"/>
      <c r="H1320" s="470">
        <v>1313</v>
      </c>
      <c r="I1320" s="455">
        <f t="shared" ca="1" si="110"/>
        <v>-101591721.21896534</v>
      </c>
      <c r="J1320" s="455">
        <f t="array" ref="J1320">IFERROR(INDEX('Retirement Calculator'!K:K,MATCH('Lorri 401b'!N1320,'Retirement Calculator'!A:A,0),0),0)</f>
        <v>0</v>
      </c>
      <c r="K1320" s="455">
        <f t="shared" ca="1" si="108"/>
        <v>-423298.83841235557</v>
      </c>
      <c r="L1320" s="455">
        <f t="shared" ca="1" si="109"/>
        <v>-102015020.0573777</v>
      </c>
      <c r="M1320" s="471">
        <f t="shared" si="111"/>
        <v>0.05</v>
      </c>
      <c r="N1320" s="475">
        <f t="shared" si="112"/>
        <v>91221</v>
      </c>
    </row>
    <row r="1321" spans="7:14" ht="11.25" customHeight="1" x14ac:dyDescent="0.3">
      <c r="G1321" s="470"/>
      <c r="H1321" s="470">
        <v>1314</v>
      </c>
      <c r="I1321" s="455">
        <f t="shared" ca="1" si="110"/>
        <v>-102015020.0573777</v>
      </c>
      <c r="J1321" s="455">
        <f t="array" ref="J1321">IFERROR(INDEX('Retirement Calculator'!K:K,MATCH('Lorri 401b'!N1321,'Retirement Calculator'!A:A,0),0),0)</f>
        <v>0</v>
      </c>
      <c r="K1321" s="455">
        <f t="shared" ca="1" si="108"/>
        <v>-425062.58357240708</v>
      </c>
      <c r="L1321" s="455">
        <f t="shared" ca="1" si="109"/>
        <v>-102440082.6409501</v>
      </c>
      <c r="M1321" s="471">
        <f t="shared" si="111"/>
        <v>0.05</v>
      </c>
      <c r="N1321" s="475">
        <f t="shared" si="112"/>
        <v>91252</v>
      </c>
    </row>
    <row r="1322" spans="7:14" ht="11.25" customHeight="1" x14ac:dyDescent="0.3">
      <c r="G1322" s="470"/>
      <c r="H1322" s="470">
        <v>1315</v>
      </c>
      <c r="I1322" s="455">
        <f t="shared" ca="1" si="110"/>
        <v>-102440082.6409501</v>
      </c>
      <c r="J1322" s="455">
        <f t="array" ref="J1322">IFERROR(INDEX('Retirement Calculator'!K:K,MATCH('Lorri 401b'!N1322,'Retirement Calculator'!A:A,0),0),0)</f>
        <v>0</v>
      </c>
      <c r="K1322" s="455">
        <f t="shared" ca="1" si="108"/>
        <v>-426833.67767062539</v>
      </c>
      <c r="L1322" s="455">
        <f t="shared" ca="1" si="109"/>
        <v>-102866916.31862073</v>
      </c>
      <c r="M1322" s="471">
        <f t="shared" si="111"/>
        <v>0.05</v>
      </c>
      <c r="N1322" s="475">
        <f t="shared" si="112"/>
        <v>91282</v>
      </c>
    </row>
    <row r="1323" spans="7:14" ht="11.25" customHeight="1" x14ac:dyDescent="0.3">
      <c r="G1323" s="470"/>
      <c r="H1323" s="470">
        <v>1316</v>
      </c>
      <c r="I1323" s="455">
        <f t="shared" ca="1" si="110"/>
        <v>-102866916.31862073</v>
      </c>
      <c r="J1323" s="455">
        <f t="array" ref="J1323">IFERROR(INDEX('Retirement Calculator'!K:K,MATCH('Lorri 401b'!N1323,'Retirement Calculator'!A:A,0),0),0)</f>
        <v>0</v>
      </c>
      <c r="K1323" s="455">
        <f t="shared" ca="1" si="108"/>
        <v>-428612.15132758633</v>
      </c>
      <c r="L1323" s="455">
        <f t="shared" ca="1" si="109"/>
        <v>-103295528.46994831</v>
      </c>
      <c r="M1323" s="471">
        <f t="shared" si="111"/>
        <v>0.05</v>
      </c>
      <c r="N1323" s="475">
        <f t="shared" si="112"/>
        <v>91313</v>
      </c>
    </row>
    <row r="1324" spans="7:14" ht="11.25" customHeight="1" x14ac:dyDescent="0.3">
      <c r="G1324" s="470"/>
      <c r="H1324" s="470">
        <v>1317</v>
      </c>
      <c r="I1324" s="455">
        <f t="shared" ca="1" si="110"/>
        <v>-103295528.46994831</v>
      </c>
      <c r="J1324" s="455">
        <f t="array" ref="J1324">IFERROR(INDEX('Retirement Calculator'!K:K,MATCH('Lorri 401b'!N1324,'Retirement Calculator'!A:A,0),0),0)</f>
        <v>0</v>
      </c>
      <c r="K1324" s="455">
        <f t="shared" ca="1" si="108"/>
        <v>-430398.03529145126</v>
      </c>
      <c r="L1324" s="455">
        <f t="shared" ca="1" si="109"/>
        <v>-103725926.50523975</v>
      </c>
      <c r="M1324" s="471">
        <f t="shared" si="111"/>
        <v>0.05</v>
      </c>
      <c r="N1324" s="475">
        <f t="shared" si="112"/>
        <v>91344</v>
      </c>
    </row>
    <row r="1325" spans="7:14" ht="11.25" customHeight="1" x14ac:dyDescent="0.3">
      <c r="G1325" s="470"/>
      <c r="H1325" s="470">
        <v>1318</v>
      </c>
      <c r="I1325" s="455">
        <f t="shared" ca="1" si="110"/>
        <v>-103725926.50523975</v>
      </c>
      <c r="J1325" s="455">
        <f t="array" ref="J1325">IFERROR(INDEX('Retirement Calculator'!K:K,MATCH('Lorri 401b'!N1325,'Retirement Calculator'!A:A,0),0),0)</f>
        <v>0</v>
      </c>
      <c r="K1325" s="455">
        <f t="shared" ca="1" si="108"/>
        <v>-432191.36043849896</v>
      </c>
      <c r="L1325" s="455">
        <f t="shared" ca="1" si="109"/>
        <v>-104158117.86567825</v>
      </c>
      <c r="M1325" s="471">
        <f t="shared" si="111"/>
        <v>0.05</v>
      </c>
      <c r="N1325" s="475">
        <f t="shared" si="112"/>
        <v>91372</v>
      </c>
    </row>
    <row r="1326" spans="7:14" ht="11.25" customHeight="1" x14ac:dyDescent="0.3">
      <c r="G1326" s="470"/>
      <c r="H1326" s="470">
        <v>1319</v>
      </c>
      <c r="I1326" s="455">
        <f t="shared" ca="1" si="110"/>
        <v>-104158117.86567825</v>
      </c>
      <c r="J1326" s="455">
        <f t="array" ref="J1326">IFERROR(INDEX('Retirement Calculator'!K:K,MATCH('Lorri 401b'!N1326,'Retirement Calculator'!A:A,0),0),0)</f>
        <v>0</v>
      </c>
      <c r="K1326" s="455">
        <f t="shared" ca="1" si="108"/>
        <v>-433992.15777365939</v>
      </c>
      <c r="L1326" s="455">
        <f t="shared" ca="1" si="109"/>
        <v>-104592110.02345191</v>
      </c>
      <c r="M1326" s="471">
        <f t="shared" si="111"/>
        <v>0.05</v>
      </c>
      <c r="N1326" s="475">
        <f t="shared" si="112"/>
        <v>91403</v>
      </c>
    </row>
    <row r="1327" spans="7:14" ht="11.25" customHeight="1" x14ac:dyDescent="0.3">
      <c r="G1327" s="470"/>
      <c r="H1327" s="470">
        <v>1320</v>
      </c>
      <c r="I1327" s="455">
        <f t="shared" ca="1" si="110"/>
        <v>-104592110.02345191</v>
      </c>
      <c r="J1327" s="455">
        <f t="array" ref="J1327">IFERROR(INDEX('Retirement Calculator'!K:K,MATCH('Lorri 401b'!N1327,'Retirement Calculator'!A:A,0),0),0)</f>
        <v>0</v>
      </c>
      <c r="K1327" s="455">
        <f t="shared" ca="1" si="108"/>
        <v>-435800.45843104966</v>
      </c>
      <c r="L1327" s="455">
        <f t="shared" ca="1" si="109"/>
        <v>-105027910.48188296</v>
      </c>
      <c r="M1327" s="471">
        <f t="shared" si="111"/>
        <v>0.05</v>
      </c>
      <c r="N1327" s="475">
        <f t="shared" si="112"/>
        <v>91433</v>
      </c>
    </row>
    <row r="1328" spans="7:14" ht="11.25" customHeight="1" x14ac:dyDescent="0.3">
      <c r="G1328" s="470"/>
      <c r="H1328" s="470">
        <v>1321</v>
      </c>
      <c r="I1328" s="455">
        <f t="shared" ca="1" si="110"/>
        <v>-105027910.48188296</v>
      </c>
      <c r="J1328" s="455">
        <f t="array" ref="J1328">IFERROR(INDEX('Retirement Calculator'!K:K,MATCH('Lorri 401b'!N1328,'Retirement Calculator'!A:A,0),0),0)</f>
        <v>0</v>
      </c>
      <c r="K1328" s="455">
        <f t="shared" ca="1" si="108"/>
        <v>-437616.2936745123</v>
      </c>
      <c r="L1328" s="455">
        <f t="shared" ca="1" si="109"/>
        <v>-105465526.77555747</v>
      </c>
      <c r="M1328" s="471">
        <f t="shared" si="111"/>
        <v>0.05</v>
      </c>
      <c r="N1328" s="475">
        <f t="shared" si="112"/>
        <v>91464</v>
      </c>
    </row>
    <row r="1329" spans="7:14" ht="11.25" customHeight="1" x14ac:dyDescent="0.3">
      <c r="G1329" s="470"/>
      <c r="H1329" s="470">
        <v>1322</v>
      </c>
      <c r="I1329" s="455">
        <f t="shared" ca="1" si="110"/>
        <v>-105465526.77555747</v>
      </c>
      <c r="J1329" s="455">
        <f t="array" ref="J1329">IFERROR(INDEX('Retirement Calculator'!K:K,MATCH('Lorri 401b'!N1329,'Retirement Calculator'!A:A,0),0),0)</f>
        <v>0</v>
      </c>
      <c r="K1329" s="455">
        <f t="shared" ca="1" si="108"/>
        <v>-439439.69489815616</v>
      </c>
      <c r="L1329" s="455">
        <f t="shared" ca="1" si="109"/>
        <v>-105904966.47045563</v>
      </c>
      <c r="M1329" s="471">
        <f t="shared" si="111"/>
        <v>0.05</v>
      </c>
      <c r="N1329" s="475">
        <f t="shared" si="112"/>
        <v>91494</v>
      </c>
    </row>
    <row r="1330" spans="7:14" ht="11.25" customHeight="1" x14ac:dyDescent="0.3">
      <c r="G1330" s="470"/>
      <c r="H1330" s="470">
        <v>1323</v>
      </c>
      <c r="I1330" s="455">
        <f t="shared" ca="1" si="110"/>
        <v>-105904966.47045563</v>
      </c>
      <c r="J1330" s="455">
        <f t="array" ref="J1330">IFERROR(INDEX('Retirement Calculator'!K:K,MATCH('Lorri 401b'!N1330,'Retirement Calculator'!A:A,0),0),0)</f>
        <v>0</v>
      </c>
      <c r="K1330" s="455">
        <f t="shared" ca="1" si="108"/>
        <v>-441270.69362689846</v>
      </c>
      <c r="L1330" s="455">
        <f t="shared" ca="1" si="109"/>
        <v>-106346237.16408253</v>
      </c>
      <c r="M1330" s="471">
        <f t="shared" si="111"/>
        <v>0.05</v>
      </c>
      <c r="N1330" s="475">
        <f t="shared" si="112"/>
        <v>91525</v>
      </c>
    </row>
    <row r="1331" spans="7:14" ht="11.25" customHeight="1" x14ac:dyDescent="0.3">
      <c r="G1331" s="470"/>
      <c r="H1331" s="470">
        <v>1324</v>
      </c>
      <c r="I1331" s="455">
        <f t="shared" ca="1" si="110"/>
        <v>-106346237.16408253</v>
      </c>
      <c r="J1331" s="455">
        <f t="array" ref="J1331">IFERROR(INDEX('Retirement Calculator'!K:K,MATCH('Lorri 401b'!N1331,'Retirement Calculator'!A:A,0),0),0)</f>
        <v>0</v>
      </c>
      <c r="K1331" s="455">
        <f t="shared" ca="1" si="108"/>
        <v>-443109.32151701051</v>
      </c>
      <c r="L1331" s="455">
        <f t="shared" ca="1" si="109"/>
        <v>-106789346.48559953</v>
      </c>
      <c r="M1331" s="471">
        <f t="shared" si="111"/>
        <v>0.05</v>
      </c>
      <c r="N1331" s="475">
        <f t="shared" si="112"/>
        <v>91556</v>
      </c>
    </row>
    <row r="1332" spans="7:14" ht="11.25" customHeight="1" x14ac:dyDescent="0.3">
      <c r="G1332" s="470"/>
      <c r="H1332" s="470">
        <v>1325</v>
      </c>
      <c r="I1332" s="455">
        <f t="shared" ca="1" si="110"/>
        <v>-106789346.48559953</v>
      </c>
      <c r="J1332" s="455">
        <f t="array" ref="J1332">IFERROR(INDEX('Retirement Calculator'!K:K,MATCH('Lorri 401b'!N1332,'Retirement Calculator'!A:A,0),0),0)</f>
        <v>0</v>
      </c>
      <c r="K1332" s="455">
        <f t="shared" ca="1" si="108"/>
        <v>-444955.61035666463</v>
      </c>
      <c r="L1332" s="455">
        <f t="shared" ca="1" si="109"/>
        <v>-107234302.09595619</v>
      </c>
      <c r="M1332" s="471">
        <f t="shared" si="111"/>
        <v>0.05</v>
      </c>
      <c r="N1332" s="475">
        <f t="shared" si="112"/>
        <v>91586</v>
      </c>
    </row>
    <row r="1333" spans="7:14" ht="11.25" customHeight="1" x14ac:dyDescent="0.3">
      <c r="G1333" s="470"/>
      <c r="H1333" s="470">
        <v>1326</v>
      </c>
      <c r="I1333" s="455">
        <f t="shared" ca="1" si="110"/>
        <v>-107234302.09595619</v>
      </c>
      <c r="J1333" s="455">
        <f t="array" ref="J1333">IFERROR(INDEX('Retirement Calculator'!K:K,MATCH('Lorri 401b'!N1333,'Retirement Calculator'!A:A,0),0),0)</f>
        <v>0</v>
      </c>
      <c r="K1333" s="455">
        <f t="shared" ca="1" si="108"/>
        <v>-446809.59206648404</v>
      </c>
      <c r="L1333" s="455">
        <f t="shared" ca="1" si="109"/>
        <v>-107681111.68802267</v>
      </c>
      <c r="M1333" s="471">
        <f t="shared" si="111"/>
        <v>0.05</v>
      </c>
      <c r="N1333" s="475">
        <f t="shared" si="112"/>
        <v>91617</v>
      </c>
    </row>
    <row r="1334" spans="7:14" ht="11.25" customHeight="1" x14ac:dyDescent="0.3">
      <c r="G1334" s="470"/>
      <c r="H1334" s="470">
        <v>1327</v>
      </c>
      <c r="I1334" s="455">
        <f t="shared" ca="1" si="110"/>
        <v>-107681111.68802267</v>
      </c>
      <c r="J1334" s="455">
        <f t="array" ref="J1334">IFERROR(INDEX('Retirement Calculator'!K:K,MATCH('Lorri 401b'!N1334,'Retirement Calculator'!A:A,0),0),0)</f>
        <v>0</v>
      </c>
      <c r="K1334" s="455">
        <f t="shared" ca="1" si="108"/>
        <v>-448671.29870009451</v>
      </c>
      <c r="L1334" s="455">
        <f t="shared" ca="1" si="109"/>
        <v>-108129782.98672277</v>
      </c>
      <c r="M1334" s="471">
        <f t="shared" si="111"/>
        <v>0.05</v>
      </c>
      <c r="N1334" s="475">
        <f t="shared" si="112"/>
        <v>91647</v>
      </c>
    </row>
    <row r="1335" spans="7:14" ht="11.25" customHeight="1" x14ac:dyDescent="0.3">
      <c r="G1335" s="470"/>
      <c r="H1335" s="470">
        <v>1328</v>
      </c>
      <c r="I1335" s="455">
        <f t="shared" ca="1" si="110"/>
        <v>-108129782.98672277</v>
      </c>
      <c r="J1335" s="455">
        <f t="array" ref="J1335">IFERROR(INDEX('Retirement Calculator'!K:K,MATCH('Lorri 401b'!N1335,'Retirement Calculator'!A:A,0),0),0)</f>
        <v>0</v>
      </c>
      <c r="K1335" s="455">
        <f t="shared" ca="1" si="108"/>
        <v>-450540.76244467817</v>
      </c>
      <c r="L1335" s="455">
        <f t="shared" ca="1" si="109"/>
        <v>-108580323.74916744</v>
      </c>
      <c r="M1335" s="471">
        <f t="shared" si="111"/>
        <v>0.05</v>
      </c>
      <c r="N1335" s="475">
        <f t="shared" si="112"/>
        <v>91678</v>
      </c>
    </row>
    <row r="1336" spans="7:14" ht="11.25" customHeight="1" x14ac:dyDescent="0.3">
      <c r="G1336" s="470"/>
      <c r="H1336" s="470">
        <v>1329</v>
      </c>
      <c r="I1336" s="455">
        <f t="shared" ca="1" si="110"/>
        <v>-108580323.74916744</v>
      </c>
      <c r="J1336" s="455">
        <f t="array" ref="J1336">IFERROR(INDEX('Retirement Calculator'!K:K,MATCH('Lorri 401b'!N1336,'Retirement Calculator'!A:A,0),0),0)</f>
        <v>0</v>
      </c>
      <c r="K1336" s="455">
        <f t="shared" ca="1" si="108"/>
        <v>-452418.01562153106</v>
      </c>
      <c r="L1336" s="455">
        <f t="shared" ca="1" si="109"/>
        <v>-109032741.76478897</v>
      </c>
      <c r="M1336" s="471">
        <f t="shared" si="111"/>
        <v>0.05</v>
      </c>
      <c r="N1336" s="475">
        <f t="shared" si="112"/>
        <v>91709</v>
      </c>
    </row>
    <row r="1337" spans="7:14" ht="11.25" customHeight="1" x14ac:dyDescent="0.3">
      <c r="G1337" s="470"/>
      <c r="H1337" s="470">
        <v>1330</v>
      </c>
      <c r="I1337" s="455">
        <f t="shared" ca="1" si="110"/>
        <v>-109032741.76478897</v>
      </c>
      <c r="J1337" s="455">
        <f t="array" ref="J1337">IFERROR(INDEX('Retirement Calculator'!K:K,MATCH('Lorri 401b'!N1337,'Retirement Calculator'!A:A,0),0),0)</f>
        <v>0</v>
      </c>
      <c r="K1337" s="455">
        <f t="shared" ca="1" si="108"/>
        <v>-454303.09068662068</v>
      </c>
      <c r="L1337" s="455">
        <f t="shared" ca="1" si="109"/>
        <v>-109487044.85547559</v>
      </c>
      <c r="M1337" s="471">
        <f t="shared" si="111"/>
        <v>0.05</v>
      </c>
      <c r="N1337" s="475">
        <f t="shared" si="112"/>
        <v>91737</v>
      </c>
    </row>
    <row r="1338" spans="7:14" ht="11.25" customHeight="1" x14ac:dyDescent="0.3">
      <c r="G1338" s="470"/>
      <c r="H1338" s="470">
        <v>1331</v>
      </c>
      <c r="I1338" s="455">
        <f t="shared" ca="1" si="110"/>
        <v>-109487044.85547559</v>
      </c>
      <c r="J1338" s="455">
        <f t="array" ref="J1338">IFERROR(INDEX('Retirement Calculator'!K:K,MATCH('Lorri 401b'!N1338,'Retirement Calculator'!A:A,0),0),0)</f>
        <v>0</v>
      </c>
      <c r="K1338" s="455">
        <f t="shared" ca="1" si="108"/>
        <v>-456196.02023114829</v>
      </c>
      <c r="L1338" s="455">
        <f t="shared" ca="1" si="109"/>
        <v>-109943240.87570673</v>
      </c>
      <c r="M1338" s="471">
        <f t="shared" si="111"/>
        <v>0.05</v>
      </c>
      <c r="N1338" s="475">
        <f t="shared" si="112"/>
        <v>91768</v>
      </c>
    </row>
    <row r="1339" spans="7:14" ht="11.25" customHeight="1" x14ac:dyDescent="0.3">
      <c r="G1339" s="470"/>
      <c r="H1339" s="470">
        <v>1332</v>
      </c>
      <c r="I1339" s="455">
        <f t="shared" ca="1" si="110"/>
        <v>-109943240.87570673</v>
      </c>
      <c r="J1339" s="455">
        <f t="array" ref="J1339">IFERROR(INDEX('Retirement Calculator'!K:K,MATCH('Lorri 401b'!N1339,'Retirement Calculator'!A:A,0),0),0)</f>
        <v>0</v>
      </c>
      <c r="K1339" s="455">
        <f t="shared" ca="1" si="108"/>
        <v>-458096.83698211139</v>
      </c>
      <c r="L1339" s="455">
        <f t="shared" ca="1" si="109"/>
        <v>-110401337.71268885</v>
      </c>
      <c r="M1339" s="471">
        <f t="shared" si="111"/>
        <v>0.05</v>
      </c>
      <c r="N1339" s="475">
        <f t="shared" si="112"/>
        <v>91798</v>
      </c>
    </row>
    <row r="1340" spans="7:14" ht="11.25" customHeight="1" x14ac:dyDescent="0.3">
      <c r="G1340" s="470"/>
      <c r="H1340" s="470">
        <v>1333</v>
      </c>
      <c r="I1340" s="455">
        <f t="shared" ca="1" si="110"/>
        <v>-110401337.71268885</v>
      </c>
      <c r="J1340" s="455">
        <f t="array" ref="J1340">IFERROR(INDEX('Retirement Calculator'!K:K,MATCH('Lorri 401b'!N1340,'Retirement Calculator'!A:A,0),0),0)</f>
        <v>0</v>
      </c>
      <c r="K1340" s="455">
        <f t="shared" ca="1" si="108"/>
        <v>-460005.57380287017</v>
      </c>
      <c r="L1340" s="455">
        <f t="shared" ca="1" si="109"/>
        <v>-110861343.28649172</v>
      </c>
      <c r="M1340" s="471">
        <f t="shared" si="111"/>
        <v>0.05</v>
      </c>
      <c r="N1340" s="475">
        <f t="shared" si="112"/>
        <v>91829</v>
      </c>
    </row>
    <row r="1341" spans="7:14" ht="11.25" customHeight="1" x14ac:dyDescent="0.3">
      <c r="G1341" s="470"/>
      <c r="H1341" s="470">
        <v>1334</v>
      </c>
      <c r="I1341" s="455">
        <f t="shared" ca="1" si="110"/>
        <v>-110861343.28649172</v>
      </c>
      <c r="J1341" s="455">
        <f t="array" ref="J1341">IFERROR(INDEX('Retirement Calculator'!K:K,MATCH('Lorri 401b'!N1341,'Retirement Calculator'!A:A,0),0),0)</f>
        <v>0</v>
      </c>
      <c r="K1341" s="455">
        <f t="shared" ca="1" si="108"/>
        <v>-461922.2636937155</v>
      </c>
      <c r="L1341" s="455">
        <f t="shared" ca="1" si="109"/>
        <v>-111323265.55018544</v>
      </c>
      <c r="M1341" s="471">
        <f t="shared" si="111"/>
        <v>0.05</v>
      </c>
      <c r="N1341" s="475">
        <f t="shared" si="112"/>
        <v>91859</v>
      </c>
    </row>
    <row r="1342" spans="7:14" ht="11.25" customHeight="1" x14ac:dyDescent="0.3">
      <c r="G1342" s="470"/>
      <c r="H1342" s="470">
        <v>1335</v>
      </c>
      <c r="I1342" s="455">
        <f t="shared" ca="1" si="110"/>
        <v>-111323265.55018544</v>
      </c>
      <c r="J1342" s="455">
        <f t="array" ref="J1342">IFERROR(INDEX('Retirement Calculator'!K:K,MATCH('Lorri 401b'!N1342,'Retirement Calculator'!A:A,0),0),0)</f>
        <v>0</v>
      </c>
      <c r="K1342" s="455">
        <f t="shared" ca="1" si="108"/>
        <v>-463846.93979243934</v>
      </c>
      <c r="L1342" s="455">
        <f t="shared" ca="1" si="109"/>
        <v>-111787112.48997788</v>
      </c>
      <c r="M1342" s="471">
        <f t="shared" si="111"/>
        <v>0.05</v>
      </c>
      <c r="N1342" s="475">
        <f t="shared" si="112"/>
        <v>91890</v>
      </c>
    </row>
    <row r="1343" spans="7:14" ht="11.25" customHeight="1" x14ac:dyDescent="0.3">
      <c r="G1343" s="470"/>
      <c r="H1343" s="470">
        <v>1336</v>
      </c>
      <c r="I1343" s="455">
        <f t="shared" ca="1" si="110"/>
        <v>-111787112.48997788</v>
      </c>
      <c r="J1343" s="455">
        <f t="array" ref="J1343">IFERROR(INDEX('Retirement Calculator'!K:K,MATCH('Lorri 401b'!N1343,'Retirement Calculator'!A:A,0),0),0)</f>
        <v>0</v>
      </c>
      <c r="K1343" s="455">
        <f t="shared" ca="1" si="108"/>
        <v>-465779.63537490781</v>
      </c>
      <c r="L1343" s="455">
        <f t="shared" ca="1" si="109"/>
        <v>-112252892.12535278</v>
      </c>
      <c r="M1343" s="471">
        <f t="shared" si="111"/>
        <v>0.05</v>
      </c>
      <c r="N1343" s="475">
        <f t="shared" si="112"/>
        <v>91921</v>
      </c>
    </row>
    <row r="1344" spans="7:14" ht="11.25" customHeight="1" x14ac:dyDescent="0.3">
      <c r="G1344" s="470"/>
      <c r="H1344" s="470">
        <v>1337</v>
      </c>
      <c r="I1344" s="455">
        <f t="shared" ca="1" si="110"/>
        <v>-112252892.12535278</v>
      </c>
      <c r="J1344" s="455">
        <f t="array" ref="J1344">IFERROR(INDEX('Retirement Calculator'!K:K,MATCH('Lorri 401b'!N1344,'Retirement Calculator'!A:A,0),0),0)</f>
        <v>0</v>
      </c>
      <c r="K1344" s="455">
        <f t="shared" ca="1" si="108"/>
        <v>-467720.38385563658</v>
      </c>
      <c r="L1344" s="455">
        <f t="shared" ca="1" si="109"/>
        <v>-112720612.50920843</v>
      </c>
      <c r="M1344" s="471">
        <f t="shared" si="111"/>
        <v>0.05</v>
      </c>
      <c r="N1344" s="475">
        <f t="shared" si="112"/>
        <v>91951</v>
      </c>
    </row>
    <row r="1345" spans="7:14" ht="11.25" customHeight="1" x14ac:dyDescent="0.3">
      <c r="G1345" s="470"/>
      <c r="H1345" s="470">
        <v>1338</v>
      </c>
      <c r="I1345" s="455">
        <f t="shared" ca="1" si="110"/>
        <v>-112720612.50920843</v>
      </c>
      <c r="J1345" s="455">
        <f t="array" ref="J1345">IFERROR(INDEX('Retirement Calculator'!K:K,MATCH('Lorri 401b'!N1345,'Retirement Calculator'!A:A,0),0),0)</f>
        <v>0</v>
      </c>
      <c r="K1345" s="455">
        <f t="shared" ca="1" si="108"/>
        <v>-469669.21878836845</v>
      </c>
      <c r="L1345" s="455">
        <f t="shared" ca="1" si="109"/>
        <v>-113190281.7279968</v>
      </c>
      <c r="M1345" s="471">
        <f t="shared" si="111"/>
        <v>0.05</v>
      </c>
      <c r="N1345" s="475">
        <f t="shared" si="112"/>
        <v>91982</v>
      </c>
    </row>
    <row r="1346" spans="7:14" ht="11.25" customHeight="1" x14ac:dyDescent="0.3">
      <c r="G1346" s="470"/>
      <c r="H1346" s="470">
        <v>1339</v>
      </c>
      <c r="I1346" s="455">
        <f t="shared" ca="1" si="110"/>
        <v>-113190281.7279968</v>
      </c>
      <c r="J1346" s="455">
        <f t="array" ref="J1346">IFERROR(INDEX('Retirement Calculator'!K:K,MATCH('Lorri 401b'!N1346,'Retirement Calculator'!A:A,0),0),0)</f>
        <v>0</v>
      </c>
      <c r="K1346" s="455">
        <f t="shared" ca="1" si="108"/>
        <v>-471626.17386665335</v>
      </c>
      <c r="L1346" s="455">
        <f t="shared" ca="1" si="109"/>
        <v>-113661907.90186346</v>
      </c>
      <c r="M1346" s="471">
        <f t="shared" si="111"/>
        <v>0.05</v>
      </c>
      <c r="N1346" s="475">
        <f t="shared" si="112"/>
        <v>92012</v>
      </c>
    </row>
    <row r="1347" spans="7:14" ht="11.25" customHeight="1" x14ac:dyDescent="0.3">
      <c r="G1347" s="470"/>
      <c r="H1347" s="470">
        <v>1340</v>
      </c>
      <c r="I1347" s="455">
        <f t="shared" ca="1" si="110"/>
        <v>-113661907.90186346</v>
      </c>
      <c r="J1347" s="455">
        <f t="array" ref="J1347">IFERROR(INDEX('Retirement Calculator'!K:K,MATCH('Lorri 401b'!N1347,'Retirement Calculator'!A:A,0),0),0)</f>
        <v>0</v>
      </c>
      <c r="K1347" s="455">
        <f t="shared" ca="1" si="108"/>
        <v>-473591.28292443109</v>
      </c>
      <c r="L1347" s="455">
        <f t="shared" ca="1" si="109"/>
        <v>-114135499.18478788</v>
      </c>
      <c r="M1347" s="471">
        <f t="shared" si="111"/>
        <v>0.05</v>
      </c>
      <c r="N1347" s="475">
        <f t="shared" si="112"/>
        <v>92043</v>
      </c>
    </row>
    <row r="1348" spans="7:14" ht="11.25" customHeight="1" x14ac:dyDescent="0.3">
      <c r="G1348" s="470"/>
      <c r="H1348" s="470">
        <v>1341</v>
      </c>
      <c r="I1348" s="455">
        <f t="shared" ca="1" si="110"/>
        <v>-114135499.18478788</v>
      </c>
      <c r="J1348" s="455">
        <f t="array" ref="J1348">IFERROR(INDEX('Retirement Calculator'!K:K,MATCH('Lorri 401b'!N1348,'Retirement Calculator'!A:A,0),0),0)</f>
        <v>0</v>
      </c>
      <c r="K1348" s="455">
        <f t="shared" ca="1" si="108"/>
        <v>-475564.57993661618</v>
      </c>
      <c r="L1348" s="455">
        <f t="shared" ca="1" si="109"/>
        <v>-114611063.76472451</v>
      </c>
      <c r="M1348" s="471">
        <f t="shared" si="111"/>
        <v>0.05</v>
      </c>
      <c r="N1348" s="475">
        <f t="shared" si="112"/>
        <v>92074</v>
      </c>
    </row>
    <row r="1349" spans="7:14" ht="11.25" customHeight="1" x14ac:dyDescent="0.3">
      <c r="G1349" s="470"/>
      <c r="H1349" s="470">
        <v>1342</v>
      </c>
      <c r="I1349" s="455">
        <f t="shared" ca="1" si="110"/>
        <v>-114611063.76472451</v>
      </c>
      <c r="J1349" s="455">
        <f t="array" ref="J1349">IFERROR(INDEX('Retirement Calculator'!K:K,MATCH('Lorri 401b'!N1349,'Retirement Calculator'!A:A,0),0),0)</f>
        <v>0</v>
      </c>
      <c r="K1349" s="455">
        <f t="shared" ca="1" si="108"/>
        <v>-477546.09901968547</v>
      </c>
      <c r="L1349" s="455">
        <f t="shared" ca="1" si="109"/>
        <v>-115088609.8637442</v>
      </c>
      <c r="M1349" s="471">
        <f t="shared" si="111"/>
        <v>0.05</v>
      </c>
      <c r="N1349" s="475">
        <f t="shared" si="112"/>
        <v>92103</v>
      </c>
    </row>
    <row r="1350" spans="7:14" ht="11.25" customHeight="1" x14ac:dyDescent="0.3">
      <c r="G1350" s="470"/>
      <c r="H1350" s="470">
        <v>1343</v>
      </c>
      <c r="I1350" s="455">
        <f t="shared" ca="1" si="110"/>
        <v>-115088609.8637442</v>
      </c>
      <c r="J1350" s="455">
        <f t="array" ref="J1350">IFERROR(INDEX('Retirement Calculator'!K:K,MATCH('Lorri 401b'!N1350,'Retirement Calculator'!A:A,0),0),0)</f>
        <v>0</v>
      </c>
      <c r="K1350" s="455">
        <f t="shared" ca="1" si="108"/>
        <v>-479535.8744322675</v>
      </c>
      <c r="L1350" s="455">
        <f t="shared" ca="1" si="109"/>
        <v>-115568145.73817647</v>
      </c>
      <c r="M1350" s="471">
        <f t="shared" si="111"/>
        <v>0.05</v>
      </c>
      <c r="N1350" s="475">
        <f t="shared" si="112"/>
        <v>92134</v>
      </c>
    </row>
    <row r="1351" spans="7:14" ht="11.25" customHeight="1" x14ac:dyDescent="0.3">
      <c r="G1351" s="470"/>
      <c r="H1351" s="470">
        <v>1344</v>
      </c>
      <c r="I1351" s="455">
        <f t="shared" ca="1" si="110"/>
        <v>-115568145.73817647</v>
      </c>
      <c r="J1351" s="455">
        <f t="array" ref="J1351">IFERROR(INDEX('Retirement Calculator'!K:K,MATCH('Lorri 401b'!N1351,'Retirement Calculator'!A:A,0),0),0)</f>
        <v>0</v>
      </c>
      <c r="K1351" s="455">
        <f t="shared" ca="1" si="108"/>
        <v>-481533.94057573524</v>
      </c>
      <c r="L1351" s="455">
        <f t="shared" ca="1" si="109"/>
        <v>-116049679.6787522</v>
      </c>
      <c r="M1351" s="471">
        <f t="shared" si="111"/>
        <v>0.05</v>
      </c>
      <c r="N1351" s="475">
        <f t="shared" si="112"/>
        <v>92164</v>
      </c>
    </row>
    <row r="1352" spans="7:14" ht="11.25" customHeight="1" x14ac:dyDescent="0.3">
      <c r="G1352" s="470"/>
      <c r="H1352" s="470">
        <v>1345</v>
      </c>
      <c r="I1352" s="455">
        <f t="shared" ca="1" si="110"/>
        <v>-116049679.6787522</v>
      </c>
      <c r="J1352" s="455">
        <f t="array" ref="J1352">IFERROR(INDEX('Retirement Calculator'!K:K,MATCH('Lorri 401b'!N1352,'Retirement Calculator'!A:A,0),0),0)</f>
        <v>0</v>
      </c>
      <c r="K1352" s="455">
        <f t="shared" ca="1" si="108"/>
        <v>-483540.33199480077</v>
      </c>
      <c r="L1352" s="455">
        <f t="shared" ca="1" si="109"/>
        <v>-116533220.010747</v>
      </c>
      <c r="M1352" s="471">
        <f t="shared" si="111"/>
        <v>0.05</v>
      </c>
      <c r="N1352" s="475">
        <f t="shared" si="112"/>
        <v>92195</v>
      </c>
    </row>
    <row r="1353" spans="7:14" ht="11.25" customHeight="1" x14ac:dyDescent="0.3">
      <c r="G1353" s="470"/>
      <c r="H1353" s="470">
        <v>1346</v>
      </c>
      <c r="I1353" s="455">
        <f t="shared" ca="1" si="110"/>
        <v>-116533220.010747</v>
      </c>
      <c r="J1353" s="455">
        <f t="array" ref="J1353">IFERROR(INDEX('Retirement Calculator'!K:K,MATCH('Lorri 401b'!N1353,'Retirement Calculator'!A:A,0),0),0)</f>
        <v>0</v>
      </c>
      <c r="K1353" s="455">
        <f t="shared" ca="1" si="108"/>
        <v>-485555.08337811247</v>
      </c>
      <c r="L1353" s="455">
        <f t="shared" ca="1" si="109"/>
        <v>-117018775.09412511</v>
      </c>
      <c r="M1353" s="471">
        <f t="shared" si="111"/>
        <v>0.05</v>
      </c>
      <c r="N1353" s="475">
        <f t="shared" si="112"/>
        <v>92225</v>
      </c>
    </row>
    <row r="1354" spans="7:14" ht="11.25" customHeight="1" x14ac:dyDescent="0.3">
      <c r="G1354" s="470"/>
      <c r="H1354" s="470">
        <v>1347</v>
      </c>
      <c r="I1354" s="455">
        <f t="shared" ca="1" si="110"/>
        <v>-117018775.09412511</v>
      </c>
      <c r="J1354" s="455">
        <f t="array" ref="J1354">IFERROR(INDEX('Retirement Calculator'!K:K,MATCH('Lorri 401b'!N1354,'Retirement Calculator'!A:A,0),0),0)</f>
        <v>0</v>
      </c>
      <c r="K1354" s="455">
        <f t="shared" ca="1" si="108"/>
        <v>-487578.2295588546</v>
      </c>
      <c r="L1354" s="455">
        <f t="shared" ca="1" si="109"/>
        <v>-117506353.32368396</v>
      </c>
      <c r="M1354" s="471">
        <f t="shared" si="111"/>
        <v>0.05</v>
      </c>
      <c r="N1354" s="475">
        <f t="shared" si="112"/>
        <v>92256</v>
      </c>
    </row>
    <row r="1355" spans="7:14" ht="11.25" customHeight="1" x14ac:dyDescent="0.3">
      <c r="G1355" s="470"/>
      <c r="H1355" s="470">
        <v>1348</v>
      </c>
      <c r="I1355" s="455">
        <f t="shared" ca="1" si="110"/>
        <v>-117506353.32368396</v>
      </c>
      <c r="J1355" s="455">
        <f t="array" ref="J1355">IFERROR(INDEX('Retirement Calculator'!K:K,MATCH('Lorri 401b'!N1355,'Retirement Calculator'!A:A,0),0),0)</f>
        <v>0</v>
      </c>
      <c r="K1355" s="455">
        <f t="shared" ca="1" si="108"/>
        <v>-489609.80551534984</v>
      </c>
      <c r="L1355" s="455">
        <f t="shared" ca="1" si="109"/>
        <v>-117995963.12919931</v>
      </c>
      <c r="M1355" s="471">
        <f t="shared" si="111"/>
        <v>0.05</v>
      </c>
      <c r="N1355" s="475">
        <f t="shared" si="112"/>
        <v>92287</v>
      </c>
    </row>
    <row r="1356" spans="7:14" ht="11.25" customHeight="1" x14ac:dyDescent="0.3">
      <c r="G1356" s="470"/>
      <c r="H1356" s="470">
        <v>1349</v>
      </c>
      <c r="I1356" s="455">
        <f t="shared" ca="1" si="110"/>
        <v>-117995963.12919931</v>
      </c>
      <c r="J1356" s="455">
        <f t="array" ref="J1356">IFERROR(INDEX('Retirement Calculator'!K:K,MATCH('Lorri 401b'!N1356,'Retirement Calculator'!A:A,0),0),0)</f>
        <v>0</v>
      </c>
      <c r="K1356" s="455">
        <f t="shared" ca="1" si="108"/>
        <v>-491649.84637166379</v>
      </c>
      <c r="L1356" s="455">
        <f t="shared" ca="1" si="109"/>
        <v>-118487612.97557098</v>
      </c>
      <c r="M1356" s="471">
        <f t="shared" si="111"/>
        <v>0.05</v>
      </c>
      <c r="N1356" s="475">
        <f t="shared" si="112"/>
        <v>92317</v>
      </c>
    </row>
    <row r="1357" spans="7:14" ht="11.25" customHeight="1" x14ac:dyDescent="0.3">
      <c r="G1357" s="470"/>
      <c r="H1357" s="470">
        <v>1350</v>
      </c>
      <c r="I1357" s="455">
        <f t="shared" ca="1" si="110"/>
        <v>-118487612.97557098</v>
      </c>
      <c r="J1357" s="455">
        <f t="array" ref="J1357">IFERROR(INDEX('Retirement Calculator'!K:K,MATCH('Lorri 401b'!N1357,'Retirement Calculator'!A:A,0),0),0)</f>
        <v>0</v>
      </c>
      <c r="K1357" s="455">
        <f t="shared" ca="1" si="108"/>
        <v>-493698.38739821239</v>
      </c>
      <c r="L1357" s="455">
        <f t="shared" ca="1" si="109"/>
        <v>-118981311.36296919</v>
      </c>
      <c r="M1357" s="471">
        <f t="shared" si="111"/>
        <v>0.05</v>
      </c>
      <c r="N1357" s="475">
        <f t="shared" si="112"/>
        <v>92348</v>
      </c>
    </row>
    <row r="1358" spans="7:14" ht="11.25" customHeight="1" x14ac:dyDescent="0.3">
      <c r="G1358" s="470"/>
      <c r="H1358" s="470">
        <v>1351</v>
      </c>
      <c r="I1358" s="455">
        <f t="shared" ca="1" si="110"/>
        <v>-118981311.36296919</v>
      </c>
      <c r="J1358" s="455">
        <f t="array" ref="J1358">IFERROR(INDEX('Retirement Calculator'!K:K,MATCH('Lorri 401b'!N1358,'Retirement Calculator'!A:A,0),0),0)</f>
        <v>0</v>
      </c>
      <c r="K1358" s="455">
        <f t="shared" ca="1" si="108"/>
        <v>-495755.46401237161</v>
      </c>
      <c r="L1358" s="455">
        <f t="shared" ca="1" si="109"/>
        <v>-119477066.82698156</v>
      </c>
      <c r="M1358" s="471">
        <f t="shared" si="111"/>
        <v>0.05</v>
      </c>
      <c r="N1358" s="475">
        <f t="shared" si="112"/>
        <v>92378</v>
      </c>
    </row>
    <row r="1359" spans="7:14" ht="11.25" customHeight="1" x14ac:dyDescent="0.3">
      <c r="G1359" s="470"/>
      <c r="H1359" s="470">
        <v>1352</v>
      </c>
      <c r="I1359" s="455">
        <f t="shared" ca="1" si="110"/>
        <v>-119477066.82698156</v>
      </c>
      <c r="J1359" s="455">
        <f t="array" ref="J1359">IFERROR(INDEX('Retirement Calculator'!K:K,MATCH('Lorri 401b'!N1359,'Retirement Calculator'!A:A,0),0),0)</f>
        <v>0</v>
      </c>
      <c r="K1359" s="455">
        <f t="shared" ca="1" si="108"/>
        <v>-497821.11177908984</v>
      </c>
      <c r="L1359" s="455">
        <f t="shared" ca="1" si="109"/>
        <v>-119974887.93876065</v>
      </c>
      <c r="M1359" s="471">
        <f t="shared" si="111"/>
        <v>0.05</v>
      </c>
      <c r="N1359" s="475">
        <f t="shared" si="112"/>
        <v>92409</v>
      </c>
    </row>
    <row r="1360" spans="7:14" ht="11.25" customHeight="1" x14ac:dyDescent="0.3">
      <c r="G1360" s="470"/>
      <c r="H1360" s="470">
        <v>1353</v>
      </c>
      <c r="I1360" s="455">
        <f t="shared" ca="1" si="110"/>
        <v>-119974887.93876065</v>
      </c>
      <c r="J1360" s="455">
        <f t="array" ref="J1360">IFERROR(INDEX('Retirement Calculator'!K:K,MATCH('Lorri 401b'!N1360,'Retirement Calculator'!A:A,0),0),0)</f>
        <v>0</v>
      </c>
      <c r="K1360" s="455">
        <f t="shared" ca="1" si="108"/>
        <v>-499895.36641150276</v>
      </c>
      <c r="L1360" s="455">
        <f t="shared" ca="1" si="109"/>
        <v>-120474783.30517216</v>
      </c>
      <c r="M1360" s="471">
        <f t="shared" si="111"/>
        <v>0.05</v>
      </c>
      <c r="N1360" s="475">
        <f t="shared" si="112"/>
        <v>92440</v>
      </c>
    </row>
    <row r="1361" spans="7:14" ht="11.25" customHeight="1" x14ac:dyDescent="0.3">
      <c r="G1361" s="470"/>
      <c r="H1361" s="470">
        <v>1354</v>
      </c>
      <c r="I1361" s="455">
        <f t="shared" ca="1" si="110"/>
        <v>-120474783.30517216</v>
      </c>
      <c r="J1361" s="455">
        <f t="array" ref="J1361">IFERROR(INDEX('Retirement Calculator'!K:K,MATCH('Lorri 401b'!N1361,'Retirement Calculator'!A:A,0),0),0)</f>
        <v>0</v>
      </c>
      <c r="K1361" s="455">
        <f t="shared" ca="1" si="108"/>
        <v>-501978.26377155067</v>
      </c>
      <c r="L1361" s="455">
        <f t="shared" ca="1" si="109"/>
        <v>-120976761.56894371</v>
      </c>
      <c r="M1361" s="471">
        <f t="shared" si="111"/>
        <v>0.05</v>
      </c>
      <c r="N1361" s="475">
        <f t="shared" si="112"/>
        <v>92468</v>
      </c>
    </row>
    <row r="1362" spans="7:14" ht="11.25" customHeight="1" x14ac:dyDescent="0.3">
      <c r="G1362" s="470"/>
      <c r="H1362" s="470">
        <v>1355</v>
      </c>
      <c r="I1362" s="455">
        <f t="shared" ca="1" si="110"/>
        <v>-120976761.56894371</v>
      </c>
      <c r="J1362" s="455">
        <f t="array" ref="J1362">IFERROR(INDEX('Retirement Calculator'!K:K,MATCH('Lorri 401b'!N1362,'Retirement Calculator'!A:A,0),0),0)</f>
        <v>0</v>
      </c>
      <c r="K1362" s="455">
        <f t="shared" ca="1" si="108"/>
        <v>-504069.83987059887</v>
      </c>
      <c r="L1362" s="455">
        <f t="shared" ca="1" si="109"/>
        <v>-121480831.40881431</v>
      </c>
      <c r="M1362" s="471">
        <f t="shared" si="111"/>
        <v>0.05</v>
      </c>
      <c r="N1362" s="475">
        <f t="shared" si="112"/>
        <v>92499</v>
      </c>
    </row>
    <row r="1363" spans="7:14" ht="11.25" customHeight="1" x14ac:dyDescent="0.3">
      <c r="G1363" s="470"/>
      <c r="H1363" s="470">
        <v>1356</v>
      </c>
      <c r="I1363" s="455">
        <f t="shared" ca="1" si="110"/>
        <v>-121480831.40881431</v>
      </c>
      <c r="J1363" s="455">
        <f t="array" ref="J1363">IFERROR(INDEX('Retirement Calculator'!K:K,MATCH('Lorri 401b'!N1363,'Retirement Calculator'!A:A,0),0),0)</f>
        <v>0</v>
      </c>
      <c r="K1363" s="455">
        <f t="shared" ca="1" si="108"/>
        <v>-506170.1308700596</v>
      </c>
      <c r="L1363" s="455">
        <f t="shared" ca="1" si="109"/>
        <v>-121987001.53968437</v>
      </c>
      <c r="M1363" s="471">
        <f t="shared" si="111"/>
        <v>0.05</v>
      </c>
      <c r="N1363" s="475">
        <f t="shared" si="112"/>
        <v>92529</v>
      </c>
    </row>
    <row r="1364" spans="7:14" ht="11.25" customHeight="1" x14ac:dyDescent="0.3">
      <c r="G1364" s="470"/>
      <c r="H1364" s="470">
        <v>1357</v>
      </c>
      <c r="I1364" s="455">
        <f t="shared" ca="1" si="110"/>
        <v>-121987001.53968437</v>
      </c>
      <c r="J1364" s="455">
        <f t="array" ref="J1364">IFERROR(INDEX('Retirement Calculator'!K:K,MATCH('Lorri 401b'!N1364,'Retirement Calculator'!A:A,0),0),0)</f>
        <v>0</v>
      </c>
      <c r="K1364" s="455">
        <f t="shared" ca="1" si="108"/>
        <v>-508279.17308201821</v>
      </c>
      <c r="L1364" s="455">
        <f t="shared" ca="1" si="109"/>
        <v>-122495280.71276639</v>
      </c>
      <c r="M1364" s="471">
        <f t="shared" si="111"/>
        <v>0.05</v>
      </c>
      <c r="N1364" s="475">
        <f t="shared" si="112"/>
        <v>92560</v>
      </c>
    </row>
    <row r="1365" spans="7:14" ht="11.25" customHeight="1" x14ac:dyDescent="0.3">
      <c r="G1365" s="470"/>
      <c r="H1365" s="470">
        <v>1358</v>
      </c>
      <c r="I1365" s="455">
        <f t="shared" ca="1" si="110"/>
        <v>-122495280.71276639</v>
      </c>
      <c r="J1365" s="455">
        <f t="array" ref="J1365">IFERROR(INDEX('Retirement Calculator'!K:K,MATCH('Lorri 401b'!N1365,'Retirement Calculator'!A:A,0),0),0)</f>
        <v>0</v>
      </c>
      <c r="K1365" s="455">
        <f t="shared" ca="1" si="108"/>
        <v>-510397.00296985998</v>
      </c>
      <c r="L1365" s="455">
        <f t="shared" ca="1" si="109"/>
        <v>-123005677.71573626</v>
      </c>
      <c r="M1365" s="471">
        <f t="shared" si="111"/>
        <v>0.05</v>
      </c>
      <c r="N1365" s="475">
        <f t="shared" si="112"/>
        <v>92590</v>
      </c>
    </row>
    <row r="1366" spans="7:14" ht="11.25" customHeight="1" x14ac:dyDescent="0.3">
      <c r="G1366" s="470"/>
      <c r="H1366" s="470">
        <v>1359</v>
      </c>
      <c r="I1366" s="455">
        <f t="shared" ca="1" si="110"/>
        <v>-123005677.71573626</v>
      </c>
      <c r="J1366" s="455">
        <f t="array" ref="J1366">IFERROR(INDEX('Retirement Calculator'!K:K,MATCH('Lorri 401b'!N1366,'Retirement Calculator'!A:A,0),0),0)</f>
        <v>0</v>
      </c>
      <c r="K1366" s="455">
        <f t="shared" ca="1" si="108"/>
        <v>-512523.65714890097</v>
      </c>
      <c r="L1366" s="455">
        <f t="shared" ca="1" si="109"/>
        <v>-123518201.37288515</v>
      </c>
      <c r="M1366" s="471">
        <f t="shared" si="111"/>
        <v>0.05</v>
      </c>
      <c r="N1366" s="475">
        <f t="shared" si="112"/>
        <v>92621</v>
      </c>
    </row>
    <row r="1367" spans="7:14" ht="11.25" customHeight="1" x14ac:dyDescent="0.3">
      <c r="G1367" s="470"/>
      <c r="H1367" s="470">
        <v>1360</v>
      </c>
      <c r="I1367" s="455">
        <f t="shared" ca="1" si="110"/>
        <v>-123518201.37288515</v>
      </c>
      <c r="J1367" s="455">
        <f t="array" ref="J1367">IFERROR(INDEX('Retirement Calculator'!K:K,MATCH('Lorri 401b'!N1367,'Retirement Calculator'!A:A,0),0),0)</f>
        <v>0</v>
      </c>
      <c r="K1367" s="455">
        <f t="shared" ca="1" si="108"/>
        <v>-514659.17238702148</v>
      </c>
      <c r="L1367" s="455">
        <f t="shared" ca="1" si="109"/>
        <v>-124032860.54527217</v>
      </c>
      <c r="M1367" s="471">
        <f t="shared" si="111"/>
        <v>0.05</v>
      </c>
      <c r="N1367" s="475">
        <f t="shared" si="112"/>
        <v>92652</v>
      </c>
    </row>
    <row r="1368" spans="7:14" ht="11.25" customHeight="1" x14ac:dyDescent="0.3">
      <c r="G1368" s="470"/>
      <c r="H1368" s="470">
        <v>1361</v>
      </c>
      <c r="I1368" s="455">
        <f t="shared" ca="1" si="110"/>
        <v>-124032860.54527217</v>
      </c>
      <c r="J1368" s="455">
        <f t="array" ref="J1368">IFERROR(INDEX('Retirement Calculator'!K:K,MATCH('Lorri 401b'!N1368,'Retirement Calculator'!A:A,0),0),0)</f>
        <v>0</v>
      </c>
      <c r="K1368" s="455">
        <f t="shared" ca="1" si="108"/>
        <v>-516803.58560530073</v>
      </c>
      <c r="L1368" s="455">
        <f t="shared" ca="1" si="109"/>
        <v>-124549664.13087747</v>
      </c>
      <c r="M1368" s="471">
        <f t="shared" si="111"/>
        <v>0.05</v>
      </c>
      <c r="N1368" s="475">
        <f t="shared" si="112"/>
        <v>92682</v>
      </c>
    </row>
    <row r="1369" spans="7:14" ht="11.25" customHeight="1" x14ac:dyDescent="0.3">
      <c r="G1369" s="470"/>
      <c r="H1369" s="470">
        <v>1362</v>
      </c>
      <c r="I1369" s="455">
        <f t="shared" ca="1" si="110"/>
        <v>-124549664.13087747</v>
      </c>
      <c r="J1369" s="455">
        <f t="array" ref="J1369">IFERROR(INDEX('Retirement Calculator'!K:K,MATCH('Lorri 401b'!N1369,'Retirement Calculator'!A:A,0),0),0)</f>
        <v>0</v>
      </c>
      <c r="K1369" s="455">
        <f t="shared" ca="1" si="108"/>
        <v>-518956.93387865607</v>
      </c>
      <c r="L1369" s="455">
        <f t="shared" ca="1" si="109"/>
        <v>-125068621.06475613</v>
      </c>
      <c r="M1369" s="471">
        <f t="shared" si="111"/>
        <v>0.05</v>
      </c>
      <c r="N1369" s="475">
        <f t="shared" si="112"/>
        <v>92713</v>
      </c>
    </row>
    <row r="1370" spans="7:14" ht="11.25" customHeight="1" x14ac:dyDescent="0.3">
      <c r="G1370" s="470"/>
      <c r="H1370" s="470">
        <v>1363</v>
      </c>
      <c r="I1370" s="455">
        <f t="shared" ca="1" si="110"/>
        <v>-125068621.06475613</v>
      </c>
      <c r="J1370" s="455">
        <f t="array" ref="J1370">IFERROR(INDEX('Retirement Calculator'!K:K,MATCH('Lorri 401b'!N1370,'Retirement Calculator'!A:A,0),0),0)</f>
        <v>0</v>
      </c>
      <c r="K1370" s="455">
        <f t="shared" ca="1" si="108"/>
        <v>-521119.25443648378</v>
      </c>
      <c r="L1370" s="455">
        <f t="shared" ca="1" si="109"/>
        <v>-125589740.3191926</v>
      </c>
      <c r="M1370" s="471">
        <f t="shared" si="111"/>
        <v>0.05</v>
      </c>
      <c r="N1370" s="475">
        <f t="shared" si="112"/>
        <v>92743</v>
      </c>
    </row>
    <row r="1371" spans="7:14" ht="11.25" customHeight="1" x14ac:dyDescent="0.3">
      <c r="G1371" s="470"/>
      <c r="H1371" s="470">
        <v>1364</v>
      </c>
      <c r="I1371" s="455">
        <f t="shared" ca="1" si="110"/>
        <v>-125589740.3191926</v>
      </c>
      <c r="J1371" s="455">
        <f t="array" ref="J1371">IFERROR(INDEX('Retirement Calculator'!K:K,MATCH('Lorri 401b'!N1371,'Retirement Calculator'!A:A,0),0),0)</f>
        <v>0</v>
      </c>
      <c r="K1371" s="455">
        <f t="shared" ca="1" si="108"/>
        <v>-523290.58466330252</v>
      </c>
      <c r="L1371" s="455">
        <f t="shared" ca="1" si="109"/>
        <v>-126113030.9038559</v>
      </c>
      <c r="M1371" s="471">
        <f t="shared" si="111"/>
        <v>0.05</v>
      </c>
      <c r="N1371" s="475">
        <f t="shared" si="112"/>
        <v>92774</v>
      </c>
    </row>
    <row r="1372" spans="7:14" ht="11.25" customHeight="1" x14ac:dyDescent="0.3">
      <c r="G1372" s="470"/>
      <c r="H1372" s="470">
        <v>1365</v>
      </c>
      <c r="I1372" s="455">
        <f t="shared" ca="1" si="110"/>
        <v>-126113030.9038559</v>
      </c>
      <c r="J1372" s="455">
        <f t="array" ref="J1372">IFERROR(INDEX('Retirement Calculator'!K:K,MATCH('Lorri 401b'!N1372,'Retirement Calculator'!A:A,0),0),0)</f>
        <v>0</v>
      </c>
      <c r="K1372" s="455">
        <f t="shared" ca="1" si="108"/>
        <v>-525470.96209939965</v>
      </c>
      <c r="L1372" s="455">
        <f t="shared" ca="1" si="109"/>
        <v>-126638501.86595531</v>
      </c>
      <c r="M1372" s="471">
        <f t="shared" si="111"/>
        <v>0.05</v>
      </c>
      <c r="N1372" s="475">
        <f t="shared" si="112"/>
        <v>92805</v>
      </c>
    </row>
    <row r="1373" spans="7:14" ht="11.25" customHeight="1" x14ac:dyDescent="0.3">
      <c r="G1373" s="470"/>
      <c r="H1373" s="470">
        <v>1366</v>
      </c>
      <c r="I1373" s="455">
        <f t="shared" ca="1" si="110"/>
        <v>-126638501.86595531</v>
      </c>
      <c r="J1373" s="455">
        <f t="array" ref="J1373">IFERROR(INDEX('Retirement Calculator'!K:K,MATCH('Lorri 401b'!N1373,'Retirement Calculator'!A:A,0),0),0)</f>
        <v>0</v>
      </c>
      <c r="K1373" s="455">
        <f t="shared" ca="1" si="108"/>
        <v>-527660.42444148054</v>
      </c>
      <c r="L1373" s="455">
        <f t="shared" ca="1" si="109"/>
        <v>-127166162.29039679</v>
      </c>
      <c r="M1373" s="471">
        <f t="shared" si="111"/>
        <v>0.05</v>
      </c>
      <c r="N1373" s="475">
        <f t="shared" si="112"/>
        <v>92833</v>
      </c>
    </row>
    <row r="1374" spans="7:14" ht="11.25" customHeight="1" x14ac:dyDescent="0.3">
      <c r="G1374" s="470"/>
      <c r="H1374" s="470">
        <v>1367</v>
      </c>
      <c r="I1374" s="455">
        <f t="shared" ca="1" si="110"/>
        <v>-127166162.29039679</v>
      </c>
      <c r="J1374" s="455">
        <f t="array" ref="J1374">IFERROR(INDEX('Retirement Calculator'!K:K,MATCH('Lorri 401b'!N1374,'Retirement Calculator'!A:A,0),0),0)</f>
        <v>0</v>
      </c>
      <c r="K1374" s="455">
        <f t="shared" ca="1" si="108"/>
        <v>-529859.00954331993</v>
      </c>
      <c r="L1374" s="455">
        <f t="shared" ca="1" si="109"/>
        <v>-127696021.29994011</v>
      </c>
      <c r="M1374" s="471">
        <f t="shared" si="111"/>
        <v>0.05</v>
      </c>
      <c r="N1374" s="475">
        <f t="shared" si="112"/>
        <v>92864</v>
      </c>
    </row>
    <row r="1375" spans="7:14" ht="11.25" customHeight="1" x14ac:dyDescent="0.3">
      <c r="G1375" s="470"/>
      <c r="H1375" s="470">
        <v>1368</v>
      </c>
      <c r="I1375" s="455">
        <f t="shared" ca="1" si="110"/>
        <v>-127696021.29994011</v>
      </c>
      <c r="J1375" s="455">
        <f t="array" ref="J1375">IFERROR(INDEX('Retirement Calculator'!K:K,MATCH('Lorri 401b'!N1375,'Retirement Calculator'!A:A,0),0),0)</f>
        <v>0</v>
      </c>
      <c r="K1375" s="455">
        <f t="shared" ca="1" si="108"/>
        <v>-532066.75541641715</v>
      </c>
      <c r="L1375" s="455">
        <f t="shared" ca="1" si="109"/>
        <v>-128228088.05535653</v>
      </c>
      <c r="M1375" s="471">
        <f t="shared" si="111"/>
        <v>0.05</v>
      </c>
      <c r="N1375" s="475">
        <f t="shared" si="112"/>
        <v>92894</v>
      </c>
    </row>
    <row r="1376" spans="7:14" ht="11.25" customHeight="1" x14ac:dyDescent="0.3">
      <c r="G1376" s="470"/>
      <c r="H1376" s="470">
        <v>1369</v>
      </c>
      <c r="I1376" s="455">
        <f t="shared" ca="1" si="110"/>
        <v>-128228088.05535653</v>
      </c>
      <c r="J1376" s="455">
        <f t="array" ref="J1376">IFERROR(INDEX('Retirement Calculator'!K:K,MATCH('Lorri 401b'!N1376,'Retirement Calculator'!A:A,0),0),0)</f>
        <v>0</v>
      </c>
      <c r="K1376" s="455">
        <f t="shared" ca="1" si="108"/>
        <v>-534283.70023065223</v>
      </c>
      <c r="L1376" s="455">
        <f t="shared" ca="1" si="109"/>
        <v>-128762371.75558719</v>
      </c>
      <c r="M1376" s="471">
        <f t="shared" si="111"/>
        <v>0.05</v>
      </c>
      <c r="N1376" s="475">
        <f t="shared" si="112"/>
        <v>92925</v>
      </c>
    </row>
    <row r="1377" spans="7:14" ht="11.25" customHeight="1" x14ac:dyDescent="0.3">
      <c r="G1377" s="470"/>
      <c r="H1377" s="470">
        <v>1370</v>
      </c>
      <c r="I1377" s="455">
        <f t="shared" ca="1" si="110"/>
        <v>-128762371.75558719</v>
      </c>
      <c r="J1377" s="455">
        <f t="array" ref="J1377">IFERROR(INDEX('Retirement Calculator'!K:K,MATCH('Lorri 401b'!N1377,'Retirement Calculator'!A:A,0),0),0)</f>
        <v>0</v>
      </c>
      <c r="K1377" s="455">
        <f t="shared" ca="1" si="108"/>
        <v>-536509.8823149465</v>
      </c>
      <c r="L1377" s="455">
        <f t="shared" ca="1" si="109"/>
        <v>-129298881.63790214</v>
      </c>
      <c r="M1377" s="471">
        <f t="shared" si="111"/>
        <v>0.05</v>
      </c>
      <c r="N1377" s="475">
        <f t="shared" si="112"/>
        <v>92955</v>
      </c>
    </row>
    <row r="1378" spans="7:14" ht="11.25" customHeight="1" x14ac:dyDescent="0.3">
      <c r="G1378" s="470"/>
      <c r="H1378" s="470">
        <v>1371</v>
      </c>
      <c r="I1378" s="455">
        <f t="shared" ca="1" si="110"/>
        <v>-129298881.63790214</v>
      </c>
      <c r="J1378" s="455">
        <f t="array" ref="J1378">IFERROR(INDEX('Retirement Calculator'!K:K,MATCH('Lorri 401b'!N1378,'Retirement Calculator'!A:A,0),0),0)</f>
        <v>0</v>
      </c>
      <c r="K1378" s="455">
        <f t="shared" ca="1" si="108"/>
        <v>-538745.3401579255</v>
      </c>
      <c r="L1378" s="455">
        <f t="shared" ca="1" si="109"/>
        <v>-129837626.97806007</v>
      </c>
      <c r="M1378" s="471">
        <f t="shared" si="111"/>
        <v>0.05</v>
      </c>
      <c r="N1378" s="475">
        <f t="shared" si="112"/>
        <v>92986</v>
      </c>
    </row>
    <row r="1379" spans="7:14" ht="11.25" customHeight="1" x14ac:dyDescent="0.3">
      <c r="G1379" s="470"/>
      <c r="H1379" s="470">
        <v>1372</v>
      </c>
      <c r="I1379" s="455">
        <f t="shared" ca="1" si="110"/>
        <v>-129837626.97806007</v>
      </c>
      <c r="J1379" s="455">
        <f t="array" ref="J1379">IFERROR(INDEX('Retirement Calculator'!K:K,MATCH('Lorri 401b'!N1379,'Retirement Calculator'!A:A,0),0),0)</f>
        <v>0</v>
      </c>
      <c r="K1379" s="455">
        <f t="shared" ca="1" si="108"/>
        <v>-540990.11240858363</v>
      </c>
      <c r="L1379" s="455">
        <f t="shared" ca="1" si="109"/>
        <v>-130378617.09046865</v>
      </c>
      <c r="M1379" s="471">
        <f t="shared" si="111"/>
        <v>0.05</v>
      </c>
      <c r="N1379" s="475">
        <f t="shared" si="112"/>
        <v>93017</v>
      </c>
    </row>
    <row r="1380" spans="7:14" ht="11.25" customHeight="1" x14ac:dyDescent="0.3">
      <c r="G1380" s="470"/>
      <c r="H1380" s="470">
        <v>1373</v>
      </c>
      <c r="I1380" s="455">
        <f t="shared" ca="1" si="110"/>
        <v>-130378617.09046865</v>
      </c>
      <c r="J1380" s="455">
        <f t="array" ref="J1380">IFERROR(INDEX('Retirement Calculator'!K:K,MATCH('Lorri 401b'!N1380,'Retirement Calculator'!A:A,0),0),0)</f>
        <v>0</v>
      </c>
      <c r="K1380" s="455">
        <f t="shared" ca="1" si="108"/>
        <v>-543244.23787695263</v>
      </c>
      <c r="L1380" s="455">
        <f t="shared" ca="1" si="109"/>
        <v>-130921861.3283456</v>
      </c>
      <c r="M1380" s="471">
        <f t="shared" si="111"/>
        <v>0.05</v>
      </c>
      <c r="N1380" s="475">
        <f t="shared" si="112"/>
        <v>93047</v>
      </c>
    </row>
    <row r="1381" spans="7:14" ht="11.25" customHeight="1" x14ac:dyDescent="0.3">
      <c r="G1381" s="470"/>
      <c r="H1381" s="470">
        <v>1374</v>
      </c>
      <c r="I1381" s="455">
        <f t="shared" ca="1" si="110"/>
        <v>-130921861.3283456</v>
      </c>
      <c r="J1381" s="455">
        <f t="array" ref="J1381">IFERROR(INDEX('Retirement Calculator'!K:K,MATCH('Lorri 401b'!N1381,'Retirement Calculator'!A:A,0),0),0)</f>
        <v>0</v>
      </c>
      <c r="K1381" s="455">
        <f t="shared" ca="1" si="108"/>
        <v>-545507.75553477334</v>
      </c>
      <c r="L1381" s="455">
        <f t="shared" ca="1" si="109"/>
        <v>-131467369.08388036</v>
      </c>
      <c r="M1381" s="471">
        <f t="shared" si="111"/>
        <v>0.05</v>
      </c>
      <c r="N1381" s="475">
        <f t="shared" si="112"/>
        <v>93078</v>
      </c>
    </row>
    <row r="1382" spans="7:14" ht="11.25" customHeight="1" x14ac:dyDescent="0.3">
      <c r="G1382" s="470"/>
      <c r="H1382" s="470">
        <v>1375</v>
      </c>
      <c r="I1382" s="455">
        <f t="shared" ca="1" si="110"/>
        <v>-131467369.08388036</v>
      </c>
      <c r="J1382" s="455">
        <f t="array" ref="J1382">IFERROR(INDEX('Retirement Calculator'!K:K,MATCH('Lorri 401b'!N1382,'Retirement Calculator'!A:A,0),0),0)</f>
        <v>0</v>
      </c>
      <c r="K1382" s="455">
        <f t="shared" ca="1" si="108"/>
        <v>-547780.7045161681</v>
      </c>
      <c r="L1382" s="455">
        <f t="shared" ca="1" si="109"/>
        <v>-132015149.78839654</v>
      </c>
      <c r="M1382" s="471">
        <f t="shared" si="111"/>
        <v>0.05</v>
      </c>
      <c r="N1382" s="475">
        <f t="shared" si="112"/>
        <v>93108</v>
      </c>
    </row>
    <row r="1383" spans="7:14" ht="11.25" customHeight="1" x14ac:dyDescent="0.3">
      <c r="G1383" s="470"/>
      <c r="H1383" s="470">
        <v>1376</v>
      </c>
      <c r="I1383" s="455">
        <f t="shared" ca="1" si="110"/>
        <v>-132015149.78839654</v>
      </c>
      <c r="J1383" s="455">
        <f t="array" ref="J1383">IFERROR(INDEX('Retirement Calculator'!K:K,MATCH('Lorri 401b'!N1383,'Retirement Calculator'!A:A,0),0),0)</f>
        <v>0</v>
      </c>
      <c r="K1383" s="455">
        <f t="shared" ca="1" si="108"/>
        <v>-550063.1241183189</v>
      </c>
      <c r="L1383" s="455">
        <f t="shared" ca="1" si="109"/>
        <v>-132565212.91251485</v>
      </c>
      <c r="M1383" s="471">
        <f t="shared" si="111"/>
        <v>0.05</v>
      </c>
      <c r="N1383" s="475">
        <f t="shared" si="112"/>
        <v>93139</v>
      </c>
    </row>
    <row r="1384" spans="7:14" ht="11.25" customHeight="1" x14ac:dyDescent="0.3">
      <c r="G1384" s="470"/>
      <c r="H1384" s="470">
        <v>1377</v>
      </c>
      <c r="I1384" s="455">
        <f t="shared" ca="1" si="110"/>
        <v>-132565212.91251485</v>
      </c>
      <c r="J1384" s="455">
        <f t="array" ref="J1384">IFERROR(INDEX('Retirement Calculator'!K:K,MATCH('Lorri 401b'!N1384,'Retirement Calculator'!A:A,0),0),0)</f>
        <v>0</v>
      </c>
      <c r="K1384" s="455">
        <f t="shared" ca="1" si="108"/>
        <v>-552355.05380214518</v>
      </c>
      <c r="L1384" s="455">
        <f t="shared" ca="1" si="109"/>
        <v>-133117567.966317</v>
      </c>
      <c r="M1384" s="471">
        <f t="shared" si="111"/>
        <v>0.05</v>
      </c>
      <c r="N1384" s="475">
        <f t="shared" si="112"/>
        <v>93170</v>
      </c>
    </row>
    <row r="1385" spans="7:14" ht="11.25" customHeight="1" x14ac:dyDescent="0.3">
      <c r="G1385" s="470"/>
      <c r="H1385" s="470">
        <v>1378</v>
      </c>
      <c r="I1385" s="455">
        <f t="shared" ca="1" si="110"/>
        <v>-133117567.966317</v>
      </c>
      <c r="J1385" s="455">
        <f t="array" ref="J1385">IFERROR(INDEX('Retirement Calculator'!K:K,MATCH('Lorri 401b'!N1385,'Retirement Calculator'!A:A,0),0),0)</f>
        <v>0</v>
      </c>
      <c r="K1385" s="455">
        <f t="shared" ca="1" si="108"/>
        <v>-554656.53319298744</v>
      </c>
      <c r="L1385" s="455">
        <f t="shared" ca="1" si="109"/>
        <v>-133672224.49950999</v>
      </c>
      <c r="M1385" s="471">
        <f t="shared" si="111"/>
        <v>0.05</v>
      </c>
      <c r="N1385" s="475">
        <f t="shared" si="112"/>
        <v>93198</v>
      </c>
    </row>
    <row r="1386" spans="7:14" ht="11.25" customHeight="1" x14ac:dyDescent="0.3">
      <c r="G1386" s="470"/>
      <c r="H1386" s="470">
        <v>1379</v>
      </c>
      <c r="I1386" s="455">
        <f t="shared" ca="1" si="110"/>
        <v>-133672224.49950999</v>
      </c>
      <c r="J1386" s="455">
        <f t="array" ref="J1386">IFERROR(INDEX('Retirement Calculator'!K:K,MATCH('Lorri 401b'!N1386,'Retirement Calculator'!A:A,0),0),0)</f>
        <v>0</v>
      </c>
      <c r="K1386" s="455">
        <f t="shared" ca="1" si="108"/>
        <v>-556967.60208129173</v>
      </c>
      <c r="L1386" s="455">
        <f t="shared" ca="1" si="109"/>
        <v>-134229192.10159129</v>
      </c>
      <c r="M1386" s="471">
        <f t="shared" si="111"/>
        <v>0.05</v>
      </c>
      <c r="N1386" s="475">
        <f t="shared" si="112"/>
        <v>93229</v>
      </c>
    </row>
    <row r="1387" spans="7:14" ht="11.25" customHeight="1" x14ac:dyDescent="0.3">
      <c r="G1387" s="470"/>
      <c r="H1387" s="470">
        <v>1380</v>
      </c>
      <c r="I1387" s="455">
        <f t="shared" ca="1" si="110"/>
        <v>-134229192.10159129</v>
      </c>
      <c r="J1387" s="455">
        <f t="array" ref="J1387">IFERROR(INDEX('Retirement Calculator'!K:K,MATCH('Lorri 401b'!N1387,'Retirement Calculator'!A:A,0),0),0)</f>
        <v>0</v>
      </c>
      <c r="K1387" s="455">
        <f t="shared" ca="1" si="108"/>
        <v>-559288.30042329698</v>
      </c>
      <c r="L1387" s="455">
        <f t="shared" ca="1" si="109"/>
        <v>-134788480.40201458</v>
      </c>
      <c r="M1387" s="471">
        <f t="shared" si="111"/>
        <v>0.05</v>
      </c>
      <c r="N1387" s="475">
        <f t="shared" si="112"/>
        <v>93259</v>
      </c>
    </row>
    <row r="1388" spans="7:14" ht="11.25" customHeight="1" x14ac:dyDescent="0.3">
      <c r="G1388" s="470"/>
      <c r="H1388" s="470">
        <v>1381</v>
      </c>
      <c r="I1388" s="455">
        <f t="shared" ca="1" si="110"/>
        <v>-134788480.40201458</v>
      </c>
      <c r="J1388" s="455">
        <f t="array" ref="J1388">IFERROR(INDEX('Retirement Calculator'!K:K,MATCH('Lorri 401b'!N1388,'Retirement Calculator'!A:A,0),0),0)</f>
        <v>0</v>
      </c>
      <c r="K1388" s="455">
        <f t="shared" ca="1" si="108"/>
        <v>-561618.66834172746</v>
      </c>
      <c r="L1388" s="455">
        <f t="shared" ca="1" si="109"/>
        <v>-135350099.07035631</v>
      </c>
      <c r="M1388" s="471">
        <f t="shared" si="111"/>
        <v>0.05</v>
      </c>
      <c r="N1388" s="475">
        <f t="shared" si="112"/>
        <v>93290</v>
      </c>
    </row>
    <row r="1389" spans="7:14" ht="11.25" customHeight="1" x14ac:dyDescent="0.3">
      <c r="G1389" s="470"/>
      <c r="H1389" s="470">
        <v>1382</v>
      </c>
      <c r="I1389" s="455">
        <f t="shared" ca="1" si="110"/>
        <v>-135350099.07035631</v>
      </c>
      <c r="J1389" s="455">
        <f t="array" ref="J1389">IFERROR(INDEX('Retirement Calculator'!K:K,MATCH('Lorri 401b'!N1389,'Retirement Calculator'!A:A,0),0),0)</f>
        <v>0</v>
      </c>
      <c r="K1389" s="455">
        <f t="shared" ca="1" si="108"/>
        <v>-563958.74612648459</v>
      </c>
      <c r="L1389" s="455">
        <f t="shared" ca="1" si="109"/>
        <v>-135914057.81648278</v>
      </c>
      <c r="M1389" s="471">
        <f t="shared" si="111"/>
        <v>0.05</v>
      </c>
      <c r="N1389" s="475">
        <f t="shared" si="112"/>
        <v>93320</v>
      </c>
    </row>
    <row r="1390" spans="7:14" ht="11.25" customHeight="1" x14ac:dyDescent="0.3">
      <c r="G1390" s="470"/>
      <c r="H1390" s="470">
        <v>1383</v>
      </c>
      <c r="I1390" s="455">
        <f t="shared" ca="1" si="110"/>
        <v>-135914057.81648278</v>
      </c>
      <c r="J1390" s="455">
        <f t="array" ref="J1390">IFERROR(INDEX('Retirement Calculator'!K:K,MATCH('Lorri 401b'!N1390,'Retirement Calculator'!A:A,0),0),0)</f>
        <v>0</v>
      </c>
      <c r="K1390" s="455">
        <f t="shared" ca="1" si="108"/>
        <v>-566308.57423534489</v>
      </c>
      <c r="L1390" s="455">
        <f t="shared" ca="1" si="109"/>
        <v>-136480366.39071813</v>
      </c>
      <c r="M1390" s="471">
        <f t="shared" si="111"/>
        <v>0.05</v>
      </c>
      <c r="N1390" s="475">
        <f t="shared" si="112"/>
        <v>93351</v>
      </c>
    </row>
    <row r="1391" spans="7:14" ht="11.25" customHeight="1" x14ac:dyDescent="0.3">
      <c r="G1391" s="470"/>
      <c r="H1391" s="470">
        <v>1384</v>
      </c>
      <c r="I1391" s="455">
        <f t="shared" ca="1" si="110"/>
        <v>-136480366.39071813</v>
      </c>
      <c r="J1391" s="455">
        <f t="array" ref="J1391">IFERROR(INDEX('Retirement Calculator'!K:K,MATCH('Lorri 401b'!N1391,'Retirement Calculator'!A:A,0),0),0)</f>
        <v>0</v>
      </c>
      <c r="K1391" s="455">
        <f t="shared" ca="1" si="108"/>
        <v>-568668.19329465891</v>
      </c>
      <c r="L1391" s="455">
        <f t="shared" ca="1" si="109"/>
        <v>-137049034.58401278</v>
      </c>
      <c r="M1391" s="471">
        <f t="shared" si="111"/>
        <v>0.05</v>
      </c>
      <c r="N1391" s="475">
        <f t="shared" si="112"/>
        <v>93382</v>
      </c>
    </row>
    <row r="1392" spans="7:14" ht="11.25" customHeight="1" x14ac:dyDescent="0.3">
      <c r="G1392" s="470"/>
      <c r="H1392" s="470">
        <v>1385</v>
      </c>
      <c r="I1392" s="455">
        <f t="shared" ca="1" si="110"/>
        <v>-137049034.58401278</v>
      </c>
      <c r="J1392" s="455">
        <f t="array" ref="J1392">IFERROR(INDEX('Retirement Calculator'!K:K,MATCH('Lorri 401b'!N1392,'Retirement Calculator'!A:A,0),0),0)</f>
        <v>0</v>
      </c>
      <c r="K1392" s="455">
        <f t="shared" ca="1" si="108"/>
        <v>-571037.64410005324</v>
      </c>
      <c r="L1392" s="455">
        <f t="shared" ca="1" si="109"/>
        <v>-137620072.22811282</v>
      </c>
      <c r="M1392" s="471">
        <f t="shared" si="111"/>
        <v>0.05</v>
      </c>
      <c r="N1392" s="475">
        <f t="shared" si="112"/>
        <v>93412</v>
      </c>
    </row>
    <row r="1393" spans="7:14" ht="11.25" customHeight="1" x14ac:dyDescent="0.3">
      <c r="G1393" s="470"/>
      <c r="H1393" s="470">
        <v>1386</v>
      </c>
      <c r="I1393" s="455">
        <f t="shared" ca="1" si="110"/>
        <v>-137620072.22811282</v>
      </c>
      <c r="J1393" s="455">
        <f t="array" ref="J1393">IFERROR(INDEX('Retirement Calculator'!K:K,MATCH('Lorri 401b'!N1393,'Retirement Calculator'!A:A,0),0),0)</f>
        <v>0</v>
      </c>
      <c r="K1393" s="455">
        <f t="shared" ca="1" si="108"/>
        <v>-573416.96761713678</v>
      </c>
      <c r="L1393" s="455">
        <f t="shared" ca="1" si="109"/>
        <v>-138193489.19572994</v>
      </c>
      <c r="M1393" s="471">
        <f t="shared" si="111"/>
        <v>0.05</v>
      </c>
      <c r="N1393" s="475">
        <f t="shared" si="112"/>
        <v>93443</v>
      </c>
    </row>
    <row r="1394" spans="7:14" ht="11.25" customHeight="1" x14ac:dyDescent="0.3">
      <c r="G1394" s="470"/>
      <c r="H1394" s="470">
        <v>1387</v>
      </c>
      <c r="I1394" s="455">
        <f t="shared" ca="1" si="110"/>
        <v>-138193489.19572994</v>
      </c>
      <c r="J1394" s="455">
        <f t="array" ref="J1394">IFERROR(INDEX('Retirement Calculator'!K:K,MATCH('Lorri 401b'!N1394,'Retirement Calculator'!A:A,0),0),0)</f>
        <v>0</v>
      </c>
      <c r="K1394" s="455">
        <f t="shared" ca="1" si="108"/>
        <v>-575806.20498220809</v>
      </c>
      <c r="L1394" s="455">
        <f t="shared" ca="1" si="109"/>
        <v>-138769295.40071216</v>
      </c>
      <c r="M1394" s="471">
        <f t="shared" si="111"/>
        <v>0.05</v>
      </c>
      <c r="N1394" s="475">
        <f t="shared" si="112"/>
        <v>93473</v>
      </c>
    </row>
    <row r="1395" spans="7:14" ht="11.25" customHeight="1" x14ac:dyDescent="0.3">
      <c r="G1395" s="470"/>
      <c r="H1395" s="470">
        <v>1388</v>
      </c>
      <c r="I1395" s="455">
        <f t="shared" ca="1" si="110"/>
        <v>-138769295.40071216</v>
      </c>
      <c r="J1395" s="455">
        <f t="array" ref="J1395">IFERROR(INDEX('Retirement Calculator'!K:K,MATCH('Lorri 401b'!N1395,'Retirement Calculator'!A:A,0),0),0)</f>
        <v>0</v>
      </c>
      <c r="K1395" s="455">
        <f t="shared" ca="1" si="108"/>
        <v>-578205.39750296739</v>
      </c>
      <c r="L1395" s="455">
        <f t="shared" ca="1" si="109"/>
        <v>-139347500.79821512</v>
      </c>
      <c r="M1395" s="471">
        <f t="shared" si="111"/>
        <v>0.05</v>
      </c>
      <c r="N1395" s="475">
        <f t="shared" si="112"/>
        <v>93504</v>
      </c>
    </row>
    <row r="1396" spans="7:14" ht="11.25" customHeight="1" x14ac:dyDescent="0.3">
      <c r="G1396" s="470"/>
      <c r="H1396" s="470">
        <v>1389</v>
      </c>
      <c r="I1396" s="455">
        <f t="shared" ca="1" si="110"/>
        <v>-139347500.79821512</v>
      </c>
      <c r="J1396" s="455">
        <f t="array" ref="J1396">IFERROR(INDEX('Retirement Calculator'!K:K,MATCH('Lorri 401b'!N1396,'Retirement Calculator'!A:A,0),0),0)</f>
        <v>0</v>
      </c>
      <c r="K1396" s="455">
        <f t="shared" ca="1" si="108"/>
        <v>-580614.58665922971</v>
      </c>
      <c r="L1396" s="455">
        <f t="shared" ca="1" si="109"/>
        <v>-139928115.38487434</v>
      </c>
      <c r="M1396" s="471">
        <f t="shared" si="111"/>
        <v>0.05</v>
      </c>
      <c r="N1396" s="475">
        <f t="shared" si="112"/>
        <v>93535</v>
      </c>
    </row>
    <row r="1397" spans="7:14" ht="11.25" customHeight="1" x14ac:dyDescent="0.3">
      <c r="G1397" s="470"/>
      <c r="H1397" s="470">
        <v>1390</v>
      </c>
      <c r="I1397" s="455">
        <f t="shared" ca="1" si="110"/>
        <v>-139928115.38487434</v>
      </c>
      <c r="J1397" s="455">
        <f t="array" ref="J1397">IFERROR(INDEX('Retirement Calculator'!K:K,MATCH('Lorri 401b'!N1397,'Retirement Calculator'!A:A,0),0),0)</f>
        <v>0</v>
      </c>
      <c r="K1397" s="455">
        <f t="shared" ca="1" si="108"/>
        <v>-583033.81410364306</v>
      </c>
      <c r="L1397" s="455">
        <f t="shared" ca="1" si="109"/>
        <v>-140511149.19897798</v>
      </c>
      <c r="M1397" s="471">
        <f t="shared" si="111"/>
        <v>0.05</v>
      </c>
      <c r="N1397" s="475">
        <f t="shared" si="112"/>
        <v>93564</v>
      </c>
    </row>
    <row r="1398" spans="7:14" ht="11.25" customHeight="1" x14ac:dyDescent="0.3">
      <c r="G1398" s="470"/>
      <c r="H1398" s="470">
        <v>1391</v>
      </c>
      <c r="I1398" s="455">
        <f t="shared" ca="1" si="110"/>
        <v>-140511149.19897798</v>
      </c>
      <c r="J1398" s="455">
        <f t="array" ref="J1398">IFERROR(INDEX('Retirement Calculator'!K:K,MATCH('Lorri 401b'!N1398,'Retirement Calculator'!A:A,0),0),0)</f>
        <v>0</v>
      </c>
      <c r="K1398" s="455">
        <f t="shared" ca="1" si="108"/>
        <v>-585463.12166240823</v>
      </c>
      <c r="L1398" s="455">
        <f t="shared" ca="1" si="109"/>
        <v>-141096612.32064039</v>
      </c>
      <c r="M1398" s="471">
        <f t="shared" si="111"/>
        <v>0.05</v>
      </c>
      <c r="N1398" s="475">
        <f t="shared" si="112"/>
        <v>93595</v>
      </c>
    </row>
    <row r="1399" spans="7:14" ht="11.25" customHeight="1" x14ac:dyDescent="0.3">
      <c r="G1399" s="470"/>
      <c r="H1399" s="470">
        <v>1392</v>
      </c>
      <c r="I1399" s="455">
        <f t="shared" ca="1" si="110"/>
        <v>-141096612.32064039</v>
      </c>
      <c r="J1399" s="455">
        <f t="array" ref="J1399">IFERROR(INDEX('Retirement Calculator'!K:K,MATCH('Lorri 401b'!N1399,'Retirement Calculator'!A:A,0),0),0)</f>
        <v>0</v>
      </c>
      <c r="K1399" s="455">
        <f t="shared" ca="1" si="108"/>
        <v>-587902.5513360016</v>
      </c>
      <c r="L1399" s="455">
        <f t="shared" ca="1" si="109"/>
        <v>-141684514.87197638</v>
      </c>
      <c r="M1399" s="471">
        <f t="shared" si="111"/>
        <v>0.05</v>
      </c>
      <c r="N1399" s="475">
        <f t="shared" si="112"/>
        <v>93625</v>
      </c>
    </row>
    <row r="1400" spans="7:14" ht="11.25" customHeight="1" x14ac:dyDescent="0.3">
      <c r="G1400" s="470"/>
      <c r="H1400" s="470">
        <v>1393</v>
      </c>
      <c r="I1400" s="455">
        <f t="shared" ca="1" si="110"/>
        <v>-141684514.87197638</v>
      </c>
      <c r="J1400" s="455">
        <f t="array" ref="J1400">IFERROR(INDEX('Retirement Calculator'!K:K,MATCH('Lorri 401b'!N1400,'Retirement Calculator'!A:A,0),0),0)</f>
        <v>0</v>
      </c>
      <c r="K1400" s="455">
        <f t="shared" ca="1" si="108"/>
        <v>-590352.1452999016</v>
      </c>
      <c r="L1400" s="455">
        <f t="shared" ca="1" si="109"/>
        <v>-142274867.01727629</v>
      </c>
      <c r="M1400" s="471">
        <f t="shared" si="111"/>
        <v>0.05</v>
      </c>
      <c r="N1400" s="475">
        <f t="shared" si="112"/>
        <v>93656</v>
      </c>
    </row>
    <row r="1401" spans="7:14" ht="11.25" customHeight="1" x14ac:dyDescent="0.3">
      <c r="G1401" s="470"/>
      <c r="H1401" s="470">
        <v>1394</v>
      </c>
      <c r="I1401" s="455">
        <f t="shared" ca="1" si="110"/>
        <v>-142274867.01727629</v>
      </c>
      <c r="J1401" s="455">
        <f t="array" ref="J1401">IFERROR(INDEX('Retirement Calculator'!K:K,MATCH('Lorri 401b'!N1401,'Retirement Calculator'!A:A,0),0),0)</f>
        <v>0</v>
      </c>
      <c r="K1401" s="455">
        <f t="shared" ca="1" si="108"/>
        <v>-592811.9459053179</v>
      </c>
      <c r="L1401" s="455">
        <f t="shared" ca="1" si="109"/>
        <v>-142867678.96318161</v>
      </c>
      <c r="M1401" s="471">
        <f t="shared" si="111"/>
        <v>0.05</v>
      </c>
      <c r="N1401" s="475">
        <f t="shared" si="112"/>
        <v>93686</v>
      </c>
    </row>
    <row r="1402" spans="7:14" ht="11.25" customHeight="1" x14ac:dyDescent="0.3">
      <c r="G1402" s="470"/>
      <c r="H1402" s="470">
        <v>1395</v>
      </c>
      <c r="I1402" s="455">
        <f t="shared" ca="1" si="110"/>
        <v>-142867678.96318161</v>
      </c>
      <c r="J1402" s="455">
        <f t="array" ref="J1402">IFERROR(INDEX('Retirement Calculator'!K:K,MATCH('Lorri 401b'!N1402,'Retirement Calculator'!A:A,0),0),0)</f>
        <v>0</v>
      </c>
      <c r="K1402" s="455">
        <f t="shared" ca="1" si="108"/>
        <v>-595281.99567992333</v>
      </c>
      <c r="L1402" s="455">
        <f t="shared" ca="1" si="109"/>
        <v>-143462960.95886153</v>
      </c>
      <c r="M1402" s="471">
        <f t="shared" si="111"/>
        <v>0.05</v>
      </c>
      <c r="N1402" s="475">
        <f t="shared" si="112"/>
        <v>93717</v>
      </c>
    </row>
    <row r="1403" spans="7:14" ht="11.25" customHeight="1" x14ac:dyDescent="0.3">
      <c r="G1403" s="470"/>
      <c r="H1403" s="470">
        <v>1396</v>
      </c>
      <c r="I1403" s="455">
        <f t="shared" ca="1" si="110"/>
        <v>-143462960.95886153</v>
      </c>
      <c r="J1403" s="455">
        <f t="array" ref="J1403">IFERROR(INDEX('Retirement Calculator'!K:K,MATCH('Lorri 401b'!N1403,'Retirement Calculator'!A:A,0),0),0)</f>
        <v>0</v>
      </c>
      <c r="K1403" s="455">
        <f t="shared" ca="1" si="108"/>
        <v>-597762.33732858975</v>
      </c>
      <c r="L1403" s="455">
        <f t="shared" ca="1" si="109"/>
        <v>-144060723.29619011</v>
      </c>
      <c r="M1403" s="471">
        <f t="shared" si="111"/>
        <v>0.05</v>
      </c>
      <c r="N1403" s="475">
        <f t="shared" si="112"/>
        <v>93748</v>
      </c>
    </row>
    <row r="1404" spans="7:14" ht="11.25" customHeight="1" x14ac:dyDescent="0.3">
      <c r="G1404" s="470"/>
      <c r="H1404" s="470">
        <v>1397</v>
      </c>
      <c r="I1404" s="455">
        <f t="shared" ca="1" si="110"/>
        <v>-144060723.29619011</v>
      </c>
      <c r="J1404" s="455">
        <f t="array" ref="J1404">IFERROR(INDEX('Retirement Calculator'!K:K,MATCH('Lorri 401b'!N1404,'Retirement Calculator'!A:A,0),0),0)</f>
        <v>0</v>
      </c>
      <c r="K1404" s="455">
        <f t="shared" ca="1" si="108"/>
        <v>-600253.01373412542</v>
      </c>
      <c r="L1404" s="455">
        <f t="shared" ca="1" si="109"/>
        <v>-144660976.30992424</v>
      </c>
      <c r="M1404" s="471">
        <f t="shared" si="111"/>
        <v>0.05</v>
      </c>
      <c r="N1404" s="475">
        <f t="shared" si="112"/>
        <v>93778</v>
      </c>
    </row>
    <row r="1405" spans="7:14" ht="11.25" customHeight="1" x14ac:dyDescent="0.3">
      <c r="G1405" s="470"/>
      <c r="H1405" s="470">
        <v>1398</v>
      </c>
      <c r="I1405" s="455">
        <f t="shared" ca="1" si="110"/>
        <v>-144660976.30992424</v>
      </c>
      <c r="J1405" s="455">
        <f t="array" ref="J1405">IFERROR(INDEX('Retirement Calculator'!K:K,MATCH('Lorri 401b'!N1405,'Retirement Calculator'!A:A,0),0),0)</f>
        <v>0</v>
      </c>
      <c r="K1405" s="455">
        <f t="shared" ca="1" si="108"/>
        <v>-602754.06795801769</v>
      </c>
      <c r="L1405" s="455">
        <f t="shared" ca="1" si="109"/>
        <v>-145263730.37788227</v>
      </c>
      <c r="M1405" s="471">
        <f t="shared" si="111"/>
        <v>0.05</v>
      </c>
      <c r="N1405" s="475">
        <f t="shared" si="112"/>
        <v>93809</v>
      </c>
    </row>
    <row r="1406" spans="7:14" ht="11.25" customHeight="1" x14ac:dyDescent="0.3">
      <c r="G1406" s="470"/>
      <c r="H1406" s="470">
        <v>1399</v>
      </c>
      <c r="I1406" s="455">
        <f t="shared" ca="1" si="110"/>
        <v>-145263730.37788227</v>
      </c>
      <c r="J1406" s="455">
        <f t="array" ref="J1406">IFERROR(INDEX('Retirement Calculator'!K:K,MATCH('Lorri 401b'!N1406,'Retirement Calculator'!A:A,0),0),0)</f>
        <v>0</v>
      </c>
      <c r="K1406" s="455">
        <f t="shared" ca="1" si="108"/>
        <v>-605265.54324117617</v>
      </c>
      <c r="L1406" s="455">
        <f t="shared" ca="1" si="109"/>
        <v>-145868995.92112345</v>
      </c>
      <c r="M1406" s="471">
        <f t="shared" si="111"/>
        <v>0.05</v>
      </c>
      <c r="N1406" s="475">
        <f t="shared" si="112"/>
        <v>93839</v>
      </c>
    </row>
    <row r="1407" spans="7:14" ht="11.25" customHeight="1" x14ac:dyDescent="0.3">
      <c r="G1407" s="470"/>
      <c r="H1407" s="470">
        <v>1400</v>
      </c>
      <c r="I1407" s="455">
        <f t="shared" ca="1" si="110"/>
        <v>-145868995.92112345</v>
      </c>
      <c r="J1407" s="455">
        <f t="array" ref="J1407">IFERROR(INDEX('Retirement Calculator'!K:K,MATCH('Lorri 401b'!N1407,'Retirement Calculator'!A:A,0),0),0)</f>
        <v>0</v>
      </c>
      <c r="K1407" s="455">
        <f t="shared" ca="1" si="108"/>
        <v>-607787.48300468107</v>
      </c>
      <c r="L1407" s="455">
        <f t="shared" ca="1" si="109"/>
        <v>-146476783.40412813</v>
      </c>
      <c r="M1407" s="471">
        <f t="shared" si="111"/>
        <v>0.05</v>
      </c>
      <c r="N1407" s="475">
        <f t="shared" si="112"/>
        <v>93870</v>
      </c>
    </row>
    <row r="1408" spans="7:14" ht="11.25" customHeight="1" x14ac:dyDescent="0.3">
      <c r="G1408" s="470"/>
      <c r="H1408" s="470">
        <v>1401</v>
      </c>
      <c r="I1408" s="455">
        <f t="shared" ca="1" si="110"/>
        <v>-146476783.40412813</v>
      </c>
      <c r="J1408" s="455">
        <f t="array" ref="J1408">IFERROR(INDEX('Retirement Calculator'!K:K,MATCH('Lorri 401b'!N1408,'Retirement Calculator'!A:A,0),0),0)</f>
        <v>0</v>
      </c>
      <c r="K1408" s="455">
        <f t="shared" ca="1" si="108"/>
        <v>-610319.93085053388</v>
      </c>
      <c r="L1408" s="455">
        <f t="shared" ca="1" si="109"/>
        <v>-147087103.33497867</v>
      </c>
      <c r="M1408" s="471">
        <f t="shared" si="111"/>
        <v>0.05</v>
      </c>
      <c r="N1408" s="475">
        <f t="shared" si="112"/>
        <v>93901</v>
      </c>
    </row>
    <row r="1409" spans="7:14" ht="11.25" customHeight="1" x14ac:dyDescent="0.3">
      <c r="G1409" s="470"/>
      <c r="H1409" s="470">
        <v>1402</v>
      </c>
      <c r="I1409" s="455">
        <f t="shared" ca="1" si="110"/>
        <v>-147087103.33497867</v>
      </c>
      <c r="J1409" s="455">
        <f t="array" ref="J1409">IFERROR(INDEX('Retirement Calculator'!K:K,MATCH('Lorri 401b'!N1409,'Retirement Calculator'!A:A,0),0),0)</f>
        <v>0</v>
      </c>
      <c r="K1409" s="455">
        <f t="shared" ca="1" si="108"/>
        <v>-612862.93056241109</v>
      </c>
      <c r="L1409" s="455">
        <f t="shared" ca="1" si="109"/>
        <v>-147699966.26554108</v>
      </c>
      <c r="M1409" s="471">
        <f t="shared" si="111"/>
        <v>0.05</v>
      </c>
      <c r="N1409" s="475">
        <f t="shared" si="112"/>
        <v>93929</v>
      </c>
    </row>
    <row r="1410" spans="7:14" ht="11.25" customHeight="1" x14ac:dyDescent="0.3">
      <c r="G1410" s="470"/>
      <c r="H1410" s="470">
        <v>1403</v>
      </c>
      <c r="I1410" s="455">
        <f t="shared" ca="1" si="110"/>
        <v>-147699966.26554108</v>
      </c>
      <c r="J1410" s="455">
        <f t="array" ref="J1410">IFERROR(INDEX('Retirement Calculator'!K:K,MATCH('Lorri 401b'!N1410,'Retirement Calculator'!A:A,0),0),0)</f>
        <v>0</v>
      </c>
      <c r="K1410" s="455">
        <f t="shared" ca="1" si="108"/>
        <v>-615416.52610642114</v>
      </c>
      <c r="L1410" s="455">
        <f t="shared" ca="1" si="109"/>
        <v>-148315382.79164749</v>
      </c>
      <c r="M1410" s="471">
        <f t="shared" si="111"/>
        <v>0.05</v>
      </c>
      <c r="N1410" s="475">
        <f t="shared" si="112"/>
        <v>93960</v>
      </c>
    </row>
    <row r="1411" spans="7:14" ht="11.25" customHeight="1" x14ac:dyDescent="0.3">
      <c r="G1411" s="470"/>
      <c r="H1411" s="470">
        <v>1404</v>
      </c>
      <c r="I1411" s="455">
        <f t="shared" ca="1" si="110"/>
        <v>-148315382.79164749</v>
      </c>
      <c r="J1411" s="455">
        <f t="array" ref="J1411">IFERROR(INDEX('Retirement Calculator'!K:K,MATCH('Lorri 401b'!N1411,'Retirement Calculator'!A:A,0),0),0)</f>
        <v>0</v>
      </c>
      <c r="K1411" s="455">
        <f t="shared" ca="1" si="108"/>
        <v>-617980.76163186459</v>
      </c>
      <c r="L1411" s="455">
        <f t="shared" ca="1" si="109"/>
        <v>-148933363.55327937</v>
      </c>
      <c r="M1411" s="471">
        <f t="shared" si="111"/>
        <v>0.05</v>
      </c>
      <c r="N1411" s="475">
        <f t="shared" si="112"/>
        <v>93990</v>
      </c>
    </row>
    <row r="1412" spans="7:14" ht="11.25" customHeight="1" x14ac:dyDescent="0.3">
      <c r="G1412" s="470"/>
      <c r="H1412" s="470">
        <v>1405</v>
      </c>
      <c r="I1412" s="455">
        <f t="shared" ca="1" si="110"/>
        <v>-148933363.55327937</v>
      </c>
      <c r="J1412" s="455">
        <f t="array" ref="J1412">IFERROR(INDEX('Retirement Calculator'!K:K,MATCH('Lorri 401b'!N1412,'Retirement Calculator'!A:A,0),0),0)</f>
        <v>0</v>
      </c>
      <c r="K1412" s="455">
        <f t="shared" ca="1" si="108"/>
        <v>-620555.68147199741</v>
      </c>
      <c r="L1412" s="455">
        <f t="shared" ca="1" si="109"/>
        <v>-149553919.23475137</v>
      </c>
      <c r="M1412" s="471">
        <f t="shared" si="111"/>
        <v>0.05</v>
      </c>
      <c r="N1412" s="475">
        <f t="shared" si="112"/>
        <v>94021</v>
      </c>
    </row>
    <row r="1413" spans="7:14" ht="11.25" customHeight="1" x14ac:dyDescent="0.3">
      <c r="G1413" s="470"/>
      <c r="H1413" s="470">
        <v>1406</v>
      </c>
      <c r="I1413" s="455">
        <f t="shared" ca="1" si="110"/>
        <v>-149553919.23475137</v>
      </c>
      <c r="J1413" s="455">
        <f t="array" ref="J1413">IFERROR(INDEX('Retirement Calculator'!K:K,MATCH('Lorri 401b'!N1413,'Retirement Calculator'!A:A,0),0),0)</f>
        <v>0</v>
      </c>
      <c r="K1413" s="455">
        <f t="shared" ca="1" si="108"/>
        <v>-623141.33014479734</v>
      </c>
      <c r="L1413" s="455">
        <f t="shared" ca="1" si="109"/>
        <v>-150177060.56489617</v>
      </c>
      <c r="M1413" s="471">
        <f t="shared" si="111"/>
        <v>0.05</v>
      </c>
      <c r="N1413" s="475">
        <f t="shared" si="112"/>
        <v>94051</v>
      </c>
    </row>
    <row r="1414" spans="7:14" ht="11.25" customHeight="1" x14ac:dyDescent="0.3">
      <c r="G1414" s="470"/>
      <c r="H1414" s="470">
        <v>1407</v>
      </c>
      <c r="I1414" s="455">
        <f t="shared" ca="1" si="110"/>
        <v>-150177060.56489617</v>
      </c>
      <c r="J1414" s="455">
        <f t="array" ref="J1414">IFERROR(INDEX('Retirement Calculator'!K:K,MATCH('Lorri 401b'!N1414,'Retirement Calculator'!A:A,0),0),0)</f>
        <v>0</v>
      </c>
      <c r="K1414" s="455">
        <f t="shared" ca="1" si="108"/>
        <v>-625737.75235373399</v>
      </c>
      <c r="L1414" s="455">
        <f t="shared" ca="1" si="109"/>
        <v>-150802798.31724989</v>
      </c>
      <c r="M1414" s="471">
        <f t="shared" si="111"/>
        <v>0.05</v>
      </c>
      <c r="N1414" s="475">
        <f t="shared" si="112"/>
        <v>94082</v>
      </c>
    </row>
    <row r="1415" spans="7:14" ht="11.25" customHeight="1" x14ac:dyDescent="0.3">
      <c r="G1415" s="470"/>
      <c r="H1415" s="470">
        <v>1408</v>
      </c>
      <c r="I1415" s="455">
        <f t="shared" ca="1" si="110"/>
        <v>-150802798.31724989</v>
      </c>
      <c r="J1415" s="455">
        <f t="array" ref="J1415">IFERROR(INDEX('Retirement Calculator'!K:K,MATCH('Lorri 401b'!N1415,'Retirement Calculator'!A:A,0),0),0)</f>
        <v>0</v>
      </c>
      <c r="K1415" s="455">
        <f t="shared" ca="1" si="108"/>
        <v>-628344.99298854126</v>
      </c>
      <c r="L1415" s="455">
        <f t="shared" ca="1" si="109"/>
        <v>-151431143.31023842</v>
      </c>
      <c r="M1415" s="471">
        <f t="shared" si="111"/>
        <v>0.05</v>
      </c>
      <c r="N1415" s="475">
        <f t="shared" si="112"/>
        <v>94113</v>
      </c>
    </row>
    <row r="1416" spans="7:14" ht="11.25" customHeight="1" x14ac:dyDescent="0.3">
      <c r="G1416" s="470"/>
      <c r="H1416" s="470">
        <v>1409</v>
      </c>
      <c r="I1416" s="455">
        <f t="shared" ca="1" si="110"/>
        <v>-151431143.31023842</v>
      </c>
      <c r="J1416" s="455">
        <f t="array" ref="J1416">IFERROR(INDEX('Retirement Calculator'!K:K,MATCH('Lorri 401b'!N1416,'Retirement Calculator'!A:A,0),0),0)</f>
        <v>0</v>
      </c>
      <c r="K1416" s="455">
        <f t="shared" ca="1" si="108"/>
        <v>-630963.09712599346</v>
      </c>
      <c r="L1416" s="455">
        <f t="shared" ca="1" si="109"/>
        <v>-152062106.40736443</v>
      </c>
      <c r="M1416" s="471">
        <f t="shared" si="111"/>
        <v>0.05</v>
      </c>
      <c r="N1416" s="475">
        <f t="shared" si="112"/>
        <v>94143</v>
      </c>
    </row>
    <row r="1417" spans="7:14" ht="11.25" customHeight="1" x14ac:dyDescent="0.3">
      <c r="G1417" s="470"/>
      <c r="H1417" s="470">
        <v>1410</v>
      </c>
      <c r="I1417" s="455">
        <f t="shared" ca="1" si="110"/>
        <v>-152062106.40736443</v>
      </c>
      <c r="J1417" s="455">
        <f t="array" ref="J1417">IFERROR(INDEX('Retirement Calculator'!K:K,MATCH('Lorri 401b'!N1417,'Retirement Calculator'!A:A,0),0),0)</f>
        <v>0</v>
      </c>
      <c r="K1417" s="455">
        <f t="shared" ca="1" si="108"/>
        <v>-633592.11003068509</v>
      </c>
      <c r="L1417" s="455">
        <f t="shared" ca="1" si="109"/>
        <v>-152695698.51739511</v>
      </c>
      <c r="M1417" s="471">
        <f t="shared" si="111"/>
        <v>0.05</v>
      </c>
      <c r="N1417" s="475">
        <f t="shared" si="112"/>
        <v>94174</v>
      </c>
    </row>
    <row r="1418" spans="7:14" ht="11.25" customHeight="1" x14ac:dyDescent="0.3">
      <c r="G1418" s="470"/>
      <c r="H1418" s="470">
        <v>1411</v>
      </c>
      <c r="I1418" s="455">
        <f t="shared" ca="1" si="110"/>
        <v>-152695698.51739511</v>
      </c>
      <c r="J1418" s="455">
        <f t="array" ref="J1418">IFERROR(INDEX('Retirement Calculator'!K:K,MATCH('Lorri 401b'!N1418,'Retirement Calculator'!A:A,0),0),0)</f>
        <v>0</v>
      </c>
      <c r="K1418" s="455">
        <f t="shared" ca="1" si="108"/>
        <v>-636232.07715581299</v>
      </c>
      <c r="L1418" s="455">
        <f t="shared" ca="1" si="109"/>
        <v>-153331930.59455091</v>
      </c>
      <c r="M1418" s="471">
        <f t="shared" si="111"/>
        <v>0.05</v>
      </c>
      <c r="N1418" s="475">
        <f t="shared" si="112"/>
        <v>94204</v>
      </c>
    </row>
    <row r="1419" spans="7:14" ht="11.25" customHeight="1" x14ac:dyDescent="0.3">
      <c r="G1419" s="470"/>
      <c r="H1419" s="470">
        <v>1412</v>
      </c>
      <c r="I1419" s="455">
        <f t="shared" ca="1" si="110"/>
        <v>-153331930.59455091</v>
      </c>
      <c r="J1419" s="455">
        <f t="array" ref="J1419">IFERROR(INDEX('Retirement Calculator'!K:K,MATCH('Lorri 401b'!N1419,'Retirement Calculator'!A:A,0),0),0)</f>
        <v>0</v>
      </c>
      <c r="K1419" s="455">
        <f t="shared" ca="1" si="108"/>
        <v>-638883.04414396209</v>
      </c>
      <c r="L1419" s="455">
        <f t="shared" ca="1" si="109"/>
        <v>-153970813.63869488</v>
      </c>
      <c r="M1419" s="471">
        <f t="shared" si="111"/>
        <v>0.05</v>
      </c>
      <c r="N1419" s="475">
        <f t="shared" si="112"/>
        <v>94235</v>
      </c>
    </row>
    <row r="1420" spans="7:14" ht="11.25" customHeight="1" x14ac:dyDescent="0.3">
      <c r="G1420" s="470"/>
      <c r="H1420" s="470">
        <v>1413</v>
      </c>
      <c r="I1420" s="455">
        <f t="shared" ca="1" si="110"/>
        <v>-153970813.63869488</v>
      </c>
      <c r="J1420" s="455">
        <f t="array" ref="J1420">IFERROR(INDEX('Retirement Calculator'!K:K,MATCH('Lorri 401b'!N1420,'Retirement Calculator'!A:A,0),0),0)</f>
        <v>0</v>
      </c>
      <c r="K1420" s="455">
        <f t="shared" ca="1" si="108"/>
        <v>-641545.05682789534</v>
      </c>
      <c r="L1420" s="455">
        <f t="shared" ca="1" si="109"/>
        <v>-154612358.69552279</v>
      </c>
      <c r="M1420" s="471">
        <f t="shared" si="111"/>
        <v>0.05</v>
      </c>
      <c r="N1420" s="475">
        <f t="shared" si="112"/>
        <v>94266</v>
      </c>
    </row>
    <row r="1421" spans="7:14" ht="11.25" customHeight="1" x14ac:dyDescent="0.3">
      <c r="G1421" s="470"/>
      <c r="H1421" s="470">
        <v>1414</v>
      </c>
      <c r="I1421" s="455">
        <f t="shared" ca="1" si="110"/>
        <v>-154612358.69552279</v>
      </c>
      <c r="J1421" s="455">
        <f t="array" ref="J1421">IFERROR(INDEX('Retirement Calculator'!K:K,MATCH('Lorri 401b'!N1421,'Retirement Calculator'!A:A,0),0),0)</f>
        <v>0</v>
      </c>
      <c r="K1421" s="455">
        <f t="shared" ca="1" si="108"/>
        <v>-644218.16123134491</v>
      </c>
      <c r="L1421" s="455">
        <f t="shared" ca="1" si="109"/>
        <v>-155256576.85675412</v>
      </c>
      <c r="M1421" s="471">
        <f t="shared" si="111"/>
        <v>0.05</v>
      </c>
      <c r="N1421" s="475">
        <f t="shared" si="112"/>
        <v>94294</v>
      </c>
    </row>
    <row r="1422" spans="7:14" ht="11.25" customHeight="1" x14ac:dyDescent="0.3">
      <c r="G1422" s="470"/>
      <c r="H1422" s="470">
        <v>1415</v>
      </c>
      <c r="I1422" s="455">
        <f t="shared" ca="1" si="110"/>
        <v>-155256576.85675412</v>
      </c>
      <c r="J1422" s="455">
        <f t="array" ref="J1422">IFERROR(INDEX('Retirement Calculator'!K:K,MATCH('Lorri 401b'!N1422,'Retirement Calculator'!A:A,0),0),0)</f>
        <v>0</v>
      </c>
      <c r="K1422" s="455">
        <f t="shared" ca="1" si="108"/>
        <v>-646902.40356980881</v>
      </c>
      <c r="L1422" s="455">
        <f t="shared" ca="1" si="109"/>
        <v>-155903479.26032394</v>
      </c>
      <c r="M1422" s="471">
        <f t="shared" si="111"/>
        <v>0.05</v>
      </c>
      <c r="N1422" s="475">
        <f t="shared" si="112"/>
        <v>94325</v>
      </c>
    </row>
    <row r="1423" spans="7:14" ht="11.25" customHeight="1" x14ac:dyDescent="0.3">
      <c r="G1423" s="470"/>
      <c r="H1423" s="470">
        <v>1416</v>
      </c>
      <c r="I1423" s="455">
        <f t="shared" ca="1" si="110"/>
        <v>-155903479.26032394</v>
      </c>
      <c r="J1423" s="455">
        <f t="array" ref="J1423">IFERROR(INDEX('Retirement Calculator'!K:K,MATCH('Lorri 401b'!N1423,'Retirement Calculator'!A:A,0),0),0)</f>
        <v>0</v>
      </c>
      <c r="K1423" s="455">
        <f t="shared" ca="1" si="108"/>
        <v>-649597.83025134972</v>
      </c>
      <c r="L1423" s="455">
        <f t="shared" ca="1" si="109"/>
        <v>-156553077.09057528</v>
      </c>
      <c r="M1423" s="471">
        <f t="shared" si="111"/>
        <v>0.05</v>
      </c>
      <c r="N1423" s="475">
        <f t="shared" si="112"/>
        <v>94355</v>
      </c>
    </row>
    <row r="1424" spans="7:14" ht="11.25" customHeight="1" x14ac:dyDescent="0.3">
      <c r="G1424" s="470"/>
      <c r="H1424" s="470">
        <v>1417</v>
      </c>
      <c r="I1424" s="455">
        <f t="shared" ca="1" si="110"/>
        <v>-156553077.09057528</v>
      </c>
      <c r="J1424" s="455">
        <f t="array" ref="J1424">IFERROR(INDEX('Retirement Calculator'!K:K,MATCH('Lorri 401b'!N1424,'Retirement Calculator'!A:A,0),0),0)</f>
        <v>0</v>
      </c>
      <c r="K1424" s="455">
        <f t="shared" ca="1" si="108"/>
        <v>-652304.48787739698</v>
      </c>
      <c r="L1424" s="455">
        <f t="shared" ca="1" si="109"/>
        <v>-157205381.57845268</v>
      </c>
      <c r="M1424" s="471">
        <f t="shared" si="111"/>
        <v>0.05</v>
      </c>
      <c r="N1424" s="475">
        <f t="shared" si="112"/>
        <v>94386</v>
      </c>
    </row>
    <row r="1425" spans="7:14" ht="11.25" customHeight="1" x14ac:dyDescent="0.3">
      <c r="G1425" s="470"/>
      <c r="H1425" s="470">
        <v>1418</v>
      </c>
      <c r="I1425" s="455">
        <f t="shared" ca="1" si="110"/>
        <v>-157205381.57845268</v>
      </c>
      <c r="J1425" s="455">
        <f t="array" ref="J1425">IFERROR(INDEX('Retirement Calculator'!K:K,MATCH('Lorri 401b'!N1425,'Retirement Calculator'!A:A,0),0),0)</f>
        <v>0</v>
      </c>
      <c r="K1425" s="455">
        <f t="shared" ca="1" si="108"/>
        <v>-655022.4232435528</v>
      </c>
      <c r="L1425" s="455">
        <f t="shared" ca="1" si="109"/>
        <v>-157860404.00169623</v>
      </c>
      <c r="M1425" s="471">
        <f t="shared" si="111"/>
        <v>0.05</v>
      </c>
      <c r="N1425" s="475">
        <f t="shared" si="112"/>
        <v>94416</v>
      </c>
    </row>
    <row r="1426" spans="7:14" ht="11.25" customHeight="1" x14ac:dyDescent="0.3">
      <c r="G1426" s="470"/>
      <c r="H1426" s="470">
        <v>1419</v>
      </c>
      <c r="I1426" s="455">
        <f t="shared" ca="1" si="110"/>
        <v>-157860404.00169623</v>
      </c>
      <c r="J1426" s="455">
        <f t="array" ref="J1426">IFERROR(INDEX('Retirement Calculator'!K:K,MATCH('Lorri 401b'!N1426,'Retirement Calculator'!A:A,0),0),0)</f>
        <v>0</v>
      </c>
      <c r="K1426" s="455">
        <f t="shared" ca="1" si="108"/>
        <v>-657751.68334040092</v>
      </c>
      <c r="L1426" s="455">
        <f t="shared" ca="1" si="109"/>
        <v>-158518155.68503663</v>
      </c>
      <c r="M1426" s="471">
        <f t="shared" si="111"/>
        <v>0.05</v>
      </c>
      <c r="N1426" s="475">
        <f t="shared" si="112"/>
        <v>94447</v>
      </c>
    </row>
    <row r="1427" spans="7:14" ht="11.25" customHeight="1" x14ac:dyDescent="0.3">
      <c r="G1427" s="470"/>
      <c r="H1427" s="470">
        <v>1420</v>
      </c>
      <c r="I1427" s="455">
        <f t="shared" ca="1" si="110"/>
        <v>-158518155.68503663</v>
      </c>
      <c r="J1427" s="455">
        <f t="array" ref="J1427">IFERROR(INDEX('Retirement Calculator'!K:K,MATCH('Lorri 401b'!N1427,'Retirement Calculator'!A:A,0),0),0)</f>
        <v>0</v>
      </c>
      <c r="K1427" s="455">
        <f t="shared" ca="1" si="108"/>
        <v>-660492.31535431929</v>
      </c>
      <c r="L1427" s="455">
        <f t="shared" ca="1" si="109"/>
        <v>-159178648.00039095</v>
      </c>
      <c r="M1427" s="471">
        <f t="shared" si="111"/>
        <v>0.05</v>
      </c>
      <c r="N1427" s="475">
        <f t="shared" si="112"/>
        <v>94478</v>
      </c>
    </row>
    <row r="1428" spans="7:14" ht="11.25" customHeight="1" x14ac:dyDescent="0.3">
      <c r="G1428" s="470"/>
      <c r="H1428" s="470">
        <v>1421</v>
      </c>
      <c r="I1428" s="455">
        <f t="shared" ca="1" si="110"/>
        <v>-159178648.00039095</v>
      </c>
      <c r="J1428" s="455">
        <f t="array" ref="J1428">IFERROR(INDEX('Retirement Calculator'!K:K,MATCH('Lorri 401b'!N1428,'Retirement Calculator'!A:A,0),0),0)</f>
        <v>0</v>
      </c>
      <c r="K1428" s="455">
        <f t="shared" ca="1" si="108"/>
        <v>-663244.36666829558</v>
      </c>
      <c r="L1428" s="455">
        <f t="shared" ca="1" si="109"/>
        <v>-159841892.36705923</v>
      </c>
      <c r="M1428" s="471">
        <f t="shared" si="111"/>
        <v>0.05</v>
      </c>
      <c r="N1428" s="475">
        <f t="shared" si="112"/>
        <v>94508</v>
      </c>
    </row>
    <row r="1429" spans="7:14" ht="11.25" customHeight="1" x14ac:dyDescent="0.3">
      <c r="G1429" s="470"/>
      <c r="H1429" s="470">
        <v>1422</v>
      </c>
      <c r="I1429" s="455">
        <f t="shared" ca="1" si="110"/>
        <v>-159841892.36705923</v>
      </c>
      <c r="J1429" s="455">
        <f t="array" ref="J1429">IFERROR(INDEX('Retirement Calculator'!K:K,MATCH('Lorri 401b'!N1429,'Retirement Calculator'!A:A,0),0),0)</f>
        <v>0</v>
      </c>
      <c r="K1429" s="455">
        <f t="shared" ca="1" si="108"/>
        <v>-666007.88486274681</v>
      </c>
      <c r="L1429" s="455">
        <f t="shared" ca="1" si="109"/>
        <v>-160507900.25192198</v>
      </c>
      <c r="M1429" s="471">
        <f t="shared" si="111"/>
        <v>0.05</v>
      </c>
      <c r="N1429" s="475">
        <f t="shared" si="112"/>
        <v>94539</v>
      </c>
    </row>
    <row r="1430" spans="7:14" ht="11.25" customHeight="1" x14ac:dyDescent="0.3">
      <c r="G1430" s="470"/>
      <c r="H1430" s="470">
        <v>1423</v>
      </c>
      <c r="I1430" s="455">
        <f t="shared" ca="1" si="110"/>
        <v>-160507900.25192198</v>
      </c>
      <c r="J1430" s="455">
        <f t="array" ref="J1430">IFERROR(INDEX('Retirement Calculator'!K:K,MATCH('Lorri 401b'!N1430,'Retirement Calculator'!A:A,0),0),0)</f>
        <v>0</v>
      </c>
      <c r="K1430" s="455">
        <f t="shared" ca="1" si="108"/>
        <v>-668782.91771634156</v>
      </c>
      <c r="L1430" s="455">
        <f t="shared" ca="1" si="109"/>
        <v>-161176683.16963834</v>
      </c>
      <c r="M1430" s="471">
        <f t="shared" si="111"/>
        <v>0.05</v>
      </c>
      <c r="N1430" s="475">
        <f t="shared" si="112"/>
        <v>94569</v>
      </c>
    </row>
    <row r="1431" spans="7:14" ht="11.25" customHeight="1" x14ac:dyDescent="0.3">
      <c r="G1431" s="470"/>
      <c r="H1431" s="470">
        <v>1424</v>
      </c>
      <c r="I1431" s="455">
        <f t="shared" ca="1" si="110"/>
        <v>-161176683.16963834</v>
      </c>
      <c r="J1431" s="455">
        <f t="array" ref="J1431">IFERROR(INDEX('Retirement Calculator'!K:K,MATCH('Lorri 401b'!N1431,'Retirement Calculator'!A:A,0),0),0)</f>
        <v>0</v>
      </c>
      <c r="K1431" s="455">
        <f t="shared" ca="1" si="108"/>
        <v>-671569.51320682641</v>
      </c>
      <c r="L1431" s="455">
        <f t="shared" ca="1" si="109"/>
        <v>-161848252.68284518</v>
      </c>
      <c r="M1431" s="471">
        <f t="shared" si="111"/>
        <v>0.05</v>
      </c>
      <c r="N1431" s="475">
        <f t="shared" si="112"/>
        <v>94600</v>
      </c>
    </row>
    <row r="1432" spans="7:14" ht="11.25" customHeight="1" x14ac:dyDescent="0.3">
      <c r="G1432" s="470"/>
      <c r="H1432" s="470">
        <v>1425</v>
      </c>
      <c r="I1432" s="455">
        <f t="shared" ca="1" si="110"/>
        <v>-161848252.68284518</v>
      </c>
      <c r="J1432" s="455">
        <f t="array" ref="J1432">IFERROR(INDEX('Retirement Calculator'!K:K,MATCH('Lorri 401b'!N1432,'Retirement Calculator'!A:A,0),0),0)</f>
        <v>0</v>
      </c>
      <c r="K1432" s="455">
        <f t="shared" ca="1" si="108"/>
        <v>-674367.71951185493</v>
      </c>
      <c r="L1432" s="455">
        <f t="shared" ca="1" si="109"/>
        <v>-162522620.40235704</v>
      </c>
      <c r="M1432" s="471">
        <f t="shared" si="111"/>
        <v>0.05</v>
      </c>
      <c r="N1432" s="475">
        <f t="shared" si="112"/>
        <v>94631</v>
      </c>
    </row>
    <row r="1433" spans="7:14" ht="11.25" customHeight="1" x14ac:dyDescent="0.3">
      <c r="G1433" s="470"/>
      <c r="H1433" s="470">
        <v>1426</v>
      </c>
      <c r="I1433" s="455">
        <f t="shared" ca="1" si="110"/>
        <v>-162522620.40235704</v>
      </c>
      <c r="J1433" s="455">
        <f t="array" ref="J1433">IFERROR(INDEX('Retirement Calculator'!K:K,MATCH('Lorri 401b'!N1433,'Retirement Calculator'!A:A,0),0),0)</f>
        <v>0</v>
      </c>
      <c r="K1433" s="455">
        <f t="shared" ca="1" si="108"/>
        <v>-677177.58500982099</v>
      </c>
      <c r="L1433" s="455">
        <f t="shared" ca="1" si="109"/>
        <v>-163199797.98736686</v>
      </c>
      <c r="M1433" s="471">
        <f t="shared" si="111"/>
        <v>0.05</v>
      </c>
      <c r="N1433" s="475">
        <f t="shared" si="112"/>
        <v>94659</v>
      </c>
    </row>
    <row r="1434" spans="7:14" ht="11.25" customHeight="1" x14ac:dyDescent="0.3">
      <c r="G1434" s="470"/>
      <c r="H1434" s="470">
        <v>1427</v>
      </c>
      <c r="I1434" s="455">
        <f t="shared" ca="1" si="110"/>
        <v>-163199797.98736686</v>
      </c>
      <c r="J1434" s="455">
        <f t="array" ref="J1434">IFERROR(INDEX('Retirement Calculator'!K:K,MATCH('Lorri 401b'!N1434,'Retirement Calculator'!A:A,0),0),0)</f>
        <v>0</v>
      </c>
      <c r="K1434" s="455">
        <f t="shared" ca="1" si="108"/>
        <v>-679999.15828069521</v>
      </c>
      <c r="L1434" s="455">
        <f t="shared" ca="1" si="109"/>
        <v>-163879797.14564756</v>
      </c>
      <c r="M1434" s="471">
        <f t="shared" si="111"/>
        <v>0.05</v>
      </c>
      <c r="N1434" s="475">
        <f t="shared" si="112"/>
        <v>94690</v>
      </c>
    </row>
    <row r="1435" spans="7:14" ht="11.25" customHeight="1" x14ac:dyDescent="0.3">
      <c r="G1435" s="470"/>
      <c r="H1435" s="470">
        <v>1428</v>
      </c>
      <c r="I1435" s="455">
        <f t="shared" ca="1" si="110"/>
        <v>-163879797.14564756</v>
      </c>
      <c r="J1435" s="455">
        <f t="array" ref="J1435">IFERROR(INDEX('Retirement Calculator'!K:K,MATCH('Lorri 401b'!N1435,'Retirement Calculator'!A:A,0),0),0)</f>
        <v>0</v>
      </c>
      <c r="K1435" s="455">
        <f t="shared" ca="1" si="108"/>
        <v>-682832.48810686485</v>
      </c>
      <c r="L1435" s="455">
        <f t="shared" ca="1" si="109"/>
        <v>-164562629.63375443</v>
      </c>
      <c r="M1435" s="471">
        <f t="shared" si="111"/>
        <v>0.05</v>
      </c>
      <c r="N1435" s="475">
        <f t="shared" si="112"/>
        <v>94720</v>
      </c>
    </row>
    <row r="1436" spans="7:14" ht="11.25" customHeight="1" x14ac:dyDescent="0.3">
      <c r="G1436" s="470"/>
      <c r="H1436" s="470">
        <v>1429</v>
      </c>
      <c r="I1436" s="455">
        <f t="shared" ca="1" si="110"/>
        <v>-164562629.63375443</v>
      </c>
      <c r="J1436" s="455">
        <f t="array" ref="J1436">IFERROR(INDEX('Retirement Calculator'!K:K,MATCH('Lorri 401b'!N1436,'Retirement Calculator'!A:A,0),0),0)</f>
        <v>0</v>
      </c>
      <c r="K1436" s="455">
        <f t="shared" ca="1" si="108"/>
        <v>-685677.62347397674</v>
      </c>
      <c r="L1436" s="455">
        <f t="shared" ca="1" si="109"/>
        <v>-165248307.2572284</v>
      </c>
      <c r="M1436" s="471">
        <f t="shared" si="111"/>
        <v>0.05</v>
      </c>
      <c r="N1436" s="475">
        <f t="shared" si="112"/>
        <v>94751</v>
      </c>
    </row>
    <row r="1437" spans="7:14" ht="11.25" customHeight="1" x14ac:dyDescent="0.3">
      <c r="G1437" s="470"/>
      <c r="H1437" s="470">
        <v>1430</v>
      </c>
      <c r="I1437" s="455">
        <f t="shared" ca="1" si="110"/>
        <v>-165248307.2572284</v>
      </c>
      <c r="J1437" s="455">
        <f t="array" ref="J1437">IFERROR(INDEX('Retirement Calculator'!K:K,MATCH('Lorri 401b'!N1437,'Retirement Calculator'!A:A,0),0),0)</f>
        <v>0</v>
      </c>
      <c r="K1437" s="455">
        <f t="shared" ca="1" si="108"/>
        <v>-688534.61357178504</v>
      </c>
      <c r="L1437" s="455">
        <f t="shared" ca="1" si="109"/>
        <v>-165936841.8708002</v>
      </c>
      <c r="M1437" s="471">
        <f t="shared" si="111"/>
        <v>0.05</v>
      </c>
      <c r="N1437" s="475">
        <f t="shared" si="112"/>
        <v>94781</v>
      </c>
    </row>
    <row r="1438" spans="7:14" ht="11.25" customHeight="1" x14ac:dyDescent="0.3">
      <c r="G1438" s="470"/>
      <c r="H1438" s="470">
        <v>1431</v>
      </c>
      <c r="I1438" s="455">
        <f t="shared" ca="1" si="110"/>
        <v>-165936841.8708002</v>
      </c>
      <c r="J1438" s="455">
        <f t="array" ref="J1438">IFERROR(INDEX('Retirement Calculator'!K:K,MATCH('Lorri 401b'!N1438,'Retirement Calculator'!A:A,0),0),0)</f>
        <v>0</v>
      </c>
      <c r="K1438" s="455">
        <f t="shared" ca="1" si="108"/>
        <v>-691403.5077950008</v>
      </c>
      <c r="L1438" s="455">
        <f t="shared" ca="1" si="109"/>
        <v>-166628245.3785952</v>
      </c>
      <c r="M1438" s="471">
        <f t="shared" si="111"/>
        <v>0.05</v>
      </c>
      <c r="N1438" s="475">
        <f t="shared" si="112"/>
        <v>94812</v>
      </c>
    </row>
    <row r="1439" spans="7:14" ht="11.25" customHeight="1" x14ac:dyDescent="0.3">
      <c r="G1439" s="470"/>
      <c r="H1439" s="470">
        <v>1432</v>
      </c>
      <c r="I1439" s="455">
        <f t="shared" ca="1" si="110"/>
        <v>-166628245.3785952</v>
      </c>
      <c r="J1439" s="455">
        <f t="array" ref="J1439">IFERROR(INDEX('Retirement Calculator'!K:K,MATCH('Lorri 401b'!N1439,'Retirement Calculator'!A:A,0),0),0)</f>
        <v>0</v>
      </c>
      <c r="K1439" s="455">
        <f t="shared" ca="1" si="108"/>
        <v>-694284.35574414663</v>
      </c>
      <c r="L1439" s="455">
        <f t="shared" ca="1" si="109"/>
        <v>-167322529.73433936</v>
      </c>
      <c r="M1439" s="471">
        <f t="shared" si="111"/>
        <v>0.05</v>
      </c>
      <c r="N1439" s="475">
        <f t="shared" si="112"/>
        <v>94843</v>
      </c>
    </row>
    <row r="1440" spans="7:14" ht="11.25" customHeight="1" x14ac:dyDescent="0.3">
      <c r="G1440" s="470"/>
      <c r="H1440" s="470">
        <v>1433</v>
      </c>
      <c r="I1440" s="455">
        <f t="shared" ca="1" si="110"/>
        <v>-167322529.73433936</v>
      </c>
      <c r="J1440" s="455">
        <f t="array" ref="J1440">IFERROR(INDEX('Retirement Calculator'!K:K,MATCH('Lorri 401b'!N1440,'Retirement Calculator'!A:A,0),0),0)</f>
        <v>0</v>
      </c>
      <c r="K1440" s="455">
        <f t="shared" ca="1" si="108"/>
        <v>-697177.207226414</v>
      </c>
      <c r="L1440" s="455">
        <f t="shared" ca="1" si="109"/>
        <v>-168019706.94156578</v>
      </c>
      <c r="M1440" s="471">
        <f t="shared" si="111"/>
        <v>0.05</v>
      </c>
      <c r="N1440" s="475">
        <f t="shared" si="112"/>
        <v>94873</v>
      </c>
    </row>
    <row r="1441" spans="7:14" ht="11.25" customHeight="1" x14ac:dyDescent="0.3">
      <c r="G1441" s="470"/>
      <c r="H1441" s="470">
        <v>1434</v>
      </c>
      <c r="I1441" s="455">
        <f t="shared" ca="1" si="110"/>
        <v>-168019706.94156578</v>
      </c>
      <c r="J1441" s="455">
        <f t="array" ref="J1441">IFERROR(INDEX('Retirement Calculator'!K:K,MATCH('Lorri 401b'!N1441,'Retirement Calculator'!A:A,0),0),0)</f>
        <v>0</v>
      </c>
      <c r="K1441" s="455">
        <f t="shared" ca="1" si="108"/>
        <v>-700082.11225652404</v>
      </c>
      <c r="L1441" s="455">
        <f t="shared" ca="1" si="109"/>
        <v>-168719789.05382231</v>
      </c>
      <c r="M1441" s="471">
        <f t="shared" si="111"/>
        <v>0.05</v>
      </c>
      <c r="N1441" s="475">
        <f t="shared" si="112"/>
        <v>94904</v>
      </c>
    </row>
    <row r="1442" spans="7:14" ht="11.25" customHeight="1" x14ac:dyDescent="0.3">
      <c r="G1442" s="470"/>
      <c r="H1442" s="470">
        <v>1435</v>
      </c>
      <c r="I1442" s="455">
        <f t="shared" ca="1" si="110"/>
        <v>-168719789.05382231</v>
      </c>
      <c r="J1442" s="455">
        <f t="array" ref="J1442">IFERROR(INDEX('Retirement Calculator'!K:K,MATCH('Lorri 401b'!N1442,'Retirement Calculator'!A:A,0),0),0)</f>
        <v>0</v>
      </c>
      <c r="K1442" s="455">
        <f t="shared" ca="1" si="108"/>
        <v>-702999.12105759291</v>
      </c>
      <c r="L1442" s="455">
        <f t="shared" ca="1" si="109"/>
        <v>-169422788.17487991</v>
      </c>
      <c r="M1442" s="471">
        <f t="shared" si="111"/>
        <v>0.05</v>
      </c>
      <c r="N1442" s="475">
        <f t="shared" si="112"/>
        <v>94934</v>
      </c>
    </row>
    <row r="1443" spans="7:14" ht="11.25" customHeight="1" x14ac:dyDescent="0.3">
      <c r="G1443" s="470"/>
      <c r="H1443" s="470">
        <v>1436</v>
      </c>
      <c r="I1443" s="455">
        <f t="shared" ca="1" si="110"/>
        <v>-169422788.17487991</v>
      </c>
      <c r="J1443" s="455">
        <f t="array" ref="J1443">IFERROR(INDEX('Retirement Calculator'!K:K,MATCH('Lorri 401b'!N1443,'Retirement Calculator'!A:A,0),0),0)</f>
        <v>0</v>
      </c>
      <c r="K1443" s="455">
        <f t="shared" ca="1" si="108"/>
        <v>-705928.28406199964</v>
      </c>
      <c r="L1443" s="455">
        <f t="shared" ca="1" si="109"/>
        <v>-170128716.45894191</v>
      </c>
      <c r="M1443" s="471">
        <f t="shared" si="111"/>
        <v>0.05</v>
      </c>
      <c r="N1443" s="475">
        <f t="shared" si="112"/>
        <v>94965</v>
      </c>
    </row>
    <row r="1444" spans="7:14" ht="11.25" customHeight="1" x14ac:dyDescent="0.3">
      <c r="G1444" s="470"/>
      <c r="H1444" s="470">
        <v>1437</v>
      </c>
      <c r="I1444" s="455">
        <f t="shared" ca="1" si="110"/>
        <v>-170128716.45894191</v>
      </c>
      <c r="J1444" s="455">
        <f t="array" ref="J1444">IFERROR(INDEX('Retirement Calculator'!K:K,MATCH('Lorri 401b'!N1444,'Retirement Calculator'!A:A,0),0),0)</f>
        <v>0</v>
      </c>
      <c r="K1444" s="455">
        <f t="shared" ca="1" si="108"/>
        <v>-708869.65191225789</v>
      </c>
      <c r="L1444" s="455">
        <f t="shared" ca="1" si="109"/>
        <v>-170837586.11085418</v>
      </c>
      <c r="M1444" s="471">
        <f t="shared" si="111"/>
        <v>0.05</v>
      </c>
      <c r="N1444" s="475">
        <f t="shared" si="112"/>
        <v>94996</v>
      </c>
    </row>
    <row r="1445" spans="7:14" ht="11.25" customHeight="1" x14ac:dyDescent="0.3">
      <c r="G1445" s="470"/>
      <c r="H1445" s="470">
        <v>1438</v>
      </c>
      <c r="I1445" s="455">
        <f t="shared" ca="1" si="110"/>
        <v>-170837586.11085418</v>
      </c>
      <c r="J1445" s="455">
        <f t="array" ref="J1445">IFERROR(INDEX('Retirement Calculator'!K:K,MATCH('Lorri 401b'!N1445,'Retirement Calculator'!A:A,0),0),0)</f>
        <v>0</v>
      </c>
      <c r="K1445" s="455">
        <f t="shared" ca="1" si="108"/>
        <v>-711823.27546189236</v>
      </c>
      <c r="L1445" s="455">
        <f t="shared" ca="1" si="109"/>
        <v>-171549409.38631606</v>
      </c>
      <c r="M1445" s="471">
        <f t="shared" si="111"/>
        <v>0.05</v>
      </c>
      <c r="N1445" s="475">
        <f t="shared" si="112"/>
        <v>95025</v>
      </c>
    </row>
    <row r="1446" spans="7:14" ht="11.25" customHeight="1" x14ac:dyDescent="0.3">
      <c r="G1446" s="470"/>
      <c r="H1446" s="470">
        <v>1439</v>
      </c>
      <c r="I1446" s="455">
        <f t="shared" ca="1" si="110"/>
        <v>-171549409.38631606</v>
      </c>
      <c r="J1446" s="455">
        <f t="array" ref="J1446">IFERROR(INDEX('Retirement Calculator'!K:K,MATCH('Lorri 401b'!N1446,'Retirement Calculator'!A:A,0),0),0)</f>
        <v>0</v>
      </c>
      <c r="K1446" s="455">
        <f t="shared" ca="1" si="108"/>
        <v>-714789.20577631693</v>
      </c>
      <c r="L1446" s="455">
        <f t="shared" ca="1" si="109"/>
        <v>-172264198.59209237</v>
      </c>
      <c r="M1446" s="471">
        <f t="shared" si="111"/>
        <v>0.05</v>
      </c>
      <c r="N1446" s="475">
        <f t="shared" si="112"/>
        <v>95056</v>
      </c>
    </row>
    <row r="1447" spans="7:14" ht="11.25" customHeight="1" x14ac:dyDescent="0.3">
      <c r="G1447" s="470"/>
      <c r="H1447" s="470">
        <v>1440</v>
      </c>
      <c r="I1447" s="455">
        <f t="shared" ca="1" si="110"/>
        <v>-172264198.59209237</v>
      </c>
      <c r="J1447" s="455">
        <f t="array" ref="J1447">IFERROR(INDEX('Retirement Calculator'!K:K,MATCH('Lorri 401b'!N1447,'Retirement Calculator'!A:A,0),0),0)</f>
        <v>0</v>
      </c>
      <c r="K1447" s="455">
        <f t="shared" ca="1" si="108"/>
        <v>-717767.4941337182</v>
      </c>
      <c r="L1447" s="455">
        <f t="shared" ca="1" si="109"/>
        <v>-172981966.08622608</v>
      </c>
      <c r="M1447" s="471">
        <f t="shared" si="111"/>
        <v>0.05</v>
      </c>
      <c r="N1447" s="475">
        <f t="shared" si="112"/>
        <v>95086</v>
      </c>
    </row>
    <row r="1448" spans="7:14" ht="11.25" customHeight="1" x14ac:dyDescent="0.3">
      <c r="G1448" s="470"/>
      <c r="H1448" s="470">
        <v>1441</v>
      </c>
      <c r="I1448" s="455">
        <f t="shared" ca="1" si="110"/>
        <v>-172981966.08622608</v>
      </c>
      <c r="J1448" s="455">
        <f t="array" ref="J1448">IFERROR(INDEX('Retirement Calculator'!K:K,MATCH('Lorri 401b'!N1448,'Retirement Calculator'!A:A,0),0),0)</f>
        <v>0</v>
      </c>
      <c r="K1448" s="455">
        <f t="shared" ca="1" si="108"/>
        <v>-720758.19202594203</v>
      </c>
      <c r="L1448" s="455">
        <f t="shared" ca="1" si="109"/>
        <v>-173702724.27825201</v>
      </c>
      <c r="M1448" s="471">
        <f t="shared" si="111"/>
        <v>0.05</v>
      </c>
      <c r="N1448" s="475">
        <f t="shared" si="112"/>
        <v>95117</v>
      </c>
    </row>
    <row r="1449" spans="7:14" ht="11.25" customHeight="1" x14ac:dyDescent="0.3">
      <c r="G1449" s="470"/>
      <c r="H1449" s="470">
        <v>1442</v>
      </c>
      <c r="I1449" s="455">
        <f t="shared" ca="1" si="110"/>
        <v>-173702724.27825201</v>
      </c>
      <c r="J1449" s="455">
        <f t="array" ref="J1449">IFERROR(INDEX('Retirement Calculator'!K:K,MATCH('Lorri 401b'!N1449,'Retirement Calculator'!A:A,0),0),0)</f>
        <v>0</v>
      </c>
      <c r="K1449" s="455">
        <f t="shared" ca="1" si="108"/>
        <v>-723761.35115938331</v>
      </c>
      <c r="L1449" s="455">
        <f t="shared" ca="1" si="109"/>
        <v>-174426485.6294114</v>
      </c>
      <c r="M1449" s="471">
        <f t="shared" si="111"/>
        <v>0.05</v>
      </c>
      <c r="N1449" s="475">
        <f t="shared" si="112"/>
        <v>95147</v>
      </c>
    </row>
    <row r="1450" spans="7:14" ht="11.25" customHeight="1" x14ac:dyDescent="0.3">
      <c r="G1450" s="470"/>
      <c r="H1450" s="470">
        <v>1443</v>
      </c>
      <c r="I1450" s="455">
        <f t="shared" ca="1" si="110"/>
        <v>-174426485.6294114</v>
      </c>
      <c r="J1450" s="455">
        <f t="array" ref="J1450">IFERROR(INDEX('Retirement Calculator'!K:K,MATCH('Lorri 401b'!N1450,'Retirement Calculator'!A:A,0),0),0)</f>
        <v>0</v>
      </c>
      <c r="K1450" s="455">
        <f t="shared" ca="1" si="108"/>
        <v>-726777.02345588082</v>
      </c>
      <c r="L1450" s="455">
        <f t="shared" ca="1" si="109"/>
        <v>-175153262.65286729</v>
      </c>
      <c r="M1450" s="471">
        <f t="shared" si="111"/>
        <v>0.05</v>
      </c>
      <c r="N1450" s="475">
        <f t="shared" si="112"/>
        <v>95178</v>
      </c>
    </row>
    <row r="1451" spans="7:14" ht="11.25" customHeight="1" x14ac:dyDescent="0.3">
      <c r="G1451" s="470"/>
      <c r="H1451" s="470">
        <v>1444</v>
      </c>
      <c r="I1451" s="455">
        <f t="shared" ca="1" si="110"/>
        <v>-175153262.65286729</v>
      </c>
      <c r="J1451" s="455">
        <f t="array" ref="J1451">IFERROR(INDEX('Retirement Calculator'!K:K,MATCH('Lorri 401b'!N1451,'Retirement Calculator'!A:A,0),0),0)</f>
        <v>0</v>
      </c>
      <c r="K1451" s="455">
        <f t="shared" ca="1" si="108"/>
        <v>-729805.26105361374</v>
      </c>
      <c r="L1451" s="455">
        <f t="shared" ca="1" si="109"/>
        <v>-175883067.91392091</v>
      </c>
      <c r="M1451" s="471">
        <f t="shared" si="111"/>
        <v>0.05</v>
      </c>
      <c r="N1451" s="475">
        <f t="shared" si="112"/>
        <v>95209</v>
      </c>
    </row>
    <row r="1452" spans="7:14" ht="11.25" customHeight="1" x14ac:dyDescent="0.3">
      <c r="G1452" s="470"/>
      <c r="H1452" s="470">
        <v>1445</v>
      </c>
      <c r="I1452" s="455">
        <f t="shared" ca="1" si="110"/>
        <v>-175883067.91392091</v>
      </c>
      <c r="J1452" s="455">
        <f t="array" ref="J1452">IFERROR(INDEX('Retirement Calculator'!K:K,MATCH('Lorri 401b'!N1452,'Retirement Calculator'!A:A,0),0),0)</f>
        <v>0</v>
      </c>
      <c r="K1452" s="455">
        <f t="shared" ca="1" si="108"/>
        <v>-732846.11630800378</v>
      </c>
      <c r="L1452" s="455">
        <f t="shared" ca="1" si="109"/>
        <v>-176615914.03022891</v>
      </c>
      <c r="M1452" s="471">
        <f t="shared" si="111"/>
        <v>0.05</v>
      </c>
      <c r="N1452" s="475">
        <f t="shared" si="112"/>
        <v>95239</v>
      </c>
    </row>
    <row r="1453" spans="7:14" ht="11.25" customHeight="1" x14ac:dyDescent="0.3">
      <c r="G1453" s="470"/>
      <c r="H1453" s="470">
        <v>1446</v>
      </c>
      <c r="I1453" s="455">
        <f t="shared" ca="1" si="110"/>
        <v>-176615914.03022891</v>
      </c>
      <c r="J1453" s="455">
        <f t="array" ref="J1453">IFERROR(INDEX('Retirement Calculator'!K:K,MATCH('Lorri 401b'!N1453,'Retirement Calculator'!A:A,0),0),0)</f>
        <v>0</v>
      </c>
      <c r="K1453" s="455">
        <f t="shared" ca="1" si="108"/>
        <v>-735899.64179262042</v>
      </c>
      <c r="L1453" s="455">
        <f t="shared" ca="1" si="109"/>
        <v>-177351813.67202154</v>
      </c>
      <c r="M1453" s="471">
        <f t="shared" si="111"/>
        <v>0.05</v>
      </c>
      <c r="N1453" s="475">
        <f t="shared" si="112"/>
        <v>95270</v>
      </c>
    </row>
    <row r="1454" spans="7:14" ht="11.25" customHeight="1" x14ac:dyDescent="0.3">
      <c r="G1454" s="470"/>
      <c r="H1454" s="470">
        <v>1447</v>
      </c>
      <c r="I1454" s="455">
        <f t="shared" ca="1" si="110"/>
        <v>-177351813.67202154</v>
      </c>
      <c r="J1454" s="455">
        <f t="array" ref="J1454">IFERROR(INDEX('Retirement Calculator'!K:K,MATCH('Lorri 401b'!N1454,'Retirement Calculator'!A:A,0),0),0)</f>
        <v>0</v>
      </c>
      <c r="K1454" s="455">
        <f t="shared" ca="1" si="108"/>
        <v>-738965.89030008973</v>
      </c>
      <c r="L1454" s="455">
        <f t="shared" ca="1" si="109"/>
        <v>-178090779.56232163</v>
      </c>
      <c r="M1454" s="471">
        <f t="shared" si="111"/>
        <v>0.05</v>
      </c>
      <c r="N1454" s="475">
        <f t="shared" si="112"/>
        <v>95300</v>
      </c>
    </row>
    <row r="1455" spans="7:14" ht="11.25" customHeight="1" x14ac:dyDescent="0.3">
      <c r="G1455" s="470"/>
      <c r="H1455" s="470">
        <v>1448</v>
      </c>
      <c r="I1455" s="455">
        <f t="shared" ca="1" si="110"/>
        <v>-178090779.56232163</v>
      </c>
      <c r="J1455" s="455">
        <f t="array" ref="J1455">IFERROR(INDEX('Retirement Calculator'!K:K,MATCH('Lorri 401b'!N1455,'Retirement Calculator'!A:A,0),0),0)</f>
        <v>0</v>
      </c>
      <c r="K1455" s="455">
        <f t="shared" ca="1" si="108"/>
        <v>-742044.91484300676</v>
      </c>
      <c r="L1455" s="455">
        <f t="shared" ca="1" si="109"/>
        <v>-178832824.47716463</v>
      </c>
      <c r="M1455" s="471">
        <f t="shared" si="111"/>
        <v>0.05</v>
      </c>
      <c r="N1455" s="475">
        <f t="shared" si="112"/>
        <v>95331</v>
      </c>
    </row>
    <row r="1456" spans="7:14" ht="11.25" customHeight="1" x14ac:dyDescent="0.3">
      <c r="G1456" s="470"/>
      <c r="H1456" s="470">
        <v>1449</v>
      </c>
      <c r="I1456" s="455">
        <f t="shared" ca="1" si="110"/>
        <v>-178832824.47716463</v>
      </c>
      <c r="J1456" s="455">
        <f t="array" ref="J1456">IFERROR(INDEX('Retirement Calculator'!K:K,MATCH('Lorri 401b'!N1456,'Retirement Calculator'!A:A,0),0),0)</f>
        <v>0</v>
      </c>
      <c r="K1456" s="455">
        <f t="shared" ca="1" si="108"/>
        <v>-745136.76865485264</v>
      </c>
      <c r="L1456" s="455">
        <f t="shared" ca="1" si="109"/>
        <v>-179577961.24581948</v>
      </c>
      <c r="M1456" s="471">
        <f t="shared" si="111"/>
        <v>0.05</v>
      </c>
      <c r="N1456" s="475">
        <f t="shared" si="112"/>
        <v>95362</v>
      </c>
    </row>
    <row r="1457" spans="7:14" ht="11.25" customHeight="1" x14ac:dyDescent="0.3">
      <c r="G1457" s="470"/>
      <c r="H1457" s="470">
        <v>1450</v>
      </c>
      <c r="I1457" s="455">
        <f t="shared" ca="1" si="110"/>
        <v>-179577961.24581948</v>
      </c>
      <c r="J1457" s="455">
        <f t="array" ref="J1457">IFERROR(INDEX('Retirement Calculator'!K:K,MATCH('Lorri 401b'!N1457,'Retirement Calculator'!A:A,0),0),0)</f>
        <v>0</v>
      </c>
      <c r="K1457" s="455">
        <f t="shared" ca="1" si="108"/>
        <v>-748241.5051909145</v>
      </c>
      <c r="L1457" s="455">
        <f t="shared" ca="1" si="109"/>
        <v>-180326202.75101039</v>
      </c>
      <c r="M1457" s="471">
        <f t="shared" si="111"/>
        <v>0.05</v>
      </c>
      <c r="N1457" s="475">
        <f t="shared" si="112"/>
        <v>95390</v>
      </c>
    </row>
    <row r="1458" spans="7:14" ht="11.25" customHeight="1" x14ac:dyDescent="0.3">
      <c r="G1458" s="470"/>
      <c r="H1458" s="470">
        <v>1451</v>
      </c>
      <c r="I1458" s="455">
        <f t="shared" ca="1" si="110"/>
        <v>-180326202.75101039</v>
      </c>
      <c r="J1458" s="455">
        <f t="array" ref="J1458">IFERROR(INDEX('Retirement Calculator'!K:K,MATCH('Lorri 401b'!N1458,'Retirement Calculator'!A:A,0),0),0)</f>
        <v>0</v>
      </c>
      <c r="K1458" s="455">
        <f t="shared" ca="1" si="108"/>
        <v>-751359.1781292099</v>
      </c>
      <c r="L1458" s="455">
        <f t="shared" ca="1" si="109"/>
        <v>-181077561.92913958</v>
      </c>
      <c r="M1458" s="471">
        <f t="shared" si="111"/>
        <v>0.05</v>
      </c>
      <c r="N1458" s="475">
        <f t="shared" si="112"/>
        <v>95421</v>
      </c>
    </row>
    <row r="1459" spans="7:14" ht="11.25" customHeight="1" x14ac:dyDescent="0.3">
      <c r="G1459" s="470"/>
      <c r="H1459" s="470">
        <v>1452</v>
      </c>
      <c r="I1459" s="455">
        <f t="shared" ca="1" si="110"/>
        <v>-181077561.92913958</v>
      </c>
      <c r="J1459" s="455">
        <f t="array" ref="J1459">IFERROR(INDEX('Retirement Calculator'!K:K,MATCH('Lorri 401b'!N1459,'Retirement Calculator'!A:A,0),0),0)</f>
        <v>0</v>
      </c>
      <c r="K1459" s="455">
        <f t="shared" ca="1" si="108"/>
        <v>-754489.84137141495</v>
      </c>
      <c r="L1459" s="455">
        <f t="shared" ca="1" si="109"/>
        <v>-181832051.770511</v>
      </c>
      <c r="M1459" s="471">
        <f t="shared" si="111"/>
        <v>0.05</v>
      </c>
      <c r="N1459" s="475">
        <f t="shared" si="112"/>
        <v>95451</v>
      </c>
    </row>
    <row r="1460" spans="7:14" ht="11.25" customHeight="1" x14ac:dyDescent="0.3">
      <c r="G1460" s="470"/>
      <c r="H1460" s="470">
        <v>1453</v>
      </c>
      <c r="I1460" s="455">
        <f t="shared" ca="1" si="110"/>
        <v>-181832051.770511</v>
      </c>
      <c r="J1460" s="455">
        <f t="array" ref="J1460">IFERROR(INDEX('Retirement Calculator'!K:K,MATCH('Lorri 401b'!N1460,'Retirement Calculator'!A:A,0),0),0)</f>
        <v>0</v>
      </c>
      <c r="K1460" s="455">
        <f t="shared" ca="1" si="108"/>
        <v>-757633.54904379579</v>
      </c>
      <c r="L1460" s="455">
        <f t="shared" ca="1" si="109"/>
        <v>-182589685.31955481</v>
      </c>
      <c r="M1460" s="471">
        <f t="shared" si="111"/>
        <v>0.05</v>
      </c>
      <c r="N1460" s="475">
        <f t="shared" si="112"/>
        <v>95482</v>
      </c>
    </row>
    <row r="1461" spans="7:14" ht="11.25" customHeight="1" x14ac:dyDescent="0.3">
      <c r="G1461" s="470"/>
      <c r="H1461" s="470">
        <v>1454</v>
      </c>
      <c r="I1461" s="455">
        <f t="shared" ca="1" si="110"/>
        <v>-182589685.31955481</v>
      </c>
      <c r="J1461" s="455">
        <f t="array" ref="J1461">IFERROR(INDEX('Retirement Calculator'!K:K,MATCH('Lorri 401b'!N1461,'Retirement Calculator'!A:A,0),0),0)</f>
        <v>0</v>
      </c>
      <c r="K1461" s="455">
        <f t="shared" ca="1" si="108"/>
        <v>-760790.35549814499</v>
      </c>
      <c r="L1461" s="455">
        <f t="shared" ca="1" si="109"/>
        <v>-183350475.67505294</v>
      </c>
      <c r="M1461" s="471">
        <f t="shared" si="111"/>
        <v>0.05</v>
      </c>
      <c r="N1461" s="475">
        <f t="shared" si="112"/>
        <v>95512</v>
      </c>
    </row>
    <row r="1462" spans="7:14" ht="11.25" customHeight="1" x14ac:dyDescent="0.3">
      <c r="G1462" s="470"/>
      <c r="H1462" s="470">
        <v>1455</v>
      </c>
      <c r="I1462" s="455">
        <f t="shared" ca="1" si="110"/>
        <v>-183350475.67505294</v>
      </c>
      <c r="J1462" s="455">
        <f t="array" ref="J1462">IFERROR(INDEX('Retirement Calculator'!K:K,MATCH('Lorri 401b'!N1462,'Retirement Calculator'!A:A,0),0),0)</f>
        <v>0</v>
      </c>
      <c r="K1462" s="455">
        <f t="shared" ca="1" si="108"/>
        <v>-763960.3153127206</v>
      </c>
      <c r="L1462" s="455">
        <f t="shared" ca="1" si="109"/>
        <v>-184114435.99036565</v>
      </c>
      <c r="M1462" s="471">
        <f t="shared" si="111"/>
        <v>0.05</v>
      </c>
      <c r="N1462" s="475">
        <f t="shared" si="112"/>
        <v>95543</v>
      </c>
    </row>
    <row r="1463" spans="7:14" ht="11.25" customHeight="1" x14ac:dyDescent="0.3">
      <c r="G1463" s="470"/>
      <c r="H1463" s="470">
        <v>1456</v>
      </c>
      <c r="I1463" s="455">
        <f t="shared" ca="1" si="110"/>
        <v>-184114435.99036565</v>
      </c>
      <c r="J1463" s="455">
        <f t="array" ref="J1463">IFERROR(INDEX('Retirement Calculator'!K:K,MATCH('Lorri 401b'!N1463,'Retirement Calculator'!A:A,0),0),0)</f>
        <v>0</v>
      </c>
      <c r="K1463" s="455">
        <f t="shared" ca="1" si="108"/>
        <v>-767143.48329319025</v>
      </c>
      <c r="L1463" s="455">
        <f t="shared" ca="1" si="109"/>
        <v>-184881579.47365883</v>
      </c>
      <c r="M1463" s="471">
        <f t="shared" si="111"/>
        <v>0.05</v>
      </c>
      <c r="N1463" s="475">
        <f t="shared" si="112"/>
        <v>95574</v>
      </c>
    </row>
    <row r="1464" spans="7:14" ht="11.25" customHeight="1" x14ac:dyDescent="0.3">
      <c r="G1464" s="470"/>
      <c r="H1464" s="470">
        <v>1457</v>
      </c>
      <c r="I1464" s="455">
        <f t="shared" ca="1" si="110"/>
        <v>-184881579.47365883</v>
      </c>
      <c r="J1464" s="455">
        <f t="array" ref="J1464">IFERROR(INDEX('Retirement Calculator'!K:K,MATCH('Lorri 401b'!N1464,'Retirement Calculator'!A:A,0),0),0)</f>
        <v>0</v>
      </c>
      <c r="K1464" s="455">
        <f t="shared" ca="1" si="108"/>
        <v>-770339.91447357845</v>
      </c>
      <c r="L1464" s="455">
        <f t="shared" ca="1" si="109"/>
        <v>-185651919.38813242</v>
      </c>
      <c r="M1464" s="471">
        <f t="shared" si="111"/>
        <v>0.05</v>
      </c>
      <c r="N1464" s="475">
        <f t="shared" si="112"/>
        <v>95604</v>
      </c>
    </row>
    <row r="1465" spans="7:14" ht="11.25" customHeight="1" x14ac:dyDescent="0.3">
      <c r="G1465" s="470"/>
      <c r="H1465" s="470">
        <v>1458</v>
      </c>
      <c r="I1465" s="455">
        <f t="shared" ca="1" si="110"/>
        <v>-185651919.38813242</v>
      </c>
      <c r="J1465" s="455">
        <f t="array" ref="J1465">IFERROR(INDEX('Retirement Calculator'!K:K,MATCH('Lorri 401b'!N1465,'Retirement Calculator'!A:A,0),0),0)</f>
        <v>0</v>
      </c>
      <c r="K1465" s="455">
        <f t="shared" ca="1" si="108"/>
        <v>-773549.66411721846</v>
      </c>
      <c r="L1465" s="455">
        <f t="shared" ca="1" si="109"/>
        <v>-186425469.05224964</v>
      </c>
      <c r="M1465" s="471">
        <f t="shared" si="111"/>
        <v>0.05</v>
      </c>
      <c r="N1465" s="475">
        <f t="shared" si="112"/>
        <v>95635</v>
      </c>
    </row>
    <row r="1466" spans="7:14" ht="11.25" customHeight="1" x14ac:dyDescent="0.3">
      <c r="G1466" s="470"/>
      <c r="H1466" s="470">
        <v>1459</v>
      </c>
      <c r="I1466" s="455">
        <f t="shared" ca="1" si="110"/>
        <v>-186425469.05224964</v>
      </c>
      <c r="J1466" s="455">
        <f t="array" ref="J1466">IFERROR(INDEX('Retirement Calculator'!K:K,MATCH('Lorri 401b'!N1466,'Retirement Calculator'!A:A,0),0),0)</f>
        <v>0</v>
      </c>
      <c r="K1466" s="455">
        <f t="shared" ca="1" si="108"/>
        <v>-776772.78771770687</v>
      </c>
      <c r="L1466" s="455">
        <f t="shared" ca="1" si="109"/>
        <v>-187202241.83996734</v>
      </c>
      <c r="M1466" s="471">
        <f t="shared" si="111"/>
        <v>0.05</v>
      </c>
      <c r="N1466" s="475">
        <f t="shared" si="112"/>
        <v>95665</v>
      </c>
    </row>
    <row r="1467" spans="7:14" ht="11.25" customHeight="1" x14ac:dyDescent="0.3">
      <c r="G1467" s="470"/>
      <c r="H1467" s="470">
        <v>1460</v>
      </c>
      <c r="I1467" s="455">
        <f t="shared" ca="1" si="110"/>
        <v>-187202241.83996734</v>
      </c>
      <c r="J1467" s="455">
        <f t="array" ref="J1467">IFERROR(INDEX('Retirement Calculator'!K:K,MATCH('Lorri 401b'!N1467,'Retirement Calculator'!A:A,0),0),0)</f>
        <v>0</v>
      </c>
      <c r="K1467" s="455">
        <f t="shared" ca="1" si="108"/>
        <v>-780009.34099986393</v>
      </c>
      <c r="L1467" s="455">
        <f t="shared" ca="1" si="109"/>
        <v>-187982251.18096721</v>
      </c>
      <c r="M1467" s="471">
        <f t="shared" si="111"/>
        <v>0.05</v>
      </c>
      <c r="N1467" s="475">
        <f t="shared" si="112"/>
        <v>95696</v>
      </c>
    </row>
    <row r="1468" spans="7:14" ht="11.25" customHeight="1" x14ac:dyDescent="0.3">
      <c r="G1468" s="470"/>
      <c r="H1468" s="470">
        <v>1461</v>
      </c>
      <c r="I1468" s="455">
        <f t="shared" ca="1" si="110"/>
        <v>-187982251.18096721</v>
      </c>
      <c r="J1468" s="455">
        <f t="array" ref="J1468">IFERROR(INDEX('Retirement Calculator'!K:K,MATCH('Lorri 401b'!N1468,'Retirement Calculator'!A:A,0),0),0)</f>
        <v>0</v>
      </c>
      <c r="K1468" s="455">
        <f t="shared" ca="1" si="108"/>
        <v>-783259.37992069672</v>
      </c>
      <c r="L1468" s="455">
        <f t="shared" ca="1" si="109"/>
        <v>-188765510.5608879</v>
      </c>
      <c r="M1468" s="471">
        <f t="shared" si="111"/>
        <v>0.05</v>
      </c>
      <c r="N1468" s="475">
        <f t="shared" si="112"/>
        <v>95727</v>
      </c>
    </row>
    <row r="1469" spans="7:14" ht="11.25" customHeight="1" x14ac:dyDescent="0.3">
      <c r="G1469" s="470"/>
      <c r="H1469" s="470">
        <v>1462</v>
      </c>
      <c r="I1469" s="455">
        <f t="shared" ca="1" si="110"/>
        <v>-188765510.5608879</v>
      </c>
      <c r="J1469" s="455">
        <f t="array" ref="J1469">IFERROR(INDEX('Retirement Calculator'!K:K,MATCH('Lorri 401b'!N1469,'Retirement Calculator'!A:A,0),0),0)</f>
        <v>0</v>
      </c>
      <c r="K1469" s="455">
        <f t="shared" ca="1" si="108"/>
        <v>-786522.9606703663</v>
      </c>
      <c r="L1469" s="455">
        <f t="shared" ca="1" si="109"/>
        <v>-189552033.52155825</v>
      </c>
      <c r="M1469" s="471">
        <f t="shared" si="111"/>
        <v>0.05</v>
      </c>
      <c r="N1469" s="475">
        <f t="shared" si="112"/>
        <v>95755</v>
      </c>
    </row>
    <row r="1470" spans="7:14" ht="11.25" customHeight="1" x14ac:dyDescent="0.3">
      <c r="G1470" s="470"/>
      <c r="H1470" s="470">
        <v>1463</v>
      </c>
      <c r="I1470" s="455">
        <f t="shared" ca="1" si="110"/>
        <v>-189552033.52155825</v>
      </c>
      <c r="J1470" s="455">
        <f t="array" ref="J1470">IFERROR(INDEX('Retirement Calculator'!K:K,MATCH('Lorri 401b'!N1470,'Retirement Calculator'!A:A,0),0),0)</f>
        <v>0</v>
      </c>
      <c r="K1470" s="455">
        <f t="shared" ca="1" si="108"/>
        <v>-789800.13967315934</v>
      </c>
      <c r="L1470" s="455">
        <f t="shared" ca="1" si="109"/>
        <v>-190341833.66123143</v>
      </c>
      <c r="M1470" s="471">
        <f t="shared" si="111"/>
        <v>0.05</v>
      </c>
      <c r="N1470" s="475">
        <f t="shared" si="112"/>
        <v>95786</v>
      </c>
    </row>
    <row r="1471" spans="7:14" ht="11.25" customHeight="1" x14ac:dyDescent="0.3">
      <c r="G1471" s="470"/>
      <c r="H1471" s="470">
        <v>1464</v>
      </c>
      <c r="I1471" s="455">
        <f t="shared" ca="1" si="110"/>
        <v>-190341833.66123143</v>
      </c>
      <c r="J1471" s="455">
        <f t="array" ref="J1471">IFERROR(INDEX('Retirement Calculator'!K:K,MATCH('Lorri 401b'!N1471,'Retirement Calculator'!A:A,0),0),0)</f>
        <v>0</v>
      </c>
      <c r="K1471" s="455">
        <f t="shared" ca="1" si="108"/>
        <v>-793090.97358846432</v>
      </c>
      <c r="L1471" s="455">
        <f t="shared" ca="1" si="109"/>
        <v>-191134924.6348199</v>
      </c>
      <c r="M1471" s="471">
        <f t="shared" si="111"/>
        <v>0.05</v>
      </c>
      <c r="N1471" s="475">
        <f t="shared" si="112"/>
        <v>95816</v>
      </c>
    </row>
    <row r="1472" spans="7:14" ht="11.25" customHeight="1" x14ac:dyDescent="0.3">
      <c r="G1472" s="470"/>
      <c r="H1472" s="470">
        <v>1465</v>
      </c>
      <c r="I1472" s="455">
        <f t="shared" ca="1" si="110"/>
        <v>-191134924.6348199</v>
      </c>
      <c r="J1472" s="455">
        <f t="array" ref="J1472">IFERROR(INDEX('Retirement Calculator'!K:K,MATCH('Lorri 401b'!N1472,'Retirement Calculator'!A:A,0),0),0)</f>
        <v>0</v>
      </c>
      <c r="K1472" s="455">
        <f t="shared" ca="1" si="108"/>
        <v>-796395.51931174961</v>
      </c>
      <c r="L1472" s="455">
        <f t="shared" ca="1" si="109"/>
        <v>-191931320.15413165</v>
      </c>
      <c r="M1472" s="471">
        <f t="shared" si="111"/>
        <v>0.05</v>
      </c>
      <c r="N1472" s="475">
        <f t="shared" si="112"/>
        <v>95847</v>
      </c>
    </row>
    <row r="1473" spans="7:14" ht="11.25" customHeight="1" x14ac:dyDescent="0.3">
      <c r="G1473" s="470"/>
      <c r="H1473" s="470">
        <v>1466</v>
      </c>
      <c r="I1473" s="455">
        <f t="shared" ca="1" si="110"/>
        <v>-191931320.15413165</v>
      </c>
      <c r="J1473" s="455">
        <f t="array" ref="J1473">IFERROR(INDEX('Retirement Calculator'!K:K,MATCH('Lorri 401b'!N1473,'Retirement Calculator'!A:A,0),0),0)</f>
        <v>0</v>
      </c>
      <c r="K1473" s="455">
        <f t="shared" ca="1" si="108"/>
        <v>-799713.83397554851</v>
      </c>
      <c r="L1473" s="455">
        <f t="shared" ca="1" si="109"/>
        <v>-192731033.9881072</v>
      </c>
      <c r="M1473" s="471">
        <f t="shared" si="111"/>
        <v>0.05</v>
      </c>
      <c r="N1473" s="475">
        <f t="shared" si="112"/>
        <v>95877</v>
      </c>
    </row>
    <row r="1474" spans="7:14" ht="11.25" customHeight="1" x14ac:dyDescent="0.3">
      <c r="G1474" s="470"/>
      <c r="H1474" s="470">
        <v>1467</v>
      </c>
      <c r="I1474" s="455">
        <f t="shared" ca="1" si="110"/>
        <v>-192731033.9881072</v>
      </c>
      <c r="J1474" s="455">
        <f t="array" ref="J1474">IFERROR(INDEX('Retirement Calculator'!K:K,MATCH('Lorri 401b'!N1474,'Retirement Calculator'!A:A,0),0),0)</f>
        <v>0</v>
      </c>
      <c r="K1474" s="455">
        <f t="shared" ca="1" si="108"/>
        <v>-803045.97495044663</v>
      </c>
      <c r="L1474" s="455">
        <f t="shared" ca="1" si="109"/>
        <v>-193534079.96305764</v>
      </c>
      <c r="M1474" s="471">
        <f t="shared" si="111"/>
        <v>0.05</v>
      </c>
      <c r="N1474" s="475">
        <f t="shared" si="112"/>
        <v>95908</v>
      </c>
    </row>
    <row r="1475" spans="7:14" ht="11.25" customHeight="1" x14ac:dyDescent="0.3">
      <c r="G1475" s="470"/>
      <c r="H1475" s="470">
        <v>1468</v>
      </c>
      <c r="I1475" s="455">
        <f t="shared" ca="1" si="110"/>
        <v>-193534079.96305764</v>
      </c>
      <c r="J1475" s="455">
        <f t="array" ref="J1475">IFERROR(INDEX('Retirement Calculator'!K:K,MATCH('Lorri 401b'!N1475,'Retirement Calculator'!A:A,0),0),0)</f>
        <v>0</v>
      </c>
      <c r="K1475" s="455">
        <f t="shared" ca="1" si="108"/>
        <v>-806391.99984607345</v>
      </c>
      <c r="L1475" s="455">
        <f t="shared" ca="1" si="109"/>
        <v>-194340471.96290371</v>
      </c>
      <c r="M1475" s="471">
        <f t="shared" si="111"/>
        <v>0.05</v>
      </c>
      <c r="N1475" s="475">
        <f t="shared" si="112"/>
        <v>95939</v>
      </c>
    </row>
    <row r="1476" spans="7:14" ht="11.25" customHeight="1" x14ac:dyDescent="0.3">
      <c r="G1476" s="470"/>
      <c r="H1476" s="470">
        <v>1469</v>
      </c>
      <c r="I1476" s="455">
        <f t="shared" ca="1" si="110"/>
        <v>-194340471.96290371</v>
      </c>
      <c r="J1476" s="455">
        <f t="array" ref="J1476">IFERROR(INDEX('Retirement Calculator'!K:K,MATCH('Lorri 401b'!N1476,'Retirement Calculator'!A:A,0),0),0)</f>
        <v>0</v>
      </c>
      <c r="K1476" s="455">
        <f t="shared" ca="1" si="108"/>
        <v>-809751.96651209879</v>
      </c>
      <c r="L1476" s="455">
        <f t="shared" ca="1" si="109"/>
        <v>-195150223.92941579</v>
      </c>
      <c r="M1476" s="471">
        <f t="shared" si="111"/>
        <v>0.05</v>
      </c>
      <c r="N1476" s="475">
        <f t="shared" si="112"/>
        <v>95969</v>
      </c>
    </row>
    <row r="1477" spans="7:14" ht="11.25" customHeight="1" x14ac:dyDescent="0.3">
      <c r="G1477" s="470"/>
      <c r="H1477" s="470">
        <v>1470</v>
      </c>
      <c r="I1477" s="455">
        <f t="shared" ca="1" si="110"/>
        <v>-195150223.92941579</v>
      </c>
      <c r="J1477" s="455">
        <f t="array" ref="J1477">IFERROR(INDEX('Retirement Calculator'!K:K,MATCH('Lorri 401b'!N1477,'Retirement Calculator'!A:A,0),0),0)</f>
        <v>0</v>
      </c>
      <c r="K1477" s="455">
        <f t="shared" ca="1" si="108"/>
        <v>-813125.93303923251</v>
      </c>
      <c r="L1477" s="455">
        <f t="shared" ca="1" si="109"/>
        <v>-195963349.86245501</v>
      </c>
      <c r="M1477" s="471">
        <f t="shared" si="111"/>
        <v>0.05</v>
      </c>
      <c r="N1477" s="475">
        <f t="shared" si="112"/>
        <v>96000</v>
      </c>
    </row>
    <row r="1478" spans="7:14" ht="11.25" customHeight="1" x14ac:dyDescent="0.3">
      <c r="G1478" s="470"/>
      <c r="H1478" s="470">
        <v>1471</v>
      </c>
      <c r="I1478" s="455">
        <f t="shared" ca="1" si="110"/>
        <v>-195963349.86245501</v>
      </c>
      <c r="J1478" s="455">
        <f t="array" ref="J1478">IFERROR(INDEX('Retirement Calculator'!K:K,MATCH('Lorri 401b'!N1478,'Retirement Calculator'!A:A,0),0),0)</f>
        <v>0</v>
      </c>
      <c r="K1478" s="455">
        <f t="shared" ca="1" si="108"/>
        <v>-816513.95776022924</v>
      </c>
      <c r="L1478" s="455">
        <f t="shared" ca="1" si="109"/>
        <v>-196779863.82021523</v>
      </c>
      <c r="M1478" s="471">
        <f t="shared" si="111"/>
        <v>0.05</v>
      </c>
      <c r="N1478" s="475">
        <f t="shared" si="112"/>
        <v>96030</v>
      </c>
    </row>
    <row r="1479" spans="7:14" ht="11.25" customHeight="1" x14ac:dyDescent="0.3">
      <c r="G1479" s="470"/>
      <c r="H1479" s="470">
        <v>1472</v>
      </c>
      <c r="I1479" s="455">
        <f t="shared" ca="1" si="110"/>
        <v>-196779863.82021523</v>
      </c>
      <c r="J1479" s="455">
        <f t="array" ref="J1479">IFERROR(INDEX('Retirement Calculator'!K:K,MATCH('Lorri 401b'!N1479,'Retirement Calculator'!A:A,0),0),0)</f>
        <v>0</v>
      </c>
      <c r="K1479" s="455">
        <f t="shared" ca="1" si="108"/>
        <v>-819916.09925089672</v>
      </c>
      <c r="L1479" s="455">
        <f t="shared" ca="1" si="109"/>
        <v>-197599779.91946611</v>
      </c>
      <c r="M1479" s="471">
        <f t="shared" si="111"/>
        <v>0.05</v>
      </c>
      <c r="N1479" s="475">
        <f t="shared" si="112"/>
        <v>96061</v>
      </c>
    </row>
    <row r="1480" spans="7:14" ht="11.25" customHeight="1" x14ac:dyDescent="0.3">
      <c r="G1480" s="470"/>
      <c r="H1480" s="470">
        <v>1473</v>
      </c>
      <c r="I1480" s="455">
        <f t="shared" ca="1" si="110"/>
        <v>-197599779.91946611</v>
      </c>
      <c r="J1480" s="455">
        <f t="array" ref="J1480">IFERROR(INDEX('Retirement Calculator'!K:K,MATCH('Lorri 401b'!N1480,'Retirement Calculator'!A:A,0),0),0)</f>
        <v>0</v>
      </c>
      <c r="K1480" s="455">
        <f t="shared" ca="1" si="108"/>
        <v>-823332.41633110878</v>
      </c>
      <c r="L1480" s="455">
        <f t="shared" ca="1" si="109"/>
        <v>-198423112.33579722</v>
      </c>
      <c r="M1480" s="471">
        <f t="shared" si="111"/>
        <v>0.05</v>
      </c>
      <c r="N1480" s="475">
        <f t="shared" si="112"/>
        <v>96092</v>
      </c>
    </row>
    <row r="1481" spans="7:14" ht="11.25" customHeight="1" x14ac:dyDescent="0.3">
      <c r="G1481" s="470"/>
      <c r="H1481" s="470">
        <v>1474</v>
      </c>
      <c r="I1481" s="455">
        <f t="shared" ca="1" si="110"/>
        <v>-198423112.33579722</v>
      </c>
      <c r="J1481" s="455">
        <f t="array" ref="J1481">IFERROR(INDEX('Retirement Calculator'!K:K,MATCH('Lorri 401b'!N1481,'Retirement Calculator'!A:A,0),0),0)</f>
        <v>0</v>
      </c>
      <c r="K1481" s="455">
        <f t="shared" ca="1" si="108"/>
        <v>-826762.9680658218</v>
      </c>
      <c r="L1481" s="455">
        <f t="shared" ca="1" si="109"/>
        <v>-199249875.30386305</v>
      </c>
      <c r="M1481" s="471">
        <f t="shared" si="111"/>
        <v>0.05</v>
      </c>
      <c r="N1481" s="475">
        <f t="shared" si="112"/>
        <v>96120</v>
      </c>
    </row>
    <row r="1482" spans="7:14" ht="11.25" customHeight="1" x14ac:dyDescent="0.3">
      <c r="G1482" s="470"/>
      <c r="H1482" s="470">
        <v>1475</v>
      </c>
      <c r="I1482" s="455">
        <f t="shared" ca="1" si="110"/>
        <v>-199249875.30386305</v>
      </c>
      <c r="J1482" s="455">
        <f t="array" ref="J1482">IFERROR(INDEX('Retirement Calculator'!K:K,MATCH('Lorri 401b'!N1482,'Retirement Calculator'!A:A,0),0),0)</f>
        <v>0</v>
      </c>
      <c r="K1482" s="455">
        <f t="shared" ca="1" si="108"/>
        <v>-830207.81376609602</v>
      </c>
      <c r="L1482" s="455">
        <f t="shared" ca="1" si="109"/>
        <v>-200080083.11762914</v>
      </c>
      <c r="M1482" s="471">
        <f t="shared" si="111"/>
        <v>0.05</v>
      </c>
      <c r="N1482" s="475">
        <f t="shared" si="112"/>
        <v>96151</v>
      </c>
    </row>
    <row r="1483" spans="7:14" ht="11.25" customHeight="1" x14ac:dyDescent="0.3">
      <c r="G1483" s="470"/>
      <c r="H1483" s="470">
        <v>1476</v>
      </c>
      <c r="I1483" s="455">
        <f t="shared" ca="1" si="110"/>
        <v>-200080083.11762914</v>
      </c>
      <c r="J1483" s="455">
        <f t="array" ref="J1483">IFERROR(INDEX('Retirement Calculator'!K:K,MATCH('Lorri 401b'!N1483,'Retirement Calculator'!A:A,0),0),0)</f>
        <v>0</v>
      </c>
      <c r="K1483" s="455">
        <f t="shared" ca="1" si="108"/>
        <v>-833667.01299012138</v>
      </c>
      <c r="L1483" s="455">
        <f t="shared" ca="1" si="109"/>
        <v>-200913750.13061926</v>
      </c>
      <c r="M1483" s="471">
        <f t="shared" si="111"/>
        <v>0.05</v>
      </c>
      <c r="N1483" s="475">
        <f t="shared" si="112"/>
        <v>96181</v>
      </c>
    </row>
    <row r="1484" spans="7:14" ht="11.25" customHeight="1" x14ac:dyDescent="0.3">
      <c r="G1484" s="470"/>
      <c r="H1484" s="470">
        <v>1477</v>
      </c>
      <c r="I1484" s="455">
        <f t="shared" ca="1" si="110"/>
        <v>-200913750.13061926</v>
      </c>
      <c r="J1484" s="455">
        <f t="array" ref="J1484">IFERROR(INDEX('Retirement Calculator'!K:K,MATCH('Lorri 401b'!N1484,'Retirement Calculator'!A:A,0),0),0)</f>
        <v>0</v>
      </c>
      <c r="K1484" s="455">
        <f t="shared" ca="1" si="108"/>
        <v>-837140.62554424687</v>
      </c>
      <c r="L1484" s="455">
        <f t="shared" ca="1" si="109"/>
        <v>-201750890.75616351</v>
      </c>
      <c r="M1484" s="471">
        <f t="shared" si="111"/>
        <v>0.05</v>
      </c>
      <c r="N1484" s="475">
        <f t="shared" si="112"/>
        <v>96212</v>
      </c>
    </row>
    <row r="1485" spans="7:14" ht="11.25" customHeight="1" x14ac:dyDescent="0.3">
      <c r="G1485" s="470"/>
      <c r="H1485" s="470">
        <v>1478</v>
      </c>
      <c r="I1485" s="455">
        <f t="shared" ca="1" si="110"/>
        <v>-201750890.75616351</v>
      </c>
      <c r="J1485" s="455">
        <f t="array" ref="J1485">IFERROR(INDEX('Retirement Calculator'!K:K,MATCH('Lorri 401b'!N1485,'Retirement Calculator'!A:A,0),0),0)</f>
        <v>0</v>
      </c>
      <c r="K1485" s="455">
        <f t="shared" ca="1" si="108"/>
        <v>-840628.71148401464</v>
      </c>
      <c r="L1485" s="455">
        <f t="shared" ca="1" si="109"/>
        <v>-202591519.46764752</v>
      </c>
      <c r="M1485" s="471">
        <f t="shared" si="111"/>
        <v>0.05</v>
      </c>
      <c r="N1485" s="475">
        <f t="shared" si="112"/>
        <v>96242</v>
      </c>
    </row>
    <row r="1486" spans="7:14" ht="11.25" customHeight="1" x14ac:dyDescent="0.3">
      <c r="G1486" s="470"/>
      <c r="H1486" s="470">
        <v>1479</v>
      </c>
      <c r="I1486" s="455">
        <f t="shared" ca="1" si="110"/>
        <v>-202591519.46764752</v>
      </c>
      <c r="J1486" s="455">
        <f t="array" ref="J1486">IFERROR(INDEX('Retirement Calculator'!K:K,MATCH('Lorri 401b'!N1486,'Retirement Calculator'!A:A,0),0),0)</f>
        <v>0</v>
      </c>
      <c r="K1486" s="455">
        <f t="shared" ca="1" si="108"/>
        <v>-844131.33111519797</v>
      </c>
      <c r="L1486" s="455">
        <f t="shared" ca="1" si="109"/>
        <v>-203435650.79876271</v>
      </c>
      <c r="M1486" s="471">
        <f t="shared" si="111"/>
        <v>0.05</v>
      </c>
      <c r="N1486" s="475">
        <f t="shared" si="112"/>
        <v>96273</v>
      </c>
    </row>
    <row r="1487" spans="7:14" ht="11.25" customHeight="1" x14ac:dyDescent="0.3">
      <c r="G1487" s="470"/>
      <c r="H1487" s="470">
        <v>1480</v>
      </c>
      <c r="I1487" s="455">
        <f t="shared" ca="1" si="110"/>
        <v>-203435650.79876271</v>
      </c>
      <c r="J1487" s="455">
        <f t="array" ref="J1487">IFERROR(INDEX('Retirement Calculator'!K:K,MATCH('Lorri 401b'!N1487,'Retirement Calculator'!A:A,0),0),0)</f>
        <v>0</v>
      </c>
      <c r="K1487" s="455">
        <f t="shared" ca="1" si="108"/>
        <v>-847648.54499484459</v>
      </c>
      <c r="L1487" s="455">
        <f t="shared" ca="1" si="109"/>
        <v>-204283299.34375754</v>
      </c>
      <c r="M1487" s="471">
        <f t="shared" si="111"/>
        <v>0.05</v>
      </c>
      <c r="N1487" s="475">
        <f t="shared" si="112"/>
        <v>96304</v>
      </c>
    </row>
    <row r="1488" spans="7:14" ht="11.25" customHeight="1" x14ac:dyDescent="0.3">
      <c r="G1488" s="470"/>
      <c r="H1488" s="470">
        <v>1481</v>
      </c>
      <c r="I1488" s="455">
        <f t="shared" ca="1" si="110"/>
        <v>-204283299.34375754</v>
      </c>
      <c r="J1488" s="455">
        <f t="array" ref="J1488">IFERROR(INDEX('Retirement Calculator'!K:K,MATCH('Lorri 401b'!N1488,'Retirement Calculator'!A:A,0),0),0)</f>
        <v>0</v>
      </c>
      <c r="K1488" s="455">
        <f t="shared" ca="1" si="108"/>
        <v>-851180.41393232311</v>
      </c>
      <c r="L1488" s="455">
        <f t="shared" ca="1" si="109"/>
        <v>-205134479.75768986</v>
      </c>
      <c r="M1488" s="471">
        <f t="shared" si="111"/>
        <v>0.05</v>
      </c>
      <c r="N1488" s="475">
        <f t="shared" si="112"/>
        <v>96334</v>
      </c>
    </row>
    <row r="1489" spans="7:14" ht="11.25" customHeight="1" x14ac:dyDescent="0.3">
      <c r="G1489" s="470"/>
      <c r="H1489" s="470">
        <v>1482</v>
      </c>
      <c r="I1489" s="455">
        <f t="shared" ca="1" si="110"/>
        <v>-205134479.75768986</v>
      </c>
      <c r="J1489" s="455">
        <f t="array" ref="J1489">IFERROR(INDEX('Retirement Calculator'!K:K,MATCH('Lorri 401b'!N1489,'Retirement Calculator'!A:A,0),0),0)</f>
        <v>0</v>
      </c>
      <c r="K1489" s="455">
        <f t="shared" ca="1" si="108"/>
        <v>-854726.99899037438</v>
      </c>
      <c r="L1489" s="455">
        <f t="shared" ca="1" si="109"/>
        <v>-205989206.75668025</v>
      </c>
      <c r="M1489" s="471">
        <f t="shared" si="111"/>
        <v>0.05</v>
      </c>
      <c r="N1489" s="475">
        <f t="shared" si="112"/>
        <v>96365</v>
      </c>
    </row>
    <row r="1490" spans="7:14" ht="11.25" customHeight="1" x14ac:dyDescent="0.3">
      <c r="G1490" s="470"/>
      <c r="H1490" s="470">
        <v>1483</v>
      </c>
      <c r="I1490" s="455">
        <f t="shared" ca="1" si="110"/>
        <v>-205989206.75668025</v>
      </c>
      <c r="J1490" s="455">
        <f t="array" ref="J1490">IFERROR(INDEX('Retirement Calculator'!K:K,MATCH('Lorri 401b'!N1490,'Retirement Calculator'!A:A,0),0),0)</f>
        <v>0</v>
      </c>
      <c r="K1490" s="455">
        <f t="shared" ca="1" si="108"/>
        <v>-858288.36148616765</v>
      </c>
      <c r="L1490" s="455">
        <f t="shared" ca="1" si="109"/>
        <v>-206847495.11816642</v>
      </c>
      <c r="M1490" s="471">
        <f t="shared" si="111"/>
        <v>0.05</v>
      </c>
      <c r="N1490" s="475">
        <f t="shared" si="112"/>
        <v>96395</v>
      </c>
    </row>
    <row r="1491" spans="7:14" ht="11.25" customHeight="1" x14ac:dyDescent="0.3">
      <c r="G1491" s="470"/>
      <c r="H1491" s="470">
        <v>1484</v>
      </c>
      <c r="I1491" s="455">
        <f t="shared" ca="1" si="110"/>
        <v>-206847495.11816642</v>
      </c>
      <c r="J1491" s="455">
        <f t="array" ref="J1491">IFERROR(INDEX('Retirement Calculator'!K:K,MATCH('Lorri 401b'!N1491,'Retirement Calculator'!A:A,0),0),0)</f>
        <v>0</v>
      </c>
      <c r="K1491" s="455">
        <f t="shared" ca="1" si="108"/>
        <v>-861864.56299236009</v>
      </c>
      <c r="L1491" s="455">
        <f t="shared" ca="1" si="109"/>
        <v>-207709359.68115878</v>
      </c>
      <c r="M1491" s="471">
        <f t="shared" si="111"/>
        <v>0.05</v>
      </c>
      <c r="N1491" s="475">
        <f t="shared" si="112"/>
        <v>96426</v>
      </c>
    </row>
    <row r="1492" spans="7:14" ht="11.25" customHeight="1" x14ac:dyDescent="0.3">
      <c r="G1492" s="470"/>
      <c r="H1492" s="470">
        <v>1485</v>
      </c>
      <c r="I1492" s="455">
        <f t="shared" ca="1" si="110"/>
        <v>-207709359.68115878</v>
      </c>
      <c r="J1492" s="455">
        <f t="array" ref="J1492">IFERROR(INDEX('Retirement Calculator'!K:K,MATCH('Lorri 401b'!N1492,'Retirement Calculator'!A:A,0),0),0)</f>
        <v>0</v>
      </c>
      <c r="K1492" s="455">
        <f t="shared" ca="1" si="108"/>
        <v>-865455.66533816152</v>
      </c>
      <c r="L1492" s="455">
        <f t="shared" ca="1" si="109"/>
        <v>-208574815.34649694</v>
      </c>
      <c r="M1492" s="471">
        <f t="shared" si="111"/>
        <v>0.05</v>
      </c>
      <c r="N1492" s="475">
        <f t="shared" si="112"/>
        <v>96457</v>
      </c>
    </row>
    <row r="1493" spans="7:14" ht="11.25" customHeight="1" x14ac:dyDescent="0.3">
      <c r="G1493" s="470"/>
      <c r="H1493" s="470">
        <v>1486</v>
      </c>
      <c r="I1493" s="455">
        <f t="shared" ca="1" si="110"/>
        <v>-208574815.34649694</v>
      </c>
      <c r="J1493" s="455">
        <f t="array" ref="J1493">IFERROR(INDEX('Retirement Calculator'!K:K,MATCH('Lorri 401b'!N1493,'Retirement Calculator'!A:A,0),0),0)</f>
        <v>0</v>
      </c>
      <c r="K1493" s="455">
        <f t="shared" ca="1" si="108"/>
        <v>-869061.73061040393</v>
      </c>
      <c r="L1493" s="455">
        <f t="shared" ca="1" si="109"/>
        <v>-209443877.07710734</v>
      </c>
      <c r="M1493" s="471">
        <f t="shared" si="111"/>
        <v>0.05</v>
      </c>
      <c r="N1493" s="475">
        <f t="shared" si="112"/>
        <v>96486</v>
      </c>
    </row>
    <row r="1494" spans="7:14" ht="11.25" customHeight="1" x14ac:dyDescent="0.3">
      <c r="G1494" s="470"/>
      <c r="H1494" s="470">
        <v>1487</v>
      </c>
      <c r="I1494" s="455">
        <f t="shared" ca="1" si="110"/>
        <v>-209443877.07710734</v>
      </c>
      <c r="J1494" s="455">
        <f t="array" ref="J1494">IFERROR(INDEX('Retirement Calculator'!K:K,MATCH('Lorri 401b'!N1494,'Retirement Calculator'!A:A,0),0),0)</f>
        <v>0</v>
      </c>
      <c r="K1494" s="455">
        <f t="shared" ca="1" si="108"/>
        <v>-872682.82115461386</v>
      </c>
      <c r="L1494" s="455">
        <f t="shared" ca="1" si="109"/>
        <v>-210316559.89826196</v>
      </c>
      <c r="M1494" s="471">
        <f t="shared" si="111"/>
        <v>0.05</v>
      </c>
      <c r="N1494" s="475">
        <f t="shared" si="112"/>
        <v>96517</v>
      </c>
    </row>
    <row r="1495" spans="7:14" ht="11.25" customHeight="1" x14ac:dyDescent="0.3">
      <c r="G1495" s="470"/>
      <c r="H1495" s="470">
        <v>1488</v>
      </c>
      <c r="I1495" s="455">
        <f t="shared" ca="1" si="110"/>
        <v>-210316559.89826196</v>
      </c>
      <c r="J1495" s="455">
        <f t="array" ref="J1495">IFERROR(INDEX('Retirement Calculator'!K:K,MATCH('Lorri 401b'!N1495,'Retirement Calculator'!A:A,0),0),0)</f>
        <v>0</v>
      </c>
      <c r="K1495" s="455">
        <f t="shared" ca="1" si="108"/>
        <v>-876318.99957609165</v>
      </c>
      <c r="L1495" s="455">
        <f t="shared" ca="1" si="109"/>
        <v>-211192878.89783806</v>
      </c>
      <c r="M1495" s="471">
        <f t="shared" si="111"/>
        <v>0.05</v>
      </c>
      <c r="N1495" s="475">
        <f t="shared" si="112"/>
        <v>96547</v>
      </c>
    </row>
    <row r="1496" spans="7:14" ht="11.25" customHeight="1" x14ac:dyDescent="0.3">
      <c r="G1496" s="470"/>
      <c r="H1496" s="470">
        <v>1489</v>
      </c>
      <c r="I1496" s="455">
        <f t="shared" ca="1" si="110"/>
        <v>-211192878.89783806</v>
      </c>
      <c r="J1496" s="455">
        <f t="array" ref="J1496">IFERROR(INDEX('Retirement Calculator'!K:K,MATCH('Lorri 401b'!N1496,'Retirement Calculator'!A:A,0),0),0)</f>
        <v>0</v>
      </c>
      <c r="K1496" s="455">
        <f t="shared" ca="1" si="108"/>
        <v>-879970.32874099188</v>
      </c>
      <c r="L1496" s="455">
        <f t="shared" ca="1" si="109"/>
        <v>-212072849.22657904</v>
      </c>
      <c r="M1496" s="471">
        <f t="shared" si="111"/>
        <v>0.05</v>
      </c>
      <c r="N1496" s="475">
        <f t="shared" si="112"/>
        <v>96578</v>
      </c>
    </row>
    <row r="1497" spans="7:14" ht="11.25" customHeight="1" x14ac:dyDescent="0.3">
      <c r="G1497" s="470"/>
      <c r="H1497" s="470">
        <v>1490</v>
      </c>
      <c r="I1497" s="455">
        <f t="shared" ca="1" si="110"/>
        <v>-212072849.22657904</v>
      </c>
      <c r="J1497" s="455">
        <f t="array" ref="J1497">IFERROR(INDEX('Retirement Calculator'!K:K,MATCH('Lorri 401b'!N1497,'Retirement Calculator'!A:A,0),0),0)</f>
        <v>0</v>
      </c>
      <c r="K1497" s="455">
        <f t="shared" ca="1" si="108"/>
        <v>-883636.8717774126</v>
      </c>
      <c r="L1497" s="455">
        <f t="shared" ca="1" si="109"/>
        <v>-212956486.09835646</v>
      </c>
      <c r="M1497" s="471">
        <f t="shared" si="111"/>
        <v>0.05</v>
      </c>
      <c r="N1497" s="475">
        <f t="shared" si="112"/>
        <v>96608</v>
      </c>
    </row>
    <row r="1498" spans="7:14" ht="11.25" customHeight="1" x14ac:dyDescent="0.3">
      <c r="G1498" s="470"/>
      <c r="H1498" s="470">
        <v>1491</v>
      </c>
      <c r="I1498" s="455">
        <f t="shared" ca="1" si="110"/>
        <v>-212956486.09835646</v>
      </c>
      <c r="J1498" s="455">
        <f t="array" ref="J1498">IFERROR(INDEX('Retirement Calculator'!K:K,MATCH('Lorri 401b'!N1498,'Retirement Calculator'!A:A,0),0),0)</f>
        <v>0</v>
      </c>
      <c r="K1498" s="455">
        <f t="shared" ca="1" si="108"/>
        <v>-887318.69207648525</v>
      </c>
      <c r="L1498" s="455">
        <f t="shared" ca="1" si="109"/>
        <v>-213843804.79043293</v>
      </c>
      <c r="M1498" s="471">
        <f t="shared" si="111"/>
        <v>0.05</v>
      </c>
      <c r="N1498" s="475">
        <f t="shared" si="112"/>
        <v>96639</v>
      </c>
    </row>
    <row r="1499" spans="7:14" ht="11.25" customHeight="1" x14ac:dyDescent="0.3">
      <c r="G1499" s="470"/>
      <c r="H1499" s="470">
        <v>1492</v>
      </c>
      <c r="I1499" s="455">
        <f t="shared" ca="1" si="110"/>
        <v>-213843804.79043293</v>
      </c>
      <c r="J1499" s="455">
        <f t="array" ref="J1499">IFERROR(INDEX('Retirement Calculator'!K:K,MATCH('Lorri 401b'!N1499,'Retirement Calculator'!A:A,0),0),0)</f>
        <v>0</v>
      </c>
      <c r="K1499" s="455">
        <f t="shared" ca="1" si="108"/>
        <v>-891015.85329347057</v>
      </c>
      <c r="L1499" s="455">
        <f t="shared" ca="1" si="109"/>
        <v>-214734820.64372641</v>
      </c>
      <c r="M1499" s="471">
        <f t="shared" si="111"/>
        <v>0.05</v>
      </c>
      <c r="N1499" s="475">
        <f t="shared" si="112"/>
        <v>96670</v>
      </c>
    </row>
    <row r="1500" spans="7:14" ht="11.25" customHeight="1" x14ac:dyDescent="0.3">
      <c r="G1500" s="470"/>
      <c r="H1500" s="470">
        <v>1493</v>
      </c>
      <c r="I1500" s="455">
        <f t="shared" ca="1" si="110"/>
        <v>-214734820.64372641</v>
      </c>
      <c r="J1500" s="455">
        <f t="array" ref="J1500">IFERROR(INDEX('Retirement Calculator'!K:K,MATCH('Lorri 401b'!N1500,'Retirement Calculator'!A:A,0),0),0)</f>
        <v>0</v>
      </c>
      <c r="K1500" s="455">
        <f t="shared" ca="1" si="108"/>
        <v>-894728.41934886004</v>
      </c>
      <c r="L1500" s="455">
        <f t="shared" ca="1" si="109"/>
        <v>-215629549.06307527</v>
      </c>
      <c r="M1500" s="471">
        <f t="shared" si="111"/>
        <v>0.05</v>
      </c>
      <c r="N1500" s="475">
        <f t="shared" si="112"/>
        <v>96700</v>
      </c>
    </row>
    <row r="1501" spans="7:14" ht="11.25" customHeight="1" x14ac:dyDescent="0.3">
      <c r="G1501" s="470"/>
      <c r="H1501" s="470">
        <v>1494</v>
      </c>
      <c r="I1501" s="455">
        <f t="shared" ca="1" si="110"/>
        <v>-215629549.06307527</v>
      </c>
      <c r="J1501" s="455">
        <f t="array" ref="J1501">IFERROR(INDEX('Retirement Calculator'!K:K,MATCH('Lorri 401b'!N1501,'Retirement Calculator'!A:A,0),0),0)</f>
        <v>0</v>
      </c>
      <c r="K1501" s="455">
        <f t="shared" ca="1" si="108"/>
        <v>-898456.45442948025</v>
      </c>
      <c r="L1501" s="455">
        <f t="shared" ca="1" si="109"/>
        <v>-216528005.51750475</v>
      </c>
      <c r="M1501" s="471">
        <f t="shared" si="111"/>
        <v>0.05</v>
      </c>
      <c r="N1501" s="475">
        <f t="shared" si="112"/>
        <v>96731</v>
      </c>
    </row>
    <row r="1502" spans="7:14" ht="11.25" customHeight="1" x14ac:dyDescent="0.3">
      <c r="G1502" s="470"/>
      <c r="H1502" s="470">
        <v>1495</v>
      </c>
      <c r="I1502" s="455">
        <f t="shared" ca="1" si="110"/>
        <v>-216528005.51750475</v>
      </c>
      <c r="J1502" s="455">
        <f t="array" ref="J1502">IFERROR(INDEX('Retirement Calculator'!K:K,MATCH('Lorri 401b'!N1502,'Retirement Calculator'!A:A,0),0),0)</f>
        <v>0</v>
      </c>
      <c r="K1502" s="455">
        <f t="shared" ca="1" si="108"/>
        <v>-902200.02298960299</v>
      </c>
      <c r="L1502" s="455">
        <f t="shared" ca="1" si="109"/>
        <v>-217430205.54049435</v>
      </c>
      <c r="M1502" s="471">
        <f t="shared" si="111"/>
        <v>0.05</v>
      </c>
      <c r="N1502" s="475">
        <f t="shared" si="112"/>
        <v>96761</v>
      </c>
    </row>
    <row r="1503" spans="7:14" ht="11.25" customHeight="1" x14ac:dyDescent="0.3">
      <c r="G1503" s="470"/>
      <c r="H1503" s="470">
        <v>1496</v>
      </c>
      <c r="I1503" s="455">
        <f t="shared" ca="1" si="110"/>
        <v>-217430205.54049435</v>
      </c>
      <c r="J1503" s="455">
        <f t="array" ref="J1503">IFERROR(INDEX('Retirement Calculator'!K:K,MATCH('Lorri 401b'!N1503,'Retirement Calculator'!A:A,0),0),0)</f>
        <v>0</v>
      </c>
      <c r="K1503" s="455">
        <f t="shared" ca="1" si="108"/>
        <v>-905959.18975205964</v>
      </c>
      <c r="L1503" s="455">
        <f t="shared" ca="1" si="109"/>
        <v>-218336164.73024642</v>
      </c>
      <c r="M1503" s="471">
        <f t="shared" si="111"/>
        <v>0.05</v>
      </c>
      <c r="N1503" s="475">
        <f t="shared" si="112"/>
        <v>96792</v>
      </c>
    </row>
    <row r="1504" spans="7:14" ht="11.25" customHeight="1" x14ac:dyDescent="0.3">
      <c r="G1504" s="470"/>
      <c r="H1504" s="470">
        <v>1497</v>
      </c>
      <c r="I1504" s="455">
        <f t="shared" ca="1" si="110"/>
        <v>-218336164.73024642</v>
      </c>
      <c r="J1504" s="455">
        <f t="array" ref="J1504">IFERROR(INDEX('Retirement Calculator'!K:K,MATCH('Lorri 401b'!N1504,'Retirement Calculator'!A:A,0),0),0)</f>
        <v>0</v>
      </c>
      <c r="K1504" s="455">
        <f t="shared" ca="1" si="108"/>
        <v>-909734.0197093602</v>
      </c>
      <c r="L1504" s="455">
        <f t="shared" ca="1" si="109"/>
        <v>-219245898.74995577</v>
      </c>
      <c r="M1504" s="471">
        <f t="shared" si="111"/>
        <v>0.05</v>
      </c>
      <c r="N1504" s="475">
        <f t="shared" si="112"/>
        <v>96823</v>
      </c>
    </row>
    <row r="1505" spans="7:14" ht="11.25" customHeight="1" x14ac:dyDescent="0.3">
      <c r="G1505" s="470"/>
      <c r="H1505" s="470">
        <v>1498</v>
      </c>
      <c r="I1505" s="455">
        <f t="shared" ca="1" si="110"/>
        <v>-219245898.74995577</v>
      </c>
      <c r="J1505" s="455">
        <f t="array" ref="J1505">IFERROR(INDEX('Retirement Calculator'!K:K,MATCH('Lorri 401b'!N1505,'Retirement Calculator'!A:A,0),0),0)</f>
        <v>0</v>
      </c>
      <c r="K1505" s="455">
        <f t="shared" ca="1" si="108"/>
        <v>-913524.57812481571</v>
      </c>
      <c r="L1505" s="455">
        <f t="shared" ca="1" si="109"/>
        <v>-220159423.32808059</v>
      </c>
      <c r="M1505" s="471">
        <f t="shared" si="111"/>
        <v>0.05</v>
      </c>
      <c r="N1505" s="475">
        <f t="shared" si="112"/>
        <v>96851</v>
      </c>
    </row>
    <row r="1506" spans="7:14" ht="11.25" customHeight="1" x14ac:dyDescent="0.3">
      <c r="G1506" s="470"/>
      <c r="H1506" s="470">
        <v>1499</v>
      </c>
      <c r="I1506" s="455">
        <f t="shared" ca="1" si="110"/>
        <v>-220159423.32808059</v>
      </c>
      <c r="J1506" s="455">
        <f t="array" ref="J1506">IFERROR(INDEX('Retirement Calculator'!K:K,MATCH('Lorri 401b'!N1506,'Retirement Calculator'!A:A,0),0),0)</f>
        <v>0</v>
      </c>
      <c r="K1506" s="455">
        <f t="shared" ca="1" si="108"/>
        <v>-917330.93053366931</v>
      </c>
      <c r="L1506" s="455">
        <f t="shared" ca="1" si="109"/>
        <v>-221076754.25861427</v>
      </c>
      <c r="M1506" s="471">
        <f t="shared" si="111"/>
        <v>0.05</v>
      </c>
      <c r="N1506" s="475">
        <f t="shared" si="112"/>
        <v>96882</v>
      </c>
    </row>
    <row r="1507" spans="7:14" ht="11.25" customHeight="1" x14ac:dyDescent="0.3">
      <c r="G1507" s="470"/>
      <c r="H1507" s="470">
        <v>1500</v>
      </c>
      <c r="I1507" s="455">
        <f t="shared" ca="1" si="110"/>
        <v>-221076754.25861427</v>
      </c>
      <c r="J1507" s="455">
        <f t="array" ref="J1507">IFERROR(INDEX('Retirement Calculator'!K:K,MATCH('Lorri 401b'!N1507,'Retirement Calculator'!A:A,0),0),0)</f>
        <v>0</v>
      </c>
      <c r="K1507" s="455">
        <f t="shared" ca="1" si="108"/>
        <v>-921153.14274422626</v>
      </c>
      <c r="L1507" s="455">
        <f t="shared" ca="1" si="109"/>
        <v>-221997907.40135849</v>
      </c>
      <c r="M1507" s="471">
        <f t="shared" si="111"/>
        <v>0.05</v>
      </c>
      <c r="N1507" s="475">
        <f t="shared" si="112"/>
        <v>96912</v>
      </c>
    </row>
    <row r="1508" spans="7:14" ht="11.25" customHeight="1" x14ac:dyDescent="0.3">
      <c r="G1508" s="470"/>
      <c r="H1508" s="470">
        <v>1501</v>
      </c>
      <c r="I1508" s="455">
        <f t="shared" ca="1" si="110"/>
        <v>-221997907.40135849</v>
      </c>
      <c r="J1508" s="455">
        <f t="array" ref="J1508">IFERROR(INDEX('Retirement Calculator'!K:K,MATCH('Lorri 401b'!N1508,'Retirement Calculator'!A:A,0),0),0)</f>
        <v>0</v>
      </c>
      <c r="K1508" s="455">
        <f t="shared" ca="1" si="108"/>
        <v>-924991.28083899384</v>
      </c>
      <c r="L1508" s="455">
        <f t="shared" ca="1" si="109"/>
        <v>-222922898.68219748</v>
      </c>
      <c r="M1508" s="471">
        <f t="shared" si="111"/>
        <v>0.05</v>
      </c>
      <c r="N1508" s="475">
        <f t="shared" si="112"/>
        <v>96943</v>
      </c>
    </row>
    <row r="1509" spans="7:14" ht="11.25" customHeight="1" x14ac:dyDescent="0.3">
      <c r="G1509" s="470"/>
      <c r="H1509" s="470">
        <v>1502</v>
      </c>
      <c r="I1509" s="455">
        <f t="shared" ca="1" si="110"/>
        <v>-222922898.68219748</v>
      </c>
      <c r="J1509" s="455">
        <f t="array" ref="J1509">IFERROR(INDEX('Retirement Calculator'!K:K,MATCH('Lorri 401b'!N1509,'Retirement Calculator'!A:A,0),0),0)</f>
        <v>0</v>
      </c>
      <c r="K1509" s="455">
        <f t="shared" ca="1" si="108"/>
        <v>-928845.41117582284</v>
      </c>
      <c r="L1509" s="455">
        <f t="shared" ca="1" si="109"/>
        <v>-223851744.0933733</v>
      </c>
      <c r="M1509" s="471">
        <f t="shared" si="111"/>
        <v>0.05</v>
      </c>
      <c r="N1509" s="475">
        <f t="shared" si="112"/>
        <v>96973</v>
      </c>
    </row>
    <row r="1510" spans="7:14" ht="11.25" customHeight="1" x14ac:dyDescent="0.3">
      <c r="G1510" s="470"/>
      <c r="H1510" s="470">
        <v>1503</v>
      </c>
      <c r="I1510" s="455">
        <f t="shared" ca="1" si="110"/>
        <v>-223851744.0933733</v>
      </c>
      <c r="J1510" s="455">
        <f t="array" ref="J1510">IFERROR(INDEX('Retirement Calculator'!K:K,MATCH('Lorri 401b'!N1510,'Retirement Calculator'!A:A,0),0),0)</f>
        <v>0</v>
      </c>
      <c r="K1510" s="455">
        <f t="shared" ca="1" si="108"/>
        <v>-932715.60038905544</v>
      </c>
      <c r="L1510" s="455">
        <f t="shared" ca="1" si="109"/>
        <v>-224784459.69376236</v>
      </c>
      <c r="M1510" s="471">
        <f t="shared" si="111"/>
        <v>0.05</v>
      </c>
      <c r="N1510" s="475">
        <f t="shared" si="112"/>
        <v>97004</v>
      </c>
    </row>
    <row r="1511" spans="7:14" ht="11.25" customHeight="1" x14ac:dyDescent="0.3">
      <c r="G1511" s="470"/>
      <c r="H1511" s="470">
        <v>1504</v>
      </c>
      <c r="I1511" s="455">
        <f t="shared" ca="1" si="110"/>
        <v>-224784459.69376236</v>
      </c>
      <c r="J1511" s="455">
        <f t="array" ref="J1511">IFERROR(INDEX('Retirement Calculator'!K:K,MATCH('Lorri 401b'!N1511,'Retirement Calculator'!A:A,0),0),0)</f>
        <v>0</v>
      </c>
      <c r="K1511" s="455">
        <f t="shared" ca="1" si="108"/>
        <v>-936601.91539067647</v>
      </c>
      <c r="L1511" s="455">
        <f t="shared" ca="1" si="109"/>
        <v>-225721061.60915303</v>
      </c>
      <c r="M1511" s="471">
        <f t="shared" si="111"/>
        <v>0.05</v>
      </c>
      <c r="N1511" s="475">
        <f t="shared" si="112"/>
        <v>97035</v>
      </c>
    </row>
    <row r="1512" spans="7:14" ht="11.25" customHeight="1" x14ac:dyDescent="0.3">
      <c r="G1512" s="470"/>
      <c r="H1512" s="470">
        <v>1505</v>
      </c>
      <c r="I1512" s="455">
        <f t="shared" ca="1" si="110"/>
        <v>-225721061.60915303</v>
      </c>
      <c r="J1512" s="455">
        <f t="array" ref="J1512">IFERROR(INDEX('Retirement Calculator'!K:K,MATCH('Lorri 401b'!N1512,'Retirement Calculator'!A:A,0),0),0)</f>
        <v>0</v>
      </c>
      <c r="K1512" s="455">
        <f t="shared" ca="1" si="108"/>
        <v>-940504.423371471</v>
      </c>
      <c r="L1512" s="455">
        <f t="shared" ca="1" si="109"/>
        <v>-226661566.0325245</v>
      </c>
      <c r="M1512" s="471">
        <f t="shared" si="111"/>
        <v>0.05</v>
      </c>
      <c r="N1512" s="475">
        <f t="shared" si="112"/>
        <v>97065</v>
      </c>
    </row>
    <row r="1513" spans="7:14" ht="11.25" customHeight="1" x14ac:dyDescent="0.3">
      <c r="G1513" s="470"/>
      <c r="H1513" s="470">
        <v>1506</v>
      </c>
      <c r="I1513" s="455">
        <f t="shared" ca="1" si="110"/>
        <v>-226661566.0325245</v>
      </c>
      <c r="J1513" s="455">
        <f t="array" ref="J1513">IFERROR(INDEX('Retirement Calculator'!K:K,MATCH('Lorri 401b'!N1513,'Retirement Calculator'!A:A,0),0),0)</f>
        <v>0</v>
      </c>
      <c r="K1513" s="455">
        <f t="shared" ca="1" si="108"/>
        <v>-944423.19180218526</v>
      </c>
      <c r="L1513" s="455">
        <f t="shared" ca="1" si="109"/>
        <v>-227605989.22432667</v>
      </c>
      <c r="M1513" s="471">
        <f t="shared" si="111"/>
        <v>0.05</v>
      </c>
      <c r="N1513" s="475">
        <f t="shared" si="112"/>
        <v>97096</v>
      </c>
    </row>
    <row r="1514" spans="7:14" ht="11.25" customHeight="1" x14ac:dyDescent="0.3">
      <c r="G1514" s="470"/>
      <c r="H1514" s="470">
        <v>1507</v>
      </c>
      <c r="I1514" s="455">
        <f t="shared" ca="1" si="110"/>
        <v>-227605989.22432667</v>
      </c>
      <c r="J1514" s="455">
        <f t="array" ref="J1514">IFERROR(INDEX('Retirement Calculator'!K:K,MATCH('Lorri 401b'!N1514,'Retirement Calculator'!A:A,0),0),0)</f>
        <v>0</v>
      </c>
      <c r="K1514" s="455">
        <f t="shared" ca="1" si="108"/>
        <v>-948358.28843469452</v>
      </c>
      <c r="L1514" s="455">
        <f t="shared" ca="1" si="109"/>
        <v>-228554347.51276135</v>
      </c>
      <c r="M1514" s="471">
        <f t="shared" si="111"/>
        <v>0.05</v>
      </c>
      <c r="N1514" s="475">
        <f t="shared" si="112"/>
        <v>97126</v>
      </c>
    </row>
    <row r="1515" spans="7:14" ht="11.25" customHeight="1" x14ac:dyDescent="0.3">
      <c r="G1515" s="470"/>
      <c r="H1515" s="470">
        <v>1508</v>
      </c>
      <c r="I1515" s="455">
        <f t="shared" ca="1" si="110"/>
        <v>-228554347.51276135</v>
      </c>
      <c r="J1515" s="455">
        <f t="array" ref="J1515">IFERROR(INDEX('Retirement Calculator'!K:K,MATCH('Lorri 401b'!N1515,'Retirement Calculator'!A:A,0),0),0)</f>
        <v>0</v>
      </c>
      <c r="K1515" s="455">
        <f t="shared" ca="1" si="108"/>
        <v>-952309.78130317235</v>
      </c>
      <c r="L1515" s="455">
        <f t="shared" ca="1" si="109"/>
        <v>-229506657.29406452</v>
      </c>
      <c r="M1515" s="471">
        <f t="shared" si="111"/>
        <v>0.05</v>
      </c>
      <c r="N1515" s="475">
        <f t="shared" si="112"/>
        <v>97157</v>
      </c>
    </row>
    <row r="1516" spans="7:14" ht="11.25" customHeight="1" x14ac:dyDescent="0.3">
      <c r="G1516" s="470"/>
      <c r="H1516" s="470">
        <v>1509</v>
      </c>
      <c r="I1516" s="455">
        <f t="shared" ca="1" si="110"/>
        <v>-229506657.29406452</v>
      </c>
      <c r="J1516" s="455">
        <f t="array" ref="J1516">IFERROR(INDEX('Retirement Calculator'!K:K,MATCH('Lorri 401b'!N1516,'Retirement Calculator'!A:A,0),0),0)</f>
        <v>0</v>
      </c>
      <c r="K1516" s="455">
        <f t="shared" ca="1" si="108"/>
        <v>-956277.73872526898</v>
      </c>
      <c r="L1516" s="455">
        <f t="shared" ca="1" si="109"/>
        <v>-230462935.0327898</v>
      </c>
      <c r="M1516" s="471">
        <f t="shared" si="111"/>
        <v>0.05</v>
      </c>
      <c r="N1516" s="475">
        <f t="shared" si="112"/>
        <v>97188</v>
      </c>
    </row>
    <row r="1517" spans="7:14" ht="11.25" customHeight="1" x14ac:dyDescent="0.3">
      <c r="G1517" s="470"/>
      <c r="H1517" s="470">
        <v>1510</v>
      </c>
      <c r="I1517" s="455">
        <f t="shared" ca="1" si="110"/>
        <v>-230462935.0327898</v>
      </c>
      <c r="J1517" s="455">
        <f t="array" ref="J1517">IFERROR(INDEX('Retirement Calculator'!K:K,MATCH('Lorri 401b'!N1517,'Retirement Calculator'!A:A,0),0),0)</f>
        <v>0</v>
      </c>
      <c r="K1517" s="455">
        <f t="shared" ca="1" si="108"/>
        <v>-960262.22930329083</v>
      </c>
      <c r="L1517" s="455">
        <f t="shared" ca="1" si="109"/>
        <v>-231423197.2620931</v>
      </c>
      <c r="M1517" s="471">
        <f t="shared" si="111"/>
        <v>0.05</v>
      </c>
      <c r="N1517" s="475">
        <f t="shared" si="112"/>
        <v>97216</v>
      </c>
    </row>
    <row r="1518" spans="7:14" ht="11.25" customHeight="1" x14ac:dyDescent="0.3">
      <c r="G1518" s="470"/>
      <c r="H1518" s="470">
        <v>1511</v>
      </c>
      <c r="I1518" s="455">
        <f t="shared" ca="1" si="110"/>
        <v>-231423197.2620931</v>
      </c>
      <c r="J1518" s="455">
        <f t="array" ref="J1518">IFERROR(INDEX('Retirement Calculator'!K:K,MATCH('Lorri 401b'!N1518,'Retirement Calculator'!A:A,0),0),0)</f>
        <v>0</v>
      </c>
      <c r="K1518" s="455">
        <f t="shared" ca="1" si="108"/>
        <v>-964263.32192538807</v>
      </c>
      <c r="L1518" s="455">
        <f t="shared" ca="1" si="109"/>
        <v>-232387460.5840185</v>
      </c>
      <c r="M1518" s="471">
        <f t="shared" si="111"/>
        <v>0.05</v>
      </c>
      <c r="N1518" s="475">
        <f t="shared" si="112"/>
        <v>97247</v>
      </c>
    </row>
    <row r="1519" spans="7:14" ht="11.25" customHeight="1" x14ac:dyDescent="0.3">
      <c r="G1519" s="470"/>
      <c r="H1519" s="470">
        <v>1512</v>
      </c>
      <c r="I1519" s="455">
        <f t="shared" ca="1" si="110"/>
        <v>-232387460.5840185</v>
      </c>
      <c r="J1519" s="455">
        <f t="array" ref="J1519">IFERROR(INDEX('Retirement Calculator'!K:K,MATCH('Lorri 401b'!N1519,'Retirement Calculator'!A:A,0),0),0)</f>
        <v>0</v>
      </c>
      <c r="K1519" s="455">
        <f t="shared" ca="1" si="108"/>
        <v>-968281.08576674375</v>
      </c>
      <c r="L1519" s="455">
        <f t="shared" ca="1" si="109"/>
        <v>-233355741.66978523</v>
      </c>
      <c r="M1519" s="471">
        <f t="shared" si="111"/>
        <v>0.05</v>
      </c>
      <c r="N1519" s="475">
        <f t="shared" si="112"/>
        <v>97277</v>
      </c>
    </row>
    <row r="1520" spans="7:14" ht="11.25" customHeight="1" x14ac:dyDescent="0.3">
      <c r="G1520" s="470"/>
      <c r="H1520" s="470">
        <v>1513</v>
      </c>
      <c r="I1520" s="455">
        <f t="shared" ca="1" si="110"/>
        <v>-233355741.66978523</v>
      </c>
      <c r="J1520" s="455">
        <f t="array" ref="J1520">IFERROR(INDEX('Retirement Calculator'!K:K,MATCH('Lorri 401b'!N1520,'Retirement Calculator'!A:A,0),0),0)</f>
        <v>0</v>
      </c>
      <c r="K1520" s="455">
        <f t="shared" ca="1" si="108"/>
        <v>-972315.5902907718</v>
      </c>
      <c r="L1520" s="455">
        <f t="shared" ca="1" si="109"/>
        <v>-234328057.26007602</v>
      </c>
      <c r="M1520" s="471">
        <f t="shared" si="111"/>
        <v>0.05</v>
      </c>
      <c r="N1520" s="475">
        <f t="shared" si="112"/>
        <v>97308</v>
      </c>
    </row>
    <row r="1521" spans="7:14" ht="11.25" customHeight="1" x14ac:dyDescent="0.3">
      <c r="G1521" s="470"/>
      <c r="H1521" s="470">
        <v>1514</v>
      </c>
      <c r="I1521" s="455">
        <f t="shared" ca="1" si="110"/>
        <v>-234328057.26007602</v>
      </c>
      <c r="J1521" s="455">
        <f t="array" ref="J1521">IFERROR(INDEX('Retirement Calculator'!K:K,MATCH('Lorri 401b'!N1521,'Retirement Calculator'!A:A,0),0),0)</f>
        <v>0</v>
      </c>
      <c r="K1521" s="455">
        <f t="shared" ca="1" si="108"/>
        <v>-976366.90525031672</v>
      </c>
      <c r="L1521" s="455">
        <f t="shared" ca="1" si="109"/>
        <v>-235304424.16532633</v>
      </c>
      <c r="M1521" s="471">
        <f t="shared" si="111"/>
        <v>0.05</v>
      </c>
      <c r="N1521" s="475">
        <f t="shared" si="112"/>
        <v>97338</v>
      </c>
    </row>
    <row r="1522" spans="7:14" ht="11.25" customHeight="1" x14ac:dyDescent="0.3">
      <c r="G1522" s="470"/>
      <c r="H1522" s="470">
        <v>1515</v>
      </c>
      <c r="I1522" s="455">
        <f t="shared" ca="1" si="110"/>
        <v>-235304424.16532633</v>
      </c>
      <c r="J1522" s="455">
        <f t="array" ref="J1522">IFERROR(INDEX('Retirement Calculator'!K:K,MATCH('Lorri 401b'!N1522,'Retirement Calculator'!A:A,0),0),0)</f>
        <v>0</v>
      </c>
      <c r="K1522" s="455">
        <f t="shared" ca="1" si="108"/>
        <v>-980435.1006888597</v>
      </c>
      <c r="L1522" s="455">
        <f t="shared" ca="1" si="109"/>
        <v>-236284859.26601517</v>
      </c>
      <c r="M1522" s="471">
        <f t="shared" si="111"/>
        <v>0.05</v>
      </c>
      <c r="N1522" s="475">
        <f t="shared" si="112"/>
        <v>97369</v>
      </c>
    </row>
    <row r="1523" spans="7:14" ht="11.25" customHeight="1" x14ac:dyDescent="0.3">
      <c r="G1523" s="470"/>
      <c r="H1523" s="470">
        <v>1516</v>
      </c>
      <c r="I1523" s="455">
        <f t="shared" ca="1" si="110"/>
        <v>-236284859.26601517</v>
      </c>
      <c r="J1523" s="455">
        <f t="array" ref="J1523">IFERROR(INDEX('Retirement Calculator'!K:K,MATCH('Lorri 401b'!N1523,'Retirement Calculator'!A:A,0),0),0)</f>
        <v>0</v>
      </c>
      <c r="K1523" s="455">
        <f t="shared" ca="1" si="108"/>
        <v>-984520.24694172991</v>
      </c>
      <c r="L1523" s="455">
        <f t="shared" ca="1" si="109"/>
        <v>-237269379.51295689</v>
      </c>
      <c r="M1523" s="471">
        <f t="shared" si="111"/>
        <v>0.05</v>
      </c>
      <c r="N1523" s="475">
        <f t="shared" si="112"/>
        <v>97400</v>
      </c>
    </row>
    <row r="1524" spans="7:14" ht="11.25" customHeight="1" x14ac:dyDescent="0.3">
      <c r="G1524" s="470"/>
      <c r="H1524" s="470">
        <v>1517</v>
      </c>
      <c r="I1524" s="455">
        <f t="shared" ca="1" si="110"/>
        <v>-237269379.51295689</v>
      </c>
      <c r="J1524" s="455">
        <f t="array" ref="J1524">IFERROR(INDEX('Retirement Calculator'!K:K,MATCH('Lorri 401b'!N1524,'Retirement Calculator'!A:A,0),0),0)</f>
        <v>0</v>
      </c>
      <c r="K1524" s="455">
        <f t="shared" ca="1" si="108"/>
        <v>-988622.41463732044</v>
      </c>
      <c r="L1524" s="455">
        <f t="shared" ca="1" si="109"/>
        <v>-238258001.92759421</v>
      </c>
      <c r="M1524" s="471">
        <f t="shared" si="111"/>
        <v>0.05</v>
      </c>
      <c r="N1524" s="475">
        <f t="shared" si="112"/>
        <v>97430</v>
      </c>
    </row>
    <row r="1525" spans="7:14" ht="11.25" customHeight="1" x14ac:dyDescent="0.3">
      <c r="G1525" s="470"/>
      <c r="H1525" s="470">
        <v>1518</v>
      </c>
      <c r="I1525" s="455">
        <f t="shared" ca="1" si="110"/>
        <v>-238258001.92759421</v>
      </c>
      <c r="J1525" s="455">
        <f t="array" ref="J1525">IFERROR(INDEX('Retirement Calculator'!K:K,MATCH('Lorri 401b'!N1525,'Retirement Calculator'!A:A,0),0),0)</f>
        <v>0</v>
      </c>
      <c r="K1525" s="455">
        <f t="shared" ca="1" si="108"/>
        <v>-992741.67469830916</v>
      </c>
      <c r="L1525" s="455">
        <f t="shared" ca="1" si="109"/>
        <v>-239250743.60229254</v>
      </c>
      <c r="M1525" s="471">
        <f t="shared" si="111"/>
        <v>0.05</v>
      </c>
      <c r="N1525" s="475">
        <f t="shared" si="112"/>
        <v>97461</v>
      </c>
    </row>
    <row r="1526" spans="7:14" ht="11.25" customHeight="1" x14ac:dyDescent="0.3">
      <c r="G1526" s="470"/>
      <c r="H1526" s="470">
        <v>1519</v>
      </c>
      <c r="I1526" s="455">
        <f t="shared" ca="1" si="110"/>
        <v>-239250743.60229254</v>
      </c>
      <c r="J1526" s="455">
        <f t="array" ref="J1526">IFERROR(INDEX('Retirement Calculator'!K:K,MATCH('Lorri 401b'!N1526,'Retirement Calculator'!A:A,0),0),0)</f>
        <v>0</v>
      </c>
      <c r="K1526" s="455">
        <f t="shared" ca="1" si="108"/>
        <v>-996878.09834288561</v>
      </c>
      <c r="L1526" s="455">
        <f t="shared" ca="1" si="109"/>
        <v>-240247621.70063543</v>
      </c>
      <c r="M1526" s="471">
        <f t="shared" si="111"/>
        <v>0.05</v>
      </c>
      <c r="N1526" s="475">
        <f t="shared" si="112"/>
        <v>97491</v>
      </c>
    </row>
    <row r="1527" spans="7:14" ht="11.25" customHeight="1" x14ac:dyDescent="0.3">
      <c r="G1527" s="470"/>
      <c r="H1527" s="470">
        <v>1520</v>
      </c>
      <c r="I1527" s="455">
        <f t="shared" ca="1" si="110"/>
        <v>-240247621.70063543</v>
      </c>
      <c r="J1527" s="455">
        <f t="array" ref="J1527">IFERROR(INDEX('Retirement Calculator'!K:K,MATCH('Lorri 401b'!N1527,'Retirement Calculator'!A:A,0),0),0)</f>
        <v>0</v>
      </c>
      <c r="K1527" s="455">
        <f t="shared" ca="1" si="108"/>
        <v>-1001031.757085981</v>
      </c>
      <c r="L1527" s="455">
        <f t="shared" ca="1" si="109"/>
        <v>-241248653.45772141</v>
      </c>
      <c r="M1527" s="471">
        <f t="shared" si="111"/>
        <v>0.05</v>
      </c>
      <c r="N1527" s="475">
        <f t="shared" si="112"/>
        <v>97522</v>
      </c>
    </row>
    <row r="1528" spans="7:14" ht="11.25" customHeight="1" x14ac:dyDescent="0.3">
      <c r="G1528" s="470"/>
      <c r="H1528" s="470">
        <v>1521</v>
      </c>
      <c r="I1528" s="455">
        <f t="shared" ca="1" si="110"/>
        <v>-241248653.45772141</v>
      </c>
      <c r="J1528" s="455">
        <f t="array" ref="J1528">IFERROR(INDEX('Retirement Calculator'!K:K,MATCH('Lorri 401b'!N1528,'Retirement Calculator'!A:A,0),0),0)</f>
        <v>0</v>
      </c>
      <c r="K1528" s="455">
        <f t="shared" ca="1" si="108"/>
        <v>-1005202.7227405058</v>
      </c>
      <c r="L1528" s="455">
        <f t="shared" ca="1" si="109"/>
        <v>-242253856.18046191</v>
      </c>
      <c r="M1528" s="471">
        <f t="shared" si="111"/>
        <v>0.05</v>
      </c>
      <c r="N1528" s="475">
        <f t="shared" si="112"/>
        <v>97553</v>
      </c>
    </row>
    <row r="1529" spans="7:14" ht="11.25" customHeight="1" x14ac:dyDescent="0.3">
      <c r="G1529" s="470"/>
      <c r="H1529" s="470">
        <v>1522</v>
      </c>
      <c r="I1529" s="455">
        <f t="shared" ca="1" si="110"/>
        <v>-242253856.18046191</v>
      </c>
      <c r="J1529" s="455">
        <f t="array" ref="J1529">IFERROR(INDEX('Retirement Calculator'!K:K,MATCH('Lorri 401b'!N1529,'Retirement Calculator'!A:A,0),0),0)</f>
        <v>0</v>
      </c>
      <c r="K1529" s="455">
        <f t="shared" ca="1" si="108"/>
        <v>-1009391.0674185912</v>
      </c>
      <c r="L1529" s="455">
        <f t="shared" ca="1" si="109"/>
        <v>-243263247.24788052</v>
      </c>
      <c r="M1529" s="471">
        <f t="shared" si="111"/>
        <v>0.05</v>
      </c>
      <c r="N1529" s="475">
        <f t="shared" si="112"/>
        <v>97581</v>
      </c>
    </row>
    <row r="1530" spans="7:14" ht="11.25" customHeight="1" x14ac:dyDescent="0.3">
      <c r="G1530" s="470"/>
      <c r="H1530" s="470">
        <v>1523</v>
      </c>
      <c r="I1530" s="455">
        <f t="shared" ca="1" si="110"/>
        <v>-243263247.24788052</v>
      </c>
      <c r="J1530" s="455">
        <f t="array" ref="J1530">IFERROR(INDEX('Retirement Calculator'!K:K,MATCH('Lorri 401b'!N1530,'Retirement Calculator'!A:A,0),0),0)</f>
        <v>0</v>
      </c>
      <c r="K1530" s="455">
        <f t="shared" ca="1" si="108"/>
        <v>-1013596.8635328356</v>
      </c>
      <c r="L1530" s="455">
        <f t="shared" ca="1" si="109"/>
        <v>-244276844.11141336</v>
      </c>
      <c r="M1530" s="471">
        <f t="shared" si="111"/>
        <v>0.05</v>
      </c>
      <c r="N1530" s="475">
        <f t="shared" si="112"/>
        <v>97612</v>
      </c>
    </row>
    <row r="1531" spans="7:14" ht="11.25" customHeight="1" x14ac:dyDescent="0.3">
      <c r="G1531" s="470"/>
      <c r="H1531" s="470">
        <v>1524</v>
      </c>
      <c r="I1531" s="455">
        <f t="shared" ca="1" si="110"/>
        <v>-244276844.11141336</v>
      </c>
      <c r="J1531" s="455">
        <f t="array" ref="J1531">IFERROR(INDEX('Retirement Calculator'!K:K,MATCH('Lorri 401b'!N1531,'Retirement Calculator'!A:A,0),0),0)</f>
        <v>0</v>
      </c>
      <c r="K1531" s="455">
        <f t="shared" ca="1" si="108"/>
        <v>-1017820.1837975557</v>
      </c>
      <c r="L1531" s="455">
        <f t="shared" ca="1" si="109"/>
        <v>-245294664.29521093</v>
      </c>
      <c r="M1531" s="471">
        <f t="shared" si="111"/>
        <v>0.05</v>
      </c>
      <c r="N1531" s="475">
        <f t="shared" si="112"/>
        <v>97642</v>
      </c>
    </row>
    <row r="1532" spans="7:14" ht="11.25" customHeight="1" x14ac:dyDescent="0.3">
      <c r="G1532" s="470"/>
      <c r="H1532" s="470">
        <v>1525</v>
      </c>
      <c r="I1532" s="455">
        <f t="shared" ca="1" si="110"/>
        <v>-245294664.29521093</v>
      </c>
      <c r="J1532" s="455">
        <f t="array" ref="J1532">IFERROR(INDEX('Retirement Calculator'!K:K,MATCH('Lorri 401b'!N1532,'Retirement Calculator'!A:A,0),0),0)</f>
        <v>0</v>
      </c>
      <c r="K1532" s="455">
        <f t="shared" ca="1" si="108"/>
        <v>-1022061.1012300455</v>
      </c>
      <c r="L1532" s="455">
        <f t="shared" ca="1" si="109"/>
        <v>-246316725.39644098</v>
      </c>
      <c r="M1532" s="471">
        <f t="shared" si="111"/>
        <v>0.05</v>
      </c>
      <c r="N1532" s="475">
        <f t="shared" si="112"/>
        <v>97673</v>
      </c>
    </row>
    <row r="1533" spans="7:14" ht="11.25" customHeight="1" x14ac:dyDescent="0.3">
      <c r="G1533" s="470"/>
      <c r="H1533" s="470">
        <v>1526</v>
      </c>
      <c r="I1533" s="455">
        <f t="shared" ca="1" si="110"/>
        <v>-246316725.39644098</v>
      </c>
      <c r="J1533" s="455">
        <f t="array" ref="J1533">IFERROR(INDEX('Retirement Calculator'!K:K,MATCH('Lorri 401b'!N1533,'Retirement Calculator'!A:A,0),0),0)</f>
        <v>0</v>
      </c>
      <c r="K1533" s="455">
        <f t="shared" ca="1" si="108"/>
        <v>-1026319.6891518373</v>
      </c>
      <c r="L1533" s="455">
        <f t="shared" ca="1" si="109"/>
        <v>-247343045.08559281</v>
      </c>
      <c r="M1533" s="471">
        <f t="shared" si="111"/>
        <v>0.05</v>
      </c>
      <c r="N1533" s="475">
        <f t="shared" si="112"/>
        <v>97703</v>
      </c>
    </row>
    <row r="1534" spans="7:14" ht="11.25" customHeight="1" x14ac:dyDescent="0.3">
      <c r="G1534" s="470"/>
      <c r="H1534" s="470">
        <v>1527</v>
      </c>
      <c r="I1534" s="455">
        <f t="shared" ca="1" si="110"/>
        <v>-247343045.08559281</v>
      </c>
      <c r="J1534" s="455">
        <f t="array" ref="J1534">IFERROR(INDEX('Retirement Calculator'!K:K,MATCH('Lorri 401b'!N1534,'Retirement Calculator'!A:A,0),0),0)</f>
        <v>0</v>
      </c>
      <c r="K1534" s="455">
        <f t="shared" ca="1" si="108"/>
        <v>-1030596.02118997</v>
      </c>
      <c r="L1534" s="455">
        <f t="shared" ca="1" si="109"/>
        <v>-248373641.10678276</v>
      </c>
      <c r="M1534" s="471">
        <f t="shared" si="111"/>
        <v>0.05</v>
      </c>
      <c r="N1534" s="475">
        <f t="shared" si="112"/>
        <v>97734</v>
      </c>
    </row>
    <row r="1535" spans="7:14" ht="11.25" customHeight="1" x14ac:dyDescent="0.3">
      <c r="G1535" s="470"/>
      <c r="H1535" s="470">
        <v>1528</v>
      </c>
      <c r="I1535" s="455">
        <f t="shared" ca="1" si="110"/>
        <v>-248373641.10678276</v>
      </c>
      <c r="J1535" s="455">
        <f t="array" ref="J1535">IFERROR(INDEX('Retirement Calculator'!K:K,MATCH('Lorri 401b'!N1535,'Retirement Calculator'!A:A,0),0),0)</f>
        <v>0</v>
      </c>
      <c r="K1535" s="455">
        <f t="shared" ca="1" si="108"/>
        <v>-1034890.1712782615</v>
      </c>
      <c r="L1535" s="455">
        <f t="shared" ca="1" si="109"/>
        <v>-249408531.27806103</v>
      </c>
      <c r="M1535" s="471">
        <f t="shared" si="111"/>
        <v>0.05</v>
      </c>
      <c r="N1535" s="475">
        <f t="shared" si="112"/>
        <v>97765</v>
      </c>
    </row>
    <row r="1536" spans="7:14" ht="11.25" customHeight="1" x14ac:dyDescent="0.3">
      <c r="G1536" s="470"/>
      <c r="H1536" s="470">
        <v>1529</v>
      </c>
      <c r="I1536" s="455">
        <f t="shared" ca="1" si="110"/>
        <v>-249408531.27806103</v>
      </c>
      <c r="J1536" s="455">
        <f t="array" ref="J1536">IFERROR(INDEX('Retirement Calculator'!K:K,MATCH('Lorri 401b'!N1536,'Retirement Calculator'!A:A,0),0),0)</f>
        <v>0</v>
      </c>
      <c r="K1536" s="455">
        <f t="shared" ca="1" si="108"/>
        <v>-1039202.2136585877</v>
      </c>
      <c r="L1536" s="455">
        <f t="shared" ca="1" si="109"/>
        <v>-250447733.49171963</v>
      </c>
      <c r="M1536" s="471">
        <f t="shared" si="111"/>
        <v>0.05</v>
      </c>
      <c r="N1536" s="475">
        <f t="shared" si="112"/>
        <v>97795</v>
      </c>
    </row>
    <row r="1537" spans="7:14" ht="11.25" customHeight="1" x14ac:dyDescent="0.3">
      <c r="G1537" s="470"/>
      <c r="H1537" s="470">
        <v>1530</v>
      </c>
      <c r="I1537" s="455">
        <f t="shared" ca="1" si="110"/>
        <v>-250447733.49171963</v>
      </c>
      <c r="J1537" s="455">
        <f t="array" ref="J1537">IFERROR(INDEX('Retirement Calculator'!K:K,MATCH('Lorri 401b'!N1537,'Retirement Calculator'!A:A,0),0),0)</f>
        <v>0</v>
      </c>
      <c r="K1537" s="455">
        <f t="shared" ca="1" si="108"/>
        <v>-1043532.2228821652</v>
      </c>
      <c r="L1537" s="455">
        <f t="shared" ca="1" si="109"/>
        <v>-251491265.71460178</v>
      </c>
      <c r="M1537" s="471">
        <f t="shared" si="111"/>
        <v>0.05</v>
      </c>
      <c r="N1537" s="475">
        <f t="shared" si="112"/>
        <v>97826</v>
      </c>
    </row>
    <row r="1538" spans="7:14" ht="11.25" customHeight="1" x14ac:dyDescent="0.3">
      <c r="G1538" s="470"/>
      <c r="H1538" s="470">
        <v>1531</v>
      </c>
      <c r="I1538" s="455">
        <f t="shared" ca="1" si="110"/>
        <v>-251491265.71460178</v>
      </c>
      <c r="J1538" s="455">
        <f t="array" ref="J1538">IFERROR(INDEX('Retirement Calculator'!K:K,MATCH('Lorri 401b'!N1538,'Retirement Calculator'!A:A,0),0),0)</f>
        <v>0</v>
      </c>
      <c r="K1538" s="455">
        <f t="shared" ref="K1538:K1792" ca="1" si="113">IPMT(M1538/12,1,12,-I1538+J1538,,0)</f>
        <v>-1047880.2738108408</v>
      </c>
      <c r="L1538" s="455">
        <f t="shared" ref="L1538:L1792" ca="1" si="114">I1538-J1538+K1538</f>
        <v>-252539145.98841262</v>
      </c>
      <c r="M1538" s="471">
        <f t="shared" si="111"/>
        <v>0.05</v>
      </c>
      <c r="N1538" s="475">
        <f t="shared" si="112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15">L1538</f>
        <v>-252539145.98841262</v>
      </c>
      <c r="J1539" s="455">
        <f t="array" ref="J1539">IFERROR(INDEX('Retirement Calculator'!K:K,MATCH('Lorri 401b'!N1539,'Retirement Calculator'!A:A,0),0),0)</f>
        <v>0</v>
      </c>
      <c r="K1539" s="455">
        <f t="shared" ca="1" si="113"/>
        <v>-1052246.441618386</v>
      </c>
      <c r="L1539" s="455">
        <f t="shared" ca="1" si="114"/>
        <v>-253591392.430031</v>
      </c>
      <c r="M1539" s="471">
        <f t="shared" ref="M1539:M1793" si="116">M1538</f>
        <v>0.05</v>
      </c>
      <c r="N1539" s="475">
        <f t="shared" ref="N1539:N1793" si="117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15"/>
        <v>-253591392.430031</v>
      </c>
      <c r="J1540" s="455">
        <f t="array" ref="J1540">IFERROR(INDEX('Retirement Calculator'!K:K,MATCH('Lorri 401b'!N1540,'Retirement Calculator'!A:A,0),0),0)</f>
        <v>0</v>
      </c>
      <c r="K1540" s="455">
        <f t="shared" ca="1" si="113"/>
        <v>-1056630.8017917958</v>
      </c>
      <c r="L1540" s="455">
        <f t="shared" ca="1" si="114"/>
        <v>-254648023.23182279</v>
      </c>
      <c r="M1540" s="471">
        <f t="shared" si="116"/>
        <v>0.05</v>
      </c>
      <c r="N1540" s="475">
        <f t="shared" si="117"/>
        <v>97918</v>
      </c>
    </row>
    <row r="1541" spans="7:14" ht="11.25" customHeight="1" x14ac:dyDescent="0.3">
      <c r="G1541" s="470"/>
      <c r="H1541" s="470">
        <v>1534</v>
      </c>
      <c r="I1541" s="455">
        <f t="shared" ca="1" si="115"/>
        <v>-254648023.23182279</v>
      </c>
      <c r="J1541" s="455">
        <f t="array" ref="J1541">IFERROR(INDEX('Retirement Calculator'!K:K,MATCH('Lorri 401b'!N1541,'Retirement Calculator'!A:A,0),0),0)</f>
        <v>0</v>
      </c>
      <c r="K1541" s="455">
        <f t="shared" ca="1" si="113"/>
        <v>-1061033.4301325949</v>
      </c>
      <c r="L1541" s="455">
        <f t="shared" ca="1" si="114"/>
        <v>-255709056.66195539</v>
      </c>
      <c r="M1541" s="471">
        <f t="shared" si="116"/>
        <v>0.05</v>
      </c>
      <c r="N1541" s="475">
        <f t="shared" si="117"/>
        <v>97947</v>
      </c>
    </row>
    <row r="1542" spans="7:14" ht="11.25" customHeight="1" x14ac:dyDescent="0.3">
      <c r="G1542" s="470"/>
      <c r="H1542" s="470">
        <v>1535</v>
      </c>
      <c r="I1542" s="455">
        <f t="shared" ca="1" si="115"/>
        <v>-255709056.66195539</v>
      </c>
      <c r="J1542" s="455">
        <f t="array" ref="J1542">IFERROR(INDEX('Retirement Calculator'!K:K,MATCH('Lorri 401b'!N1542,'Retirement Calculator'!A:A,0),0),0)</f>
        <v>0</v>
      </c>
      <c r="K1542" s="455">
        <f t="shared" ca="1" si="113"/>
        <v>-1065454.4027581473</v>
      </c>
      <c r="L1542" s="455">
        <f t="shared" ca="1" si="114"/>
        <v>-256774511.06471354</v>
      </c>
      <c r="M1542" s="471">
        <f t="shared" si="116"/>
        <v>0.05</v>
      </c>
      <c r="N1542" s="475">
        <f t="shared" si="117"/>
        <v>97978</v>
      </c>
    </row>
    <row r="1543" spans="7:14" ht="11.25" customHeight="1" x14ac:dyDescent="0.3">
      <c r="G1543" s="470"/>
      <c r="H1543" s="470">
        <v>1536</v>
      </c>
      <c r="I1543" s="455">
        <f t="shared" ca="1" si="115"/>
        <v>-256774511.06471354</v>
      </c>
      <c r="J1543" s="455">
        <f t="array" ref="J1543">IFERROR(INDEX('Retirement Calculator'!K:K,MATCH('Lorri 401b'!N1543,'Retirement Calculator'!A:A,0),0),0)</f>
        <v>0</v>
      </c>
      <c r="K1543" s="455">
        <f t="shared" ca="1" si="113"/>
        <v>-1069893.7961029732</v>
      </c>
      <c r="L1543" s="455">
        <f t="shared" ca="1" si="114"/>
        <v>-257844404.86081651</v>
      </c>
      <c r="M1543" s="471">
        <f t="shared" si="116"/>
        <v>0.05</v>
      </c>
      <c r="N1543" s="475">
        <f t="shared" si="117"/>
        <v>98008</v>
      </c>
    </row>
    <row r="1544" spans="7:14" ht="11.25" customHeight="1" x14ac:dyDescent="0.3">
      <c r="G1544" s="470"/>
      <c r="H1544" s="470">
        <v>1537</v>
      </c>
      <c r="I1544" s="455">
        <f t="shared" ca="1" si="115"/>
        <v>-257844404.86081651</v>
      </c>
      <c r="J1544" s="455">
        <f t="array" ref="J1544">IFERROR(INDEX('Retirement Calculator'!K:K,MATCH('Lorri 401b'!N1544,'Retirement Calculator'!A:A,0),0),0)</f>
        <v>0</v>
      </c>
      <c r="K1544" s="455">
        <f t="shared" ca="1" si="113"/>
        <v>-1074351.6869200687</v>
      </c>
      <c r="L1544" s="455">
        <f t="shared" ca="1" si="114"/>
        <v>-258918756.54773659</v>
      </c>
      <c r="M1544" s="471">
        <f t="shared" si="116"/>
        <v>0.05</v>
      </c>
      <c r="N1544" s="475">
        <f t="shared" si="117"/>
        <v>98039</v>
      </c>
    </row>
    <row r="1545" spans="7:14" ht="11.25" customHeight="1" x14ac:dyDescent="0.3">
      <c r="G1545" s="470"/>
      <c r="H1545" s="470">
        <v>1538</v>
      </c>
      <c r="I1545" s="455">
        <f t="shared" ca="1" si="115"/>
        <v>-258918756.54773659</v>
      </c>
      <c r="J1545" s="455">
        <f t="array" ref="J1545">IFERROR(INDEX('Retirement Calculator'!K:K,MATCH('Lorri 401b'!N1545,'Retirement Calculator'!A:A,0),0),0)</f>
        <v>0</v>
      </c>
      <c r="K1545" s="455">
        <f t="shared" ca="1" si="113"/>
        <v>-1078828.1522822357</v>
      </c>
      <c r="L1545" s="455">
        <f t="shared" ca="1" si="114"/>
        <v>-259997584.70001882</v>
      </c>
      <c r="M1545" s="471">
        <f t="shared" si="116"/>
        <v>0.05</v>
      </c>
      <c r="N1545" s="475">
        <f t="shared" si="117"/>
        <v>98069</v>
      </c>
    </row>
    <row r="1546" spans="7:14" ht="11.25" customHeight="1" x14ac:dyDescent="0.3">
      <c r="G1546" s="470"/>
      <c r="H1546" s="470">
        <v>1539</v>
      </c>
      <c r="I1546" s="455">
        <f t="shared" ca="1" si="115"/>
        <v>-259997584.70001882</v>
      </c>
      <c r="J1546" s="455">
        <f t="array" ref="J1546">IFERROR(INDEX('Retirement Calculator'!K:K,MATCH('Lorri 401b'!N1546,'Retirement Calculator'!A:A,0),0),0)</f>
        <v>0</v>
      </c>
      <c r="K1546" s="455">
        <f t="shared" ca="1" si="113"/>
        <v>-1083323.2695834117</v>
      </c>
      <c r="L1546" s="455">
        <f t="shared" ca="1" si="114"/>
        <v>-261080907.96960223</v>
      </c>
      <c r="M1546" s="471">
        <f t="shared" si="116"/>
        <v>0.05</v>
      </c>
      <c r="N1546" s="475">
        <f t="shared" si="117"/>
        <v>98100</v>
      </c>
    </row>
    <row r="1547" spans="7:14" ht="11.25" customHeight="1" x14ac:dyDescent="0.3">
      <c r="G1547" s="470"/>
      <c r="H1547" s="470">
        <v>1540</v>
      </c>
      <c r="I1547" s="455">
        <f t="shared" ca="1" si="115"/>
        <v>-261080907.96960223</v>
      </c>
      <c r="J1547" s="455">
        <f t="array" ref="J1547">IFERROR(INDEX('Retirement Calculator'!K:K,MATCH('Lorri 401b'!N1547,'Retirement Calculator'!A:A,0),0),0)</f>
        <v>0</v>
      </c>
      <c r="K1547" s="455">
        <f t="shared" ca="1" si="113"/>
        <v>-1087837.1165400094</v>
      </c>
      <c r="L1547" s="455">
        <f t="shared" ca="1" si="114"/>
        <v>-262168745.08614224</v>
      </c>
      <c r="M1547" s="471">
        <f t="shared" si="116"/>
        <v>0.05</v>
      </c>
      <c r="N1547" s="475">
        <f t="shared" si="117"/>
        <v>98131</v>
      </c>
    </row>
    <row r="1548" spans="7:14" ht="11.25" customHeight="1" x14ac:dyDescent="0.3">
      <c r="G1548" s="470"/>
      <c r="H1548" s="470">
        <v>1541</v>
      </c>
      <c r="I1548" s="455">
        <f t="shared" ca="1" si="115"/>
        <v>-262168745.08614224</v>
      </c>
      <c r="J1548" s="455">
        <f t="array" ref="J1548">IFERROR(INDEX('Retirement Calculator'!K:K,MATCH('Lorri 401b'!N1548,'Retirement Calculator'!A:A,0),0),0)</f>
        <v>0</v>
      </c>
      <c r="K1548" s="455">
        <f t="shared" ca="1" si="113"/>
        <v>-1092369.7711922592</v>
      </c>
      <c r="L1548" s="455">
        <f t="shared" ca="1" si="114"/>
        <v>-263261114.85733449</v>
      </c>
      <c r="M1548" s="471">
        <f t="shared" si="116"/>
        <v>0.05</v>
      </c>
      <c r="N1548" s="475">
        <f t="shared" si="117"/>
        <v>98161</v>
      </c>
    </row>
    <row r="1549" spans="7:14" ht="11.25" customHeight="1" x14ac:dyDescent="0.3">
      <c r="G1549" s="470"/>
      <c r="H1549" s="470">
        <v>1542</v>
      </c>
      <c r="I1549" s="455">
        <f t="shared" ca="1" si="115"/>
        <v>-263261114.85733449</v>
      </c>
      <c r="J1549" s="455">
        <f t="array" ref="J1549">IFERROR(INDEX('Retirement Calculator'!K:K,MATCH('Lorri 401b'!N1549,'Retirement Calculator'!A:A,0),0),0)</f>
        <v>0</v>
      </c>
      <c r="K1549" s="455">
        <f t="shared" ca="1" si="113"/>
        <v>-1096921.3119055603</v>
      </c>
      <c r="L1549" s="455">
        <f t="shared" ca="1" si="114"/>
        <v>-264358036.16924006</v>
      </c>
      <c r="M1549" s="471">
        <f t="shared" si="116"/>
        <v>0.05</v>
      </c>
      <c r="N1549" s="475">
        <f t="shared" si="117"/>
        <v>98192</v>
      </c>
    </row>
    <row r="1550" spans="7:14" ht="11.25" customHeight="1" x14ac:dyDescent="0.3">
      <c r="G1550" s="470"/>
      <c r="H1550" s="470">
        <v>1543</v>
      </c>
      <c r="I1550" s="455">
        <f t="shared" ca="1" si="115"/>
        <v>-264358036.16924006</v>
      </c>
      <c r="J1550" s="455">
        <f t="array" ref="J1550">IFERROR(INDEX('Retirement Calculator'!K:K,MATCH('Lorri 401b'!N1550,'Retirement Calculator'!A:A,0),0),0)</f>
        <v>0</v>
      </c>
      <c r="K1550" s="455">
        <f t="shared" ca="1" si="113"/>
        <v>-1101491.8173718336</v>
      </c>
      <c r="L1550" s="455">
        <f t="shared" ca="1" si="114"/>
        <v>-265459527.9866119</v>
      </c>
      <c r="M1550" s="471">
        <f t="shared" si="116"/>
        <v>0.05</v>
      </c>
      <c r="N1550" s="475">
        <f t="shared" si="117"/>
        <v>98222</v>
      </c>
    </row>
    <row r="1551" spans="7:14" ht="11.25" customHeight="1" x14ac:dyDescent="0.3">
      <c r="G1551" s="470"/>
      <c r="H1551" s="470">
        <v>1544</v>
      </c>
      <c r="I1551" s="455">
        <f t="shared" ca="1" si="115"/>
        <v>-265459527.9866119</v>
      </c>
      <c r="J1551" s="455">
        <f t="array" ref="J1551">IFERROR(INDEX('Retirement Calculator'!K:K,MATCH('Lorri 401b'!N1551,'Retirement Calculator'!A:A,0),0),0)</f>
        <v>0</v>
      </c>
      <c r="K1551" s="455">
        <f t="shared" ca="1" si="113"/>
        <v>-1106081.3666108828</v>
      </c>
      <c r="L1551" s="455">
        <f t="shared" ca="1" si="114"/>
        <v>-266565609.35322279</v>
      </c>
      <c r="M1551" s="471">
        <f t="shared" si="116"/>
        <v>0.05</v>
      </c>
      <c r="N1551" s="475">
        <f t="shared" si="117"/>
        <v>98253</v>
      </c>
    </row>
    <row r="1552" spans="7:14" ht="11.25" customHeight="1" x14ac:dyDescent="0.3">
      <c r="G1552" s="470"/>
      <c r="H1552" s="470">
        <v>1545</v>
      </c>
      <c r="I1552" s="455">
        <f t="shared" ca="1" si="115"/>
        <v>-266565609.35322279</v>
      </c>
      <c r="J1552" s="455">
        <f t="array" ref="J1552">IFERROR(INDEX('Retirement Calculator'!K:K,MATCH('Lorri 401b'!N1552,'Retirement Calculator'!A:A,0),0),0)</f>
        <v>0</v>
      </c>
      <c r="K1552" s="455">
        <f t="shared" ca="1" si="113"/>
        <v>-1110690.0389717617</v>
      </c>
      <c r="L1552" s="455">
        <f t="shared" ca="1" si="114"/>
        <v>-267676299.39219454</v>
      </c>
      <c r="M1552" s="471">
        <f t="shared" si="116"/>
        <v>0.05</v>
      </c>
      <c r="N1552" s="475">
        <f t="shared" si="117"/>
        <v>98284</v>
      </c>
    </row>
    <row r="1553" spans="7:14" ht="11.25" customHeight="1" x14ac:dyDescent="0.3">
      <c r="G1553" s="470"/>
      <c r="H1553" s="470">
        <v>1546</v>
      </c>
      <c r="I1553" s="455">
        <f t="shared" ca="1" si="115"/>
        <v>-267676299.39219454</v>
      </c>
      <c r="J1553" s="455">
        <f t="array" ref="J1553">IFERROR(INDEX('Retirement Calculator'!K:K,MATCH('Lorri 401b'!N1553,'Retirement Calculator'!A:A,0),0),0)</f>
        <v>0</v>
      </c>
      <c r="K1553" s="455">
        <f t="shared" ca="1" si="113"/>
        <v>-1115317.9141341439</v>
      </c>
      <c r="L1553" s="455">
        <f t="shared" ca="1" si="114"/>
        <v>-268791617.30632865</v>
      </c>
      <c r="M1553" s="471">
        <f t="shared" si="116"/>
        <v>0.05</v>
      </c>
      <c r="N1553" s="475">
        <f t="shared" si="117"/>
        <v>98312</v>
      </c>
    </row>
    <row r="1554" spans="7:14" ht="11.25" customHeight="1" x14ac:dyDescent="0.3">
      <c r="G1554" s="470"/>
      <c r="H1554" s="470">
        <v>1547</v>
      </c>
      <c r="I1554" s="455">
        <f t="shared" ca="1" si="115"/>
        <v>-268791617.30632865</v>
      </c>
      <c r="J1554" s="455">
        <f t="array" ref="J1554">IFERROR(INDEX('Retirement Calculator'!K:K,MATCH('Lorri 401b'!N1554,'Retirement Calculator'!A:A,0),0),0)</f>
        <v>0</v>
      </c>
      <c r="K1554" s="455">
        <f t="shared" ca="1" si="113"/>
        <v>-1119965.0721097027</v>
      </c>
      <c r="L1554" s="455">
        <f t="shared" ca="1" si="114"/>
        <v>-269911582.37843835</v>
      </c>
      <c r="M1554" s="471">
        <f t="shared" si="116"/>
        <v>0.05</v>
      </c>
      <c r="N1554" s="475">
        <f t="shared" si="117"/>
        <v>98343</v>
      </c>
    </row>
    <row r="1555" spans="7:14" ht="11.25" customHeight="1" x14ac:dyDescent="0.3">
      <c r="G1555" s="470"/>
      <c r="H1555" s="470">
        <v>1548</v>
      </c>
      <c r="I1555" s="455">
        <f t="shared" ca="1" si="115"/>
        <v>-269911582.37843835</v>
      </c>
      <c r="J1555" s="455">
        <f t="array" ref="J1555">IFERROR(INDEX('Retirement Calculator'!K:K,MATCH('Lorri 401b'!N1555,'Retirement Calculator'!A:A,0),0),0)</f>
        <v>0</v>
      </c>
      <c r="K1555" s="455">
        <f t="shared" ca="1" si="113"/>
        <v>-1124631.5932434932</v>
      </c>
      <c r="L1555" s="455">
        <f t="shared" ca="1" si="114"/>
        <v>-271036213.97168183</v>
      </c>
      <c r="M1555" s="471">
        <f t="shared" si="116"/>
        <v>0.05</v>
      </c>
      <c r="N1555" s="475">
        <f t="shared" si="117"/>
        <v>98373</v>
      </c>
    </row>
    <row r="1556" spans="7:14" ht="11.25" customHeight="1" x14ac:dyDescent="0.3">
      <c r="G1556" s="470"/>
      <c r="H1556" s="470">
        <v>1549</v>
      </c>
      <c r="I1556" s="455">
        <f t="shared" ca="1" si="115"/>
        <v>-271036213.97168183</v>
      </c>
      <c r="J1556" s="455">
        <f t="array" ref="J1556">IFERROR(INDEX('Retirement Calculator'!K:K,MATCH('Lorri 401b'!N1556,'Retirement Calculator'!A:A,0),0),0)</f>
        <v>0</v>
      </c>
      <c r="K1556" s="455">
        <f t="shared" ca="1" si="113"/>
        <v>-1129317.5582153411</v>
      </c>
      <c r="L1556" s="455">
        <f t="shared" ca="1" si="114"/>
        <v>-272165531.52989715</v>
      </c>
      <c r="M1556" s="471">
        <f t="shared" si="116"/>
        <v>0.05</v>
      </c>
      <c r="N1556" s="475">
        <f t="shared" si="117"/>
        <v>98404</v>
      </c>
    </row>
    <row r="1557" spans="7:14" ht="11.25" customHeight="1" x14ac:dyDescent="0.3">
      <c r="G1557" s="470"/>
      <c r="H1557" s="470">
        <v>1550</v>
      </c>
      <c r="I1557" s="455">
        <f t="shared" ca="1" si="115"/>
        <v>-272165531.52989715</v>
      </c>
      <c r="J1557" s="455">
        <f t="array" ref="J1557">IFERROR(INDEX('Retirement Calculator'!K:K,MATCH('Lorri 401b'!N1557,'Retirement Calculator'!A:A,0),0),0)</f>
        <v>0</v>
      </c>
      <c r="K1557" s="455">
        <f t="shared" ca="1" si="113"/>
        <v>-1134023.0480412382</v>
      </c>
      <c r="L1557" s="455">
        <f t="shared" ca="1" si="114"/>
        <v>-273299554.57793838</v>
      </c>
      <c r="M1557" s="471">
        <f t="shared" si="116"/>
        <v>0.05</v>
      </c>
      <c r="N1557" s="475">
        <f t="shared" si="117"/>
        <v>98434</v>
      </c>
    </row>
    <row r="1558" spans="7:14" ht="11.25" customHeight="1" x14ac:dyDescent="0.3">
      <c r="G1558" s="470"/>
      <c r="H1558" s="470">
        <v>1551</v>
      </c>
      <c r="I1558" s="455">
        <f t="shared" ca="1" si="115"/>
        <v>-273299554.57793838</v>
      </c>
      <c r="J1558" s="455">
        <f t="array" ref="J1558">IFERROR(INDEX('Retirement Calculator'!K:K,MATCH('Lorri 401b'!N1558,'Retirement Calculator'!A:A,0),0),0)</f>
        <v>0</v>
      </c>
      <c r="K1558" s="455">
        <f t="shared" ca="1" si="113"/>
        <v>-1138748.1440747431</v>
      </c>
      <c r="L1558" s="455">
        <f t="shared" ca="1" si="114"/>
        <v>-274438302.72201312</v>
      </c>
      <c r="M1558" s="471">
        <f t="shared" si="116"/>
        <v>0.05</v>
      </c>
      <c r="N1558" s="475">
        <f t="shared" si="117"/>
        <v>98465</v>
      </c>
    </row>
    <row r="1559" spans="7:14" ht="11.25" customHeight="1" x14ac:dyDescent="0.3">
      <c r="G1559" s="470"/>
      <c r="H1559" s="470">
        <v>1552</v>
      </c>
      <c r="I1559" s="455">
        <f t="shared" ca="1" si="115"/>
        <v>-274438302.72201312</v>
      </c>
      <c r="J1559" s="455">
        <f t="array" ref="J1559">IFERROR(INDEX('Retirement Calculator'!K:K,MATCH('Lorri 401b'!N1559,'Retirement Calculator'!A:A,0),0),0)</f>
        <v>0</v>
      </c>
      <c r="K1559" s="455">
        <f t="shared" ca="1" si="113"/>
        <v>-1143492.928008388</v>
      </c>
      <c r="L1559" s="455">
        <f t="shared" ca="1" si="114"/>
        <v>-275581795.65002149</v>
      </c>
      <c r="M1559" s="471">
        <f t="shared" si="116"/>
        <v>0.05</v>
      </c>
      <c r="N1559" s="475">
        <f t="shared" si="117"/>
        <v>98496</v>
      </c>
    </row>
    <row r="1560" spans="7:14" ht="11.25" customHeight="1" x14ac:dyDescent="0.3">
      <c r="G1560" s="470"/>
      <c r="H1560" s="470">
        <v>1553</v>
      </c>
      <c r="I1560" s="455">
        <f t="shared" ca="1" si="115"/>
        <v>-275581795.65002149</v>
      </c>
      <c r="J1560" s="455">
        <f t="array" ref="J1560">IFERROR(INDEX('Retirement Calculator'!K:K,MATCH('Lorri 401b'!N1560,'Retirement Calculator'!A:A,0),0),0)</f>
        <v>0</v>
      </c>
      <c r="K1560" s="455">
        <f t="shared" ca="1" si="113"/>
        <v>-1148257.4818750895</v>
      </c>
      <c r="L1560" s="455">
        <f t="shared" ca="1" si="114"/>
        <v>-276730053.13189656</v>
      </c>
      <c r="M1560" s="471">
        <f t="shared" si="116"/>
        <v>0.05</v>
      </c>
      <c r="N1560" s="475">
        <f t="shared" si="117"/>
        <v>98526</v>
      </c>
    </row>
    <row r="1561" spans="7:14" ht="11.25" customHeight="1" x14ac:dyDescent="0.3">
      <c r="G1561" s="470"/>
      <c r="H1561" s="470">
        <v>1554</v>
      </c>
      <c r="I1561" s="455">
        <f t="shared" ca="1" si="115"/>
        <v>-276730053.13189656</v>
      </c>
      <c r="J1561" s="455">
        <f t="array" ref="J1561">IFERROR(INDEX('Retirement Calculator'!K:K,MATCH('Lorri 401b'!N1561,'Retirement Calculator'!A:A,0),0),0)</f>
        <v>0</v>
      </c>
      <c r="K1561" s="455">
        <f t="shared" ca="1" si="113"/>
        <v>-1153041.888049569</v>
      </c>
      <c r="L1561" s="455">
        <f t="shared" ca="1" si="114"/>
        <v>-277883095.0199461</v>
      </c>
      <c r="M1561" s="471">
        <f t="shared" si="116"/>
        <v>0.05</v>
      </c>
      <c r="N1561" s="475">
        <f t="shared" si="117"/>
        <v>98557</v>
      </c>
    </row>
    <row r="1562" spans="7:14" ht="11.25" customHeight="1" x14ac:dyDescent="0.3">
      <c r="G1562" s="470"/>
      <c r="H1562" s="470">
        <v>1555</v>
      </c>
      <c r="I1562" s="455">
        <f t="shared" ca="1" si="115"/>
        <v>-277883095.0199461</v>
      </c>
      <c r="J1562" s="455">
        <f t="array" ref="J1562">IFERROR(INDEX('Retirement Calculator'!K:K,MATCH('Lorri 401b'!N1562,'Retirement Calculator'!A:A,0),0),0)</f>
        <v>0</v>
      </c>
      <c r="K1562" s="455">
        <f t="shared" ca="1" si="113"/>
        <v>-1157846.2292497754</v>
      </c>
      <c r="L1562" s="455">
        <f t="shared" ca="1" si="114"/>
        <v>-279040941.24919587</v>
      </c>
      <c r="M1562" s="471">
        <f t="shared" si="116"/>
        <v>0.05</v>
      </c>
      <c r="N1562" s="475">
        <f t="shared" si="117"/>
        <v>98587</v>
      </c>
    </row>
    <row r="1563" spans="7:14" ht="11.25" customHeight="1" x14ac:dyDescent="0.3">
      <c r="G1563" s="470"/>
      <c r="H1563" s="470">
        <v>1556</v>
      </c>
      <c r="I1563" s="455">
        <f t="shared" ca="1" si="115"/>
        <v>-279040941.24919587</v>
      </c>
      <c r="J1563" s="455">
        <f t="array" ref="J1563">IFERROR(INDEX('Retirement Calculator'!K:K,MATCH('Lorri 401b'!N1563,'Retirement Calculator'!A:A,0),0),0)</f>
        <v>0</v>
      </c>
      <c r="K1563" s="455">
        <f t="shared" ca="1" si="113"/>
        <v>-1162670.5885383161</v>
      </c>
      <c r="L1563" s="455">
        <f t="shared" ca="1" si="114"/>
        <v>-280203611.83773416</v>
      </c>
      <c r="M1563" s="471">
        <f t="shared" si="116"/>
        <v>0.05</v>
      </c>
      <c r="N1563" s="475">
        <f t="shared" si="117"/>
        <v>98618</v>
      </c>
    </row>
    <row r="1564" spans="7:14" ht="11.25" customHeight="1" x14ac:dyDescent="0.3">
      <c r="G1564" s="470"/>
      <c r="H1564" s="470">
        <v>1557</v>
      </c>
      <c r="I1564" s="455">
        <f t="shared" ca="1" si="115"/>
        <v>-280203611.83773416</v>
      </c>
      <c r="J1564" s="455">
        <f t="array" ref="J1564">IFERROR(INDEX('Retirement Calculator'!K:K,MATCH('Lorri 401b'!N1564,'Retirement Calculator'!A:A,0),0),0)</f>
        <v>0</v>
      </c>
      <c r="K1564" s="455">
        <f t="shared" ca="1" si="113"/>
        <v>-1167515.0493238922</v>
      </c>
      <c r="L1564" s="455">
        <f t="shared" ca="1" si="114"/>
        <v>-281371126.88705808</v>
      </c>
      <c r="M1564" s="471">
        <f t="shared" si="116"/>
        <v>0.05</v>
      </c>
      <c r="N1564" s="475">
        <f t="shared" si="117"/>
        <v>98649</v>
      </c>
    </row>
    <row r="1565" spans="7:14" ht="11.25" customHeight="1" x14ac:dyDescent="0.3">
      <c r="G1565" s="470"/>
      <c r="H1565" s="470">
        <v>1558</v>
      </c>
      <c r="I1565" s="455">
        <f t="shared" ca="1" si="115"/>
        <v>-281371126.88705808</v>
      </c>
      <c r="J1565" s="455">
        <f t="array" ref="J1565">IFERROR(INDEX('Retirement Calculator'!K:K,MATCH('Lorri 401b'!N1565,'Retirement Calculator'!A:A,0),0),0)</f>
        <v>0</v>
      </c>
      <c r="K1565" s="455">
        <f t="shared" ca="1" si="113"/>
        <v>-1172379.6953627421</v>
      </c>
      <c r="L1565" s="455">
        <f t="shared" ca="1" si="114"/>
        <v>-282543506.58242083</v>
      </c>
      <c r="M1565" s="471">
        <f t="shared" si="116"/>
        <v>0.05</v>
      </c>
      <c r="N1565" s="475">
        <f t="shared" si="117"/>
        <v>98677</v>
      </c>
    </row>
    <row r="1566" spans="7:14" ht="11.25" customHeight="1" x14ac:dyDescent="0.3">
      <c r="G1566" s="470"/>
      <c r="H1566" s="470">
        <v>1559</v>
      </c>
      <c r="I1566" s="455">
        <f t="shared" ca="1" si="115"/>
        <v>-282543506.58242083</v>
      </c>
      <c r="J1566" s="455">
        <f t="array" ref="J1566">IFERROR(INDEX('Retirement Calculator'!K:K,MATCH('Lorri 401b'!N1566,'Retirement Calculator'!A:A,0),0),0)</f>
        <v>0</v>
      </c>
      <c r="K1566" s="455">
        <f t="shared" ca="1" si="113"/>
        <v>-1177264.6107600867</v>
      </c>
      <c r="L1566" s="455">
        <f t="shared" ca="1" si="114"/>
        <v>-283720771.19318092</v>
      </c>
      <c r="M1566" s="471">
        <f t="shared" si="116"/>
        <v>0.05</v>
      </c>
      <c r="N1566" s="475">
        <f t="shared" si="117"/>
        <v>98708</v>
      </c>
    </row>
    <row r="1567" spans="7:14" ht="11.25" customHeight="1" x14ac:dyDescent="0.3">
      <c r="G1567" s="470"/>
      <c r="H1567" s="470">
        <v>1560</v>
      </c>
      <c r="I1567" s="455">
        <f t="shared" ca="1" si="115"/>
        <v>-283720771.19318092</v>
      </c>
      <c r="J1567" s="455">
        <f t="array" ref="J1567">IFERROR(INDEX('Retirement Calculator'!K:K,MATCH('Lorri 401b'!N1567,'Retirement Calculator'!A:A,0),0),0)</f>
        <v>0</v>
      </c>
      <c r="K1567" s="455">
        <f t="shared" ca="1" si="113"/>
        <v>-1182169.8799715871</v>
      </c>
      <c r="L1567" s="455">
        <f t="shared" ca="1" si="114"/>
        <v>-284902941.07315248</v>
      </c>
      <c r="M1567" s="471">
        <f t="shared" si="116"/>
        <v>0.05</v>
      </c>
      <c r="N1567" s="475">
        <f t="shared" si="117"/>
        <v>98738</v>
      </c>
    </row>
    <row r="1568" spans="7:14" ht="11.25" customHeight="1" x14ac:dyDescent="0.3">
      <c r="G1568" s="470"/>
      <c r="H1568" s="470">
        <v>1561</v>
      </c>
      <c r="I1568" s="455">
        <f t="shared" ca="1" si="115"/>
        <v>-284902941.07315248</v>
      </c>
      <c r="J1568" s="455">
        <f t="array" ref="J1568">IFERROR(INDEX('Retirement Calculator'!K:K,MATCH('Lorri 401b'!N1568,'Retirement Calculator'!A:A,0),0),0)</f>
        <v>0</v>
      </c>
      <c r="K1568" s="455">
        <f t="shared" ca="1" si="113"/>
        <v>-1187095.587804802</v>
      </c>
      <c r="L1568" s="455">
        <f t="shared" ca="1" si="114"/>
        <v>-286090036.66095728</v>
      </c>
      <c r="M1568" s="471">
        <f t="shared" si="116"/>
        <v>0.05</v>
      </c>
      <c r="N1568" s="475">
        <f t="shared" si="117"/>
        <v>98769</v>
      </c>
    </row>
    <row r="1569" spans="7:14" ht="11.25" customHeight="1" x14ac:dyDescent="0.3">
      <c r="G1569" s="470"/>
      <c r="H1569" s="470">
        <v>1562</v>
      </c>
      <c r="I1569" s="455">
        <f t="shared" ca="1" si="115"/>
        <v>-286090036.66095728</v>
      </c>
      <c r="J1569" s="455">
        <f t="array" ref="J1569">IFERROR(INDEX('Retirement Calculator'!K:K,MATCH('Lorri 401b'!N1569,'Retirement Calculator'!A:A,0),0),0)</f>
        <v>0</v>
      </c>
      <c r="K1569" s="455">
        <f t="shared" ca="1" si="113"/>
        <v>-1192041.8194206553</v>
      </c>
      <c r="L1569" s="455">
        <f t="shared" ca="1" si="114"/>
        <v>-287282078.48037791</v>
      </c>
      <c r="M1569" s="471">
        <f t="shared" si="116"/>
        <v>0.05</v>
      </c>
      <c r="N1569" s="475">
        <f t="shared" si="117"/>
        <v>98799</v>
      </c>
    </row>
    <row r="1570" spans="7:14" ht="11.25" customHeight="1" x14ac:dyDescent="0.3">
      <c r="G1570" s="470"/>
      <c r="H1570" s="470">
        <v>1563</v>
      </c>
      <c r="I1570" s="455">
        <f t="shared" ca="1" si="115"/>
        <v>-287282078.48037791</v>
      </c>
      <c r="J1570" s="455">
        <f t="array" ref="J1570">IFERROR(INDEX('Retirement Calculator'!K:K,MATCH('Lorri 401b'!N1570,'Retirement Calculator'!A:A,0),0),0)</f>
        <v>0</v>
      </c>
      <c r="K1570" s="455">
        <f t="shared" ca="1" si="113"/>
        <v>-1197008.6603349079</v>
      </c>
      <c r="L1570" s="455">
        <f t="shared" ca="1" si="114"/>
        <v>-288479087.1407128</v>
      </c>
      <c r="M1570" s="471">
        <f t="shared" si="116"/>
        <v>0.05</v>
      </c>
      <c r="N1570" s="475">
        <f t="shared" si="117"/>
        <v>98830</v>
      </c>
    </row>
    <row r="1571" spans="7:14" ht="11.25" customHeight="1" x14ac:dyDescent="0.3">
      <c r="G1571" s="470"/>
      <c r="H1571" s="470">
        <v>1564</v>
      </c>
      <c r="I1571" s="455">
        <f t="shared" ca="1" si="115"/>
        <v>-288479087.1407128</v>
      </c>
      <c r="J1571" s="455">
        <f t="array" ref="J1571">IFERROR(INDEX('Retirement Calculator'!K:K,MATCH('Lorri 401b'!N1571,'Retirement Calculator'!A:A,0),0),0)</f>
        <v>0</v>
      </c>
      <c r="K1571" s="455">
        <f t="shared" ca="1" si="113"/>
        <v>-1201996.1964196367</v>
      </c>
      <c r="L1571" s="455">
        <f t="shared" ca="1" si="114"/>
        <v>-289681083.33713245</v>
      </c>
      <c r="M1571" s="471">
        <f t="shared" si="116"/>
        <v>0.05</v>
      </c>
      <c r="N1571" s="475">
        <f t="shared" si="117"/>
        <v>98861</v>
      </c>
    </row>
    <row r="1572" spans="7:14" ht="11.25" customHeight="1" x14ac:dyDescent="0.3">
      <c r="G1572" s="470"/>
      <c r="H1572" s="470">
        <v>1565</v>
      </c>
      <c r="I1572" s="455">
        <f t="shared" ca="1" si="115"/>
        <v>-289681083.33713245</v>
      </c>
      <c r="J1572" s="455">
        <f t="array" ref="J1572">IFERROR(INDEX('Retirement Calculator'!K:K,MATCH('Lorri 401b'!N1572,'Retirement Calculator'!A:A,0),0),0)</f>
        <v>0</v>
      </c>
      <c r="K1572" s="455">
        <f t="shared" ca="1" si="113"/>
        <v>-1207004.5139047184</v>
      </c>
      <c r="L1572" s="455">
        <f t="shared" ca="1" si="114"/>
        <v>-290888087.85103714</v>
      </c>
      <c r="M1572" s="471">
        <f t="shared" si="116"/>
        <v>0.05</v>
      </c>
      <c r="N1572" s="475">
        <f t="shared" si="117"/>
        <v>98891</v>
      </c>
    </row>
    <row r="1573" spans="7:14" ht="11.25" customHeight="1" x14ac:dyDescent="0.3">
      <c r="G1573" s="470"/>
      <c r="H1573" s="470">
        <v>1566</v>
      </c>
      <c r="I1573" s="455">
        <f t="shared" ca="1" si="115"/>
        <v>-290888087.85103714</v>
      </c>
      <c r="J1573" s="455">
        <f t="array" ref="J1573">IFERROR(INDEX('Retirement Calculator'!K:K,MATCH('Lorri 401b'!N1573,'Retirement Calculator'!A:A,0),0),0)</f>
        <v>0</v>
      </c>
      <c r="K1573" s="455">
        <f t="shared" ca="1" si="113"/>
        <v>-1212033.6993793214</v>
      </c>
      <c r="L1573" s="455">
        <f t="shared" ca="1" si="114"/>
        <v>-292100121.55041647</v>
      </c>
      <c r="M1573" s="471">
        <f t="shared" si="116"/>
        <v>0.05</v>
      </c>
      <c r="N1573" s="475">
        <f t="shared" si="117"/>
        <v>98922</v>
      </c>
    </row>
    <row r="1574" spans="7:14" ht="11.25" customHeight="1" x14ac:dyDescent="0.3">
      <c r="G1574" s="470"/>
      <c r="H1574" s="470">
        <v>1567</v>
      </c>
      <c r="I1574" s="455">
        <f t="shared" ca="1" si="115"/>
        <v>-292100121.55041647</v>
      </c>
      <c r="J1574" s="455">
        <f t="array" ref="J1574">IFERROR(INDEX('Retirement Calculator'!K:K,MATCH('Lorri 401b'!N1574,'Retirement Calculator'!A:A,0),0),0)</f>
        <v>0</v>
      </c>
      <c r="K1574" s="455">
        <f t="shared" ca="1" si="113"/>
        <v>-1217083.839793402</v>
      </c>
      <c r="L1574" s="455">
        <f t="shared" ca="1" si="114"/>
        <v>-293317205.39020985</v>
      </c>
      <c r="M1574" s="471">
        <f t="shared" si="116"/>
        <v>0.05</v>
      </c>
      <c r="N1574" s="475">
        <f t="shared" si="117"/>
        <v>98952</v>
      </c>
    </row>
    <row r="1575" spans="7:14" ht="11.25" customHeight="1" x14ac:dyDescent="0.3">
      <c r="G1575" s="470"/>
      <c r="H1575" s="470">
        <v>1568</v>
      </c>
      <c r="I1575" s="455">
        <f t="shared" ca="1" si="115"/>
        <v>-293317205.39020985</v>
      </c>
      <c r="J1575" s="455">
        <f t="array" ref="J1575">IFERROR(INDEX('Retirement Calculator'!K:K,MATCH('Lorri 401b'!N1575,'Retirement Calculator'!A:A,0),0),0)</f>
        <v>0</v>
      </c>
      <c r="K1575" s="455">
        <f t="shared" ca="1" si="113"/>
        <v>-1222155.0224592078</v>
      </c>
      <c r="L1575" s="455">
        <f t="shared" ca="1" si="114"/>
        <v>-294539360.41266906</v>
      </c>
      <c r="M1575" s="471">
        <f t="shared" si="116"/>
        <v>0.05</v>
      </c>
      <c r="N1575" s="475">
        <f t="shared" si="117"/>
        <v>98983</v>
      </c>
    </row>
    <row r="1576" spans="7:14" ht="11.25" customHeight="1" x14ac:dyDescent="0.3">
      <c r="G1576" s="470"/>
      <c r="H1576" s="470">
        <v>1569</v>
      </c>
      <c r="I1576" s="455">
        <f t="shared" ca="1" si="115"/>
        <v>-294539360.41266906</v>
      </c>
      <c r="J1576" s="455">
        <f t="array" ref="J1576">IFERROR(INDEX('Retirement Calculator'!K:K,MATCH('Lorri 401b'!N1576,'Retirement Calculator'!A:A,0),0),0)</f>
        <v>0</v>
      </c>
      <c r="K1576" s="455">
        <f t="shared" ca="1" si="113"/>
        <v>-1227247.3350527878</v>
      </c>
      <c r="L1576" s="455">
        <f t="shared" ca="1" si="114"/>
        <v>-295766607.74772185</v>
      </c>
      <c r="M1576" s="471">
        <f t="shared" si="116"/>
        <v>0.05</v>
      </c>
      <c r="N1576" s="475">
        <f t="shared" si="117"/>
        <v>99014</v>
      </c>
    </row>
    <row r="1577" spans="7:14" ht="11.25" customHeight="1" x14ac:dyDescent="0.3">
      <c r="G1577" s="470"/>
      <c r="H1577" s="470">
        <v>1570</v>
      </c>
      <c r="I1577" s="455">
        <f t="shared" ca="1" si="115"/>
        <v>-295766607.74772185</v>
      </c>
      <c r="J1577" s="455">
        <f t="array" ref="J1577">IFERROR(INDEX('Retirement Calculator'!K:K,MATCH('Lorri 401b'!N1577,'Retirement Calculator'!A:A,0),0),0)</f>
        <v>0</v>
      </c>
      <c r="K1577" s="455">
        <f t="shared" ca="1" si="113"/>
        <v>-1232360.8656155076</v>
      </c>
      <c r="L1577" s="455">
        <f t="shared" ca="1" si="114"/>
        <v>-296998968.61333734</v>
      </c>
      <c r="M1577" s="471">
        <f t="shared" si="116"/>
        <v>0.05</v>
      </c>
      <c r="N1577" s="475">
        <f t="shared" si="117"/>
        <v>99042</v>
      </c>
    </row>
    <row r="1578" spans="7:14" ht="11.25" customHeight="1" x14ac:dyDescent="0.3">
      <c r="G1578" s="470"/>
      <c r="H1578" s="470">
        <v>1571</v>
      </c>
      <c r="I1578" s="455">
        <f t="shared" ca="1" si="115"/>
        <v>-296998968.61333734</v>
      </c>
      <c r="J1578" s="455">
        <f t="array" ref="J1578">IFERROR(INDEX('Retirement Calculator'!K:K,MATCH('Lorri 401b'!N1578,'Retirement Calculator'!A:A,0),0),0)</f>
        <v>0</v>
      </c>
      <c r="K1578" s="455">
        <f t="shared" ca="1" si="113"/>
        <v>-1237495.7025555721</v>
      </c>
      <c r="L1578" s="455">
        <f t="shared" ca="1" si="114"/>
        <v>-298236464.31589293</v>
      </c>
      <c r="M1578" s="471">
        <f t="shared" si="116"/>
        <v>0.05</v>
      </c>
      <c r="N1578" s="475">
        <f t="shared" si="117"/>
        <v>99073</v>
      </c>
    </row>
    <row r="1579" spans="7:14" ht="11.25" customHeight="1" x14ac:dyDescent="0.3">
      <c r="G1579" s="470"/>
      <c r="H1579" s="470">
        <v>1572</v>
      </c>
      <c r="I1579" s="455">
        <f t="shared" ca="1" si="115"/>
        <v>-298236464.31589293</v>
      </c>
      <c r="J1579" s="455">
        <f t="array" ref="J1579">IFERROR(INDEX('Retirement Calculator'!K:K,MATCH('Lorri 401b'!N1579,'Retirement Calculator'!A:A,0),0),0)</f>
        <v>0</v>
      </c>
      <c r="K1579" s="455">
        <f t="shared" ca="1" si="113"/>
        <v>-1242651.9346495538</v>
      </c>
      <c r="L1579" s="455">
        <f t="shared" ca="1" si="114"/>
        <v>-299479116.25054246</v>
      </c>
      <c r="M1579" s="471">
        <f t="shared" si="116"/>
        <v>0.05</v>
      </c>
      <c r="N1579" s="475">
        <f t="shared" si="117"/>
        <v>99103</v>
      </c>
    </row>
    <row r="1580" spans="7:14" ht="11.25" customHeight="1" x14ac:dyDescent="0.3">
      <c r="G1580" s="470"/>
      <c r="H1580" s="470">
        <v>1573</v>
      </c>
      <c r="I1580" s="455">
        <f t="shared" ca="1" si="115"/>
        <v>-299479116.25054246</v>
      </c>
      <c r="J1580" s="455">
        <f t="array" ref="J1580">IFERROR(INDEX('Retirement Calculator'!K:K,MATCH('Lorri 401b'!N1580,'Retirement Calculator'!A:A,0),0),0)</f>
        <v>0</v>
      </c>
      <c r="K1580" s="455">
        <f t="shared" ca="1" si="113"/>
        <v>-1247829.6510439268</v>
      </c>
      <c r="L1580" s="455">
        <f t="shared" ca="1" si="114"/>
        <v>-300726945.90158641</v>
      </c>
      <c r="M1580" s="471">
        <f t="shared" si="116"/>
        <v>0.05</v>
      </c>
      <c r="N1580" s="475">
        <f t="shared" si="117"/>
        <v>99134</v>
      </c>
    </row>
    <row r="1581" spans="7:14" ht="11.25" customHeight="1" x14ac:dyDescent="0.3">
      <c r="G1581" s="470"/>
      <c r="H1581" s="470">
        <v>1574</v>
      </c>
      <c r="I1581" s="455">
        <f t="shared" ca="1" si="115"/>
        <v>-300726945.90158641</v>
      </c>
      <c r="J1581" s="455">
        <f t="array" ref="J1581">IFERROR(INDEX('Retirement Calculator'!K:K,MATCH('Lorri 401b'!N1581,'Retirement Calculator'!A:A,0),0),0)</f>
        <v>0</v>
      </c>
      <c r="K1581" s="455">
        <f t="shared" ca="1" si="113"/>
        <v>-1253028.94125661</v>
      </c>
      <c r="L1581" s="455">
        <f t="shared" ca="1" si="114"/>
        <v>-301979974.842843</v>
      </c>
      <c r="M1581" s="471">
        <f t="shared" si="116"/>
        <v>0.05</v>
      </c>
      <c r="N1581" s="475">
        <f t="shared" si="117"/>
        <v>99164</v>
      </c>
    </row>
    <row r="1582" spans="7:14" ht="11.25" customHeight="1" x14ac:dyDescent="0.3">
      <c r="G1582" s="470"/>
      <c r="H1582" s="470">
        <v>1575</v>
      </c>
      <c r="I1582" s="455">
        <f t="shared" ca="1" si="115"/>
        <v>-301979974.842843</v>
      </c>
      <c r="J1582" s="455">
        <f t="array" ref="J1582">IFERROR(INDEX('Retirement Calculator'!K:K,MATCH('Lorri 401b'!N1582,'Retirement Calculator'!A:A,0),0),0)</f>
        <v>0</v>
      </c>
      <c r="K1582" s="455">
        <f t="shared" ca="1" si="113"/>
        <v>-1258249.8951785124</v>
      </c>
      <c r="L1582" s="455">
        <f t="shared" ca="1" si="114"/>
        <v>-303238224.73802149</v>
      </c>
      <c r="M1582" s="471">
        <f t="shared" si="116"/>
        <v>0.05</v>
      </c>
      <c r="N1582" s="475">
        <f t="shared" si="117"/>
        <v>99195</v>
      </c>
    </row>
    <row r="1583" spans="7:14" ht="11.25" customHeight="1" x14ac:dyDescent="0.3">
      <c r="G1583" s="470"/>
      <c r="H1583" s="470">
        <v>1576</v>
      </c>
      <c r="I1583" s="455">
        <f t="shared" ca="1" si="115"/>
        <v>-303238224.73802149</v>
      </c>
      <c r="J1583" s="455">
        <f t="array" ref="J1583">IFERROR(INDEX('Retirement Calculator'!K:K,MATCH('Lorri 401b'!N1583,'Retirement Calculator'!A:A,0),0),0)</f>
        <v>0</v>
      </c>
      <c r="K1583" s="455">
        <f t="shared" ca="1" si="113"/>
        <v>-1263492.6030750896</v>
      </c>
      <c r="L1583" s="455">
        <f t="shared" ca="1" si="114"/>
        <v>-304501717.34109658</v>
      </c>
      <c r="M1583" s="471">
        <f t="shared" si="116"/>
        <v>0.05</v>
      </c>
      <c r="N1583" s="475">
        <f t="shared" si="117"/>
        <v>99226</v>
      </c>
    </row>
    <row r="1584" spans="7:14" ht="11.25" customHeight="1" x14ac:dyDescent="0.3">
      <c r="G1584" s="470"/>
      <c r="H1584" s="470">
        <v>1577</v>
      </c>
      <c r="I1584" s="455">
        <f t="shared" ca="1" si="115"/>
        <v>-304501717.34109658</v>
      </c>
      <c r="J1584" s="455">
        <f t="array" ref="J1584">IFERROR(INDEX('Retirement Calculator'!K:K,MATCH('Lorri 401b'!N1584,'Retirement Calculator'!A:A,0),0),0)</f>
        <v>0</v>
      </c>
      <c r="K1584" s="455">
        <f t="shared" ca="1" si="113"/>
        <v>-1268757.1555879023</v>
      </c>
      <c r="L1584" s="455">
        <f t="shared" ca="1" si="114"/>
        <v>-305770474.49668449</v>
      </c>
      <c r="M1584" s="471">
        <f t="shared" si="116"/>
        <v>0.05</v>
      </c>
      <c r="N1584" s="475">
        <f t="shared" si="117"/>
        <v>99256</v>
      </c>
    </row>
    <row r="1585" spans="7:14" ht="11.25" customHeight="1" x14ac:dyDescent="0.3">
      <c r="G1585" s="470"/>
      <c r="H1585" s="470">
        <v>1578</v>
      </c>
      <c r="I1585" s="455">
        <f t="shared" ca="1" si="115"/>
        <v>-305770474.49668449</v>
      </c>
      <c r="J1585" s="455">
        <f t="array" ref="J1585">IFERROR(INDEX('Retirement Calculator'!K:K,MATCH('Lorri 401b'!N1585,'Retirement Calculator'!A:A,0),0),0)</f>
        <v>0</v>
      </c>
      <c r="K1585" s="455">
        <f t="shared" ca="1" si="113"/>
        <v>-1274043.6437361853</v>
      </c>
      <c r="L1585" s="455">
        <f t="shared" ca="1" si="114"/>
        <v>-307044518.14042068</v>
      </c>
      <c r="M1585" s="471">
        <f t="shared" si="116"/>
        <v>0.05</v>
      </c>
      <c r="N1585" s="475">
        <f t="shared" si="117"/>
        <v>99287</v>
      </c>
    </row>
    <row r="1586" spans="7:14" ht="11.25" customHeight="1" x14ac:dyDescent="0.3">
      <c r="G1586" s="470"/>
      <c r="H1586" s="470">
        <v>1579</v>
      </c>
      <c r="I1586" s="455">
        <f t="shared" ca="1" si="115"/>
        <v>-307044518.14042068</v>
      </c>
      <c r="J1586" s="455">
        <f t="array" ref="J1586">IFERROR(INDEX('Retirement Calculator'!K:K,MATCH('Lorri 401b'!N1586,'Retirement Calculator'!A:A,0),0),0)</f>
        <v>0</v>
      </c>
      <c r="K1586" s="455">
        <f t="shared" ca="1" si="113"/>
        <v>-1279352.1589184194</v>
      </c>
      <c r="L1586" s="455">
        <f t="shared" ca="1" si="114"/>
        <v>-308323870.29933912</v>
      </c>
      <c r="M1586" s="471">
        <f t="shared" si="116"/>
        <v>0.05</v>
      </c>
      <c r="N1586" s="475">
        <f t="shared" si="117"/>
        <v>99317</v>
      </c>
    </row>
    <row r="1587" spans="7:14" ht="11.25" customHeight="1" x14ac:dyDescent="0.3">
      <c r="G1587" s="470"/>
      <c r="H1587" s="470">
        <v>1580</v>
      </c>
      <c r="I1587" s="455">
        <f t="shared" ca="1" si="115"/>
        <v>-308323870.29933912</v>
      </c>
      <c r="J1587" s="455">
        <f t="array" ref="J1587">IFERROR(INDEX('Retirement Calculator'!K:K,MATCH('Lorri 401b'!N1587,'Retirement Calculator'!A:A,0),0),0)</f>
        <v>0</v>
      </c>
      <c r="K1587" s="455">
        <f t="shared" ca="1" si="113"/>
        <v>-1284682.792913913</v>
      </c>
      <c r="L1587" s="455">
        <f t="shared" ca="1" si="114"/>
        <v>-309608553.09225303</v>
      </c>
      <c r="M1587" s="471">
        <f t="shared" si="116"/>
        <v>0.05</v>
      </c>
      <c r="N1587" s="475">
        <f t="shared" si="117"/>
        <v>99348</v>
      </c>
    </row>
    <row r="1588" spans="7:14" ht="11.25" customHeight="1" x14ac:dyDescent="0.3">
      <c r="G1588" s="470"/>
      <c r="H1588" s="470">
        <v>1581</v>
      </c>
      <c r="I1588" s="455">
        <f t="shared" ca="1" si="115"/>
        <v>-309608553.09225303</v>
      </c>
      <c r="J1588" s="455">
        <f t="array" ref="J1588">IFERROR(INDEX('Retirement Calculator'!K:K,MATCH('Lorri 401b'!N1588,'Retirement Calculator'!A:A,0),0),0)</f>
        <v>0</v>
      </c>
      <c r="K1588" s="455">
        <f t="shared" ca="1" si="113"/>
        <v>-1290035.6378843875</v>
      </c>
      <c r="L1588" s="455">
        <f t="shared" ca="1" si="114"/>
        <v>-310898588.73013741</v>
      </c>
      <c r="M1588" s="471">
        <f t="shared" si="116"/>
        <v>0.05</v>
      </c>
      <c r="N1588" s="475">
        <f t="shared" si="117"/>
        <v>99379</v>
      </c>
    </row>
    <row r="1589" spans="7:14" ht="11.25" customHeight="1" x14ac:dyDescent="0.3">
      <c r="G1589" s="470"/>
      <c r="H1589" s="470">
        <v>1582</v>
      </c>
      <c r="I1589" s="455">
        <f t="shared" ca="1" si="115"/>
        <v>-310898588.73013741</v>
      </c>
      <c r="J1589" s="455">
        <f t="array" ref="J1589">IFERROR(INDEX('Retirement Calculator'!K:K,MATCH('Lorri 401b'!N1589,'Retirement Calculator'!A:A,0),0),0)</f>
        <v>0</v>
      </c>
      <c r="K1589" s="455">
        <f t="shared" ca="1" si="113"/>
        <v>-1295410.7863755724</v>
      </c>
      <c r="L1589" s="455">
        <f t="shared" ca="1" si="114"/>
        <v>-312193999.51651299</v>
      </c>
      <c r="M1589" s="471">
        <f t="shared" si="116"/>
        <v>0.05</v>
      </c>
      <c r="N1589" s="475">
        <f t="shared" si="117"/>
        <v>99408</v>
      </c>
    </row>
    <row r="1590" spans="7:14" ht="11.25" customHeight="1" x14ac:dyDescent="0.3">
      <c r="G1590" s="470"/>
      <c r="H1590" s="470">
        <v>1583</v>
      </c>
      <c r="I1590" s="455">
        <f t="shared" ca="1" si="115"/>
        <v>-312193999.51651299</v>
      </c>
      <c r="J1590" s="455">
        <f t="array" ref="J1590">IFERROR(INDEX('Retirement Calculator'!K:K,MATCH('Lorri 401b'!N1590,'Retirement Calculator'!A:A,0),0),0)</f>
        <v>0</v>
      </c>
      <c r="K1590" s="455">
        <f t="shared" ca="1" si="113"/>
        <v>-1300808.3313188041</v>
      </c>
      <c r="L1590" s="455">
        <f t="shared" ca="1" si="114"/>
        <v>-313494807.84783179</v>
      </c>
      <c r="M1590" s="471">
        <f t="shared" si="116"/>
        <v>0.05</v>
      </c>
      <c r="N1590" s="475">
        <f t="shared" si="117"/>
        <v>99439</v>
      </c>
    </row>
    <row r="1591" spans="7:14" ht="11.25" customHeight="1" x14ac:dyDescent="0.3">
      <c r="G1591" s="470"/>
      <c r="H1591" s="470">
        <v>1584</v>
      </c>
      <c r="I1591" s="455">
        <f t="shared" ca="1" si="115"/>
        <v>-313494807.84783179</v>
      </c>
      <c r="J1591" s="455">
        <f t="array" ref="J1591">IFERROR(INDEX('Retirement Calculator'!K:K,MATCH('Lorri 401b'!N1591,'Retirement Calculator'!A:A,0),0),0)</f>
        <v>0</v>
      </c>
      <c r="K1591" s="455">
        <f t="shared" ca="1" si="113"/>
        <v>-1306228.3660326325</v>
      </c>
      <c r="L1591" s="455">
        <f t="shared" ca="1" si="114"/>
        <v>-314801036.21386445</v>
      </c>
      <c r="M1591" s="471">
        <f t="shared" si="116"/>
        <v>0.05</v>
      </c>
      <c r="N1591" s="475">
        <f t="shared" si="117"/>
        <v>99469</v>
      </c>
    </row>
    <row r="1592" spans="7:14" ht="11.25" customHeight="1" x14ac:dyDescent="0.3">
      <c r="G1592" s="470"/>
      <c r="H1592" s="470">
        <v>1585</v>
      </c>
      <c r="I1592" s="455">
        <f t="shared" ca="1" si="115"/>
        <v>-314801036.21386445</v>
      </c>
      <c r="J1592" s="455">
        <f t="array" ref="J1592">IFERROR(INDEX('Retirement Calculator'!K:K,MATCH('Lorri 401b'!N1592,'Retirement Calculator'!A:A,0),0),0)</f>
        <v>0</v>
      </c>
      <c r="K1592" s="455">
        <f t="shared" ca="1" si="113"/>
        <v>-1311670.9842244352</v>
      </c>
      <c r="L1592" s="455">
        <f t="shared" ca="1" si="114"/>
        <v>-316112707.19808888</v>
      </c>
      <c r="M1592" s="471">
        <f t="shared" si="116"/>
        <v>0.05</v>
      </c>
      <c r="N1592" s="475">
        <f t="shared" si="117"/>
        <v>99500</v>
      </c>
    </row>
    <row r="1593" spans="7:14" ht="11.25" customHeight="1" x14ac:dyDescent="0.3">
      <c r="G1593" s="470"/>
      <c r="H1593" s="470">
        <v>1586</v>
      </c>
      <c r="I1593" s="455">
        <f t="shared" ca="1" si="115"/>
        <v>-316112707.19808888</v>
      </c>
      <c r="J1593" s="455">
        <f t="array" ref="J1593">IFERROR(INDEX('Retirement Calculator'!K:K,MATCH('Lorri 401b'!N1593,'Retirement Calculator'!A:A,0),0),0)</f>
        <v>0</v>
      </c>
      <c r="K1593" s="455">
        <f t="shared" ca="1" si="113"/>
        <v>-1317136.279992037</v>
      </c>
      <c r="L1593" s="455">
        <f t="shared" ca="1" si="114"/>
        <v>-317429843.47808093</v>
      </c>
      <c r="M1593" s="471">
        <f t="shared" si="116"/>
        <v>0.05</v>
      </c>
      <c r="N1593" s="475">
        <f t="shared" si="117"/>
        <v>99530</v>
      </c>
    </row>
    <row r="1594" spans="7:14" ht="11.25" customHeight="1" x14ac:dyDescent="0.3">
      <c r="G1594" s="470"/>
      <c r="H1594" s="470">
        <v>1587</v>
      </c>
      <c r="I1594" s="455">
        <f t="shared" ca="1" si="115"/>
        <v>-317429843.47808093</v>
      </c>
      <c r="J1594" s="455">
        <f t="array" ref="J1594">IFERROR(INDEX('Retirement Calculator'!K:K,MATCH('Lorri 401b'!N1594,'Retirement Calculator'!A:A,0),0),0)</f>
        <v>0</v>
      </c>
      <c r="K1594" s="455">
        <f t="shared" ca="1" si="113"/>
        <v>-1322624.3478253372</v>
      </c>
      <c r="L1594" s="455">
        <f t="shared" ca="1" si="114"/>
        <v>-318752467.82590628</v>
      </c>
      <c r="M1594" s="471">
        <f t="shared" si="116"/>
        <v>0.05</v>
      </c>
      <c r="N1594" s="475">
        <f t="shared" si="117"/>
        <v>99561</v>
      </c>
    </row>
    <row r="1595" spans="7:14" ht="11.25" customHeight="1" x14ac:dyDescent="0.3">
      <c r="G1595" s="470"/>
      <c r="H1595" s="470">
        <v>1588</v>
      </c>
      <c r="I1595" s="455">
        <f t="shared" ca="1" si="115"/>
        <v>-318752467.82590628</v>
      </c>
      <c r="J1595" s="455">
        <f t="array" ref="J1595">IFERROR(INDEX('Retirement Calculator'!K:K,MATCH('Lorri 401b'!N1595,'Retirement Calculator'!A:A,0),0),0)</f>
        <v>0</v>
      </c>
      <c r="K1595" s="455">
        <f t="shared" ca="1" si="113"/>
        <v>-1328135.2826079428</v>
      </c>
      <c r="L1595" s="455">
        <f t="shared" ca="1" si="114"/>
        <v>-320080603.10851419</v>
      </c>
      <c r="M1595" s="471">
        <f t="shared" si="116"/>
        <v>0.05</v>
      </c>
      <c r="N1595" s="475">
        <f t="shared" si="117"/>
        <v>99592</v>
      </c>
    </row>
    <row r="1596" spans="7:14" ht="11.25" customHeight="1" x14ac:dyDescent="0.3">
      <c r="G1596" s="470"/>
      <c r="H1596" s="470">
        <v>1589</v>
      </c>
      <c r="I1596" s="455">
        <f t="shared" ca="1" si="115"/>
        <v>-320080603.10851419</v>
      </c>
      <c r="J1596" s="455">
        <f t="array" ref="J1596">IFERROR(INDEX('Retirement Calculator'!K:K,MATCH('Lorri 401b'!N1596,'Retirement Calculator'!A:A,0),0),0)</f>
        <v>0</v>
      </c>
      <c r="K1596" s="455">
        <f t="shared" ca="1" si="113"/>
        <v>-1333669.1796188091</v>
      </c>
      <c r="L1596" s="455">
        <f t="shared" ca="1" si="114"/>
        <v>-321414272.28813303</v>
      </c>
      <c r="M1596" s="471">
        <f t="shared" si="116"/>
        <v>0.05</v>
      </c>
      <c r="N1596" s="475">
        <f t="shared" si="117"/>
        <v>99622</v>
      </c>
    </row>
    <row r="1597" spans="7:14" ht="11.25" customHeight="1" x14ac:dyDescent="0.3">
      <c r="G1597" s="470"/>
      <c r="H1597" s="470">
        <v>1590</v>
      </c>
      <c r="I1597" s="455">
        <f t="shared" ca="1" si="115"/>
        <v>-321414272.28813303</v>
      </c>
      <c r="J1597" s="455">
        <f t="array" ref="J1597">IFERROR(INDEX('Retirement Calculator'!K:K,MATCH('Lorri 401b'!N1597,'Retirement Calculator'!A:A,0),0),0)</f>
        <v>0</v>
      </c>
      <c r="K1597" s="455">
        <f t="shared" ca="1" si="113"/>
        <v>-1339226.1345338875</v>
      </c>
      <c r="L1597" s="455">
        <f t="shared" ca="1" si="114"/>
        <v>-322753498.42266691</v>
      </c>
      <c r="M1597" s="471">
        <f t="shared" si="116"/>
        <v>0.05</v>
      </c>
      <c r="N1597" s="475">
        <f t="shared" si="117"/>
        <v>99653</v>
      </c>
    </row>
    <row r="1598" spans="7:14" ht="11.25" customHeight="1" x14ac:dyDescent="0.3">
      <c r="G1598" s="470"/>
      <c r="H1598" s="470">
        <v>1591</v>
      </c>
      <c r="I1598" s="455">
        <f t="shared" ca="1" si="115"/>
        <v>-322753498.42266691</v>
      </c>
      <c r="J1598" s="455">
        <f t="array" ref="J1598">IFERROR(INDEX('Retirement Calculator'!K:K,MATCH('Lorri 401b'!N1598,'Retirement Calculator'!A:A,0),0),0)</f>
        <v>0</v>
      </c>
      <c r="K1598" s="455">
        <f t="shared" ca="1" si="113"/>
        <v>-1344806.2434277788</v>
      </c>
      <c r="L1598" s="455">
        <f t="shared" ca="1" si="114"/>
        <v>-324098304.66609466</v>
      </c>
      <c r="M1598" s="471">
        <f t="shared" si="116"/>
        <v>0.05</v>
      </c>
      <c r="N1598" s="475">
        <f t="shared" si="117"/>
        <v>99683</v>
      </c>
    </row>
    <row r="1599" spans="7:14" ht="11.25" customHeight="1" x14ac:dyDescent="0.3">
      <c r="G1599" s="470"/>
      <c r="H1599" s="470">
        <v>1592</v>
      </c>
      <c r="I1599" s="455">
        <f t="shared" ca="1" si="115"/>
        <v>-324098304.66609466</v>
      </c>
      <c r="J1599" s="455">
        <f t="array" ref="J1599">IFERROR(INDEX('Retirement Calculator'!K:K,MATCH('Lorri 401b'!N1599,'Retirement Calculator'!A:A,0),0),0)</f>
        <v>0</v>
      </c>
      <c r="K1599" s="455">
        <f t="shared" ca="1" si="113"/>
        <v>-1350409.6027753945</v>
      </c>
      <c r="L1599" s="455">
        <f t="shared" ca="1" si="114"/>
        <v>-325448714.26887006</v>
      </c>
      <c r="M1599" s="471">
        <f t="shared" si="116"/>
        <v>0.05</v>
      </c>
      <c r="N1599" s="475">
        <f t="shared" si="117"/>
        <v>99714</v>
      </c>
    </row>
    <row r="1600" spans="7:14" ht="11.25" customHeight="1" x14ac:dyDescent="0.3">
      <c r="G1600" s="470"/>
      <c r="H1600" s="470">
        <v>1593</v>
      </c>
      <c r="I1600" s="455">
        <f t="shared" ca="1" si="115"/>
        <v>-325448714.26887006</v>
      </c>
      <c r="J1600" s="455">
        <f t="array" ref="J1600">IFERROR(INDEX('Retirement Calculator'!K:K,MATCH('Lorri 401b'!N1600,'Retirement Calculator'!A:A,0),0),0)</f>
        <v>0</v>
      </c>
      <c r="K1600" s="455">
        <f t="shared" ca="1" si="113"/>
        <v>-1356036.3094536252</v>
      </c>
      <c r="L1600" s="455">
        <f t="shared" ca="1" si="114"/>
        <v>-326804750.57832366</v>
      </c>
      <c r="M1600" s="471">
        <f t="shared" si="116"/>
        <v>0.05</v>
      </c>
      <c r="N1600" s="475">
        <f t="shared" si="117"/>
        <v>99745</v>
      </c>
    </row>
    <row r="1601" spans="7:14" ht="11.25" customHeight="1" x14ac:dyDescent="0.3">
      <c r="G1601" s="470"/>
      <c r="H1601" s="470">
        <v>1594</v>
      </c>
      <c r="I1601" s="455">
        <f t="shared" ca="1" si="115"/>
        <v>-326804750.57832366</v>
      </c>
      <c r="J1601" s="455">
        <f t="array" ref="J1601">IFERROR(INDEX('Retirement Calculator'!K:K,MATCH('Lorri 401b'!N1601,'Retirement Calculator'!A:A,0),0),0)</f>
        <v>0</v>
      </c>
      <c r="K1601" s="455">
        <f t="shared" ca="1" si="113"/>
        <v>-1361686.4607430152</v>
      </c>
      <c r="L1601" s="455">
        <f t="shared" ca="1" si="114"/>
        <v>-328166437.03906667</v>
      </c>
      <c r="M1601" s="471">
        <f t="shared" si="116"/>
        <v>0.05</v>
      </c>
      <c r="N1601" s="475">
        <f t="shared" si="117"/>
        <v>99773</v>
      </c>
    </row>
    <row r="1602" spans="7:14" ht="11.25" customHeight="1" x14ac:dyDescent="0.3">
      <c r="G1602" s="470"/>
      <c r="H1602" s="470">
        <v>1595</v>
      </c>
      <c r="I1602" s="455">
        <f t="shared" ca="1" si="115"/>
        <v>-328166437.03906667</v>
      </c>
      <c r="J1602" s="455">
        <f t="array" ref="J1602">IFERROR(INDEX('Retirement Calculator'!K:K,MATCH('Lorri 401b'!N1602,'Retirement Calculator'!A:A,0),0),0)</f>
        <v>0</v>
      </c>
      <c r="K1602" s="455">
        <f t="shared" ca="1" si="113"/>
        <v>-1367360.1543294445</v>
      </c>
      <c r="L1602" s="455">
        <f t="shared" ca="1" si="114"/>
        <v>-329533797.19339609</v>
      </c>
      <c r="M1602" s="471">
        <f t="shared" si="116"/>
        <v>0.05</v>
      </c>
      <c r="N1602" s="475">
        <f t="shared" si="117"/>
        <v>99804</v>
      </c>
    </row>
    <row r="1603" spans="7:14" ht="11.25" customHeight="1" x14ac:dyDescent="0.3">
      <c r="G1603" s="470"/>
      <c r="H1603" s="470">
        <v>1596</v>
      </c>
      <c r="I1603" s="455">
        <f t="shared" ca="1" si="115"/>
        <v>-329533797.19339609</v>
      </c>
      <c r="J1603" s="455">
        <f t="array" ref="J1603">IFERROR(INDEX('Retirement Calculator'!K:K,MATCH('Lorri 401b'!N1603,'Retirement Calculator'!A:A,0),0),0)</f>
        <v>0</v>
      </c>
      <c r="K1603" s="455">
        <f t="shared" ca="1" si="113"/>
        <v>-1373057.4883058171</v>
      </c>
      <c r="L1603" s="455">
        <f t="shared" ca="1" si="114"/>
        <v>-330906854.6817019</v>
      </c>
      <c r="M1603" s="471">
        <f t="shared" si="116"/>
        <v>0.05</v>
      </c>
      <c r="N1603" s="475">
        <f t="shared" si="117"/>
        <v>99834</v>
      </c>
    </row>
    <row r="1604" spans="7:14" ht="11.25" customHeight="1" x14ac:dyDescent="0.3">
      <c r="G1604" s="470"/>
      <c r="H1604" s="470">
        <v>1597</v>
      </c>
      <c r="I1604" s="455">
        <f t="shared" ca="1" si="115"/>
        <v>-330906854.6817019</v>
      </c>
      <c r="J1604" s="455">
        <f t="array" ref="J1604">IFERROR(INDEX('Retirement Calculator'!K:K,MATCH('Lorri 401b'!N1604,'Retirement Calculator'!A:A,0),0),0)</f>
        <v>0</v>
      </c>
      <c r="K1604" s="455">
        <f t="shared" ca="1" si="113"/>
        <v>-1378778.561173758</v>
      </c>
      <c r="L1604" s="455">
        <f t="shared" ca="1" si="114"/>
        <v>-332285633.24287564</v>
      </c>
      <c r="M1604" s="471">
        <f t="shared" si="116"/>
        <v>0.05</v>
      </c>
      <c r="N1604" s="475">
        <f t="shared" si="117"/>
        <v>99865</v>
      </c>
    </row>
    <row r="1605" spans="7:14" ht="11.25" customHeight="1" x14ac:dyDescent="0.3">
      <c r="G1605" s="470"/>
      <c r="H1605" s="470">
        <v>1598</v>
      </c>
      <c r="I1605" s="455">
        <f t="shared" ca="1" si="115"/>
        <v>-332285633.24287564</v>
      </c>
      <c r="J1605" s="455">
        <f t="array" ref="J1605">IFERROR(INDEX('Retirement Calculator'!K:K,MATCH('Lorri 401b'!N1605,'Retirement Calculator'!A:A,0),0),0)</f>
        <v>0</v>
      </c>
      <c r="K1605" s="455">
        <f t="shared" ca="1" si="113"/>
        <v>-1384523.4718453151</v>
      </c>
      <c r="L1605" s="455">
        <f t="shared" ca="1" si="114"/>
        <v>-333670156.71472096</v>
      </c>
      <c r="M1605" s="471">
        <f t="shared" si="116"/>
        <v>0.05</v>
      </c>
      <c r="N1605" s="475">
        <f t="shared" si="117"/>
        <v>99895</v>
      </c>
    </row>
    <row r="1606" spans="7:14" ht="11.25" customHeight="1" x14ac:dyDescent="0.3">
      <c r="G1606" s="470"/>
      <c r="H1606" s="470">
        <v>1599</v>
      </c>
      <c r="I1606" s="455">
        <f t="shared" ca="1" si="115"/>
        <v>-333670156.71472096</v>
      </c>
      <c r="J1606" s="455">
        <f t="array" ref="J1606">IFERROR(INDEX('Retirement Calculator'!K:K,MATCH('Lorri 401b'!N1606,'Retirement Calculator'!A:A,0),0),0)</f>
        <v>0</v>
      </c>
      <c r="K1606" s="455">
        <f t="shared" ca="1" si="113"/>
        <v>-1390292.3196446707</v>
      </c>
      <c r="L1606" s="455">
        <f t="shared" ca="1" si="114"/>
        <v>-335060449.03436565</v>
      </c>
      <c r="M1606" s="471">
        <f t="shared" si="116"/>
        <v>0.05</v>
      </c>
      <c r="N1606" s="475">
        <f t="shared" si="117"/>
        <v>99926</v>
      </c>
    </row>
    <row r="1607" spans="7:14" ht="11.25" customHeight="1" x14ac:dyDescent="0.3">
      <c r="G1607" s="470"/>
      <c r="H1607" s="470">
        <v>1600</v>
      </c>
      <c r="I1607" s="455">
        <f t="shared" ca="1" si="115"/>
        <v>-335060449.03436565</v>
      </c>
      <c r="J1607" s="455">
        <f t="array" ref="J1607">IFERROR(INDEX('Retirement Calculator'!K:K,MATCH('Lorri 401b'!N1607,'Retirement Calculator'!A:A,0),0),0)</f>
        <v>0</v>
      </c>
      <c r="K1607" s="455">
        <f t="shared" ca="1" si="113"/>
        <v>-1396085.204309857</v>
      </c>
      <c r="L1607" s="455">
        <f t="shared" ca="1" si="114"/>
        <v>-336456534.23867553</v>
      </c>
      <c r="M1607" s="471">
        <f t="shared" si="116"/>
        <v>0.05</v>
      </c>
      <c r="N1607" s="475">
        <f t="shared" si="117"/>
        <v>99957</v>
      </c>
    </row>
    <row r="1608" spans="7:14" ht="11.25" customHeight="1" x14ac:dyDescent="0.3">
      <c r="G1608" s="470"/>
      <c r="H1608" s="470">
        <v>1601</v>
      </c>
      <c r="I1608" s="455">
        <f t="shared" ca="1" si="115"/>
        <v>-336456534.23867553</v>
      </c>
      <c r="J1608" s="455">
        <f t="array" ref="J1608">IFERROR(INDEX('Retirement Calculator'!K:K,MATCH('Lorri 401b'!N1608,'Retirement Calculator'!A:A,0),0),0)</f>
        <v>0</v>
      </c>
      <c r="K1608" s="455">
        <f t="shared" ca="1" si="113"/>
        <v>-1401902.2259944815</v>
      </c>
      <c r="L1608" s="455">
        <f t="shared" ca="1" si="114"/>
        <v>-337858436.46467</v>
      </c>
      <c r="M1608" s="471">
        <f t="shared" si="116"/>
        <v>0.05</v>
      </c>
      <c r="N1608" s="475">
        <f t="shared" si="117"/>
        <v>99987</v>
      </c>
    </row>
    <row r="1609" spans="7:14" ht="11.25" customHeight="1" x14ac:dyDescent="0.3">
      <c r="G1609" s="470"/>
      <c r="H1609" s="470">
        <v>1602</v>
      </c>
      <c r="I1609" s="455">
        <f t="shared" ca="1" si="115"/>
        <v>-337858436.46467</v>
      </c>
      <c r="J1609" s="455">
        <f t="array" ref="J1609">IFERROR(INDEX('Retirement Calculator'!K:K,MATCH('Lorri 401b'!N1609,'Retirement Calculator'!A:A,0),0),0)</f>
        <v>0</v>
      </c>
      <c r="K1609" s="455">
        <f t="shared" ca="1" si="113"/>
        <v>-1407743.4852694583</v>
      </c>
      <c r="L1609" s="455">
        <f t="shared" ca="1" si="114"/>
        <v>-339266179.94993949</v>
      </c>
      <c r="M1609" s="471">
        <f t="shared" si="116"/>
        <v>0.05</v>
      </c>
      <c r="N1609" s="475">
        <f t="shared" si="117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15"/>
        <v>-339266179.94993949</v>
      </c>
      <c r="J1610" s="455">
        <f t="array" ref="J1610">IFERROR(INDEX('Retirement Calculator'!K:K,MATCH('Lorri 401b'!N1610,'Retirement Calculator'!A:A,0),0),0)</f>
        <v>0</v>
      </c>
      <c r="K1610" s="455">
        <f t="shared" ca="1" si="113"/>
        <v>-1413609.083124748</v>
      </c>
      <c r="L1610" s="455">
        <f t="shared" ca="1" si="114"/>
        <v>-340679789.03306425</v>
      </c>
      <c r="M1610" s="471">
        <f t="shared" si="116"/>
        <v>0.05</v>
      </c>
      <c r="N1610" s="475">
        <f t="shared" si="117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15"/>
        <v>-340679789.03306425</v>
      </c>
      <c r="J1611" s="455">
        <f t="array" ref="J1611">IFERROR(INDEX('Retirement Calculator'!K:K,MATCH('Lorri 401b'!N1611,'Retirement Calculator'!A:A,0),0),0)</f>
        <v>0</v>
      </c>
      <c r="K1611" s="455">
        <f t="shared" ca="1" si="113"/>
        <v>-1419499.1209711011</v>
      </c>
      <c r="L1611" s="455">
        <f t="shared" ca="1" si="114"/>
        <v>-342099288.15403533</v>
      </c>
      <c r="M1611" s="471">
        <f t="shared" si="116"/>
        <v>0.05</v>
      </c>
      <c r="N1611" s="475">
        <f t="shared" si="117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15"/>
        <v>-342099288.15403533</v>
      </c>
      <c r="J1612" s="455">
        <f t="array" ref="J1612">IFERROR(INDEX('Retirement Calculator'!K:K,MATCH('Lorri 401b'!N1612,'Retirement Calculator'!A:A,0),0),0)</f>
        <v>0</v>
      </c>
      <c r="K1612" s="455">
        <f t="shared" ca="1" si="113"/>
        <v>-1425413.7006418139</v>
      </c>
      <c r="L1612" s="455">
        <f t="shared" ca="1" si="114"/>
        <v>-343524701.85467714</v>
      </c>
      <c r="M1612" s="471">
        <f t="shared" si="116"/>
        <v>0.05</v>
      </c>
      <c r="N1612" s="475">
        <f t="shared" si="117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15"/>
        <v>-343524701.85467714</v>
      </c>
      <c r="J1613" s="455">
        <f t="array" ref="J1613">IFERROR(INDEX('Retirement Calculator'!K:K,MATCH('Lorri 401b'!N1613,'Retirement Calculator'!A:A,0),0),0)</f>
        <v>0</v>
      </c>
      <c r="K1613" s="455">
        <f t="shared" ca="1" si="113"/>
        <v>-1431352.9243944881</v>
      </c>
      <c r="L1613" s="455">
        <f t="shared" ca="1" si="114"/>
        <v>-344956054.77907163</v>
      </c>
      <c r="M1613" s="471">
        <f t="shared" si="116"/>
        <v>0.05</v>
      </c>
      <c r="N1613" s="475">
        <f t="shared" si="117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15"/>
        <v>-344956054.77907163</v>
      </c>
      <c r="J1614" s="455">
        <f t="array" ref="J1614">IFERROR(INDEX('Retirement Calculator'!K:K,MATCH('Lorri 401b'!N1614,'Retirement Calculator'!A:A,0),0),0)</f>
        <v>0</v>
      </c>
      <c r="K1614" s="455">
        <f t="shared" ca="1" si="113"/>
        <v>-1437316.8949127984</v>
      </c>
      <c r="L1614" s="455">
        <f t="shared" ca="1" si="114"/>
        <v>-346393371.67398441</v>
      </c>
      <c r="M1614" s="471">
        <f t="shared" si="116"/>
        <v>0.05</v>
      </c>
      <c r="N1614" s="475">
        <f t="shared" si="117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15"/>
        <v>-346393371.67398441</v>
      </c>
      <c r="J1615" s="455">
        <f t="array" ref="J1615">IFERROR(INDEX('Retirement Calculator'!K:K,MATCH('Lorri 401b'!N1615,'Retirement Calculator'!A:A,0),0),0)</f>
        <v>0</v>
      </c>
      <c r="K1615" s="455">
        <f t="shared" ca="1" si="113"/>
        <v>-1443305.7153082683</v>
      </c>
      <c r="L1615" s="455">
        <f t="shared" ca="1" si="114"/>
        <v>-347836677.38929266</v>
      </c>
      <c r="M1615" s="471">
        <f t="shared" si="116"/>
        <v>0.05</v>
      </c>
      <c r="N1615" s="475">
        <f t="shared" si="117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15"/>
        <v>-347836677.38929266</v>
      </c>
      <c r="J1616" s="455">
        <f t="array" ref="J1616">IFERROR(INDEX('Retirement Calculator'!K:K,MATCH('Lorri 401b'!N1616,'Retirement Calculator'!A:A,0),0),0)</f>
        <v>0</v>
      </c>
      <c r="K1616" s="455">
        <f t="shared" ca="1" si="113"/>
        <v>-1449319.4891220527</v>
      </c>
      <c r="L1616" s="455">
        <f t="shared" ca="1" si="114"/>
        <v>-349285996.87841469</v>
      </c>
      <c r="M1616" s="471">
        <f t="shared" si="116"/>
        <v>0.05</v>
      </c>
      <c r="N1616" s="475">
        <f t="shared" si="117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15"/>
        <v>-349285996.87841469</v>
      </c>
      <c r="J1617" s="455">
        <f t="array" ref="J1617">IFERROR(INDEX('Retirement Calculator'!K:K,MATCH('Lorri 401b'!N1617,'Retirement Calculator'!A:A,0),0),0)</f>
        <v>0</v>
      </c>
      <c r="K1617" s="455">
        <f t="shared" ca="1" si="113"/>
        <v>-1455358.3203267278</v>
      </c>
      <c r="L1617" s="455">
        <f t="shared" ca="1" si="114"/>
        <v>-350741355.19874144</v>
      </c>
      <c r="M1617" s="471">
        <f t="shared" si="116"/>
        <v>0.05</v>
      </c>
      <c r="N1617" s="475">
        <f t="shared" si="117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15"/>
        <v>-350741355.19874144</v>
      </c>
      <c r="J1618" s="455">
        <f t="array" ref="J1618">IFERROR(INDEX('Retirement Calculator'!K:K,MATCH('Lorri 401b'!N1618,'Retirement Calculator'!A:A,0),0),0)</f>
        <v>0</v>
      </c>
      <c r="K1618" s="455">
        <f t="shared" ca="1" si="113"/>
        <v>-1461422.3133280892</v>
      </c>
      <c r="L1618" s="455">
        <f t="shared" ca="1" si="114"/>
        <v>-352202777.51206952</v>
      </c>
      <c r="M1618" s="471">
        <f t="shared" si="116"/>
        <v>0.05</v>
      </c>
      <c r="N1618" s="475">
        <f t="shared" si="117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15"/>
        <v>-352202777.51206952</v>
      </c>
      <c r="J1619" s="455">
        <f t="array" ref="J1619">IFERROR(INDEX('Retirement Calculator'!K:K,MATCH('Lorri 401b'!N1619,'Retirement Calculator'!A:A,0),0),0)</f>
        <v>0</v>
      </c>
      <c r="K1619" s="455">
        <f t="shared" ca="1" si="113"/>
        <v>-1467511.5729669563</v>
      </c>
      <c r="L1619" s="455">
        <f t="shared" ca="1" si="114"/>
        <v>-353670289.08503646</v>
      </c>
      <c r="M1619" s="471">
        <f t="shared" si="116"/>
        <v>0.05</v>
      </c>
      <c r="N1619" s="475">
        <f t="shared" si="117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15"/>
        <v>-353670289.08503646</v>
      </c>
      <c r="J1620" s="455">
        <f t="array" ref="J1620">IFERROR(INDEX('Retirement Calculator'!K:K,MATCH('Lorri 401b'!N1620,'Retirement Calculator'!A:A,0),0),0)</f>
        <v>0</v>
      </c>
      <c r="K1620" s="455">
        <f t="shared" ca="1" si="113"/>
        <v>-1473626.2045209853</v>
      </c>
      <c r="L1620" s="455">
        <f t="shared" ca="1" si="114"/>
        <v>-355143915.28955746</v>
      </c>
      <c r="M1620" s="471">
        <f t="shared" si="116"/>
        <v>0.05</v>
      </c>
      <c r="N1620" s="475">
        <f t="shared" si="117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15"/>
        <v>-355143915.28955746</v>
      </c>
      <c r="J1621" s="455">
        <f t="array" ref="J1621">IFERROR(INDEX('Retirement Calculator'!K:K,MATCH('Lorri 401b'!N1621,'Retirement Calculator'!A:A,0),0),0)</f>
        <v>0</v>
      </c>
      <c r="K1621" s="455">
        <f t="shared" ca="1" si="113"/>
        <v>-1479766.3137064893</v>
      </c>
      <c r="L1621" s="455">
        <f t="shared" ca="1" si="114"/>
        <v>-356623681.60326397</v>
      </c>
      <c r="M1621" s="471">
        <f t="shared" si="116"/>
        <v>0.05</v>
      </c>
      <c r="N1621" s="475">
        <f t="shared" si="117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15"/>
        <v>-356623681.60326397</v>
      </c>
      <c r="J1622" s="455">
        <f t="array" ref="J1622">IFERROR(INDEX('Retirement Calculator'!K:K,MATCH('Lorri 401b'!N1622,'Retirement Calculator'!A:A,0),0),0)</f>
        <v>0</v>
      </c>
      <c r="K1622" s="455">
        <f t="shared" ca="1" si="113"/>
        <v>-1485932.0066802665</v>
      </c>
      <c r="L1622" s="455">
        <f t="shared" ca="1" si="114"/>
        <v>-358109613.60994422</v>
      </c>
      <c r="M1622" s="471">
        <f t="shared" si="116"/>
        <v>0.05</v>
      </c>
      <c r="N1622" s="475">
        <f t="shared" si="117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15"/>
        <v>-358109613.60994422</v>
      </c>
      <c r="J1623" s="455">
        <f t="array" ref="J1623">IFERROR(INDEX('Retirement Calculator'!K:K,MATCH('Lorri 401b'!N1623,'Retirement Calculator'!A:A,0),0),0)</f>
        <v>0</v>
      </c>
      <c r="K1623" s="455">
        <f t="shared" ca="1" si="113"/>
        <v>-1492123.3900414342</v>
      </c>
      <c r="L1623" s="455">
        <f t="shared" ca="1" si="114"/>
        <v>-359601736.99998564</v>
      </c>
      <c r="M1623" s="471">
        <f t="shared" si="116"/>
        <v>0.05</v>
      </c>
      <c r="N1623" s="475">
        <f t="shared" si="117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15"/>
        <v>-359601736.99998564</v>
      </c>
      <c r="J1624" s="455">
        <f t="array" ref="J1624">IFERROR(INDEX('Retirement Calculator'!K:K,MATCH('Lorri 401b'!N1624,'Retirement Calculator'!A:A,0),0),0)</f>
        <v>0</v>
      </c>
      <c r="K1624" s="455">
        <f t="shared" ca="1" si="113"/>
        <v>-1498340.5708332735</v>
      </c>
      <c r="L1624" s="455">
        <f t="shared" ca="1" si="114"/>
        <v>-361100077.5708189</v>
      </c>
      <c r="M1624" s="471">
        <f t="shared" si="116"/>
        <v>0.05</v>
      </c>
      <c r="N1624" s="475">
        <f t="shared" si="117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15"/>
        <v>-361100077.5708189</v>
      </c>
      <c r="J1625" s="455">
        <f t="array" ref="J1625">IFERROR(INDEX('Retirement Calculator'!K:K,MATCH('Lorri 401b'!N1625,'Retirement Calculator'!A:A,0),0),0)</f>
        <v>0</v>
      </c>
      <c r="K1625" s="455">
        <f t="shared" ca="1" si="113"/>
        <v>-1504583.6565450788</v>
      </c>
      <c r="L1625" s="455">
        <f t="shared" ca="1" si="114"/>
        <v>-362604661.227364</v>
      </c>
      <c r="M1625" s="471">
        <f t="shared" si="116"/>
        <v>0.05</v>
      </c>
      <c r="N1625" s="475">
        <f t="shared" si="117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15"/>
        <v>-362604661.227364</v>
      </c>
      <c r="J1626" s="455">
        <f t="array" ref="J1626">IFERROR(INDEX('Retirement Calculator'!K:K,MATCH('Lorri 401b'!N1626,'Retirement Calculator'!A:A,0),0),0)</f>
        <v>0</v>
      </c>
      <c r="K1626" s="455">
        <f t="shared" ca="1" si="113"/>
        <v>-1510852.7551140166</v>
      </c>
      <c r="L1626" s="455">
        <f t="shared" ca="1" si="114"/>
        <v>-364115513.98247802</v>
      </c>
      <c r="M1626" s="471">
        <f t="shared" si="116"/>
        <v>0.05</v>
      </c>
      <c r="N1626" s="475">
        <f t="shared" si="117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15"/>
        <v>-364115513.98247802</v>
      </c>
      <c r="J1627" s="455">
        <f t="array" ref="J1627">IFERROR(INDEX('Retirement Calculator'!K:K,MATCH('Lorri 401b'!N1627,'Retirement Calculator'!A:A,0),0),0)</f>
        <v>0</v>
      </c>
      <c r="K1627" s="455">
        <f t="shared" ca="1" si="113"/>
        <v>-1517147.9749269919</v>
      </c>
      <c r="L1627" s="455">
        <f t="shared" ca="1" si="114"/>
        <v>-365632661.95740503</v>
      </c>
      <c r="M1627" s="471">
        <f t="shared" si="116"/>
        <v>0.05</v>
      </c>
      <c r="N1627" s="475">
        <f t="shared" si="117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15"/>
        <v>-365632661.95740503</v>
      </c>
      <c r="J1628" s="455">
        <f t="array" ref="J1628">IFERROR(INDEX('Retirement Calculator'!K:K,MATCH('Lorri 401b'!N1628,'Retirement Calculator'!A:A,0),0),0)</f>
        <v>0</v>
      </c>
      <c r="K1628" s="455">
        <f t="shared" ca="1" si="113"/>
        <v>-1523469.4248225209</v>
      </c>
      <c r="L1628" s="455">
        <f t="shared" ca="1" si="114"/>
        <v>-367156131.38222754</v>
      </c>
      <c r="M1628" s="471">
        <f t="shared" si="116"/>
        <v>0.05</v>
      </c>
      <c r="N1628" s="475">
        <f t="shared" si="117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15"/>
        <v>-367156131.38222754</v>
      </c>
      <c r="J1629" s="455">
        <f t="array" ref="J1629">IFERROR(INDEX('Retirement Calculator'!K:K,MATCH('Lorri 401b'!N1629,'Retirement Calculator'!A:A,0),0),0)</f>
        <v>0</v>
      </c>
      <c r="K1629" s="455">
        <f t="shared" ca="1" si="113"/>
        <v>-1529817.2140926148</v>
      </c>
      <c r="L1629" s="455">
        <f t="shared" ca="1" si="114"/>
        <v>-368685948.59632015</v>
      </c>
      <c r="M1629" s="471">
        <f t="shared" si="116"/>
        <v>0.05</v>
      </c>
      <c r="N1629" s="475">
        <f t="shared" si="117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15"/>
        <v>-368685948.59632015</v>
      </c>
      <c r="J1630" s="455">
        <f t="array" ref="J1630">IFERROR(INDEX('Retirement Calculator'!K:K,MATCH('Lorri 401b'!N1630,'Retirement Calculator'!A:A,0),0),0)</f>
        <v>0</v>
      </c>
      <c r="K1630" s="455">
        <f t="shared" ca="1" si="113"/>
        <v>-1536191.4524846673</v>
      </c>
      <c r="L1630" s="455">
        <f t="shared" ca="1" si="114"/>
        <v>-370222140.04880482</v>
      </c>
      <c r="M1630" s="471">
        <f t="shared" si="116"/>
        <v>0.05</v>
      </c>
      <c r="N1630" s="475">
        <f t="shared" si="117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15"/>
        <v>-370222140.04880482</v>
      </c>
      <c r="J1631" s="455">
        <f t="array" ref="J1631">IFERROR(INDEX('Retirement Calculator'!K:K,MATCH('Lorri 401b'!N1631,'Retirement Calculator'!A:A,0),0),0)</f>
        <v>0</v>
      </c>
      <c r="K1631" s="455">
        <f t="shared" ca="1" si="113"/>
        <v>-1542592.2502033534</v>
      </c>
      <c r="L1631" s="455">
        <f t="shared" ca="1" si="114"/>
        <v>-371764732.29900819</v>
      </c>
      <c r="M1631" s="471">
        <f t="shared" si="116"/>
        <v>0.05</v>
      </c>
      <c r="N1631" s="475">
        <f t="shared" si="117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15"/>
        <v>-371764732.29900819</v>
      </c>
      <c r="J1632" s="455">
        <f t="array" ref="J1632">IFERROR(INDEX('Retirement Calculator'!K:K,MATCH('Lorri 401b'!N1632,'Retirement Calculator'!A:A,0),0),0)</f>
        <v>0</v>
      </c>
      <c r="K1632" s="455">
        <f t="shared" ca="1" si="113"/>
        <v>-1549019.717912534</v>
      </c>
      <c r="L1632" s="455">
        <f t="shared" ca="1" si="114"/>
        <v>-373313752.01692075</v>
      </c>
      <c r="M1632" s="471">
        <f t="shared" si="116"/>
        <v>0.05</v>
      </c>
      <c r="N1632" s="475">
        <f t="shared" si="117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15"/>
        <v>-373313752.01692075</v>
      </c>
      <c r="J1633" s="455">
        <f t="array" ref="J1633">IFERROR(INDEX('Retirement Calculator'!K:K,MATCH('Lorri 401b'!N1633,'Retirement Calculator'!A:A,0),0),0)</f>
        <v>0</v>
      </c>
      <c r="K1633" s="455">
        <f t="shared" ca="1" si="113"/>
        <v>-1555473.9667371698</v>
      </c>
      <c r="L1633" s="455">
        <f t="shared" ca="1" si="114"/>
        <v>-374869225.9836579</v>
      </c>
      <c r="M1633" s="471">
        <f t="shared" si="116"/>
        <v>0.05</v>
      </c>
      <c r="N1633" s="475">
        <f t="shared" si="117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15"/>
        <v>-374869225.9836579</v>
      </c>
      <c r="J1634" s="455">
        <f t="array" ref="J1634">IFERROR(INDEX('Retirement Calculator'!K:K,MATCH('Lorri 401b'!N1634,'Retirement Calculator'!A:A,0),0),0)</f>
        <v>0</v>
      </c>
      <c r="K1634" s="455">
        <f t="shared" ca="1" si="113"/>
        <v>-1561955.1082652411</v>
      </c>
      <c r="L1634" s="455">
        <f t="shared" ca="1" si="114"/>
        <v>-376431181.09192312</v>
      </c>
      <c r="M1634" s="471">
        <f t="shared" si="116"/>
        <v>0.05</v>
      </c>
      <c r="N1634" s="475">
        <f t="shared" si="117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15"/>
        <v>-376431181.09192312</v>
      </c>
      <c r="J1635" s="455">
        <f t="array" ref="J1635">IFERROR(INDEX('Retirement Calculator'!K:K,MATCH('Lorri 401b'!N1635,'Retirement Calculator'!A:A,0),0),0)</f>
        <v>0</v>
      </c>
      <c r="K1635" s="455">
        <f t="shared" ca="1" si="113"/>
        <v>-1568463.2545496796</v>
      </c>
      <c r="L1635" s="455">
        <f t="shared" ca="1" si="114"/>
        <v>-377999644.3464728</v>
      </c>
      <c r="M1635" s="471">
        <f t="shared" si="116"/>
        <v>0.05</v>
      </c>
      <c r="N1635" s="475">
        <f t="shared" si="117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15"/>
        <v>-377999644.3464728</v>
      </c>
      <c r="J1636" s="455">
        <f t="array" ref="J1636">IFERROR(INDEX('Retirement Calculator'!K:K,MATCH('Lorri 401b'!N1636,'Retirement Calculator'!A:A,0),0),0)</f>
        <v>0</v>
      </c>
      <c r="K1636" s="455">
        <f t="shared" ca="1" si="113"/>
        <v>-1574998.5181103032</v>
      </c>
      <c r="L1636" s="455">
        <f t="shared" ca="1" si="114"/>
        <v>-379574642.86458308</v>
      </c>
      <c r="M1636" s="471">
        <f t="shared" si="116"/>
        <v>0.05</v>
      </c>
      <c r="N1636" s="475">
        <f t="shared" si="117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15"/>
        <v>-379574642.86458308</v>
      </c>
      <c r="J1637" s="455">
        <f t="array" ref="J1637">IFERROR(INDEX('Retirement Calculator'!K:K,MATCH('Lorri 401b'!N1637,'Retirement Calculator'!A:A,0),0),0)</f>
        <v>0</v>
      </c>
      <c r="K1637" s="455">
        <f t="shared" ca="1" si="113"/>
        <v>-1581561.0119357628</v>
      </c>
      <c r="L1637" s="455">
        <f t="shared" ca="1" si="114"/>
        <v>-381156203.87651885</v>
      </c>
      <c r="M1637" s="471">
        <f t="shared" si="116"/>
        <v>0.05</v>
      </c>
      <c r="N1637" s="475">
        <f t="shared" si="117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15"/>
        <v>-381156203.87651885</v>
      </c>
      <c r="J1638" s="455">
        <f t="array" ref="J1638">IFERROR(INDEX('Retirement Calculator'!K:K,MATCH('Lorri 401b'!N1638,'Retirement Calculator'!A:A,0),0),0)</f>
        <v>0</v>
      </c>
      <c r="K1638" s="455">
        <f t="shared" ca="1" si="113"/>
        <v>-1588150.8494854951</v>
      </c>
      <c r="L1638" s="455">
        <f t="shared" ca="1" si="114"/>
        <v>-382744354.72600436</v>
      </c>
      <c r="M1638" s="471">
        <f t="shared" si="116"/>
        <v>0.05</v>
      </c>
      <c r="N1638" s="475">
        <f t="shared" si="117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15"/>
        <v>-382744354.72600436</v>
      </c>
      <c r="J1639" s="455">
        <f t="array" ref="J1639">IFERROR(INDEX('Retirement Calculator'!K:K,MATCH('Lorri 401b'!N1639,'Retirement Calculator'!A:A,0),0),0)</f>
        <v>0</v>
      </c>
      <c r="K1639" s="455">
        <f t="shared" ca="1" si="113"/>
        <v>-1594768.1446916847</v>
      </c>
      <c r="L1639" s="455">
        <f t="shared" ca="1" si="114"/>
        <v>-384339122.87069607</v>
      </c>
      <c r="M1639" s="471">
        <f t="shared" si="116"/>
        <v>0.05</v>
      </c>
      <c r="N1639" s="475">
        <f t="shared" si="117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15"/>
        <v>-384339122.87069607</v>
      </c>
      <c r="J1640" s="455">
        <f t="array" ref="J1640">IFERROR(INDEX('Retirement Calculator'!K:K,MATCH('Lorri 401b'!N1640,'Retirement Calculator'!A:A,0),0),0)</f>
        <v>0</v>
      </c>
      <c r="K1640" s="455">
        <f t="shared" ca="1" si="113"/>
        <v>-1601413.0119612336</v>
      </c>
      <c r="L1640" s="455">
        <f t="shared" ca="1" si="114"/>
        <v>-385940535.88265729</v>
      </c>
      <c r="M1640" s="471">
        <f t="shared" si="116"/>
        <v>0.05</v>
      </c>
      <c r="N1640" s="475">
        <f t="shared" si="117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15"/>
        <v>-385940535.88265729</v>
      </c>
      <c r="J1641" s="455">
        <f t="array" ref="J1641">IFERROR(INDEX('Retirement Calculator'!K:K,MATCH('Lorri 401b'!N1641,'Retirement Calculator'!A:A,0),0),0)</f>
        <v>0</v>
      </c>
      <c r="K1641" s="455">
        <f t="shared" ca="1" si="113"/>
        <v>-1608085.5661777386</v>
      </c>
      <c r="L1641" s="455">
        <f t="shared" ca="1" si="114"/>
        <v>-387548621.44883502</v>
      </c>
      <c r="M1641" s="471">
        <f t="shared" si="116"/>
        <v>0.05</v>
      </c>
      <c r="N1641" s="475">
        <f t="shared" si="117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15"/>
        <v>-387548621.44883502</v>
      </c>
      <c r="J1642" s="455">
        <f t="array" ref="J1642">IFERROR(INDEX('Retirement Calculator'!K:K,MATCH('Lorri 401b'!N1642,'Retirement Calculator'!A:A,0),0),0)</f>
        <v>0</v>
      </c>
      <c r="K1642" s="455">
        <f t="shared" ca="1" si="113"/>
        <v>-1614785.9227034792</v>
      </c>
      <c r="L1642" s="455">
        <f t="shared" ca="1" si="114"/>
        <v>-389163407.37153852</v>
      </c>
      <c r="M1642" s="471">
        <f t="shared" si="116"/>
        <v>0.05</v>
      </c>
      <c r="N1642" s="475">
        <f t="shared" si="117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15"/>
        <v>-389163407.37153852</v>
      </c>
      <c r="J1643" s="455">
        <f t="array" ref="J1643">IFERROR(INDEX('Retirement Calculator'!K:K,MATCH('Lorri 401b'!N1643,'Retirement Calculator'!A:A,0),0),0)</f>
        <v>0</v>
      </c>
      <c r="K1643" s="455">
        <f t="shared" ca="1" si="113"/>
        <v>-1621514.1973814105</v>
      </c>
      <c r="L1643" s="455">
        <f t="shared" ca="1" si="114"/>
        <v>-390784921.56891996</v>
      </c>
      <c r="M1643" s="471">
        <f t="shared" si="116"/>
        <v>0.05</v>
      </c>
      <c r="N1643" s="475">
        <f t="shared" si="117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15"/>
        <v>-390784921.56891996</v>
      </c>
      <c r="J1644" s="455">
        <f t="array" ref="J1644">IFERROR(INDEX('Retirement Calculator'!K:K,MATCH('Lorri 401b'!N1644,'Retirement Calculator'!A:A,0),0),0)</f>
        <v>0</v>
      </c>
      <c r="K1644" s="455">
        <f t="shared" ca="1" si="113"/>
        <v>-1628270.5065371664</v>
      </c>
      <c r="L1644" s="455">
        <f t="shared" ca="1" si="114"/>
        <v>-392413192.0754571</v>
      </c>
      <c r="M1644" s="471">
        <f t="shared" si="116"/>
        <v>0.05</v>
      </c>
      <c r="N1644" s="475">
        <f t="shared" si="117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15"/>
        <v>-392413192.0754571</v>
      </c>
      <c r="J1645" s="455">
        <f t="array" ref="J1645">IFERROR(INDEX('Retirement Calculator'!K:K,MATCH('Lorri 401b'!N1645,'Retirement Calculator'!A:A,0),0),0)</f>
        <v>0</v>
      </c>
      <c r="K1645" s="455">
        <f t="shared" ca="1" si="113"/>
        <v>-1635054.9669810713</v>
      </c>
      <c r="L1645" s="455">
        <f t="shared" ca="1" si="114"/>
        <v>-394048247.04243815</v>
      </c>
      <c r="M1645" s="471">
        <f t="shared" si="116"/>
        <v>0.05</v>
      </c>
      <c r="N1645" s="475">
        <f t="shared" si="117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15"/>
        <v>-394048247.04243815</v>
      </c>
      <c r="J1646" s="455">
        <f t="array" ref="J1646">IFERROR(INDEX('Retirement Calculator'!K:K,MATCH('Lorri 401b'!N1646,'Retirement Calculator'!A:A,0),0),0)</f>
        <v>0</v>
      </c>
      <c r="K1646" s="455">
        <f t="shared" ca="1" si="113"/>
        <v>-1641867.6960101589</v>
      </c>
      <c r="L1646" s="455">
        <f t="shared" ca="1" si="114"/>
        <v>-395690114.73844832</v>
      </c>
      <c r="M1646" s="471">
        <f t="shared" si="116"/>
        <v>0.05</v>
      </c>
      <c r="N1646" s="475">
        <f t="shared" si="117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15"/>
        <v>-395690114.73844832</v>
      </c>
      <c r="J1647" s="455">
        <f t="array" ref="J1647">IFERROR(INDEX('Retirement Calculator'!K:K,MATCH('Lorri 401b'!N1647,'Retirement Calculator'!A:A,0),0),0)</f>
        <v>0</v>
      </c>
      <c r="K1647" s="455">
        <f t="shared" ca="1" si="113"/>
        <v>-1648708.8114102012</v>
      </c>
      <c r="L1647" s="455">
        <f t="shared" ca="1" si="114"/>
        <v>-397338823.54985851</v>
      </c>
      <c r="M1647" s="471">
        <f t="shared" si="116"/>
        <v>0.05</v>
      </c>
      <c r="N1647" s="475">
        <f t="shared" si="117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15"/>
        <v>-397338823.54985851</v>
      </c>
      <c r="J1648" s="455">
        <f t="array" ref="J1648">IFERROR(INDEX('Retirement Calculator'!K:K,MATCH('Lorri 401b'!N1648,'Retirement Calculator'!A:A,0),0),0)</f>
        <v>0</v>
      </c>
      <c r="K1648" s="455">
        <f t="shared" ca="1" si="113"/>
        <v>-1655578.4314577437</v>
      </c>
      <c r="L1648" s="455">
        <f t="shared" ca="1" si="114"/>
        <v>-398994401.98131627</v>
      </c>
      <c r="M1648" s="471">
        <f t="shared" si="116"/>
        <v>0.05</v>
      </c>
      <c r="N1648" s="475">
        <f t="shared" si="117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15"/>
        <v>-398994401.98131627</v>
      </c>
      <c r="J1649" s="455">
        <f t="array" ref="J1649">IFERROR(INDEX('Retirement Calculator'!K:K,MATCH('Lorri 401b'!N1649,'Retirement Calculator'!A:A,0),0),0)</f>
        <v>0</v>
      </c>
      <c r="K1649" s="455">
        <f t="shared" ca="1" si="113"/>
        <v>-1662476.674922151</v>
      </c>
      <c r="L1649" s="455">
        <f t="shared" ca="1" si="114"/>
        <v>-400656878.65623844</v>
      </c>
      <c r="M1649" s="471">
        <f t="shared" si="116"/>
        <v>0.05</v>
      </c>
      <c r="N1649" s="475">
        <f t="shared" si="117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15"/>
        <v>-400656878.65623844</v>
      </c>
      <c r="J1650" s="455">
        <f t="array" ref="J1650">IFERROR(INDEX('Retirement Calculator'!K:K,MATCH('Lorri 401b'!N1650,'Retirement Calculator'!A:A,0),0),0)</f>
        <v>0</v>
      </c>
      <c r="K1650" s="455">
        <f t="shared" ca="1" si="113"/>
        <v>-1669403.6610676602</v>
      </c>
      <c r="L1650" s="455">
        <f t="shared" ca="1" si="114"/>
        <v>-402326282.3173061</v>
      </c>
      <c r="M1650" s="471">
        <f t="shared" si="116"/>
        <v>0.05</v>
      </c>
      <c r="N1650" s="475">
        <f t="shared" si="117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15"/>
        <v>-402326282.3173061</v>
      </c>
      <c r="J1651" s="455">
        <f t="array" ref="J1651">IFERROR(INDEX('Retirement Calculator'!K:K,MATCH('Lorri 401b'!N1651,'Retirement Calculator'!A:A,0),0),0)</f>
        <v>0</v>
      </c>
      <c r="K1651" s="455">
        <f t="shared" ca="1" si="113"/>
        <v>-1676359.5096554421</v>
      </c>
      <c r="L1651" s="455">
        <f t="shared" ca="1" si="114"/>
        <v>-404002641.82696152</v>
      </c>
      <c r="M1651" s="471">
        <f t="shared" si="116"/>
        <v>0.05</v>
      </c>
      <c r="N1651" s="475">
        <f t="shared" si="117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15"/>
        <v>-404002641.82696152</v>
      </c>
      <c r="J1652" s="455">
        <f t="array" ref="J1652">IFERROR(INDEX('Retirement Calculator'!K:K,MATCH('Lorri 401b'!N1652,'Retirement Calculator'!A:A,0),0),0)</f>
        <v>0</v>
      </c>
      <c r="K1652" s="455">
        <f t="shared" ca="1" si="113"/>
        <v>-1683344.3409456729</v>
      </c>
      <c r="L1652" s="455">
        <f t="shared" ca="1" si="114"/>
        <v>-405685986.16790718</v>
      </c>
      <c r="M1652" s="471">
        <f t="shared" si="116"/>
        <v>0.05</v>
      </c>
      <c r="N1652" s="475">
        <f t="shared" si="117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15"/>
        <v>-405685986.16790718</v>
      </c>
      <c r="J1653" s="455">
        <f t="array" ref="J1653">IFERROR(INDEX('Retirement Calculator'!K:K,MATCH('Lorri 401b'!N1653,'Retirement Calculator'!A:A,0),0),0)</f>
        <v>0</v>
      </c>
      <c r="K1653" s="455">
        <f t="shared" ca="1" si="113"/>
        <v>-1690358.2756996132</v>
      </c>
      <c r="L1653" s="455">
        <f t="shared" ca="1" si="114"/>
        <v>-407376344.44360679</v>
      </c>
      <c r="M1653" s="471">
        <f t="shared" si="116"/>
        <v>0.05</v>
      </c>
      <c r="N1653" s="475">
        <f t="shared" si="117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15"/>
        <v>-407376344.44360679</v>
      </c>
      <c r="J1654" s="455">
        <f t="array" ref="J1654">IFERROR(INDEX('Retirement Calculator'!K:K,MATCH('Lorri 401b'!N1654,'Retirement Calculator'!A:A,0),0),0)</f>
        <v>0</v>
      </c>
      <c r="K1654" s="455">
        <f t="shared" ca="1" si="113"/>
        <v>-1697401.435181695</v>
      </c>
      <c r="L1654" s="455">
        <f t="shared" ca="1" si="114"/>
        <v>-409073745.87878847</v>
      </c>
      <c r="M1654" s="471">
        <f t="shared" si="116"/>
        <v>0.05</v>
      </c>
      <c r="N1654" s="475">
        <f t="shared" si="117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15"/>
        <v>-409073745.87878847</v>
      </c>
      <c r="J1655" s="455">
        <f t="array" ref="J1655">IFERROR(INDEX('Retirement Calculator'!K:K,MATCH('Lorri 401b'!N1655,'Retirement Calculator'!A:A,0),0),0)</f>
        <v>0</v>
      </c>
      <c r="K1655" s="455">
        <f t="shared" ca="1" si="113"/>
        <v>-1704473.9411616186</v>
      </c>
      <c r="L1655" s="455">
        <f t="shared" ca="1" si="114"/>
        <v>-410778219.8199501</v>
      </c>
      <c r="M1655" s="471">
        <f t="shared" si="116"/>
        <v>0.05</v>
      </c>
      <c r="N1655" s="475">
        <f t="shared" si="117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15"/>
        <v>-410778219.8199501</v>
      </c>
      <c r="J1656" s="455">
        <f t="array" ref="J1656">IFERROR(INDEX('Retirement Calculator'!K:K,MATCH('Lorri 401b'!N1656,'Retirement Calculator'!A:A,0),0),0)</f>
        <v>0</v>
      </c>
      <c r="K1656" s="455">
        <f t="shared" ca="1" si="113"/>
        <v>-1711575.9159164587</v>
      </c>
      <c r="L1656" s="455">
        <f t="shared" ca="1" si="114"/>
        <v>-412489795.73586655</v>
      </c>
      <c r="M1656" s="471">
        <f t="shared" si="116"/>
        <v>0.05</v>
      </c>
      <c r="N1656" s="475">
        <f t="shared" si="117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15"/>
        <v>-412489795.73586655</v>
      </c>
      <c r="J1657" s="455">
        <f t="array" ref="J1657">IFERROR(INDEX('Retirement Calculator'!K:K,MATCH('Lorri 401b'!N1657,'Retirement Calculator'!A:A,0),0),0)</f>
        <v>0</v>
      </c>
      <c r="K1657" s="455">
        <f t="shared" ca="1" si="113"/>
        <v>-1718707.4822327772</v>
      </c>
      <c r="L1657" s="455">
        <f t="shared" ca="1" si="114"/>
        <v>-414208503.2180993</v>
      </c>
      <c r="M1657" s="471">
        <f t="shared" si="116"/>
        <v>0.05</v>
      </c>
      <c r="N1657" s="475">
        <f t="shared" si="117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15"/>
        <v>-414208503.2180993</v>
      </c>
      <c r="J1658" s="455">
        <f t="array" ref="J1658">IFERROR(INDEX('Retirement Calculator'!K:K,MATCH('Lorri 401b'!N1658,'Retirement Calculator'!A:A,0),0),0)</f>
        <v>0</v>
      </c>
      <c r="K1658" s="455">
        <f t="shared" ca="1" si="113"/>
        <v>-1725868.763408747</v>
      </c>
      <c r="L1658" s="455">
        <f t="shared" ca="1" si="114"/>
        <v>-415934371.98150802</v>
      </c>
      <c r="M1658" s="471">
        <f t="shared" si="116"/>
        <v>0.05</v>
      </c>
      <c r="N1658" s="475">
        <f t="shared" si="117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15"/>
        <v>-415934371.98150802</v>
      </c>
      <c r="J1659" s="455">
        <f t="array" ref="J1659">IFERROR(INDEX('Retirement Calculator'!K:K,MATCH('Lorri 401b'!N1659,'Retirement Calculator'!A:A,0),0),0)</f>
        <v>0</v>
      </c>
      <c r="K1659" s="455">
        <f t="shared" ca="1" si="113"/>
        <v>-1733059.8832562834</v>
      </c>
      <c r="L1659" s="455">
        <f t="shared" ca="1" si="114"/>
        <v>-417667431.86476427</v>
      </c>
      <c r="M1659" s="471">
        <f t="shared" si="116"/>
        <v>0.05</v>
      </c>
      <c r="N1659" s="475">
        <f t="shared" si="117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15"/>
        <v>-417667431.86476427</v>
      </c>
      <c r="J1660" s="455">
        <f t="array" ref="J1660">IFERROR(INDEX('Retirement Calculator'!K:K,MATCH('Lorri 401b'!N1660,'Retirement Calculator'!A:A,0),0),0)</f>
        <v>0</v>
      </c>
      <c r="K1660" s="455">
        <f t="shared" ca="1" si="113"/>
        <v>-1740280.9661031845</v>
      </c>
      <c r="L1660" s="455">
        <f t="shared" ca="1" si="114"/>
        <v>-419407712.83086747</v>
      </c>
      <c r="M1660" s="471">
        <f t="shared" si="116"/>
        <v>0.05</v>
      </c>
      <c r="N1660" s="475">
        <f t="shared" si="117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15"/>
        <v>-419407712.83086747</v>
      </c>
      <c r="J1661" s="455">
        <f t="array" ref="J1661">IFERROR(INDEX('Retirement Calculator'!K:K,MATCH('Lorri 401b'!N1661,'Retirement Calculator'!A:A,0),0),0)</f>
        <v>0</v>
      </c>
      <c r="K1661" s="455">
        <f t="shared" ca="1" si="113"/>
        <v>-1747532.1367952812</v>
      </c>
      <c r="L1661" s="455">
        <f t="shared" ca="1" si="114"/>
        <v>-421155244.96766275</v>
      </c>
      <c r="M1661" s="471">
        <f t="shared" si="116"/>
        <v>0.05</v>
      </c>
      <c r="N1661" s="475">
        <f t="shared" si="117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15"/>
        <v>-421155244.96766275</v>
      </c>
      <c r="J1662" s="455">
        <f t="array" ref="J1662">IFERROR(INDEX('Retirement Calculator'!K:K,MATCH('Lorri 401b'!N1662,'Retirement Calculator'!A:A,0),0),0)</f>
        <v>0</v>
      </c>
      <c r="K1662" s="455">
        <f t="shared" ca="1" si="113"/>
        <v>-1754813.5206985949</v>
      </c>
      <c r="L1662" s="455">
        <f t="shared" ca="1" si="114"/>
        <v>-422910058.48836136</v>
      </c>
      <c r="M1662" s="471">
        <f t="shared" si="116"/>
        <v>0.05</v>
      </c>
      <c r="N1662" s="475">
        <f t="shared" si="117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15"/>
        <v>-422910058.48836136</v>
      </c>
      <c r="J1663" s="455">
        <f t="array" ref="J1663">IFERROR(INDEX('Retirement Calculator'!K:K,MATCH('Lorri 401b'!N1663,'Retirement Calculator'!A:A,0),0),0)</f>
        <v>0</v>
      </c>
      <c r="K1663" s="455">
        <f t="shared" ca="1" si="113"/>
        <v>-1762125.2437015055</v>
      </c>
      <c r="L1663" s="455">
        <f t="shared" ca="1" si="114"/>
        <v>-424672183.73206288</v>
      </c>
      <c r="M1663" s="471">
        <f t="shared" si="116"/>
        <v>0.05</v>
      </c>
      <c r="N1663" s="475">
        <f t="shared" si="117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15"/>
        <v>-424672183.73206288</v>
      </c>
      <c r="J1664" s="455">
        <f t="array" ref="J1664">IFERROR(INDEX('Retirement Calculator'!K:K,MATCH('Lorri 401b'!N1664,'Retirement Calculator'!A:A,0),0),0)</f>
        <v>0</v>
      </c>
      <c r="K1664" s="455">
        <f t="shared" ca="1" si="113"/>
        <v>-1769467.4322169286</v>
      </c>
      <c r="L1664" s="455">
        <f t="shared" ca="1" si="114"/>
        <v>-426441651.16427982</v>
      </c>
      <c r="M1664" s="471">
        <f t="shared" si="116"/>
        <v>0.05</v>
      </c>
      <c r="N1664" s="475">
        <f t="shared" si="117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15"/>
        <v>-426441651.16427982</v>
      </c>
      <c r="J1665" s="455">
        <f t="array" ref="J1665">IFERROR(INDEX('Retirement Calculator'!K:K,MATCH('Lorri 401b'!N1665,'Retirement Calculator'!A:A,0),0),0)</f>
        <v>0</v>
      </c>
      <c r="K1665" s="455">
        <f t="shared" ca="1" si="113"/>
        <v>-1776840.2131844992</v>
      </c>
      <c r="L1665" s="455">
        <f t="shared" ca="1" si="114"/>
        <v>-428218491.37746429</v>
      </c>
      <c r="M1665" s="471">
        <f t="shared" si="116"/>
        <v>0.05</v>
      </c>
      <c r="N1665" s="475">
        <f t="shared" si="117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15"/>
        <v>-428218491.37746429</v>
      </c>
      <c r="J1666" s="455">
        <f t="array" ref="J1666">IFERROR(INDEX('Retirement Calculator'!K:K,MATCH('Lorri 401b'!N1666,'Retirement Calculator'!A:A,0),0),0)</f>
        <v>0</v>
      </c>
      <c r="K1666" s="455">
        <f t="shared" ca="1" si="113"/>
        <v>-1784243.7140727676</v>
      </c>
      <c r="L1666" s="455">
        <f t="shared" ca="1" si="114"/>
        <v>-430002735.09153706</v>
      </c>
      <c r="M1666" s="471">
        <f t="shared" si="116"/>
        <v>0.05</v>
      </c>
      <c r="N1666" s="475">
        <f t="shared" si="117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15"/>
        <v>-430002735.09153706</v>
      </c>
      <c r="J1667" s="455">
        <f t="array" ref="J1667">IFERROR(INDEX('Retirement Calculator'!K:K,MATCH('Lorri 401b'!N1667,'Retirement Calculator'!A:A,0),0),0)</f>
        <v>0</v>
      </c>
      <c r="K1667" s="455">
        <f t="shared" ca="1" si="113"/>
        <v>-1791678.0628814043</v>
      </c>
      <c r="L1667" s="455">
        <f t="shared" ca="1" si="114"/>
        <v>-431794413.15441847</v>
      </c>
      <c r="M1667" s="471">
        <f t="shared" si="116"/>
        <v>0.05</v>
      </c>
      <c r="N1667" s="475">
        <f t="shared" si="117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15"/>
        <v>-431794413.15441847</v>
      </c>
      <c r="J1668" s="455">
        <f t="array" ref="J1668">IFERROR(INDEX('Retirement Calculator'!K:K,MATCH('Lorri 401b'!N1668,'Retirement Calculator'!A:A,0),0),0)</f>
        <v>0</v>
      </c>
      <c r="K1668" s="455">
        <f t="shared" ca="1" si="113"/>
        <v>-1799143.38814341</v>
      </c>
      <c r="L1668" s="455">
        <f t="shared" ca="1" si="114"/>
        <v>-433593556.54256189</v>
      </c>
      <c r="M1668" s="471">
        <f t="shared" si="116"/>
        <v>0.05</v>
      </c>
      <c r="N1668" s="475">
        <f t="shared" si="117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15"/>
        <v>-433593556.54256189</v>
      </c>
      <c r="J1669" s="455">
        <f t="array" ref="J1669">IFERROR(INDEX('Retirement Calculator'!K:K,MATCH('Lorri 401b'!N1669,'Retirement Calculator'!A:A,0),0),0)</f>
        <v>0</v>
      </c>
      <c r="K1669" s="455">
        <f t="shared" ca="1" si="113"/>
        <v>-1806639.8189273411</v>
      </c>
      <c r="L1669" s="455">
        <f t="shared" ca="1" si="114"/>
        <v>-435400196.36148924</v>
      </c>
      <c r="M1669" s="471">
        <f t="shared" si="116"/>
        <v>0.05</v>
      </c>
      <c r="N1669" s="475">
        <f t="shared" si="117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15"/>
        <v>-435400196.36148924</v>
      </c>
      <c r="J1670" s="455">
        <f t="array" ref="J1670">IFERROR(INDEX('Retirement Calculator'!K:K,MATCH('Lorri 401b'!N1670,'Retirement Calculator'!A:A,0),0),0)</f>
        <v>0</v>
      </c>
      <c r="K1670" s="455">
        <f t="shared" ca="1" si="113"/>
        <v>-1814167.4848395388</v>
      </c>
      <c r="L1670" s="455">
        <f t="shared" ca="1" si="114"/>
        <v>-437214363.84632879</v>
      </c>
      <c r="M1670" s="471">
        <f t="shared" si="116"/>
        <v>0.05</v>
      </c>
      <c r="N1670" s="475">
        <f t="shared" si="117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15"/>
        <v>-437214363.84632879</v>
      </c>
      <c r="J1671" s="455">
        <f t="array" ref="J1671">IFERROR(INDEX('Retirement Calculator'!K:K,MATCH('Lorri 401b'!N1671,'Retirement Calculator'!A:A,0),0),0)</f>
        <v>0</v>
      </c>
      <c r="K1671" s="455">
        <f t="shared" ca="1" si="113"/>
        <v>-1821726.51602637</v>
      </c>
      <c r="L1671" s="455">
        <f t="shared" ca="1" si="114"/>
        <v>-439036090.36235517</v>
      </c>
      <c r="M1671" s="471">
        <f t="shared" si="116"/>
        <v>0.05</v>
      </c>
      <c r="N1671" s="475">
        <f t="shared" si="117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15"/>
        <v>-439036090.36235517</v>
      </c>
      <c r="J1672" s="455">
        <f t="array" ref="J1672">IFERROR(INDEX('Retirement Calculator'!K:K,MATCH('Lorri 401b'!N1672,'Retirement Calculator'!A:A,0),0),0)</f>
        <v>0</v>
      </c>
      <c r="K1672" s="455">
        <f t="shared" ca="1" si="113"/>
        <v>-1829317.0431764801</v>
      </c>
      <c r="L1672" s="455">
        <f t="shared" ca="1" si="114"/>
        <v>-440865407.40553164</v>
      </c>
      <c r="M1672" s="471">
        <f t="shared" si="116"/>
        <v>0.05</v>
      </c>
      <c r="N1672" s="475">
        <f t="shared" si="117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15"/>
        <v>-440865407.40553164</v>
      </c>
      <c r="J1673" s="455">
        <f t="array" ref="J1673">IFERROR(INDEX('Retirement Calculator'!K:K,MATCH('Lorri 401b'!N1673,'Retirement Calculator'!A:A,0),0),0)</f>
        <v>0</v>
      </c>
      <c r="K1673" s="455">
        <f t="shared" ca="1" si="113"/>
        <v>-1836939.1975230484</v>
      </c>
      <c r="L1673" s="455">
        <f t="shared" ca="1" si="114"/>
        <v>-442702346.6030547</v>
      </c>
      <c r="M1673" s="471">
        <f t="shared" si="116"/>
        <v>0.05</v>
      </c>
      <c r="N1673" s="475">
        <f t="shared" si="117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15"/>
        <v>-442702346.6030547</v>
      </c>
      <c r="J1674" s="455">
        <f t="array" ref="J1674">IFERROR(INDEX('Retirement Calculator'!K:K,MATCH('Lorri 401b'!N1674,'Retirement Calculator'!A:A,0),0),0)</f>
        <v>0</v>
      </c>
      <c r="K1674" s="455">
        <f t="shared" ca="1" si="113"/>
        <v>-1844593.1108460613</v>
      </c>
      <c r="L1674" s="455">
        <f t="shared" ca="1" si="114"/>
        <v>-444546939.71390074</v>
      </c>
      <c r="M1674" s="471">
        <f t="shared" si="116"/>
        <v>0.05</v>
      </c>
      <c r="N1674" s="475">
        <f t="shared" si="117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15"/>
        <v>-444546939.71390074</v>
      </c>
      <c r="J1675" s="455">
        <f t="array" ref="J1675">IFERROR(INDEX('Retirement Calculator'!K:K,MATCH('Lorri 401b'!N1675,'Retirement Calculator'!A:A,0),0),0)</f>
        <v>0</v>
      </c>
      <c r="K1675" s="455">
        <f t="shared" ca="1" si="113"/>
        <v>-1852278.9154745862</v>
      </c>
      <c r="L1675" s="455">
        <f t="shared" ca="1" si="114"/>
        <v>-446399218.62937534</v>
      </c>
      <c r="M1675" s="471">
        <f t="shared" si="116"/>
        <v>0.05</v>
      </c>
      <c r="N1675" s="475">
        <f t="shared" si="117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15"/>
        <v>-446399218.62937534</v>
      </c>
      <c r="J1676" s="455">
        <f t="array" ref="J1676">IFERROR(INDEX('Retirement Calculator'!K:K,MATCH('Lorri 401b'!N1676,'Retirement Calculator'!A:A,0),0),0)</f>
        <v>0</v>
      </c>
      <c r="K1676" s="455">
        <f t="shared" ca="1" si="113"/>
        <v>-1859996.7442890638</v>
      </c>
      <c r="L1676" s="455">
        <f t="shared" ca="1" si="114"/>
        <v>-448259215.37366438</v>
      </c>
      <c r="M1676" s="471">
        <f t="shared" si="116"/>
        <v>0.05</v>
      </c>
      <c r="N1676" s="475">
        <f t="shared" si="117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15"/>
        <v>-448259215.37366438</v>
      </c>
      <c r="J1677" s="455">
        <f t="array" ref="J1677">IFERROR(INDEX('Retirement Calculator'!K:K,MATCH('Lorri 401b'!N1677,'Retirement Calculator'!A:A,0),0),0)</f>
        <v>0</v>
      </c>
      <c r="K1677" s="455">
        <f t="shared" ca="1" si="113"/>
        <v>-1867746.7307236015</v>
      </c>
      <c r="L1677" s="455">
        <f t="shared" ca="1" si="114"/>
        <v>-450126962.104388</v>
      </c>
      <c r="M1677" s="471">
        <f t="shared" si="116"/>
        <v>0.05</v>
      </c>
      <c r="N1677" s="475">
        <f t="shared" si="117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15"/>
        <v>-450126962.104388</v>
      </c>
      <c r="J1678" s="455">
        <f t="array" ref="J1678">IFERROR(INDEX('Retirement Calculator'!K:K,MATCH('Lorri 401b'!N1678,'Retirement Calculator'!A:A,0),0),0)</f>
        <v>0</v>
      </c>
      <c r="K1678" s="455">
        <f t="shared" ca="1" si="113"/>
        <v>-1875529.0087682833</v>
      </c>
      <c r="L1678" s="455">
        <f t="shared" ca="1" si="114"/>
        <v>-452002491.11315626</v>
      </c>
      <c r="M1678" s="471">
        <f t="shared" si="116"/>
        <v>0.05</v>
      </c>
      <c r="N1678" s="475">
        <f t="shared" si="117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15"/>
        <v>-452002491.11315626</v>
      </c>
      <c r="J1679" s="455">
        <f t="array" ref="J1679">IFERROR(INDEX('Retirement Calculator'!K:K,MATCH('Lorri 401b'!N1679,'Retirement Calculator'!A:A,0),0),0)</f>
        <v>0</v>
      </c>
      <c r="K1679" s="455">
        <f t="shared" ca="1" si="113"/>
        <v>-1883343.7129714843</v>
      </c>
      <c r="L1679" s="455">
        <f t="shared" ca="1" si="114"/>
        <v>-453885834.82612777</v>
      </c>
      <c r="M1679" s="471">
        <f t="shared" si="116"/>
        <v>0.05</v>
      </c>
      <c r="N1679" s="475">
        <f t="shared" si="117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15"/>
        <v>-453885834.82612777</v>
      </c>
      <c r="J1680" s="455">
        <f t="array" ref="J1680">IFERROR(INDEX('Retirement Calculator'!K:K,MATCH('Lorri 401b'!N1680,'Retirement Calculator'!A:A,0),0),0)</f>
        <v>0</v>
      </c>
      <c r="K1680" s="455">
        <f t="shared" ca="1" si="113"/>
        <v>-1891190.9784421993</v>
      </c>
      <c r="L1680" s="455">
        <f t="shared" ca="1" si="114"/>
        <v>-455777025.80456996</v>
      </c>
      <c r="M1680" s="471">
        <f t="shared" si="116"/>
        <v>0.05</v>
      </c>
      <c r="N1680" s="475">
        <f t="shared" si="117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15"/>
        <v>-455777025.80456996</v>
      </c>
      <c r="J1681" s="455">
        <f t="array" ref="J1681">IFERROR(INDEX('Retirement Calculator'!K:K,MATCH('Lorri 401b'!N1681,'Retirement Calculator'!A:A,0),0),0)</f>
        <v>0</v>
      </c>
      <c r="K1681" s="455">
        <f t="shared" ca="1" si="113"/>
        <v>-1899070.9408523748</v>
      </c>
      <c r="L1681" s="455">
        <f t="shared" ca="1" si="114"/>
        <v>-457676096.74542236</v>
      </c>
      <c r="M1681" s="471">
        <f t="shared" si="116"/>
        <v>0.05</v>
      </c>
      <c r="N1681" s="475">
        <f t="shared" si="117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15"/>
        <v>-457676096.74542236</v>
      </c>
      <c r="J1682" s="455">
        <f t="array" ref="J1682">IFERROR(INDEX('Retirement Calculator'!K:K,MATCH('Lorri 401b'!N1682,'Retirement Calculator'!A:A,0),0),0)</f>
        <v>0</v>
      </c>
      <c r="K1682" s="455">
        <f t="shared" ca="1" si="113"/>
        <v>-1906983.7364392597</v>
      </c>
      <c r="L1682" s="455">
        <f t="shared" ca="1" si="114"/>
        <v>-459583080.48186165</v>
      </c>
      <c r="M1682" s="471">
        <f t="shared" si="116"/>
        <v>0.05</v>
      </c>
      <c r="N1682" s="475">
        <f t="shared" si="117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15"/>
        <v>-459583080.48186165</v>
      </c>
      <c r="J1683" s="455">
        <f t="array" ref="J1683">IFERROR(INDEX('Retirement Calculator'!K:K,MATCH('Lorri 401b'!N1683,'Retirement Calculator'!A:A,0),0),0)</f>
        <v>0</v>
      </c>
      <c r="K1683" s="455">
        <f t="shared" ca="1" si="113"/>
        <v>-1914929.5020077568</v>
      </c>
      <c r="L1683" s="455">
        <f t="shared" ca="1" si="114"/>
        <v>-461498009.98386943</v>
      </c>
      <c r="M1683" s="471">
        <f t="shared" si="116"/>
        <v>0.05</v>
      </c>
      <c r="N1683" s="475">
        <f t="shared" si="117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15"/>
        <v>-461498009.98386943</v>
      </c>
      <c r="J1684" s="455">
        <f t="array" ref="J1684">IFERROR(INDEX('Retirement Calculator'!K:K,MATCH('Lorri 401b'!N1684,'Retirement Calculator'!A:A,0),0),0)</f>
        <v>0</v>
      </c>
      <c r="K1684" s="455">
        <f t="shared" ca="1" si="113"/>
        <v>-1922908.3749327892</v>
      </c>
      <c r="L1684" s="455">
        <f t="shared" ca="1" si="114"/>
        <v>-463420918.3588022</v>
      </c>
      <c r="M1684" s="471">
        <f t="shared" si="116"/>
        <v>0.05</v>
      </c>
      <c r="N1684" s="475">
        <f t="shared" si="117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15"/>
        <v>-463420918.3588022</v>
      </c>
      <c r="J1685" s="455">
        <f t="array" ref="J1685">IFERROR(INDEX('Retirement Calculator'!K:K,MATCH('Lorri 401b'!N1685,'Retirement Calculator'!A:A,0),0),0)</f>
        <v>0</v>
      </c>
      <c r="K1685" s="455">
        <f t="shared" ca="1" si="113"/>
        <v>-1930920.4931616758</v>
      </c>
      <c r="L1685" s="455">
        <f t="shared" ca="1" si="114"/>
        <v>-465351838.85196388</v>
      </c>
      <c r="M1685" s="471">
        <f t="shared" si="116"/>
        <v>0.05</v>
      </c>
      <c r="N1685" s="475">
        <f t="shared" si="117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15"/>
        <v>-465351838.85196388</v>
      </c>
      <c r="J1686" s="455">
        <f t="array" ref="J1686">IFERROR(INDEX('Retirement Calculator'!K:K,MATCH('Lorri 401b'!N1686,'Retirement Calculator'!A:A,0),0),0)</f>
        <v>0</v>
      </c>
      <c r="K1686" s="455">
        <f t="shared" ca="1" si="113"/>
        <v>-1938965.9952165161</v>
      </c>
      <c r="L1686" s="455">
        <f t="shared" ca="1" si="114"/>
        <v>-467290804.84718037</v>
      </c>
      <c r="M1686" s="471">
        <f t="shared" si="116"/>
        <v>0.05</v>
      </c>
      <c r="N1686" s="475">
        <f t="shared" si="117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15"/>
        <v>-467290804.84718037</v>
      </c>
      <c r="J1687" s="455">
        <f t="array" ref="J1687">IFERROR(INDEX('Retirement Calculator'!K:K,MATCH('Lorri 401b'!N1687,'Retirement Calculator'!A:A,0),0),0)</f>
        <v>0</v>
      </c>
      <c r="K1687" s="455">
        <f t="shared" ca="1" si="113"/>
        <v>-1947045.0201965848</v>
      </c>
      <c r="L1687" s="455">
        <f t="shared" ca="1" si="114"/>
        <v>-469237849.86737692</v>
      </c>
      <c r="M1687" s="471">
        <f t="shared" si="116"/>
        <v>0.05</v>
      </c>
      <c r="N1687" s="475">
        <f t="shared" si="117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15"/>
        <v>-469237849.86737692</v>
      </c>
      <c r="J1688" s="455">
        <f t="array" ref="J1688">IFERROR(INDEX('Retirement Calculator'!K:K,MATCH('Lorri 401b'!N1688,'Retirement Calculator'!A:A,0),0),0)</f>
        <v>0</v>
      </c>
      <c r="K1688" s="455">
        <f t="shared" ca="1" si="113"/>
        <v>-1955157.7077807374</v>
      </c>
      <c r="L1688" s="455">
        <f t="shared" ca="1" si="114"/>
        <v>-471193007.57515764</v>
      </c>
      <c r="M1688" s="471">
        <f t="shared" si="116"/>
        <v>0.05</v>
      </c>
      <c r="N1688" s="475">
        <f t="shared" si="117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15"/>
        <v>-471193007.57515764</v>
      </c>
      <c r="J1689" s="455">
        <f t="array" ref="J1689">IFERROR(INDEX('Retirement Calculator'!K:K,MATCH('Lorri 401b'!N1689,'Retirement Calculator'!A:A,0),0),0)</f>
        <v>0</v>
      </c>
      <c r="K1689" s="455">
        <f t="shared" ca="1" si="113"/>
        <v>-1963304.1982298235</v>
      </c>
      <c r="L1689" s="455">
        <f t="shared" ca="1" si="114"/>
        <v>-473156311.77338749</v>
      </c>
      <c r="M1689" s="471">
        <f t="shared" si="116"/>
        <v>0.05</v>
      </c>
      <c r="N1689" s="475">
        <f t="shared" si="117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15"/>
        <v>-473156311.77338749</v>
      </c>
      <c r="J1690" s="455">
        <f t="array" ref="J1690">IFERROR(INDEX('Retirement Calculator'!K:K,MATCH('Lorri 401b'!N1690,'Retirement Calculator'!A:A,0),0),0)</f>
        <v>0</v>
      </c>
      <c r="K1690" s="455">
        <f t="shared" ca="1" si="113"/>
        <v>-1971484.6323891145</v>
      </c>
      <c r="L1690" s="455">
        <f t="shared" ca="1" si="114"/>
        <v>-475127796.40577662</v>
      </c>
      <c r="M1690" s="471">
        <f t="shared" si="116"/>
        <v>0.05</v>
      </c>
      <c r="N1690" s="475">
        <f t="shared" si="117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15"/>
        <v>-475127796.40577662</v>
      </c>
      <c r="J1691" s="455">
        <f t="array" ref="J1691">IFERROR(INDEX('Retirement Calculator'!K:K,MATCH('Lorri 401b'!N1691,'Retirement Calculator'!A:A,0),0),0)</f>
        <v>0</v>
      </c>
      <c r="K1691" s="455">
        <f t="shared" ca="1" si="113"/>
        <v>-1979699.1516907359</v>
      </c>
      <c r="L1691" s="455">
        <f t="shared" ca="1" si="114"/>
        <v>-477107495.55746734</v>
      </c>
      <c r="M1691" s="471">
        <f t="shared" si="116"/>
        <v>0.05</v>
      </c>
      <c r="N1691" s="475">
        <f t="shared" si="117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15"/>
        <v>-477107495.55746734</v>
      </c>
      <c r="J1692" s="455">
        <f t="array" ref="J1692">IFERROR(INDEX('Retirement Calculator'!K:K,MATCH('Lorri 401b'!N1692,'Retirement Calculator'!A:A,0),0),0)</f>
        <v>0</v>
      </c>
      <c r="K1692" s="455">
        <f t="shared" ca="1" si="113"/>
        <v>-1987947.8981561139</v>
      </c>
      <c r="L1692" s="455">
        <f t="shared" ca="1" si="114"/>
        <v>-479095443.45562345</v>
      </c>
      <c r="M1692" s="471">
        <f t="shared" si="116"/>
        <v>0.05</v>
      </c>
      <c r="N1692" s="475">
        <f t="shared" si="117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15"/>
        <v>-479095443.45562345</v>
      </c>
      <c r="J1693" s="455">
        <f t="array" ref="J1693">IFERROR(INDEX('Retirement Calculator'!K:K,MATCH('Lorri 401b'!N1693,'Retirement Calculator'!A:A,0),0),0)</f>
        <v>0</v>
      </c>
      <c r="K1693" s="455">
        <f t="shared" ca="1" si="113"/>
        <v>-1996231.0143984309</v>
      </c>
      <c r="L1693" s="455">
        <f t="shared" ca="1" si="114"/>
        <v>-481091674.4700219</v>
      </c>
      <c r="M1693" s="471">
        <f t="shared" si="116"/>
        <v>0.05</v>
      </c>
      <c r="N1693" s="475">
        <f t="shared" si="117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15"/>
        <v>-481091674.4700219</v>
      </c>
      <c r="J1694" s="455">
        <f t="array" ref="J1694">IFERROR(INDEX('Retirement Calculator'!K:K,MATCH('Lorri 401b'!N1694,'Retirement Calculator'!A:A,0),0),0)</f>
        <v>0</v>
      </c>
      <c r="K1694" s="455">
        <f t="shared" ca="1" si="113"/>
        <v>-2004548.6436250913</v>
      </c>
      <c r="L1694" s="455">
        <f t="shared" ca="1" si="114"/>
        <v>-483096223.11364698</v>
      </c>
      <c r="M1694" s="471">
        <f t="shared" si="116"/>
        <v>0.05</v>
      </c>
      <c r="N1694" s="475">
        <f t="shared" si="117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15"/>
        <v>-483096223.11364698</v>
      </c>
      <c r="J1695" s="455">
        <f t="array" ref="J1695">IFERROR(INDEX('Retirement Calculator'!K:K,MATCH('Lorri 401b'!N1695,'Retirement Calculator'!A:A,0),0),0)</f>
        <v>0</v>
      </c>
      <c r="K1695" s="455">
        <f t="shared" ca="1" si="113"/>
        <v>-2012900.9296401958</v>
      </c>
      <c r="L1695" s="455">
        <f t="shared" ca="1" si="114"/>
        <v>-485109124.04328716</v>
      </c>
      <c r="M1695" s="471">
        <f t="shared" si="116"/>
        <v>0.05</v>
      </c>
      <c r="N1695" s="475">
        <f t="shared" si="117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15"/>
        <v>-485109124.04328716</v>
      </c>
      <c r="J1696" s="455">
        <f t="array" ref="J1696">IFERROR(INDEX('Retirement Calculator'!K:K,MATCH('Lorri 401b'!N1696,'Retirement Calculator'!A:A,0),0),0)</f>
        <v>0</v>
      </c>
      <c r="K1696" s="455">
        <f t="shared" ca="1" si="113"/>
        <v>-2021288.0168470298</v>
      </c>
      <c r="L1696" s="455">
        <f t="shared" ca="1" si="114"/>
        <v>-487130412.06013417</v>
      </c>
      <c r="M1696" s="471">
        <f t="shared" si="116"/>
        <v>0.05</v>
      </c>
      <c r="N1696" s="475">
        <f t="shared" si="117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15"/>
        <v>-487130412.06013417</v>
      </c>
      <c r="J1697" s="455">
        <f t="array" ref="J1697">IFERROR(INDEX('Retirement Calculator'!K:K,MATCH('Lorri 401b'!N1697,'Retirement Calculator'!A:A,0),0),0)</f>
        <v>0</v>
      </c>
      <c r="K1697" s="455">
        <f t="shared" ca="1" si="113"/>
        <v>-2029710.0502505591</v>
      </c>
      <c r="L1697" s="455">
        <f t="shared" ca="1" si="114"/>
        <v>-489160122.1103847</v>
      </c>
      <c r="M1697" s="471">
        <f t="shared" si="116"/>
        <v>0.05</v>
      </c>
      <c r="N1697" s="475">
        <f t="shared" si="117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15"/>
        <v>-489160122.1103847</v>
      </c>
      <c r="J1698" s="455">
        <f t="array" ref="J1698">IFERROR(INDEX('Retirement Calculator'!K:K,MATCH('Lorri 401b'!N1698,'Retirement Calculator'!A:A,0),0),0)</f>
        <v>0</v>
      </c>
      <c r="K1698" s="455">
        <f t="shared" ca="1" si="113"/>
        <v>-2038167.1754599363</v>
      </c>
      <c r="L1698" s="455">
        <f t="shared" ca="1" si="114"/>
        <v>-491198289.28584462</v>
      </c>
      <c r="M1698" s="471">
        <f t="shared" si="116"/>
        <v>0.05</v>
      </c>
      <c r="N1698" s="475">
        <f t="shared" si="117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15"/>
        <v>-491198289.28584462</v>
      </c>
      <c r="J1699" s="455">
        <f t="array" ref="J1699">IFERROR(INDEX('Retirement Calculator'!K:K,MATCH('Lorri 401b'!N1699,'Retirement Calculator'!A:A,0),0),0)</f>
        <v>0</v>
      </c>
      <c r="K1699" s="455">
        <f t="shared" ca="1" si="113"/>
        <v>-2046659.5386910192</v>
      </c>
      <c r="L1699" s="455">
        <f t="shared" ca="1" si="114"/>
        <v>-493244948.82453567</v>
      </c>
      <c r="M1699" s="471">
        <f t="shared" si="116"/>
        <v>0.05</v>
      </c>
      <c r="N1699" s="475">
        <f t="shared" si="117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15"/>
        <v>-493244948.82453567</v>
      </c>
      <c r="J1700" s="455">
        <f t="array" ref="J1700">IFERROR(INDEX('Retirement Calculator'!K:K,MATCH('Lorri 401b'!N1700,'Retirement Calculator'!A:A,0),0),0)</f>
        <v>0</v>
      </c>
      <c r="K1700" s="455">
        <f t="shared" ca="1" si="113"/>
        <v>-2055187.2867688986</v>
      </c>
      <c r="L1700" s="455">
        <f t="shared" ca="1" si="114"/>
        <v>-495300136.11130458</v>
      </c>
      <c r="M1700" s="471">
        <f t="shared" si="116"/>
        <v>0.05</v>
      </c>
      <c r="N1700" s="475">
        <f t="shared" si="117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15"/>
        <v>-495300136.11130458</v>
      </c>
      <c r="J1701" s="455">
        <f t="array" ref="J1701">IFERROR(INDEX('Retirement Calculator'!K:K,MATCH('Lorri 401b'!N1701,'Retirement Calculator'!A:A,0),0),0)</f>
        <v>0</v>
      </c>
      <c r="K1701" s="455">
        <f t="shared" ca="1" si="113"/>
        <v>-2063750.5671304357</v>
      </c>
      <c r="L1701" s="455">
        <f t="shared" ca="1" si="114"/>
        <v>-497363886.67843503</v>
      </c>
      <c r="M1701" s="471">
        <f t="shared" si="116"/>
        <v>0.05</v>
      </c>
      <c r="N1701" s="475">
        <f t="shared" si="117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15"/>
        <v>-497363886.67843503</v>
      </c>
      <c r="J1702" s="455">
        <f t="array" ref="J1702">IFERROR(INDEX('Retirement Calculator'!K:K,MATCH('Lorri 401b'!N1702,'Retirement Calculator'!A:A,0),0),0)</f>
        <v>0</v>
      </c>
      <c r="K1702" s="455">
        <f t="shared" ca="1" si="113"/>
        <v>-2072349.5278268126</v>
      </c>
      <c r="L1702" s="455">
        <f t="shared" ca="1" si="114"/>
        <v>-499436236.20626181</v>
      </c>
      <c r="M1702" s="471">
        <f t="shared" si="116"/>
        <v>0.05</v>
      </c>
      <c r="N1702" s="475">
        <f t="shared" si="117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15"/>
        <v>-499436236.20626181</v>
      </c>
      <c r="J1703" s="455">
        <f t="array" ref="J1703">IFERROR(INDEX('Retirement Calculator'!K:K,MATCH('Lorri 401b'!N1703,'Retirement Calculator'!A:A,0),0),0)</f>
        <v>0</v>
      </c>
      <c r="K1703" s="455">
        <f t="shared" ca="1" si="113"/>
        <v>-2080984.3175260909</v>
      </c>
      <c r="L1703" s="455">
        <f t="shared" ca="1" si="114"/>
        <v>-501517220.52378792</v>
      </c>
      <c r="M1703" s="471">
        <f t="shared" si="116"/>
        <v>0.05</v>
      </c>
      <c r="N1703" s="475">
        <f t="shared" si="117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15"/>
        <v>-501517220.52378792</v>
      </c>
      <c r="J1704" s="455">
        <f t="array" ref="J1704">IFERROR(INDEX('Retirement Calculator'!K:K,MATCH('Lorri 401b'!N1704,'Retirement Calculator'!A:A,0),0),0)</f>
        <v>0</v>
      </c>
      <c r="K1704" s="455">
        <f t="shared" ca="1" si="113"/>
        <v>-2089655.0855157832</v>
      </c>
      <c r="L1704" s="455">
        <f t="shared" ca="1" si="114"/>
        <v>-503606875.60930371</v>
      </c>
      <c r="M1704" s="471">
        <f t="shared" si="116"/>
        <v>0.05</v>
      </c>
      <c r="N1704" s="475">
        <f t="shared" si="117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15"/>
        <v>-503606875.60930371</v>
      </c>
      <c r="J1705" s="455">
        <f t="array" ref="J1705">IFERROR(INDEX('Retirement Calculator'!K:K,MATCH('Lorri 401b'!N1705,'Retirement Calculator'!A:A,0),0),0)</f>
        <v>0</v>
      </c>
      <c r="K1705" s="455">
        <f t="shared" ca="1" si="113"/>
        <v>-2098361.9817054323</v>
      </c>
      <c r="L1705" s="455">
        <f t="shared" ca="1" si="114"/>
        <v>-505705237.59100914</v>
      </c>
      <c r="M1705" s="471">
        <f t="shared" si="116"/>
        <v>0.05</v>
      </c>
      <c r="N1705" s="475">
        <f t="shared" si="117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15"/>
        <v>-505705237.59100914</v>
      </c>
      <c r="J1706" s="455">
        <f t="array" ref="J1706">IFERROR(INDEX('Retirement Calculator'!K:K,MATCH('Lorri 401b'!N1706,'Retirement Calculator'!A:A,0),0),0)</f>
        <v>0</v>
      </c>
      <c r="K1706" s="455">
        <f t="shared" ca="1" si="113"/>
        <v>-2107105.1566292043</v>
      </c>
      <c r="L1706" s="455">
        <f t="shared" ca="1" si="114"/>
        <v>-507812342.74763834</v>
      </c>
      <c r="M1706" s="471">
        <f t="shared" si="116"/>
        <v>0.05</v>
      </c>
      <c r="N1706" s="475">
        <f t="shared" si="117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15"/>
        <v>-507812342.74763834</v>
      </c>
      <c r="J1707" s="455">
        <f t="array" ref="J1707">IFERROR(INDEX('Retirement Calculator'!K:K,MATCH('Lorri 401b'!N1707,'Retirement Calculator'!A:A,0),0),0)</f>
        <v>0</v>
      </c>
      <c r="K1707" s="455">
        <f t="shared" ca="1" si="113"/>
        <v>-2115884.7614484932</v>
      </c>
      <c r="L1707" s="455">
        <f t="shared" ca="1" si="114"/>
        <v>-509928227.50908685</v>
      </c>
      <c r="M1707" s="471">
        <f t="shared" si="116"/>
        <v>0.05</v>
      </c>
      <c r="N1707" s="475">
        <f t="shared" si="117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15"/>
        <v>-509928227.50908685</v>
      </c>
      <c r="J1708" s="455">
        <f t="array" ref="J1708">IFERROR(INDEX('Retirement Calculator'!K:K,MATCH('Lorri 401b'!N1708,'Retirement Calculator'!A:A,0),0),0)</f>
        <v>0</v>
      </c>
      <c r="K1708" s="455">
        <f t="shared" ca="1" si="113"/>
        <v>-2124700.947954528</v>
      </c>
      <c r="L1708" s="455">
        <f t="shared" ca="1" si="114"/>
        <v>-512052928.45704138</v>
      </c>
      <c r="M1708" s="471">
        <f t="shared" si="116"/>
        <v>0.05</v>
      </c>
      <c r="N1708" s="475">
        <f t="shared" si="117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15"/>
        <v>-512052928.45704138</v>
      </c>
      <c r="J1709" s="455">
        <f t="array" ref="J1709">IFERROR(INDEX('Retirement Calculator'!K:K,MATCH('Lorri 401b'!N1709,'Retirement Calculator'!A:A,0),0),0)</f>
        <v>0</v>
      </c>
      <c r="K1709" s="455">
        <f t="shared" ca="1" si="113"/>
        <v>-2133553.8685710058</v>
      </c>
      <c r="L1709" s="455">
        <f t="shared" ca="1" si="114"/>
        <v>-514186482.32561237</v>
      </c>
      <c r="M1709" s="471">
        <f t="shared" si="116"/>
        <v>0.05</v>
      </c>
      <c r="N1709" s="475">
        <f t="shared" si="117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15"/>
        <v>-514186482.32561237</v>
      </c>
      <c r="J1710" s="455">
        <f t="array" ref="J1710">IFERROR(INDEX('Retirement Calculator'!K:K,MATCH('Lorri 401b'!N1710,'Retirement Calculator'!A:A,0),0),0)</f>
        <v>0</v>
      </c>
      <c r="K1710" s="455">
        <f t="shared" ca="1" si="113"/>
        <v>-2142443.6763567179</v>
      </c>
      <c r="L1710" s="455">
        <f t="shared" ca="1" si="114"/>
        <v>-516328926.0019691</v>
      </c>
      <c r="M1710" s="471">
        <f t="shared" si="116"/>
        <v>0.05</v>
      </c>
      <c r="N1710" s="475">
        <f t="shared" si="117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15"/>
        <v>-516328926.0019691</v>
      </c>
      <c r="J1711" s="455">
        <f t="array" ref="J1711">IFERROR(INDEX('Retirement Calculator'!K:K,MATCH('Lorri 401b'!N1711,'Retirement Calculator'!A:A,0),0),0)</f>
        <v>0</v>
      </c>
      <c r="K1711" s="455">
        <f t="shared" ca="1" si="113"/>
        <v>-2151370.5250082044</v>
      </c>
      <c r="L1711" s="455">
        <f t="shared" ca="1" si="114"/>
        <v>-518480296.5269773</v>
      </c>
      <c r="M1711" s="471">
        <f t="shared" si="116"/>
        <v>0.05</v>
      </c>
      <c r="N1711" s="475">
        <f t="shared" si="117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15"/>
        <v>-518480296.5269773</v>
      </c>
      <c r="J1712" s="455">
        <f t="array" ref="J1712">IFERROR(INDEX('Retirement Calculator'!K:K,MATCH('Lorri 401b'!N1712,'Retirement Calculator'!A:A,0),0),0)</f>
        <v>0</v>
      </c>
      <c r="K1712" s="455">
        <f t="shared" ca="1" si="113"/>
        <v>-2160334.5688624051</v>
      </c>
      <c r="L1712" s="455">
        <f t="shared" ca="1" si="114"/>
        <v>-520640631.09583968</v>
      </c>
      <c r="M1712" s="471">
        <f t="shared" si="116"/>
        <v>0.05</v>
      </c>
      <c r="N1712" s="475">
        <f t="shared" si="117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15"/>
        <v>-520640631.09583968</v>
      </c>
      <c r="J1713" s="455">
        <f t="array" ref="J1713">IFERROR(INDEX('Retirement Calculator'!K:K,MATCH('Lorri 401b'!N1713,'Retirement Calculator'!A:A,0),0),0)</f>
        <v>0</v>
      </c>
      <c r="K1713" s="455">
        <f t="shared" ca="1" si="113"/>
        <v>-2169335.9628993319</v>
      </c>
      <c r="L1713" s="455">
        <f t="shared" ca="1" si="114"/>
        <v>-522809967.05873901</v>
      </c>
      <c r="M1713" s="471">
        <f t="shared" si="116"/>
        <v>0.05</v>
      </c>
      <c r="N1713" s="475">
        <f t="shared" si="117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15"/>
        <v>-522809967.05873901</v>
      </c>
      <c r="J1714" s="455">
        <f t="array" ref="J1714">IFERROR(INDEX('Retirement Calculator'!K:K,MATCH('Lorri 401b'!N1714,'Retirement Calculator'!A:A,0),0),0)</f>
        <v>0</v>
      </c>
      <c r="K1714" s="455">
        <f t="shared" ca="1" si="113"/>
        <v>-2178374.8627447458</v>
      </c>
      <c r="L1714" s="455">
        <f t="shared" ca="1" si="114"/>
        <v>-524988341.92148376</v>
      </c>
      <c r="M1714" s="471">
        <f t="shared" si="116"/>
        <v>0.05</v>
      </c>
      <c r="N1714" s="475">
        <f t="shared" si="117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15"/>
        <v>-524988341.92148376</v>
      </c>
      <c r="J1715" s="455">
        <f t="array" ref="J1715">IFERROR(INDEX('Retirement Calculator'!K:K,MATCH('Lorri 401b'!N1715,'Retirement Calculator'!A:A,0),0),0)</f>
        <v>0</v>
      </c>
      <c r="K1715" s="455">
        <f t="shared" ca="1" si="113"/>
        <v>-2187451.424672849</v>
      </c>
      <c r="L1715" s="455">
        <f t="shared" ca="1" si="114"/>
        <v>-527175793.3461566</v>
      </c>
      <c r="M1715" s="471">
        <f t="shared" si="116"/>
        <v>0.05</v>
      </c>
      <c r="N1715" s="475">
        <f t="shared" si="117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15"/>
        <v>-527175793.3461566</v>
      </c>
      <c r="J1716" s="455">
        <f t="array" ref="J1716">IFERROR(INDEX('Retirement Calculator'!K:K,MATCH('Lorri 401b'!N1716,'Retirement Calculator'!A:A,0),0),0)</f>
        <v>0</v>
      </c>
      <c r="K1716" s="455">
        <f t="shared" ca="1" si="113"/>
        <v>-2196565.8056089859</v>
      </c>
      <c r="L1716" s="455">
        <f t="shared" ca="1" si="114"/>
        <v>-529372359.15176558</v>
      </c>
      <c r="M1716" s="471">
        <f t="shared" si="116"/>
        <v>0.05</v>
      </c>
      <c r="N1716" s="475">
        <f t="shared" si="117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15"/>
        <v>-529372359.15176558</v>
      </c>
      <c r="J1717" s="455">
        <f t="array" ref="J1717">IFERROR(INDEX('Retirement Calculator'!K:K,MATCH('Lorri 401b'!N1717,'Retirement Calculator'!A:A,0),0),0)</f>
        <v>0</v>
      </c>
      <c r="K1717" s="455">
        <f t="shared" ca="1" si="113"/>
        <v>-2205718.1631323565</v>
      </c>
      <c r="L1717" s="455">
        <f t="shared" ca="1" si="114"/>
        <v>-531578077.31489795</v>
      </c>
      <c r="M1717" s="471">
        <f t="shared" si="116"/>
        <v>0.05</v>
      </c>
      <c r="N1717" s="475">
        <f t="shared" si="117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15"/>
        <v>-531578077.31489795</v>
      </c>
      <c r="J1718" s="455">
        <f t="array" ref="J1718">IFERROR(INDEX('Retirement Calculator'!K:K,MATCH('Lorri 401b'!N1718,'Retirement Calculator'!A:A,0),0),0)</f>
        <v>0</v>
      </c>
      <c r="K1718" s="455">
        <f t="shared" ca="1" si="113"/>
        <v>-2214908.655478741</v>
      </c>
      <c r="L1718" s="455">
        <f t="shared" ca="1" si="114"/>
        <v>-533792985.97037667</v>
      </c>
      <c r="M1718" s="471">
        <f t="shared" si="116"/>
        <v>0.05</v>
      </c>
      <c r="N1718" s="475">
        <f t="shared" si="117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15"/>
        <v>-533792985.97037667</v>
      </c>
      <c r="J1719" s="455">
        <f t="array" ref="J1719">IFERROR(INDEX('Retirement Calculator'!K:K,MATCH('Lorri 401b'!N1719,'Retirement Calculator'!A:A,0),0),0)</f>
        <v>0</v>
      </c>
      <c r="K1719" s="455">
        <f t="shared" ca="1" si="113"/>
        <v>-2224137.4415432359</v>
      </c>
      <c r="L1719" s="455">
        <f t="shared" ca="1" si="114"/>
        <v>-536017123.41191989</v>
      </c>
      <c r="M1719" s="471">
        <f t="shared" si="116"/>
        <v>0.05</v>
      </c>
      <c r="N1719" s="475">
        <f t="shared" si="117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15"/>
        <v>-536017123.41191989</v>
      </c>
      <c r="J1720" s="455">
        <f t="array" ref="J1720">IFERROR(INDEX('Retirement Calculator'!K:K,MATCH('Lorri 401b'!N1720,'Retirement Calculator'!A:A,0),0),0)</f>
        <v>0</v>
      </c>
      <c r="K1720" s="455">
        <f t="shared" ca="1" si="113"/>
        <v>-2233404.6808829992</v>
      </c>
      <c r="L1720" s="455">
        <f t="shared" ca="1" si="114"/>
        <v>-538250528.09280288</v>
      </c>
      <c r="M1720" s="471">
        <f t="shared" si="116"/>
        <v>0.05</v>
      </c>
      <c r="N1720" s="475">
        <f t="shared" si="117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15"/>
        <v>-538250528.09280288</v>
      </c>
      <c r="J1721" s="455">
        <f t="array" ref="J1721">IFERROR(INDEX('Retirement Calculator'!K:K,MATCH('Lorri 401b'!N1721,'Retirement Calculator'!A:A,0),0),0)</f>
        <v>0</v>
      </c>
      <c r="K1721" s="455">
        <f t="shared" ca="1" si="113"/>
        <v>-2242710.5337200118</v>
      </c>
      <c r="L1721" s="455">
        <f t="shared" ca="1" si="114"/>
        <v>-540493238.6265229</v>
      </c>
      <c r="M1721" s="471">
        <f t="shared" si="116"/>
        <v>0.05</v>
      </c>
      <c r="N1721" s="475">
        <f t="shared" si="117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15"/>
        <v>-540493238.6265229</v>
      </c>
      <c r="J1722" s="455">
        <f t="array" ref="J1722">IFERROR(INDEX('Retirement Calculator'!K:K,MATCH('Lorri 401b'!N1722,'Retirement Calculator'!A:A,0),0),0)</f>
        <v>0</v>
      </c>
      <c r="K1722" s="455">
        <f t="shared" ca="1" si="113"/>
        <v>-2252055.1609438453</v>
      </c>
      <c r="L1722" s="455">
        <f t="shared" ca="1" si="114"/>
        <v>-542745293.78746676</v>
      </c>
      <c r="M1722" s="471">
        <f t="shared" si="116"/>
        <v>0.05</v>
      </c>
      <c r="N1722" s="475">
        <f t="shared" si="117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15"/>
        <v>-542745293.78746676</v>
      </c>
      <c r="J1723" s="455">
        <f t="array" ref="J1723">IFERROR(INDEX('Retirement Calculator'!K:K,MATCH('Lorri 401b'!N1723,'Retirement Calculator'!A:A,0),0),0)</f>
        <v>0</v>
      </c>
      <c r="K1723" s="455">
        <f t="shared" ca="1" si="113"/>
        <v>-2261438.724114445</v>
      </c>
      <c r="L1723" s="455">
        <f t="shared" ca="1" si="114"/>
        <v>-545006732.51158118</v>
      </c>
      <c r="M1723" s="471">
        <f t="shared" si="116"/>
        <v>0.05</v>
      </c>
      <c r="N1723" s="475">
        <f t="shared" si="117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15"/>
        <v>-545006732.51158118</v>
      </c>
      <c r="J1724" s="455">
        <f t="array" ref="J1724">IFERROR(INDEX('Retirement Calculator'!K:K,MATCH('Lorri 401b'!N1724,'Retirement Calculator'!A:A,0),0),0)</f>
        <v>0</v>
      </c>
      <c r="K1724" s="455">
        <f t="shared" ca="1" si="113"/>
        <v>-2270861.3854649216</v>
      </c>
      <c r="L1724" s="455">
        <f t="shared" ca="1" si="114"/>
        <v>-547277593.89704609</v>
      </c>
      <c r="M1724" s="471">
        <f t="shared" si="116"/>
        <v>0.05</v>
      </c>
      <c r="N1724" s="475">
        <f t="shared" si="117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15"/>
        <v>-547277593.89704609</v>
      </c>
      <c r="J1725" s="455">
        <f t="array" ref="J1725">IFERROR(INDEX('Retirement Calculator'!K:K,MATCH('Lorri 401b'!N1725,'Retirement Calculator'!A:A,0),0),0)</f>
        <v>0</v>
      </c>
      <c r="K1725" s="455">
        <f t="shared" ca="1" si="113"/>
        <v>-2280323.3079043585</v>
      </c>
      <c r="L1725" s="455">
        <f t="shared" ca="1" si="114"/>
        <v>-549557917.20495045</v>
      </c>
      <c r="M1725" s="471">
        <f t="shared" si="116"/>
        <v>0.05</v>
      </c>
      <c r="N1725" s="475">
        <f t="shared" si="117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15"/>
        <v>-549557917.20495045</v>
      </c>
      <c r="J1726" s="455">
        <f t="array" ref="J1726">IFERROR(INDEX('Retirement Calculator'!K:K,MATCH('Lorri 401b'!N1726,'Retirement Calculator'!A:A,0),0),0)</f>
        <v>0</v>
      </c>
      <c r="K1726" s="455">
        <f t="shared" ca="1" si="113"/>
        <v>-2289824.6550206267</v>
      </c>
      <c r="L1726" s="455">
        <f t="shared" ca="1" si="114"/>
        <v>-551847741.85997105</v>
      </c>
      <c r="M1726" s="471">
        <f t="shared" si="116"/>
        <v>0.05</v>
      </c>
      <c r="N1726" s="475">
        <f t="shared" si="117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15"/>
        <v>-551847741.85997105</v>
      </c>
      <c r="J1727" s="455">
        <f t="array" ref="J1727">IFERROR(INDEX('Retirement Calculator'!K:K,MATCH('Lorri 401b'!N1727,'Retirement Calculator'!A:A,0),0),0)</f>
        <v>0</v>
      </c>
      <c r="K1727" s="455">
        <f t="shared" ca="1" si="113"/>
        <v>-2299365.5910832128</v>
      </c>
      <c r="L1727" s="455">
        <f t="shared" ca="1" si="114"/>
        <v>-554147107.45105422</v>
      </c>
      <c r="M1727" s="471">
        <f t="shared" si="116"/>
        <v>0.05</v>
      </c>
      <c r="N1727" s="475">
        <f t="shared" si="117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15"/>
        <v>-554147107.45105422</v>
      </c>
      <c r="J1728" s="455">
        <f t="array" ref="J1728">IFERROR(INDEX('Retirement Calculator'!K:K,MATCH('Lorri 401b'!N1728,'Retirement Calculator'!A:A,0),0),0)</f>
        <v>0</v>
      </c>
      <c r="K1728" s="455">
        <f t="shared" ca="1" si="113"/>
        <v>-2308946.281046059</v>
      </c>
      <c r="L1728" s="455">
        <f t="shared" ca="1" si="114"/>
        <v>-556456053.73210025</v>
      </c>
      <c r="M1728" s="471">
        <f t="shared" si="116"/>
        <v>0.05</v>
      </c>
      <c r="N1728" s="475">
        <f t="shared" si="117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15"/>
        <v>-556456053.73210025</v>
      </c>
      <c r="J1729" s="455">
        <f t="array" ref="J1729">IFERROR(INDEX('Retirement Calculator'!K:K,MATCH('Lorri 401b'!N1729,'Retirement Calculator'!A:A,0),0),0)</f>
        <v>0</v>
      </c>
      <c r="K1729" s="455">
        <f t="shared" ca="1" si="113"/>
        <v>-2318566.8905504178</v>
      </c>
      <c r="L1729" s="455">
        <f t="shared" ca="1" si="114"/>
        <v>-558774620.62265062</v>
      </c>
      <c r="M1729" s="471">
        <f t="shared" si="116"/>
        <v>0.05</v>
      </c>
      <c r="N1729" s="475">
        <f t="shared" si="117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15"/>
        <v>-558774620.62265062</v>
      </c>
      <c r="J1730" s="455">
        <f t="array" ref="J1730">IFERROR(INDEX('Retirement Calculator'!K:K,MATCH('Lorri 401b'!N1730,'Retirement Calculator'!A:A,0),0),0)</f>
        <v>0</v>
      </c>
      <c r="K1730" s="455">
        <f t="shared" ca="1" si="113"/>
        <v>-2328227.5859277109</v>
      </c>
      <c r="L1730" s="455">
        <f t="shared" ca="1" si="114"/>
        <v>-561102848.20857835</v>
      </c>
      <c r="M1730" s="471">
        <f t="shared" si="116"/>
        <v>0.05</v>
      </c>
      <c r="N1730" s="475">
        <f t="shared" si="117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15"/>
        <v>-561102848.20857835</v>
      </c>
      <c r="J1731" s="455">
        <f t="array" ref="J1731">IFERROR(INDEX('Retirement Calculator'!K:K,MATCH('Lorri 401b'!N1731,'Retirement Calculator'!A:A,0),0),0)</f>
        <v>0</v>
      </c>
      <c r="K1731" s="455">
        <f t="shared" ca="1" si="113"/>
        <v>-2337928.5342024099</v>
      </c>
      <c r="L1731" s="455">
        <f t="shared" ca="1" si="114"/>
        <v>-563440776.7427808</v>
      </c>
      <c r="M1731" s="471">
        <f t="shared" si="116"/>
        <v>0.05</v>
      </c>
      <c r="N1731" s="475">
        <f t="shared" si="117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15"/>
        <v>-563440776.7427808</v>
      </c>
      <c r="J1732" s="455">
        <f t="array" ref="J1732">IFERROR(INDEX('Retirement Calculator'!K:K,MATCH('Lorri 401b'!N1732,'Retirement Calculator'!A:A,0),0),0)</f>
        <v>0</v>
      </c>
      <c r="K1732" s="455">
        <f t="shared" ca="1" si="113"/>
        <v>-2347669.9030949199</v>
      </c>
      <c r="L1732" s="455">
        <f t="shared" ca="1" si="114"/>
        <v>-565788446.64587569</v>
      </c>
      <c r="M1732" s="471">
        <f t="shared" si="116"/>
        <v>0.05</v>
      </c>
      <c r="N1732" s="475">
        <f t="shared" si="117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15"/>
        <v>-565788446.64587569</v>
      </c>
      <c r="J1733" s="455">
        <f t="array" ref="J1733">IFERROR(INDEX('Retirement Calculator'!K:K,MATCH('Lorri 401b'!N1733,'Retirement Calculator'!A:A,0),0),0)</f>
        <v>0</v>
      </c>
      <c r="K1733" s="455">
        <f t="shared" ca="1" si="113"/>
        <v>-2357451.8610244822</v>
      </c>
      <c r="L1733" s="455">
        <f t="shared" ca="1" si="114"/>
        <v>-568145898.50690019</v>
      </c>
      <c r="M1733" s="471">
        <f t="shared" si="116"/>
        <v>0.05</v>
      </c>
      <c r="N1733" s="475">
        <f t="shared" si="117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15"/>
        <v>-568145898.50690019</v>
      </c>
      <c r="J1734" s="455">
        <f t="array" ref="J1734">IFERROR(INDEX('Retirement Calculator'!K:K,MATCH('Lorri 401b'!N1734,'Retirement Calculator'!A:A,0),0),0)</f>
        <v>0</v>
      </c>
      <c r="K1734" s="455">
        <f t="shared" ca="1" si="113"/>
        <v>-2367274.5771120843</v>
      </c>
      <c r="L1734" s="455">
        <f t="shared" ca="1" si="114"/>
        <v>-570513173.08401227</v>
      </c>
      <c r="M1734" s="471">
        <f t="shared" si="116"/>
        <v>0.05</v>
      </c>
      <c r="N1734" s="475">
        <f t="shared" si="117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15"/>
        <v>-570513173.08401227</v>
      </c>
      <c r="J1735" s="455">
        <f t="array" ref="J1735">IFERROR(INDEX('Retirement Calculator'!K:K,MATCH('Lorri 401b'!N1735,'Retirement Calculator'!A:A,0),0),0)</f>
        <v>0</v>
      </c>
      <c r="K1735" s="455">
        <f t="shared" ca="1" si="113"/>
        <v>-2377138.2211833843</v>
      </c>
      <c r="L1735" s="455">
        <f t="shared" ca="1" si="114"/>
        <v>-572890311.30519569</v>
      </c>
      <c r="M1735" s="471">
        <f t="shared" si="116"/>
        <v>0.05</v>
      </c>
      <c r="N1735" s="475">
        <f t="shared" si="117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15"/>
        <v>-572890311.30519569</v>
      </c>
      <c r="J1736" s="455">
        <f t="array" ref="J1736">IFERROR(INDEX('Retirement Calculator'!K:K,MATCH('Lorri 401b'!N1736,'Retirement Calculator'!A:A,0),0),0)</f>
        <v>0</v>
      </c>
      <c r="K1736" s="455">
        <f t="shared" ca="1" si="113"/>
        <v>-2387042.9637716487</v>
      </c>
      <c r="L1736" s="455">
        <f t="shared" ca="1" si="114"/>
        <v>-575277354.26896739</v>
      </c>
      <c r="M1736" s="471">
        <f t="shared" si="116"/>
        <v>0.05</v>
      </c>
      <c r="N1736" s="475">
        <f t="shared" si="117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15"/>
        <v>-575277354.26896739</v>
      </c>
      <c r="J1737" s="455">
        <f t="array" ref="J1737">IFERROR(INDEX('Retirement Calculator'!K:K,MATCH('Lorri 401b'!N1737,'Retirement Calculator'!A:A,0),0),0)</f>
        <v>0</v>
      </c>
      <c r="K1737" s="455">
        <f t="shared" ca="1" si="113"/>
        <v>-2396988.9761206973</v>
      </c>
      <c r="L1737" s="455">
        <f t="shared" ca="1" si="114"/>
        <v>-577674343.2450881</v>
      </c>
      <c r="M1737" s="471">
        <f t="shared" si="116"/>
        <v>0.05</v>
      </c>
      <c r="N1737" s="475">
        <f t="shared" si="117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15"/>
        <v>-577674343.2450881</v>
      </c>
      <c r="J1738" s="455">
        <f t="array" ref="J1738">IFERROR(INDEX('Retirement Calculator'!K:K,MATCH('Lorri 401b'!N1738,'Retirement Calculator'!A:A,0),0),0)</f>
        <v>0</v>
      </c>
      <c r="K1738" s="455">
        <f t="shared" ca="1" si="113"/>
        <v>-2406976.430187867</v>
      </c>
      <c r="L1738" s="455">
        <f t="shared" ca="1" si="114"/>
        <v>-580081319.67527592</v>
      </c>
      <c r="M1738" s="471">
        <f t="shared" si="116"/>
        <v>0.05</v>
      </c>
      <c r="N1738" s="475">
        <f t="shared" si="117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15"/>
        <v>-580081319.67527592</v>
      </c>
      <c r="J1739" s="455">
        <f t="array" ref="J1739">IFERROR(INDEX('Retirement Calculator'!K:K,MATCH('Lorri 401b'!N1739,'Retirement Calculator'!A:A,0),0),0)</f>
        <v>0</v>
      </c>
      <c r="K1739" s="455">
        <f t="shared" ca="1" si="113"/>
        <v>-2417005.4986469829</v>
      </c>
      <c r="L1739" s="455">
        <f t="shared" ca="1" si="114"/>
        <v>-582498325.1739229</v>
      </c>
      <c r="M1739" s="471">
        <f t="shared" si="116"/>
        <v>0.05</v>
      </c>
      <c r="N1739" s="475">
        <f t="shared" si="117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15"/>
        <v>-582498325.1739229</v>
      </c>
      <c r="J1740" s="455">
        <f t="array" ref="J1740">IFERROR(INDEX('Retirement Calculator'!K:K,MATCH('Lorri 401b'!N1740,'Retirement Calculator'!A:A,0),0),0)</f>
        <v>0</v>
      </c>
      <c r="K1740" s="455">
        <f t="shared" ca="1" si="113"/>
        <v>-2427076.3548913454</v>
      </c>
      <c r="L1740" s="455">
        <f t="shared" ca="1" si="114"/>
        <v>-584925401.5288142</v>
      </c>
      <c r="M1740" s="471">
        <f t="shared" si="116"/>
        <v>0.05</v>
      </c>
      <c r="N1740" s="475">
        <f t="shared" si="117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15"/>
        <v>-584925401.5288142</v>
      </c>
      <c r="J1741" s="455">
        <f t="array" ref="J1741">IFERROR(INDEX('Retirement Calculator'!K:K,MATCH('Lorri 401b'!N1741,'Retirement Calculator'!A:A,0),0),0)</f>
        <v>0</v>
      </c>
      <c r="K1741" s="455">
        <f t="shared" ca="1" si="113"/>
        <v>-2437189.1730367257</v>
      </c>
      <c r="L1741" s="455">
        <f t="shared" ca="1" si="114"/>
        <v>-587362590.70185089</v>
      </c>
      <c r="M1741" s="471">
        <f t="shared" si="116"/>
        <v>0.05</v>
      </c>
      <c r="N1741" s="475">
        <f t="shared" si="117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15"/>
        <v>-587362590.70185089</v>
      </c>
      <c r="J1742" s="455">
        <f t="array" ref="J1742">IFERROR(INDEX('Retirement Calculator'!K:K,MATCH('Lorri 401b'!N1742,'Retirement Calculator'!A:A,0),0),0)</f>
        <v>0</v>
      </c>
      <c r="K1742" s="455">
        <f t="shared" ca="1" si="113"/>
        <v>-2447344.1279243785</v>
      </c>
      <c r="L1742" s="455">
        <f t="shared" ca="1" si="114"/>
        <v>-589809934.82977521</v>
      </c>
      <c r="M1742" s="471">
        <f t="shared" si="116"/>
        <v>0.05</v>
      </c>
      <c r="N1742" s="475">
        <f t="shared" si="117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15"/>
        <v>-589809934.82977521</v>
      </c>
      <c r="J1743" s="455">
        <f t="array" ref="J1743">IFERROR(INDEX('Retirement Calculator'!K:K,MATCH('Lorri 401b'!N1743,'Retirement Calculator'!A:A,0),0),0)</f>
        <v>0</v>
      </c>
      <c r="K1743" s="455">
        <f t="shared" ca="1" si="113"/>
        <v>-2457541.3951240634</v>
      </c>
      <c r="L1743" s="455">
        <f t="shared" ca="1" si="114"/>
        <v>-592267476.22489929</v>
      </c>
      <c r="M1743" s="471">
        <f t="shared" si="116"/>
        <v>0.05</v>
      </c>
      <c r="N1743" s="475">
        <f t="shared" si="117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15"/>
        <v>-592267476.22489929</v>
      </c>
      <c r="J1744" s="455">
        <f t="array" ref="J1744">IFERROR(INDEX('Retirement Calculator'!K:K,MATCH('Lorri 401b'!N1744,'Retirement Calculator'!A:A,0),0),0)</f>
        <v>0</v>
      </c>
      <c r="K1744" s="455">
        <f t="shared" ca="1" si="113"/>
        <v>-2467781.1509370804</v>
      </c>
      <c r="L1744" s="455">
        <f t="shared" ca="1" si="114"/>
        <v>-594735257.37583637</v>
      </c>
      <c r="M1744" s="471">
        <f t="shared" si="116"/>
        <v>0.05</v>
      </c>
      <c r="N1744" s="475">
        <f t="shared" si="117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15"/>
        <v>-594735257.37583637</v>
      </c>
      <c r="J1745" s="455">
        <f t="array" ref="J1745">IFERROR(INDEX('Retirement Calculator'!K:K,MATCH('Lorri 401b'!N1745,'Retirement Calculator'!A:A,0),0),0)</f>
        <v>0</v>
      </c>
      <c r="K1745" s="455">
        <f t="shared" ca="1" si="113"/>
        <v>-2478063.5723993182</v>
      </c>
      <c r="L1745" s="455">
        <f t="shared" ca="1" si="114"/>
        <v>-597213320.94823575</v>
      </c>
      <c r="M1745" s="471">
        <f t="shared" si="116"/>
        <v>0.05</v>
      </c>
      <c r="N1745" s="475">
        <f t="shared" si="117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15"/>
        <v>-597213320.94823575</v>
      </c>
      <c r="J1746" s="455">
        <f t="array" ref="J1746">IFERROR(INDEX('Retirement Calculator'!K:K,MATCH('Lorri 401b'!N1746,'Retirement Calculator'!A:A,0),0),0)</f>
        <v>0</v>
      </c>
      <c r="K1746" s="455">
        <f t="shared" ca="1" si="113"/>
        <v>-2488388.8372843154</v>
      </c>
      <c r="L1746" s="455">
        <f t="shared" ca="1" si="114"/>
        <v>-599701709.78552008</v>
      </c>
      <c r="M1746" s="471">
        <f t="shared" si="116"/>
        <v>0.05</v>
      </c>
      <c r="N1746" s="475">
        <f t="shared" si="117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15"/>
        <v>-599701709.78552008</v>
      </c>
      <c r="J1747" s="455">
        <f t="array" ref="J1747">IFERROR(INDEX('Retirement Calculator'!K:K,MATCH('Lorri 401b'!N1747,'Retirement Calculator'!A:A,0),0),0)</f>
        <v>0</v>
      </c>
      <c r="K1747" s="455">
        <f t="shared" ca="1" si="113"/>
        <v>-2498757.1241063336</v>
      </c>
      <c r="L1747" s="455">
        <f t="shared" ca="1" si="114"/>
        <v>-602200466.90962636</v>
      </c>
      <c r="M1747" s="471">
        <f t="shared" si="116"/>
        <v>0.05</v>
      </c>
      <c r="N1747" s="475">
        <f t="shared" si="117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15"/>
        <v>-602200466.90962636</v>
      </c>
      <c r="J1748" s="455">
        <f t="array" ref="J1748">IFERROR(INDEX('Retirement Calculator'!K:K,MATCH('Lorri 401b'!N1748,'Retirement Calculator'!A:A,0),0),0)</f>
        <v>0</v>
      </c>
      <c r="K1748" s="455">
        <f t="shared" ca="1" si="113"/>
        <v>-2509168.6121234433</v>
      </c>
      <c r="L1748" s="455">
        <f t="shared" ca="1" si="114"/>
        <v>-604709635.52174985</v>
      </c>
      <c r="M1748" s="471">
        <f t="shared" si="116"/>
        <v>0.05</v>
      </c>
      <c r="N1748" s="475">
        <f t="shared" si="117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15"/>
        <v>-604709635.52174985</v>
      </c>
      <c r="J1749" s="455">
        <f t="array" ref="J1749">IFERROR(INDEX('Retirement Calculator'!K:K,MATCH('Lorri 401b'!N1749,'Retirement Calculator'!A:A,0),0),0)</f>
        <v>0</v>
      </c>
      <c r="K1749" s="455">
        <f t="shared" ca="1" si="113"/>
        <v>-2519623.4813406244</v>
      </c>
      <c r="L1749" s="455">
        <f t="shared" ca="1" si="114"/>
        <v>-607229259.0030905</v>
      </c>
      <c r="M1749" s="471">
        <f t="shared" si="116"/>
        <v>0.05</v>
      </c>
      <c r="N1749" s="475">
        <f t="shared" si="117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15"/>
        <v>-607229259.0030905</v>
      </c>
      <c r="J1750" s="455">
        <f t="array" ref="J1750">IFERROR(INDEX('Retirement Calculator'!K:K,MATCH('Lorri 401b'!N1750,'Retirement Calculator'!A:A,0),0),0)</f>
        <v>0</v>
      </c>
      <c r="K1750" s="455">
        <f t="shared" ca="1" si="113"/>
        <v>-2530121.912512877</v>
      </c>
      <c r="L1750" s="455">
        <f t="shared" ca="1" si="114"/>
        <v>-609759380.9156034</v>
      </c>
      <c r="M1750" s="471">
        <f t="shared" si="116"/>
        <v>0.05</v>
      </c>
      <c r="N1750" s="475">
        <f t="shared" si="117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15"/>
        <v>-609759380.9156034</v>
      </c>
      <c r="J1751" s="455">
        <f t="array" ref="J1751">IFERROR(INDEX('Retirement Calculator'!K:K,MATCH('Lorri 401b'!N1751,'Retirement Calculator'!A:A,0),0),0)</f>
        <v>0</v>
      </c>
      <c r="K1751" s="455">
        <f t="shared" ca="1" si="113"/>
        <v>-2540664.0871483474</v>
      </c>
      <c r="L1751" s="455">
        <f t="shared" ca="1" si="114"/>
        <v>-612300045.00275171</v>
      </c>
      <c r="M1751" s="471">
        <f t="shared" si="116"/>
        <v>0.05</v>
      </c>
      <c r="N1751" s="475">
        <f t="shared" si="117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15"/>
        <v>-612300045.00275171</v>
      </c>
      <c r="J1752" s="455">
        <f t="array" ref="J1752">IFERROR(INDEX('Retirement Calculator'!K:K,MATCH('Lorri 401b'!N1752,'Retirement Calculator'!A:A,0),0),0)</f>
        <v>0</v>
      </c>
      <c r="K1752" s="455">
        <f t="shared" ca="1" si="113"/>
        <v>-2551250.1875114655</v>
      </c>
      <c r="L1752" s="455">
        <f t="shared" ca="1" si="114"/>
        <v>-614851295.19026315</v>
      </c>
      <c r="M1752" s="471">
        <f t="shared" si="116"/>
        <v>0.05</v>
      </c>
      <c r="N1752" s="475">
        <f t="shared" si="117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15"/>
        <v>-614851295.19026315</v>
      </c>
      <c r="J1753" s="455">
        <f t="array" ref="J1753">IFERROR(INDEX('Retirement Calculator'!K:K,MATCH('Lorri 401b'!N1753,'Retirement Calculator'!A:A,0),0),0)</f>
        <v>0</v>
      </c>
      <c r="K1753" s="455">
        <f t="shared" ca="1" si="113"/>
        <v>-2561880.3966260962</v>
      </c>
      <c r="L1753" s="455">
        <f t="shared" ca="1" si="114"/>
        <v>-617413175.58688927</v>
      </c>
      <c r="M1753" s="471">
        <f t="shared" si="116"/>
        <v>0.05</v>
      </c>
      <c r="N1753" s="475">
        <f t="shared" si="117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15"/>
        <v>-617413175.58688927</v>
      </c>
      <c r="J1754" s="455">
        <f t="array" ref="J1754">IFERROR(INDEX('Retirement Calculator'!K:K,MATCH('Lorri 401b'!N1754,'Retirement Calculator'!A:A,0),0),0)</f>
        <v>0</v>
      </c>
      <c r="K1754" s="455">
        <f t="shared" ca="1" si="113"/>
        <v>-2572554.8982787053</v>
      </c>
      <c r="L1754" s="455">
        <f t="shared" ca="1" si="114"/>
        <v>-619985730.48516798</v>
      </c>
      <c r="M1754" s="471">
        <f t="shared" si="116"/>
        <v>0.05</v>
      </c>
      <c r="N1754" s="475">
        <f t="shared" si="117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15"/>
        <v>-619985730.48516798</v>
      </c>
      <c r="J1755" s="455">
        <f t="array" ref="J1755">IFERROR(INDEX('Retirement Calculator'!K:K,MATCH('Lorri 401b'!N1755,'Retirement Calculator'!A:A,0),0),0)</f>
        <v>0</v>
      </c>
      <c r="K1755" s="455">
        <f t="shared" ca="1" si="113"/>
        <v>-2583273.8770215334</v>
      </c>
      <c r="L1755" s="455">
        <f t="shared" ca="1" si="114"/>
        <v>-622569004.36218953</v>
      </c>
      <c r="M1755" s="471">
        <f t="shared" si="116"/>
        <v>0.05</v>
      </c>
      <c r="N1755" s="475">
        <f t="shared" si="117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15"/>
        <v>-622569004.36218953</v>
      </c>
      <c r="J1756" s="455">
        <f t="array" ref="J1756">IFERROR(INDEX('Retirement Calculator'!K:K,MATCH('Lorri 401b'!N1756,'Retirement Calculator'!A:A,0),0),0)</f>
        <v>0</v>
      </c>
      <c r="K1756" s="455">
        <f t="shared" ca="1" si="113"/>
        <v>-2594037.5181757896</v>
      </c>
      <c r="L1756" s="455">
        <f t="shared" ca="1" si="114"/>
        <v>-625163041.88036537</v>
      </c>
      <c r="M1756" s="471">
        <f t="shared" si="116"/>
        <v>0.05</v>
      </c>
      <c r="N1756" s="475">
        <f t="shared" si="117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15"/>
        <v>-625163041.88036537</v>
      </c>
      <c r="J1757" s="455">
        <f t="array" ref="J1757">IFERROR(INDEX('Retirement Calculator'!K:K,MATCH('Lorri 401b'!N1757,'Retirement Calculator'!A:A,0),0),0)</f>
        <v>0</v>
      </c>
      <c r="K1757" s="455">
        <f t="shared" ca="1" si="113"/>
        <v>-2604846.0078348555</v>
      </c>
      <c r="L1757" s="455">
        <f t="shared" ca="1" si="114"/>
        <v>-627767887.88820028</v>
      </c>
      <c r="M1757" s="471">
        <f t="shared" si="116"/>
        <v>0.05</v>
      </c>
      <c r="N1757" s="475">
        <f t="shared" si="117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15"/>
        <v>-627767887.88820028</v>
      </c>
      <c r="J1758" s="455">
        <f t="array" ref="J1758">IFERROR(INDEX('Retirement Calculator'!K:K,MATCH('Lorri 401b'!N1758,'Retirement Calculator'!A:A,0),0),0)</f>
        <v>0</v>
      </c>
      <c r="K1758" s="455">
        <f t="shared" ca="1" si="113"/>
        <v>-2615699.532867501</v>
      </c>
      <c r="L1758" s="455">
        <f t="shared" ca="1" si="114"/>
        <v>-630383587.42106783</v>
      </c>
      <c r="M1758" s="471">
        <f t="shared" si="116"/>
        <v>0.05</v>
      </c>
      <c r="N1758" s="475">
        <f t="shared" si="117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15"/>
        <v>-630383587.42106783</v>
      </c>
      <c r="J1759" s="455">
        <f t="array" ref="J1759">IFERROR(INDEX('Retirement Calculator'!K:K,MATCH('Lorri 401b'!N1759,'Retirement Calculator'!A:A,0),0),0)</f>
        <v>0</v>
      </c>
      <c r="K1759" s="455">
        <f t="shared" ca="1" si="113"/>
        <v>-2626598.280921116</v>
      </c>
      <c r="L1759" s="455">
        <f t="shared" ca="1" si="114"/>
        <v>-633010185.70198894</v>
      </c>
      <c r="M1759" s="471">
        <f t="shared" si="116"/>
        <v>0.05</v>
      </c>
      <c r="N1759" s="475">
        <f t="shared" si="117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15"/>
        <v>-633010185.70198894</v>
      </c>
      <c r="J1760" s="455">
        <f t="array" ref="J1760">IFERROR(INDEX('Retirement Calculator'!K:K,MATCH('Lorri 401b'!N1760,'Retirement Calculator'!A:A,0),0),0)</f>
        <v>0</v>
      </c>
      <c r="K1760" s="455">
        <f t="shared" ca="1" si="113"/>
        <v>-2637542.4404249541</v>
      </c>
      <c r="L1760" s="455">
        <f t="shared" ca="1" si="114"/>
        <v>-635647728.14241385</v>
      </c>
      <c r="M1760" s="471">
        <f t="shared" si="116"/>
        <v>0.05</v>
      </c>
      <c r="N1760" s="475">
        <f t="shared" si="117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15"/>
        <v>-635647728.14241385</v>
      </c>
      <c r="J1761" s="455">
        <f t="array" ref="J1761">IFERROR(INDEX('Retirement Calculator'!K:K,MATCH('Lorri 401b'!N1761,'Retirement Calculator'!A:A,0),0),0)</f>
        <v>0</v>
      </c>
      <c r="K1761" s="455">
        <f t="shared" ca="1" si="113"/>
        <v>-2648532.200593391</v>
      </c>
      <c r="L1761" s="455">
        <f t="shared" ca="1" si="114"/>
        <v>-638296260.34300721</v>
      </c>
      <c r="M1761" s="471">
        <f t="shared" si="116"/>
        <v>0.05</v>
      </c>
      <c r="N1761" s="475">
        <f t="shared" si="117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15"/>
        <v>-638296260.34300721</v>
      </c>
      <c r="J1762" s="455">
        <f t="array" ref="J1762">IFERROR(INDEX('Retirement Calculator'!K:K,MATCH('Lorri 401b'!N1762,'Retirement Calculator'!A:A,0),0),0)</f>
        <v>0</v>
      </c>
      <c r="K1762" s="455">
        <f t="shared" ca="1" si="113"/>
        <v>-2659567.7514291964</v>
      </c>
      <c r="L1762" s="455">
        <f t="shared" ca="1" si="114"/>
        <v>-640955828.09443641</v>
      </c>
      <c r="M1762" s="471">
        <f t="shared" si="116"/>
        <v>0.05</v>
      </c>
      <c r="N1762" s="475">
        <f t="shared" si="117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15"/>
        <v>-640955828.09443641</v>
      </c>
      <c r="J1763" s="455">
        <f t="array" ref="J1763">IFERROR(INDEX('Retirement Calculator'!K:K,MATCH('Lorri 401b'!N1763,'Retirement Calculator'!A:A,0),0),0)</f>
        <v>0</v>
      </c>
      <c r="K1763" s="455">
        <f t="shared" ca="1" si="113"/>
        <v>-2670649.2837268184</v>
      </c>
      <c r="L1763" s="455">
        <f t="shared" ca="1" si="114"/>
        <v>-643626477.37816322</v>
      </c>
      <c r="M1763" s="471">
        <f t="shared" si="116"/>
        <v>0.05</v>
      </c>
      <c r="N1763" s="475">
        <f t="shared" si="117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15"/>
        <v>-643626477.37816322</v>
      </c>
      <c r="J1764" s="455">
        <f t="array" ref="J1764">IFERROR(INDEX('Retirement Calculator'!K:K,MATCH('Lorri 401b'!N1764,'Retirement Calculator'!A:A,0),0),0)</f>
        <v>0</v>
      </c>
      <c r="K1764" s="455">
        <f t="shared" ca="1" si="113"/>
        <v>-2681776.9890756803</v>
      </c>
      <c r="L1764" s="455">
        <f t="shared" ca="1" si="114"/>
        <v>-646308254.36723888</v>
      </c>
      <c r="M1764" s="471">
        <f t="shared" si="116"/>
        <v>0.05</v>
      </c>
      <c r="N1764" s="475">
        <f t="shared" si="117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15"/>
        <v>-646308254.36723888</v>
      </c>
      <c r="J1765" s="455">
        <f t="array" ref="J1765">IFERROR(INDEX('Retirement Calculator'!K:K,MATCH('Lorri 401b'!N1765,'Retirement Calculator'!A:A,0),0),0)</f>
        <v>0</v>
      </c>
      <c r="K1765" s="455">
        <f t="shared" ca="1" si="113"/>
        <v>-2692951.0598634952</v>
      </c>
      <c r="L1765" s="455">
        <f t="shared" ca="1" si="114"/>
        <v>-649001205.42710233</v>
      </c>
      <c r="M1765" s="471">
        <f t="shared" si="116"/>
        <v>0.05</v>
      </c>
      <c r="N1765" s="475">
        <f t="shared" si="117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15"/>
        <v>-649001205.42710233</v>
      </c>
      <c r="J1766" s="455">
        <f t="array" ref="J1766">IFERROR(INDEX('Retirement Calculator'!K:K,MATCH('Lorri 401b'!N1766,'Retirement Calculator'!A:A,0),0),0)</f>
        <v>0</v>
      </c>
      <c r="K1766" s="455">
        <f t="shared" ca="1" si="113"/>
        <v>-2704171.6892795931</v>
      </c>
      <c r="L1766" s="455">
        <f t="shared" ca="1" si="114"/>
        <v>-651705377.11638188</v>
      </c>
      <c r="M1766" s="471">
        <f t="shared" si="116"/>
        <v>0.05</v>
      </c>
      <c r="N1766" s="475">
        <f t="shared" si="117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15"/>
        <v>-651705377.11638188</v>
      </c>
      <c r="J1767" s="455">
        <f t="array" ref="J1767">IFERROR(INDEX('Retirement Calculator'!K:K,MATCH('Lorri 401b'!N1767,'Retirement Calculator'!A:A,0),0),0)</f>
        <v>0</v>
      </c>
      <c r="K1767" s="455">
        <f t="shared" ca="1" si="113"/>
        <v>-2715439.0713182576</v>
      </c>
      <c r="L1767" s="455">
        <f t="shared" ca="1" si="114"/>
        <v>-654420816.18770015</v>
      </c>
      <c r="M1767" s="471">
        <f t="shared" si="116"/>
        <v>0.05</v>
      </c>
      <c r="N1767" s="475">
        <f t="shared" si="117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15"/>
        <v>-654420816.18770015</v>
      </c>
      <c r="J1768" s="455">
        <f t="array" ref="J1768">IFERROR(INDEX('Retirement Calculator'!K:K,MATCH('Lorri 401b'!N1768,'Retirement Calculator'!A:A,0),0),0)</f>
        <v>0</v>
      </c>
      <c r="K1768" s="455">
        <f t="shared" ca="1" si="113"/>
        <v>-2726753.4007820841</v>
      </c>
      <c r="L1768" s="455">
        <f t="shared" ca="1" si="114"/>
        <v>-657147569.58848226</v>
      </c>
      <c r="M1768" s="471">
        <f t="shared" si="116"/>
        <v>0.05</v>
      </c>
      <c r="N1768" s="475">
        <f t="shared" si="117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15"/>
        <v>-657147569.58848226</v>
      </c>
      <c r="J1769" s="455">
        <f t="array" ref="J1769">IFERROR(INDEX('Retirement Calculator'!K:K,MATCH('Lorri 401b'!N1769,'Retirement Calculator'!A:A,0),0),0)</f>
        <v>0</v>
      </c>
      <c r="K1769" s="455">
        <f t="shared" ca="1" si="113"/>
        <v>-2738114.8732853429</v>
      </c>
      <c r="L1769" s="455">
        <f t="shared" ca="1" si="114"/>
        <v>-659885684.46176755</v>
      </c>
      <c r="M1769" s="471">
        <f t="shared" si="116"/>
        <v>0.05</v>
      </c>
      <c r="N1769" s="475">
        <f t="shared" si="117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15"/>
        <v>-659885684.46176755</v>
      </c>
      <c r="J1770" s="455">
        <f t="array" ref="J1770">IFERROR(INDEX('Retirement Calculator'!K:K,MATCH('Lorri 401b'!N1770,'Retirement Calculator'!A:A,0),0),0)</f>
        <v>0</v>
      </c>
      <c r="K1770" s="455">
        <f t="shared" ca="1" si="113"/>
        <v>-2749523.685257365</v>
      </c>
      <c r="L1770" s="455">
        <f t="shared" ca="1" si="114"/>
        <v>-662635208.14702487</v>
      </c>
      <c r="M1770" s="471">
        <f t="shared" si="116"/>
        <v>0.05</v>
      </c>
      <c r="N1770" s="475">
        <f t="shared" si="117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15"/>
        <v>-662635208.14702487</v>
      </c>
      <c r="J1771" s="455">
        <f t="array" ref="J1771">IFERROR(INDEX('Retirement Calculator'!K:K,MATCH('Lorri 401b'!N1771,'Retirement Calculator'!A:A,0),0),0)</f>
        <v>0</v>
      </c>
      <c r="K1771" s="455">
        <f t="shared" ca="1" si="113"/>
        <v>-2760980.0339459367</v>
      </c>
      <c r="L1771" s="455">
        <f t="shared" ca="1" si="114"/>
        <v>-665396188.18097079</v>
      </c>
      <c r="M1771" s="471">
        <f t="shared" si="116"/>
        <v>0.05</v>
      </c>
      <c r="N1771" s="475">
        <f t="shared" si="117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15"/>
        <v>-665396188.18097079</v>
      </c>
      <c r="J1772" s="455">
        <f t="array" ref="J1772">IFERROR(INDEX('Retirement Calculator'!K:K,MATCH('Lorri 401b'!N1772,'Retirement Calculator'!A:A,0),0),0)</f>
        <v>0</v>
      </c>
      <c r="K1772" s="455">
        <f t="shared" ca="1" si="113"/>
        <v>-2772484.1174207116</v>
      </c>
      <c r="L1772" s="455">
        <f t="shared" ca="1" si="114"/>
        <v>-668168672.29839146</v>
      </c>
      <c r="M1772" s="471">
        <f t="shared" si="116"/>
        <v>0.05</v>
      </c>
      <c r="N1772" s="475">
        <f t="shared" si="117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15"/>
        <v>-668168672.29839146</v>
      </c>
      <c r="J1773" s="455">
        <f t="array" ref="J1773">IFERROR(INDEX('Retirement Calculator'!K:K,MATCH('Lorri 401b'!N1773,'Retirement Calculator'!A:A,0),0),0)</f>
        <v>0</v>
      </c>
      <c r="K1773" s="455">
        <f t="shared" ca="1" si="113"/>
        <v>-2784036.1345766312</v>
      </c>
      <c r="L1773" s="455">
        <f t="shared" ca="1" si="114"/>
        <v>-670952708.43296814</v>
      </c>
      <c r="M1773" s="471">
        <f t="shared" si="116"/>
        <v>0.05</v>
      </c>
      <c r="N1773" s="475">
        <f t="shared" si="117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15"/>
        <v>-670952708.43296814</v>
      </c>
      <c r="J1774" s="455">
        <f t="array" ref="J1774">IFERROR(INDEX('Retirement Calculator'!K:K,MATCH('Lorri 401b'!N1774,'Retirement Calculator'!A:A,0),0),0)</f>
        <v>0</v>
      </c>
      <c r="K1774" s="455">
        <f t="shared" ca="1" si="113"/>
        <v>-2795636.2851373674</v>
      </c>
      <c r="L1774" s="455">
        <f t="shared" ca="1" si="114"/>
        <v>-673748344.71810555</v>
      </c>
      <c r="M1774" s="471">
        <f t="shared" si="116"/>
        <v>0.05</v>
      </c>
      <c r="N1774" s="475">
        <f t="shared" si="117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15"/>
        <v>-673748344.71810555</v>
      </c>
      <c r="J1775" s="455">
        <f t="array" ref="J1775">IFERROR(INDEX('Retirement Calculator'!K:K,MATCH('Lorri 401b'!N1775,'Retirement Calculator'!A:A,0),0),0)</f>
        <v>0</v>
      </c>
      <c r="K1775" s="455">
        <f t="shared" ca="1" si="113"/>
        <v>-2807284.7696587732</v>
      </c>
      <c r="L1775" s="455">
        <f t="shared" ca="1" si="114"/>
        <v>-676555629.48776436</v>
      </c>
      <c r="M1775" s="471">
        <f t="shared" si="116"/>
        <v>0.05</v>
      </c>
      <c r="N1775" s="475">
        <f t="shared" si="117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15"/>
        <v>-676555629.48776436</v>
      </c>
      <c r="J1776" s="455">
        <f t="array" ref="J1776">IFERROR(INDEX('Retirement Calculator'!K:K,MATCH('Lorri 401b'!N1776,'Retirement Calculator'!A:A,0),0),0)</f>
        <v>0</v>
      </c>
      <c r="K1776" s="455">
        <f t="shared" ca="1" si="113"/>
        <v>-2818981.7895323513</v>
      </c>
      <c r="L1776" s="455">
        <f t="shared" ca="1" si="114"/>
        <v>-679374611.27729666</v>
      </c>
      <c r="M1776" s="471">
        <f t="shared" si="116"/>
        <v>0.05</v>
      </c>
      <c r="N1776" s="475">
        <f t="shared" si="117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15"/>
        <v>-679374611.27729666</v>
      </c>
      <c r="J1777" s="455">
        <f t="array" ref="J1777">IFERROR(INDEX('Retirement Calculator'!K:K,MATCH('Lorri 401b'!N1777,'Retirement Calculator'!A:A,0),0),0)</f>
        <v>0</v>
      </c>
      <c r="K1777" s="455">
        <f t="shared" ca="1" si="113"/>
        <v>-2830727.5469887359</v>
      </c>
      <c r="L1777" s="455">
        <f t="shared" ca="1" si="114"/>
        <v>-682205338.82428539</v>
      </c>
      <c r="M1777" s="471">
        <f t="shared" si="116"/>
        <v>0.05</v>
      </c>
      <c r="N1777" s="475">
        <f t="shared" si="117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15"/>
        <v>-682205338.82428539</v>
      </c>
      <c r="J1778" s="455">
        <f t="array" ref="J1778">IFERROR(INDEX('Retirement Calculator'!K:K,MATCH('Lorri 401b'!N1778,'Retirement Calculator'!A:A,0),0),0)</f>
        <v>0</v>
      </c>
      <c r="K1778" s="455">
        <f t="shared" ca="1" si="113"/>
        <v>-2842522.2451011892</v>
      </c>
      <c r="L1778" s="455">
        <f t="shared" ca="1" si="114"/>
        <v>-685047861.0693866</v>
      </c>
      <c r="M1778" s="471">
        <f t="shared" si="116"/>
        <v>0.05</v>
      </c>
      <c r="N1778" s="475">
        <f t="shared" si="117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15"/>
        <v>-685047861.0693866</v>
      </c>
      <c r="J1779" s="455">
        <f t="array" ref="J1779">IFERROR(INDEX('Retirement Calculator'!K:K,MATCH('Lorri 401b'!N1779,'Retirement Calculator'!A:A,0),0),0)</f>
        <v>0</v>
      </c>
      <c r="K1779" s="455">
        <f t="shared" ca="1" si="113"/>
        <v>-2854366.0877891108</v>
      </c>
      <c r="L1779" s="455">
        <f t="shared" ca="1" si="114"/>
        <v>-687902227.15717566</v>
      </c>
      <c r="M1779" s="471">
        <f t="shared" si="116"/>
        <v>0.05</v>
      </c>
      <c r="N1779" s="475">
        <f t="shared" si="117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15"/>
        <v>-687902227.15717566</v>
      </c>
      <c r="J1780" s="455">
        <f t="array" ref="J1780">IFERROR(INDEX('Retirement Calculator'!K:K,MATCH('Lorri 401b'!N1780,'Retirement Calculator'!A:A,0),0),0)</f>
        <v>0</v>
      </c>
      <c r="K1780" s="455">
        <f t="shared" ca="1" si="113"/>
        <v>-2866259.2798215654</v>
      </c>
      <c r="L1780" s="455">
        <f t="shared" ca="1" si="114"/>
        <v>-690768486.43699718</v>
      </c>
      <c r="M1780" s="471">
        <f t="shared" si="116"/>
        <v>0.05</v>
      </c>
      <c r="N1780" s="475">
        <f t="shared" si="117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15"/>
        <v>-690768486.43699718</v>
      </c>
      <c r="J1781" s="455">
        <f t="array" ref="J1781">IFERROR(INDEX('Retirement Calculator'!K:K,MATCH('Lorri 401b'!N1781,'Retirement Calculator'!A:A,0),0),0)</f>
        <v>0</v>
      </c>
      <c r="K1781" s="455">
        <f t="shared" ca="1" si="113"/>
        <v>-2878202.0268208217</v>
      </c>
      <c r="L1781" s="455">
        <f t="shared" ca="1" si="114"/>
        <v>-693646688.46381795</v>
      </c>
      <c r="M1781" s="471">
        <f t="shared" si="116"/>
        <v>0.05</v>
      </c>
      <c r="N1781" s="475">
        <f t="shared" si="117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15"/>
        <v>-693646688.46381795</v>
      </c>
      <c r="J1782" s="455">
        <f t="array" ref="J1782">IFERROR(INDEX('Retirement Calculator'!K:K,MATCH('Lorri 401b'!N1782,'Retirement Calculator'!A:A,0),0),0)</f>
        <v>0</v>
      </c>
      <c r="K1782" s="455">
        <f t="shared" ca="1" si="113"/>
        <v>-2890194.5352659081</v>
      </c>
      <c r="L1782" s="455">
        <f t="shared" ca="1" si="114"/>
        <v>-696536882.99908388</v>
      </c>
      <c r="M1782" s="471">
        <f t="shared" si="116"/>
        <v>0.05</v>
      </c>
      <c r="N1782" s="475">
        <f t="shared" si="117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15"/>
        <v>-696536882.99908388</v>
      </c>
      <c r="J1783" s="455">
        <f t="array" ref="J1783">IFERROR(INDEX('Retirement Calculator'!K:K,MATCH('Lorri 401b'!N1783,'Retirement Calculator'!A:A,0),0),0)</f>
        <v>0</v>
      </c>
      <c r="K1783" s="455">
        <f t="shared" ca="1" si="113"/>
        <v>-2902237.0124961827</v>
      </c>
      <c r="L1783" s="455">
        <f t="shared" ca="1" si="114"/>
        <v>-699439120.01158011</v>
      </c>
      <c r="M1783" s="471">
        <f t="shared" si="116"/>
        <v>0.05</v>
      </c>
      <c r="N1783" s="475">
        <f t="shared" si="117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15"/>
        <v>-699439120.01158011</v>
      </c>
      <c r="J1784" s="455">
        <f t="array" ref="J1784">IFERROR(INDEX('Retirement Calculator'!K:K,MATCH('Lorri 401b'!N1784,'Retirement Calculator'!A:A,0),0),0)</f>
        <v>0</v>
      </c>
      <c r="K1784" s="455">
        <f t="shared" ca="1" si="113"/>
        <v>-2914329.6667149169</v>
      </c>
      <c r="L1784" s="455">
        <f t="shared" ca="1" si="114"/>
        <v>-702353449.67829502</v>
      </c>
      <c r="M1784" s="471">
        <f t="shared" si="116"/>
        <v>0.05</v>
      </c>
      <c r="N1784" s="475">
        <f t="shared" si="117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15"/>
        <v>-702353449.67829502</v>
      </c>
      <c r="J1785" s="455">
        <f t="array" ref="J1785">IFERROR(INDEX('Retirement Calculator'!K:K,MATCH('Lorri 401b'!N1785,'Retirement Calculator'!A:A,0),0),0)</f>
        <v>0</v>
      </c>
      <c r="K1785" s="455">
        <f t="shared" ca="1" si="113"/>
        <v>-2926472.7069928958</v>
      </c>
      <c r="L1785" s="455">
        <f t="shared" ca="1" si="114"/>
        <v>-705279922.38528788</v>
      </c>
      <c r="M1785" s="471">
        <f t="shared" si="116"/>
        <v>0.05</v>
      </c>
      <c r="N1785" s="475">
        <f t="shared" si="117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15"/>
        <v>-705279922.38528788</v>
      </c>
      <c r="J1786" s="455">
        <f t="array" ref="J1786">IFERROR(INDEX('Retirement Calculator'!K:K,MATCH('Lorri 401b'!N1786,'Retirement Calculator'!A:A,0),0),0)</f>
        <v>0</v>
      </c>
      <c r="K1786" s="455">
        <f t="shared" ca="1" si="113"/>
        <v>-2938666.3432720327</v>
      </c>
      <c r="L1786" s="455">
        <f t="shared" ca="1" si="114"/>
        <v>-708218588.72855997</v>
      </c>
      <c r="M1786" s="471">
        <f t="shared" si="116"/>
        <v>0.05</v>
      </c>
      <c r="N1786" s="475">
        <f t="shared" si="117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15"/>
        <v>-708218588.72855997</v>
      </c>
      <c r="J1787" s="455">
        <f t="array" ref="J1787">IFERROR(INDEX('Retirement Calculator'!K:K,MATCH('Lorri 401b'!N1787,'Retirement Calculator'!A:A,0),0),0)</f>
        <v>0</v>
      </c>
      <c r="K1787" s="455">
        <f t="shared" ca="1" si="113"/>
        <v>-2950910.7863689996</v>
      </c>
      <c r="L1787" s="455">
        <f t="shared" ca="1" si="114"/>
        <v>-711169499.51492894</v>
      </c>
      <c r="M1787" s="471">
        <f t="shared" si="116"/>
        <v>0.05</v>
      </c>
      <c r="N1787" s="475">
        <f t="shared" si="117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15"/>
        <v>-711169499.51492894</v>
      </c>
      <c r="J1788" s="455">
        <f t="array" ref="J1788">IFERROR(INDEX('Retirement Calculator'!K:K,MATCH('Lorri 401b'!N1788,'Retirement Calculator'!A:A,0),0),0)</f>
        <v>0</v>
      </c>
      <c r="K1788" s="455">
        <f t="shared" ca="1" si="113"/>
        <v>-2963206.2479788708</v>
      </c>
      <c r="L1788" s="455">
        <f t="shared" ca="1" si="114"/>
        <v>-714132705.76290786</v>
      </c>
      <c r="M1788" s="471">
        <f t="shared" si="116"/>
        <v>0.05</v>
      </c>
      <c r="N1788" s="475">
        <f t="shared" si="117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15"/>
        <v>-714132705.76290786</v>
      </c>
      <c r="J1789" s="455">
        <f t="array" ref="J1789">IFERROR(INDEX('Retirement Calculator'!K:K,MATCH('Lorri 401b'!N1789,'Retirement Calculator'!A:A,0),0),0)</f>
        <v>0</v>
      </c>
      <c r="K1789" s="455">
        <f t="shared" ca="1" si="113"/>
        <v>-2975552.9406787828</v>
      </c>
      <c r="L1789" s="455">
        <f t="shared" ca="1" si="114"/>
        <v>-717108258.7035867</v>
      </c>
      <c r="M1789" s="471">
        <f t="shared" si="116"/>
        <v>0.05</v>
      </c>
      <c r="N1789" s="475">
        <f t="shared" si="117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15"/>
        <v>-717108258.7035867</v>
      </c>
      <c r="J1790" s="455">
        <f t="array" ref="J1790">IFERROR(INDEX('Retirement Calculator'!K:K,MATCH('Lorri 401b'!N1790,'Retirement Calculator'!A:A,0),0),0)</f>
        <v>0</v>
      </c>
      <c r="K1790" s="455">
        <f t="shared" ca="1" si="113"/>
        <v>-2987951.0779316113</v>
      </c>
      <c r="L1790" s="455">
        <f t="shared" ca="1" si="114"/>
        <v>-720096209.78151834</v>
      </c>
      <c r="M1790" s="471">
        <f t="shared" si="116"/>
        <v>0.05</v>
      </c>
      <c r="N1790" s="475">
        <f t="shared" si="117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15"/>
        <v>-720096209.78151834</v>
      </c>
      <c r="J1791" s="455">
        <f t="array" ref="J1791">IFERROR(INDEX('Retirement Calculator'!K:K,MATCH('Lorri 401b'!N1791,'Retirement Calculator'!A:A,0),0),0)</f>
        <v>0</v>
      </c>
      <c r="K1791" s="455">
        <f t="shared" ca="1" si="113"/>
        <v>-3000400.8740896597</v>
      </c>
      <c r="L1791" s="455">
        <f t="shared" ca="1" si="114"/>
        <v>-723096610.65560806</v>
      </c>
      <c r="M1791" s="471">
        <f t="shared" si="116"/>
        <v>0.05</v>
      </c>
      <c r="N1791" s="475">
        <f t="shared" si="117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15"/>
        <v>-723096610.65560806</v>
      </c>
      <c r="J1792" s="455">
        <f t="array" ref="J1792">IFERROR(INDEX('Retirement Calculator'!K:K,MATCH('Lorri 401b'!N1792,'Retirement Calculator'!A:A,0),0),0)</f>
        <v>0</v>
      </c>
      <c r="K1792" s="455">
        <f t="shared" ca="1" si="113"/>
        <v>-3012902.5443983669</v>
      </c>
      <c r="L1792" s="455">
        <f t="shared" ca="1" si="114"/>
        <v>-726109513.20000637</v>
      </c>
      <c r="M1792" s="471">
        <f t="shared" si="116"/>
        <v>0.05</v>
      </c>
      <c r="N1792" s="475">
        <f t="shared" si="117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15"/>
        <v>-726109513.20000637</v>
      </c>
      <c r="J1793" s="455">
        <f t="array" ref="J1793">IFERROR(INDEX('Retirement Calculator'!K:K,MATCH('Lorri 401b'!N1793,'Retirement Calculator'!A:A,0),0),0)</f>
        <v>0</v>
      </c>
      <c r="K1793" s="455">
        <f t="shared" ref="K1793:K2047" ca="1" si="118">IPMT(M1793/12,1,12,-I1793+J1793,,0)</f>
        <v>-3025456.3050000267</v>
      </c>
      <c r="L1793" s="455">
        <f t="shared" ref="L1793:L2047" ca="1" si="119">I1793-J1793+K1793</f>
        <v>-729134969.50500643</v>
      </c>
      <c r="M1793" s="471">
        <f t="shared" si="116"/>
        <v>0.05</v>
      </c>
      <c r="N1793" s="475">
        <f t="shared" si="117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20">L1793</f>
        <v>-729134969.50500643</v>
      </c>
      <c r="J1794" s="455">
        <f t="array" ref="J1794">IFERROR(INDEX('Retirement Calculator'!K:K,MATCH('Lorri 401b'!N1794,'Retirement Calculator'!A:A,0),0),0)</f>
        <v>0</v>
      </c>
      <c r="K1794" s="455">
        <f t="shared" ca="1" si="118"/>
        <v>-3038062.3729375266</v>
      </c>
      <c r="L1794" s="455">
        <f t="shared" ca="1" si="119"/>
        <v>-732173031.87794399</v>
      </c>
      <c r="M1794" s="471">
        <f t="shared" ref="M1794:M2048" si="121">M1793</f>
        <v>0.05</v>
      </c>
      <c r="N1794" s="475">
        <f t="shared" ref="N1794:N2048" si="122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20"/>
        <v>-732173031.87794399</v>
      </c>
      <c r="J1795" s="455">
        <f t="array" ref="J1795">IFERROR(INDEX('Retirement Calculator'!K:K,MATCH('Lorri 401b'!N1795,'Retirement Calculator'!A:A,0),0),0)</f>
        <v>0</v>
      </c>
      <c r="K1795" s="455">
        <f t="shared" ca="1" si="118"/>
        <v>-3050720.9661580999</v>
      </c>
      <c r="L1795" s="455">
        <f t="shared" ca="1" si="119"/>
        <v>-735223752.84410214</v>
      </c>
      <c r="M1795" s="471">
        <f t="shared" si="121"/>
        <v>0.05</v>
      </c>
      <c r="N1795" s="475">
        <f t="shared" si="122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20"/>
        <v>-735223752.84410214</v>
      </c>
      <c r="J1796" s="455">
        <f t="array" ref="J1796">IFERROR(INDEX('Retirement Calculator'!K:K,MATCH('Lorri 401b'!N1796,'Retirement Calculator'!A:A,0),0),0)</f>
        <v>0</v>
      </c>
      <c r="K1796" s="455">
        <f t="shared" ca="1" si="118"/>
        <v>-3063432.303517092</v>
      </c>
      <c r="L1796" s="455">
        <f t="shared" ca="1" si="119"/>
        <v>-738287185.14761925</v>
      </c>
      <c r="M1796" s="471">
        <f t="shared" si="121"/>
        <v>0.05</v>
      </c>
      <c r="N1796" s="475">
        <f t="shared" si="122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20"/>
        <v>-738287185.14761925</v>
      </c>
      <c r="J1797" s="455">
        <f t="array" ref="J1797">IFERROR(INDEX('Retirement Calculator'!K:K,MATCH('Lorri 401b'!N1797,'Retirement Calculator'!A:A,0),0),0)</f>
        <v>0</v>
      </c>
      <c r="K1797" s="455">
        <f t="shared" ca="1" si="118"/>
        <v>-3076196.6047817469</v>
      </c>
      <c r="L1797" s="455">
        <f t="shared" ca="1" si="119"/>
        <v>-741363381.75240099</v>
      </c>
      <c r="M1797" s="471">
        <f t="shared" si="121"/>
        <v>0.05</v>
      </c>
      <c r="N1797" s="475">
        <f t="shared" si="122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20"/>
        <v>-741363381.75240099</v>
      </c>
      <c r="J1798" s="455">
        <f t="array" ref="J1798">IFERROR(INDEX('Retirement Calculator'!K:K,MATCH('Lorri 401b'!N1798,'Retirement Calculator'!A:A,0),0),0)</f>
        <v>0</v>
      </c>
      <c r="K1798" s="455">
        <f t="shared" ca="1" si="118"/>
        <v>-3089014.090635004</v>
      </c>
      <c r="L1798" s="455">
        <f t="shared" ca="1" si="119"/>
        <v>-744452395.84303606</v>
      </c>
      <c r="M1798" s="471">
        <f t="shared" si="121"/>
        <v>0.05</v>
      </c>
      <c r="N1798" s="475">
        <f t="shared" si="122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20"/>
        <v>-744452395.84303606</v>
      </c>
      <c r="J1799" s="455">
        <f t="array" ref="J1799">IFERROR(INDEX('Retirement Calculator'!K:K,MATCH('Lorri 401b'!N1799,'Retirement Calculator'!A:A,0),0),0)</f>
        <v>0</v>
      </c>
      <c r="K1799" s="455">
        <f t="shared" ca="1" si="118"/>
        <v>-3101884.9826793168</v>
      </c>
      <c r="L1799" s="455">
        <f t="shared" ca="1" si="119"/>
        <v>-747554280.82571542</v>
      </c>
      <c r="M1799" s="471">
        <f t="shared" si="121"/>
        <v>0.05</v>
      </c>
      <c r="N1799" s="475">
        <f t="shared" si="122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20"/>
        <v>-747554280.82571542</v>
      </c>
      <c r="J1800" s="455">
        <f t="array" ref="J1800">IFERROR(INDEX('Retirement Calculator'!K:K,MATCH('Lorri 401b'!N1800,'Retirement Calculator'!A:A,0),0),0)</f>
        <v>0</v>
      </c>
      <c r="K1800" s="455">
        <f t="shared" ca="1" si="118"/>
        <v>-3114809.5034404807</v>
      </c>
      <c r="L1800" s="455">
        <f t="shared" ca="1" si="119"/>
        <v>-750669090.32915592</v>
      </c>
      <c r="M1800" s="471">
        <f t="shared" si="121"/>
        <v>0.05</v>
      </c>
      <c r="N1800" s="475">
        <f t="shared" si="122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20"/>
        <v>-750669090.32915592</v>
      </c>
      <c r="J1801" s="455">
        <f t="array" ref="J1801">IFERROR(INDEX('Retirement Calculator'!K:K,MATCH('Lorri 401b'!N1801,'Retirement Calculator'!A:A,0),0),0)</f>
        <v>0</v>
      </c>
      <c r="K1801" s="455">
        <f t="shared" ca="1" si="118"/>
        <v>-3127787.8763714829</v>
      </c>
      <c r="L1801" s="455">
        <f t="shared" ca="1" si="119"/>
        <v>-753796878.20552742</v>
      </c>
      <c r="M1801" s="471">
        <f t="shared" si="121"/>
        <v>0.05</v>
      </c>
      <c r="N1801" s="475">
        <f t="shared" si="122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20"/>
        <v>-753796878.20552742</v>
      </c>
      <c r="J1802" s="455">
        <f t="array" ref="J1802">IFERROR(INDEX('Retirement Calculator'!K:K,MATCH('Lorri 401b'!N1802,'Retirement Calculator'!A:A,0),0),0)</f>
        <v>0</v>
      </c>
      <c r="K1802" s="455">
        <f t="shared" ca="1" si="118"/>
        <v>-3140820.3258563643</v>
      </c>
      <c r="L1802" s="455">
        <f t="shared" ca="1" si="119"/>
        <v>-756937698.53138375</v>
      </c>
      <c r="M1802" s="471">
        <f t="shared" si="121"/>
        <v>0.05</v>
      </c>
      <c r="N1802" s="475">
        <f t="shared" si="122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20"/>
        <v>-756937698.53138375</v>
      </c>
      <c r="J1803" s="455">
        <f t="array" ref="J1803">IFERROR(INDEX('Retirement Calculator'!K:K,MATCH('Lorri 401b'!N1803,'Retirement Calculator'!A:A,0),0),0)</f>
        <v>0</v>
      </c>
      <c r="K1803" s="455">
        <f t="shared" ca="1" si="118"/>
        <v>-3153907.077214099</v>
      </c>
      <c r="L1803" s="455">
        <f t="shared" ca="1" si="119"/>
        <v>-760091605.60859787</v>
      </c>
      <c r="M1803" s="471">
        <f t="shared" si="121"/>
        <v>0.05</v>
      </c>
      <c r="N1803" s="475">
        <f t="shared" si="122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20"/>
        <v>-760091605.60859787</v>
      </c>
      <c r="J1804" s="455">
        <f t="array" ref="J1804">IFERROR(INDEX('Retirement Calculator'!K:K,MATCH('Lorri 401b'!N1804,'Retirement Calculator'!A:A,0),0),0)</f>
        <v>0</v>
      </c>
      <c r="K1804" s="455">
        <f t="shared" ca="1" si="118"/>
        <v>-3167048.3567024912</v>
      </c>
      <c r="L1804" s="455">
        <f t="shared" ca="1" si="119"/>
        <v>-763258653.96530032</v>
      </c>
      <c r="M1804" s="471">
        <f t="shared" si="121"/>
        <v>0.05</v>
      </c>
      <c r="N1804" s="475">
        <f t="shared" si="122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20"/>
        <v>-763258653.96530032</v>
      </c>
      <c r="J1805" s="455">
        <f t="array" ref="J1805">IFERROR(INDEX('Retirement Calculator'!K:K,MATCH('Lorri 401b'!N1805,'Retirement Calculator'!A:A,0),0),0)</f>
        <v>0</v>
      </c>
      <c r="K1805" s="455">
        <f t="shared" ca="1" si="118"/>
        <v>-3180244.3915220848</v>
      </c>
      <c r="L1805" s="455">
        <f t="shared" ca="1" si="119"/>
        <v>-766438898.35682237</v>
      </c>
      <c r="M1805" s="471">
        <f t="shared" si="121"/>
        <v>0.05</v>
      </c>
      <c r="N1805" s="475">
        <f t="shared" si="122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20"/>
        <v>-766438898.35682237</v>
      </c>
      <c r="J1806" s="455">
        <f t="array" ref="J1806">IFERROR(INDEX('Retirement Calculator'!K:K,MATCH('Lorri 401b'!N1806,'Retirement Calculator'!A:A,0),0),0)</f>
        <v>0</v>
      </c>
      <c r="K1806" s="455">
        <f t="shared" ca="1" si="118"/>
        <v>-3193495.4098200933</v>
      </c>
      <c r="L1806" s="455">
        <f t="shared" ca="1" si="119"/>
        <v>-769632393.76664245</v>
      </c>
      <c r="M1806" s="471">
        <f t="shared" si="121"/>
        <v>0.05</v>
      </c>
      <c r="N1806" s="475">
        <f t="shared" si="122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20"/>
        <v>-769632393.76664245</v>
      </c>
      <c r="J1807" s="455">
        <f t="array" ref="J1807">IFERROR(INDEX('Retirement Calculator'!K:K,MATCH('Lorri 401b'!N1807,'Retirement Calculator'!A:A,0),0),0)</f>
        <v>0</v>
      </c>
      <c r="K1807" s="455">
        <f t="shared" ca="1" si="118"/>
        <v>-3206801.6406943435</v>
      </c>
      <c r="L1807" s="455">
        <f t="shared" ca="1" si="119"/>
        <v>-772839195.40733683</v>
      </c>
      <c r="M1807" s="471">
        <f t="shared" si="121"/>
        <v>0.05</v>
      </c>
      <c r="N1807" s="475">
        <f t="shared" si="122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20"/>
        <v>-772839195.40733683</v>
      </c>
      <c r="J1808" s="455">
        <f t="array" ref="J1808">IFERROR(INDEX('Retirement Calculator'!K:K,MATCH('Lorri 401b'!N1808,'Retirement Calculator'!A:A,0),0),0)</f>
        <v>0</v>
      </c>
      <c r="K1808" s="455">
        <f t="shared" ca="1" si="118"/>
        <v>-3220163.3141972367</v>
      </c>
      <c r="L1808" s="455">
        <f t="shared" ca="1" si="119"/>
        <v>-776059358.72153401</v>
      </c>
      <c r="M1808" s="471">
        <f t="shared" si="121"/>
        <v>0.05</v>
      </c>
      <c r="N1808" s="475">
        <f t="shared" si="122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20"/>
        <v>-776059358.72153401</v>
      </c>
      <c r="J1809" s="455">
        <f t="array" ref="J1809">IFERROR(INDEX('Retirement Calculator'!K:K,MATCH('Lorri 401b'!N1809,'Retirement Calculator'!A:A,0),0),0)</f>
        <v>0</v>
      </c>
      <c r="K1809" s="455">
        <f t="shared" ca="1" si="118"/>
        <v>-3233580.6613397249</v>
      </c>
      <c r="L1809" s="455">
        <f t="shared" ca="1" si="119"/>
        <v>-779292939.38287377</v>
      </c>
      <c r="M1809" s="471">
        <f t="shared" si="121"/>
        <v>0.05</v>
      </c>
      <c r="N1809" s="475">
        <f t="shared" si="122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20"/>
        <v>-779292939.38287377</v>
      </c>
      <c r="J1810" s="455">
        <f t="array" ref="J1810">IFERROR(INDEX('Retirement Calculator'!K:K,MATCH('Lorri 401b'!N1810,'Retirement Calculator'!A:A,0),0),0)</f>
        <v>0</v>
      </c>
      <c r="K1810" s="455">
        <f t="shared" ca="1" si="118"/>
        <v>-3247053.9140953072</v>
      </c>
      <c r="L1810" s="455">
        <f t="shared" ca="1" si="119"/>
        <v>-782539993.29696906</v>
      </c>
      <c r="M1810" s="471">
        <f t="shared" si="121"/>
        <v>0.05</v>
      </c>
      <c r="N1810" s="475">
        <f t="shared" si="122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20"/>
        <v>-782539993.29696906</v>
      </c>
      <c r="J1811" s="455">
        <f t="array" ref="J1811">IFERROR(INDEX('Retirement Calculator'!K:K,MATCH('Lorri 401b'!N1811,'Retirement Calculator'!A:A,0),0),0)</f>
        <v>0</v>
      </c>
      <c r="K1811" s="455">
        <f t="shared" ca="1" si="118"/>
        <v>-3260583.3054040377</v>
      </c>
      <c r="L1811" s="455">
        <f t="shared" ca="1" si="119"/>
        <v>-785800576.60237312</v>
      </c>
      <c r="M1811" s="471">
        <f t="shared" si="121"/>
        <v>0.05</v>
      </c>
      <c r="N1811" s="475">
        <f t="shared" si="122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20"/>
        <v>-785800576.60237312</v>
      </c>
      <c r="J1812" s="455">
        <f t="array" ref="J1812">IFERROR(INDEX('Retirement Calculator'!K:K,MATCH('Lorri 401b'!N1812,'Retirement Calculator'!A:A,0),0),0)</f>
        <v>0</v>
      </c>
      <c r="K1812" s="455">
        <f t="shared" ca="1" si="118"/>
        <v>-3274169.0691765547</v>
      </c>
      <c r="L1812" s="455">
        <f t="shared" ca="1" si="119"/>
        <v>-789074745.67154968</v>
      </c>
      <c r="M1812" s="471">
        <f t="shared" si="121"/>
        <v>0.05</v>
      </c>
      <c r="N1812" s="475">
        <f t="shared" si="122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20"/>
        <v>-789074745.67154968</v>
      </c>
      <c r="J1813" s="455">
        <f t="array" ref="J1813">IFERROR(INDEX('Retirement Calculator'!K:K,MATCH('Lorri 401b'!N1813,'Retirement Calculator'!A:A,0),0),0)</f>
        <v>0</v>
      </c>
      <c r="K1813" s="455">
        <f t="shared" ca="1" si="118"/>
        <v>-3287811.4402981238</v>
      </c>
      <c r="L1813" s="455">
        <f t="shared" ca="1" si="119"/>
        <v>-792362557.11184776</v>
      </c>
      <c r="M1813" s="471">
        <f t="shared" si="121"/>
        <v>0.05</v>
      </c>
      <c r="N1813" s="475">
        <f t="shared" si="122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20"/>
        <v>-792362557.11184776</v>
      </c>
      <c r="J1814" s="455">
        <f t="array" ref="J1814">IFERROR(INDEX('Retirement Calculator'!K:K,MATCH('Lorri 401b'!N1814,'Retirement Calculator'!A:A,0),0),0)</f>
        <v>0</v>
      </c>
      <c r="K1814" s="455">
        <f t="shared" ca="1" si="118"/>
        <v>-3301510.6546326987</v>
      </c>
      <c r="L1814" s="455">
        <f t="shared" ca="1" si="119"/>
        <v>-795664067.76648045</v>
      </c>
      <c r="M1814" s="471">
        <f t="shared" si="121"/>
        <v>0.05</v>
      </c>
      <c r="N1814" s="475">
        <f t="shared" si="122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20"/>
        <v>-795664067.76648045</v>
      </c>
      <c r="J1815" s="455">
        <f t="array" ref="J1815">IFERROR(INDEX('Retirement Calculator'!K:K,MATCH('Lorri 401b'!N1815,'Retirement Calculator'!A:A,0),0),0)</f>
        <v>0</v>
      </c>
      <c r="K1815" s="455">
        <f t="shared" ca="1" si="118"/>
        <v>-3315266.9490270019</v>
      </c>
      <c r="L1815" s="455">
        <f t="shared" ca="1" si="119"/>
        <v>-798979334.71550751</v>
      </c>
      <c r="M1815" s="471">
        <f t="shared" si="121"/>
        <v>0.05</v>
      </c>
      <c r="N1815" s="475">
        <f t="shared" si="122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20"/>
        <v>-798979334.71550751</v>
      </c>
      <c r="J1816" s="455">
        <f t="array" ref="J1816">IFERROR(INDEX('Retirement Calculator'!K:K,MATCH('Lorri 401b'!N1816,'Retirement Calculator'!A:A,0),0),0)</f>
        <v>0</v>
      </c>
      <c r="K1816" s="455">
        <f t="shared" ca="1" si="118"/>
        <v>-3329080.5613146145</v>
      </c>
      <c r="L1816" s="455">
        <f t="shared" ca="1" si="119"/>
        <v>-802308415.27682209</v>
      </c>
      <c r="M1816" s="471">
        <f t="shared" si="121"/>
        <v>0.05</v>
      </c>
      <c r="N1816" s="475">
        <f t="shared" si="122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20"/>
        <v>-802308415.27682209</v>
      </c>
      <c r="J1817" s="455">
        <f t="array" ref="J1817">IFERROR(INDEX('Retirement Calculator'!K:K,MATCH('Lorri 401b'!N1817,'Retirement Calculator'!A:A,0),0),0)</f>
        <v>0</v>
      </c>
      <c r="K1817" s="455">
        <f t="shared" ca="1" si="118"/>
        <v>-3342951.7303200918</v>
      </c>
      <c r="L1817" s="455">
        <f t="shared" ca="1" si="119"/>
        <v>-805651367.00714219</v>
      </c>
      <c r="M1817" s="471">
        <f t="shared" si="121"/>
        <v>0.05</v>
      </c>
      <c r="N1817" s="475">
        <f t="shared" si="122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20"/>
        <v>-805651367.00714219</v>
      </c>
      <c r="J1818" s="455">
        <f t="array" ref="J1818">IFERROR(INDEX('Retirement Calculator'!K:K,MATCH('Lorri 401b'!N1818,'Retirement Calculator'!A:A,0),0),0)</f>
        <v>0</v>
      </c>
      <c r="K1818" s="455">
        <f t="shared" ca="1" si="118"/>
        <v>-3356880.6958630923</v>
      </c>
      <c r="L1818" s="455">
        <f t="shared" ca="1" si="119"/>
        <v>-809008247.70300531</v>
      </c>
      <c r="M1818" s="471">
        <f t="shared" si="121"/>
        <v>0.05</v>
      </c>
      <c r="N1818" s="475">
        <f t="shared" si="122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20"/>
        <v>-809008247.70300531</v>
      </c>
      <c r="J1819" s="455">
        <f t="array" ref="J1819">IFERROR(INDEX('Retirement Calculator'!K:K,MATCH('Lorri 401b'!N1819,'Retirement Calculator'!A:A,0),0),0)</f>
        <v>0</v>
      </c>
      <c r="K1819" s="455">
        <f t="shared" ca="1" si="118"/>
        <v>-3370867.6987625221</v>
      </c>
      <c r="L1819" s="455">
        <f t="shared" ca="1" si="119"/>
        <v>-812379115.40176785</v>
      </c>
      <c r="M1819" s="471">
        <f t="shared" si="121"/>
        <v>0.05</v>
      </c>
      <c r="N1819" s="475">
        <f t="shared" si="122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20"/>
        <v>-812379115.40176785</v>
      </c>
      <c r="J1820" s="455">
        <f t="array" ref="J1820">IFERROR(INDEX('Retirement Calculator'!K:K,MATCH('Lorri 401b'!N1820,'Retirement Calculator'!A:A,0),0),0)</f>
        <v>0</v>
      </c>
      <c r="K1820" s="455">
        <f t="shared" ca="1" si="118"/>
        <v>-3384912.9808406993</v>
      </c>
      <c r="L1820" s="455">
        <f t="shared" ca="1" si="119"/>
        <v>-815764028.38260853</v>
      </c>
      <c r="M1820" s="471">
        <f t="shared" si="121"/>
        <v>0.05</v>
      </c>
      <c r="N1820" s="475">
        <f t="shared" si="122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20"/>
        <v>-815764028.38260853</v>
      </c>
      <c r="J1821" s="455">
        <f t="array" ref="J1821">IFERROR(INDEX('Retirement Calculator'!K:K,MATCH('Lorri 401b'!N1821,'Retirement Calculator'!A:A,0),0),0)</f>
        <v>0</v>
      </c>
      <c r="K1821" s="455">
        <f t="shared" ca="1" si="118"/>
        <v>-3399016.7849275353</v>
      </c>
      <c r="L1821" s="455">
        <f t="shared" ca="1" si="119"/>
        <v>-819163045.16753602</v>
      </c>
      <c r="M1821" s="471">
        <f t="shared" si="121"/>
        <v>0.05</v>
      </c>
      <c r="N1821" s="475">
        <f t="shared" si="122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20"/>
        <v>-819163045.16753602</v>
      </c>
      <c r="J1822" s="455">
        <f t="array" ref="J1822">IFERROR(INDEX('Retirement Calculator'!K:K,MATCH('Lorri 401b'!N1822,'Retirement Calculator'!A:A,0),0),0)</f>
        <v>0</v>
      </c>
      <c r="K1822" s="455">
        <f t="shared" ca="1" si="118"/>
        <v>-3413179.3548647333</v>
      </c>
      <c r="L1822" s="455">
        <f t="shared" ca="1" si="119"/>
        <v>-822576224.52240074</v>
      </c>
      <c r="M1822" s="471">
        <f t="shared" si="121"/>
        <v>0.05</v>
      </c>
      <c r="N1822" s="475">
        <f t="shared" si="122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20"/>
        <v>-822576224.52240074</v>
      </c>
      <c r="J1823" s="455">
        <f t="array" ref="J1823">IFERROR(INDEX('Retirement Calculator'!K:K,MATCH('Lorri 401b'!N1823,'Retirement Calculator'!A:A,0),0),0)</f>
        <v>0</v>
      </c>
      <c r="K1823" s="455">
        <f t="shared" ca="1" si="118"/>
        <v>-3427400.935510003</v>
      </c>
      <c r="L1823" s="455">
        <f t="shared" ca="1" si="119"/>
        <v>-826003625.45791078</v>
      </c>
      <c r="M1823" s="471">
        <f t="shared" si="121"/>
        <v>0.05</v>
      </c>
      <c r="N1823" s="475">
        <f t="shared" si="122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20"/>
        <v>-826003625.45791078</v>
      </c>
      <c r="J1824" s="455">
        <f t="array" ref="J1824">IFERROR(INDEX('Retirement Calculator'!K:K,MATCH('Lorri 401b'!N1824,'Retirement Calculator'!A:A,0),0),0)</f>
        <v>0</v>
      </c>
      <c r="K1824" s="455">
        <f t="shared" ca="1" si="118"/>
        <v>-3441681.7727412949</v>
      </c>
      <c r="L1824" s="455">
        <f t="shared" ca="1" si="119"/>
        <v>-829445307.23065209</v>
      </c>
      <c r="M1824" s="471">
        <f t="shared" si="121"/>
        <v>0.05</v>
      </c>
      <c r="N1824" s="475">
        <f t="shared" si="122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20"/>
        <v>-829445307.23065209</v>
      </c>
      <c r="J1825" s="455">
        <f t="array" ref="J1825">IFERROR(INDEX('Retirement Calculator'!K:K,MATCH('Lorri 401b'!N1825,'Retirement Calculator'!A:A,0),0),0)</f>
        <v>0</v>
      </c>
      <c r="K1825" s="455">
        <f t="shared" ca="1" si="118"/>
        <v>-3456022.1134610502</v>
      </c>
      <c r="L1825" s="455">
        <f t="shared" ca="1" si="119"/>
        <v>-832901329.34411311</v>
      </c>
      <c r="M1825" s="471">
        <f t="shared" si="121"/>
        <v>0.05</v>
      </c>
      <c r="N1825" s="475">
        <f t="shared" si="122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20"/>
        <v>-832901329.34411311</v>
      </c>
      <c r="J1826" s="455">
        <f t="array" ref="J1826">IFERROR(INDEX('Retirement Calculator'!K:K,MATCH('Lorri 401b'!N1826,'Retirement Calculator'!A:A,0),0),0)</f>
        <v>0</v>
      </c>
      <c r="K1826" s="455">
        <f t="shared" ca="1" si="118"/>
        <v>-3470422.2056004712</v>
      </c>
      <c r="L1826" s="455">
        <f t="shared" ca="1" si="119"/>
        <v>-836371751.54971361</v>
      </c>
      <c r="M1826" s="471">
        <f t="shared" si="121"/>
        <v>0.05</v>
      </c>
      <c r="N1826" s="475">
        <f t="shared" si="122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20"/>
        <v>-836371751.54971361</v>
      </c>
      <c r="J1827" s="455">
        <f t="array" ref="J1827">IFERROR(INDEX('Retirement Calculator'!K:K,MATCH('Lorri 401b'!N1827,'Retirement Calculator'!A:A,0),0),0)</f>
        <v>0</v>
      </c>
      <c r="K1827" s="455">
        <f t="shared" ca="1" si="118"/>
        <v>-3484882.2981238072</v>
      </c>
      <c r="L1827" s="455">
        <f t="shared" ca="1" si="119"/>
        <v>-839856633.84783745</v>
      </c>
      <c r="M1827" s="471">
        <f t="shared" si="121"/>
        <v>0.05</v>
      </c>
      <c r="N1827" s="475">
        <f t="shared" si="122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20"/>
        <v>-839856633.84783745</v>
      </c>
      <c r="J1828" s="455">
        <f t="array" ref="J1828">IFERROR(INDEX('Retirement Calculator'!K:K,MATCH('Lorri 401b'!N1828,'Retirement Calculator'!A:A,0),0),0)</f>
        <v>0</v>
      </c>
      <c r="K1828" s="455">
        <f t="shared" ca="1" si="118"/>
        <v>-3499402.6410326553</v>
      </c>
      <c r="L1828" s="455">
        <f t="shared" ca="1" si="119"/>
        <v>-843356036.48887014</v>
      </c>
      <c r="M1828" s="471">
        <f t="shared" si="121"/>
        <v>0.05</v>
      </c>
      <c r="N1828" s="475">
        <f t="shared" si="122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20"/>
        <v>-843356036.48887014</v>
      </c>
      <c r="J1829" s="455">
        <f t="array" ref="J1829">IFERROR(INDEX('Retirement Calculator'!K:K,MATCH('Lorri 401b'!N1829,'Retirement Calculator'!A:A,0),0),0)</f>
        <v>0</v>
      </c>
      <c r="K1829" s="455">
        <f t="shared" ca="1" si="118"/>
        <v>-3513983.4853702919</v>
      </c>
      <c r="L1829" s="455">
        <f t="shared" ca="1" si="119"/>
        <v>-846870019.97424042</v>
      </c>
      <c r="M1829" s="471">
        <f t="shared" si="121"/>
        <v>0.05</v>
      </c>
      <c r="N1829" s="475">
        <f t="shared" si="122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20"/>
        <v>-846870019.97424042</v>
      </c>
      <c r="J1830" s="455">
        <f t="array" ref="J1830">IFERROR(INDEX('Retirement Calculator'!K:K,MATCH('Lorri 401b'!N1830,'Retirement Calculator'!A:A,0),0),0)</f>
        <v>0</v>
      </c>
      <c r="K1830" s="455">
        <f t="shared" ca="1" si="118"/>
        <v>-3528625.0832260018</v>
      </c>
      <c r="L1830" s="455">
        <f t="shared" ca="1" si="119"/>
        <v>-850398645.05746639</v>
      </c>
      <c r="M1830" s="471">
        <f t="shared" si="121"/>
        <v>0.05</v>
      </c>
      <c r="N1830" s="475">
        <f t="shared" si="122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20"/>
        <v>-850398645.05746639</v>
      </c>
      <c r="J1831" s="455">
        <f t="array" ref="J1831">IFERROR(INDEX('Retirement Calculator'!K:K,MATCH('Lorri 401b'!N1831,'Retirement Calculator'!A:A,0),0),0)</f>
        <v>0</v>
      </c>
      <c r="K1831" s="455">
        <f t="shared" ca="1" si="118"/>
        <v>-3543327.6877394426</v>
      </c>
      <c r="L1831" s="455">
        <f t="shared" ca="1" si="119"/>
        <v>-853941972.74520588</v>
      </c>
      <c r="M1831" s="471">
        <f t="shared" si="121"/>
        <v>0.05</v>
      </c>
      <c r="N1831" s="475">
        <f t="shared" si="122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20"/>
        <v>-853941972.74520588</v>
      </c>
      <c r="J1832" s="455">
        <f t="array" ref="J1832">IFERROR(INDEX('Retirement Calculator'!K:K,MATCH('Lorri 401b'!N1832,'Retirement Calculator'!A:A,0),0),0)</f>
        <v>0</v>
      </c>
      <c r="K1832" s="455">
        <f t="shared" ca="1" si="118"/>
        <v>-3558091.5531050242</v>
      </c>
      <c r="L1832" s="455">
        <f t="shared" ca="1" si="119"/>
        <v>-857500064.29831088</v>
      </c>
      <c r="M1832" s="471">
        <f t="shared" si="121"/>
        <v>0.05</v>
      </c>
      <c r="N1832" s="475">
        <f t="shared" si="122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20"/>
        <v>-857500064.29831088</v>
      </c>
      <c r="J1833" s="455">
        <f t="array" ref="J1833">IFERROR(INDEX('Retirement Calculator'!K:K,MATCH('Lorri 401b'!N1833,'Retirement Calculator'!A:A,0),0),0)</f>
        <v>0</v>
      </c>
      <c r="K1833" s="455">
        <f t="shared" ca="1" si="118"/>
        <v>-3572916.9345762958</v>
      </c>
      <c r="L1833" s="455">
        <f t="shared" ca="1" si="119"/>
        <v>-861072981.23288715</v>
      </c>
      <c r="M1833" s="471">
        <f t="shared" si="121"/>
        <v>0.05</v>
      </c>
      <c r="N1833" s="475">
        <f t="shared" si="122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20"/>
        <v>-861072981.23288715</v>
      </c>
      <c r="J1834" s="455">
        <f t="array" ref="J1834">IFERROR(INDEX('Retirement Calculator'!K:K,MATCH('Lorri 401b'!N1834,'Retirement Calculator'!A:A,0),0),0)</f>
        <v>0</v>
      </c>
      <c r="K1834" s="455">
        <f t="shared" ca="1" si="118"/>
        <v>-3587804.0884703626</v>
      </c>
      <c r="L1834" s="455">
        <f t="shared" ca="1" si="119"/>
        <v>-864660785.32135749</v>
      </c>
      <c r="M1834" s="471">
        <f t="shared" si="121"/>
        <v>0.05</v>
      </c>
      <c r="N1834" s="475">
        <f t="shared" si="122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20"/>
        <v>-864660785.32135749</v>
      </c>
      <c r="J1835" s="455">
        <f t="array" ref="J1835">IFERROR(INDEX('Retirement Calculator'!K:K,MATCH('Lorri 401b'!N1835,'Retirement Calculator'!A:A,0),0),0)</f>
        <v>0</v>
      </c>
      <c r="K1835" s="455">
        <f t="shared" ca="1" si="118"/>
        <v>-3602753.272172323</v>
      </c>
      <c r="L1835" s="455">
        <f t="shared" ca="1" si="119"/>
        <v>-868263538.59352982</v>
      </c>
      <c r="M1835" s="471">
        <f t="shared" si="121"/>
        <v>0.05</v>
      </c>
      <c r="N1835" s="475">
        <f t="shared" si="122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20"/>
        <v>-868263538.59352982</v>
      </c>
      <c r="J1836" s="455">
        <f t="array" ref="J1836">IFERROR(INDEX('Retirement Calculator'!K:K,MATCH('Lorri 401b'!N1836,'Retirement Calculator'!A:A,0),0),0)</f>
        <v>0</v>
      </c>
      <c r="K1836" s="455">
        <f t="shared" ca="1" si="118"/>
        <v>-3617764.7441397072</v>
      </c>
      <c r="L1836" s="455">
        <f t="shared" ca="1" si="119"/>
        <v>-871881303.33766949</v>
      </c>
      <c r="M1836" s="471">
        <f t="shared" si="121"/>
        <v>0.05</v>
      </c>
      <c r="N1836" s="475">
        <f t="shared" si="122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20"/>
        <v>-871881303.33766949</v>
      </c>
      <c r="J1837" s="455">
        <f t="array" ref="J1837">IFERROR(INDEX('Retirement Calculator'!K:K,MATCH('Lorri 401b'!N1837,'Retirement Calculator'!A:A,0),0),0)</f>
        <v>0</v>
      </c>
      <c r="K1837" s="455">
        <f t="shared" ca="1" si="118"/>
        <v>-3632838.7639069562</v>
      </c>
      <c r="L1837" s="455">
        <f t="shared" ca="1" si="119"/>
        <v>-875514142.10157645</v>
      </c>
      <c r="M1837" s="471">
        <f t="shared" si="121"/>
        <v>0.05</v>
      </c>
      <c r="N1837" s="475">
        <f t="shared" si="122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20"/>
        <v>-875514142.10157645</v>
      </c>
      <c r="J1838" s="455">
        <f t="array" ref="J1838">IFERROR(INDEX('Retirement Calculator'!K:K,MATCH('Lorri 401b'!N1838,'Retirement Calculator'!A:A,0),0),0)</f>
        <v>0</v>
      </c>
      <c r="K1838" s="455">
        <f t="shared" ca="1" si="118"/>
        <v>-3647975.5920899017</v>
      </c>
      <c r="L1838" s="455">
        <f t="shared" ca="1" si="119"/>
        <v>-879162117.69366634</v>
      </c>
      <c r="M1838" s="471">
        <f t="shared" si="121"/>
        <v>0.05</v>
      </c>
      <c r="N1838" s="475">
        <f t="shared" si="122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20"/>
        <v>-879162117.69366634</v>
      </c>
      <c r="J1839" s="455">
        <f t="array" ref="J1839">IFERROR(INDEX('Retirement Calculator'!K:K,MATCH('Lorri 401b'!N1839,'Retirement Calculator'!A:A,0),0),0)</f>
        <v>0</v>
      </c>
      <c r="K1839" s="455">
        <f t="shared" ca="1" si="118"/>
        <v>-3663175.4903902765</v>
      </c>
      <c r="L1839" s="455">
        <f t="shared" ca="1" si="119"/>
        <v>-882825293.18405664</v>
      </c>
      <c r="M1839" s="471">
        <f t="shared" si="121"/>
        <v>0.05</v>
      </c>
      <c r="N1839" s="475">
        <f t="shared" si="122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20"/>
        <v>-882825293.18405664</v>
      </c>
      <c r="J1840" s="455">
        <f t="array" ref="J1840">IFERROR(INDEX('Retirement Calculator'!K:K,MATCH('Lorri 401b'!N1840,'Retirement Calculator'!A:A,0),0),0)</f>
        <v>0</v>
      </c>
      <c r="K1840" s="455">
        <f t="shared" ca="1" si="118"/>
        <v>-3678438.7216002364</v>
      </c>
      <c r="L1840" s="455">
        <f t="shared" ca="1" si="119"/>
        <v>-886503731.90565693</v>
      </c>
      <c r="M1840" s="471">
        <f t="shared" si="121"/>
        <v>0.05</v>
      </c>
      <c r="N1840" s="475">
        <f t="shared" si="122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20"/>
        <v>-886503731.90565693</v>
      </c>
      <c r="J1841" s="455">
        <f t="array" ref="J1841">IFERROR(INDEX('Retirement Calculator'!K:K,MATCH('Lorri 401b'!N1841,'Retirement Calculator'!A:A,0),0),0)</f>
        <v>0</v>
      </c>
      <c r="K1841" s="455">
        <f t="shared" ca="1" si="118"/>
        <v>-3693765.5496069039</v>
      </c>
      <c r="L1841" s="455">
        <f t="shared" ca="1" si="119"/>
        <v>-890197497.45526385</v>
      </c>
      <c r="M1841" s="471">
        <f t="shared" si="121"/>
        <v>0.05</v>
      </c>
      <c r="N1841" s="475">
        <f t="shared" si="122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20"/>
        <v>-890197497.45526385</v>
      </c>
      <c r="J1842" s="455">
        <f t="array" ref="J1842">IFERROR(INDEX('Retirement Calculator'!K:K,MATCH('Lorri 401b'!N1842,'Retirement Calculator'!A:A,0),0),0)</f>
        <v>0</v>
      </c>
      <c r="K1842" s="455">
        <f t="shared" ca="1" si="118"/>
        <v>-3709156.2393969325</v>
      </c>
      <c r="L1842" s="455">
        <f t="shared" ca="1" si="119"/>
        <v>-893906653.69466078</v>
      </c>
      <c r="M1842" s="471">
        <f t="shared" si="121"/>
        <v>0.05</v>
      </c>
      <c r="N1842" s="475">
        <f t="shared" si="122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20"/>
        <v>-893906653.69466078</v>
      </c>
      <c r="J1843" s="455">
        <f t="array" ref="J1843">IFERROR(INDEX('Retirement Calculator'!K:K,MATCH('Lorri 401b'!N1843,'Retirement Calculator'!A:A,0),0),0)</f>
        <v>0</v>
      </c>
      <c r="K1843" s="455">
        <f t="shared" ca="1" si="118"/>
        <v>-3724611.0570610864</v>
      </c>
      <c r="L1843" s="455">
        <f t="shared" ca="1" si="119"/>
        <v>-897631264.75172186</v>
      </c>
      <c r="M1843" s="471">
        <f t="shared" si="121"/>
        <v>0.05</v>
      </c>
      <c r="N1843" s="475">
        <f t="shared" si="122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20"/>
        <v>-897631264.75172186</v>
      </c>
      <c r="J1844" s="455">
        <f t="array" ref="J1844">IFERROR(INDEX('Retirement Calculator'!K:K,MATCH('Lorri 401b'!N1844,'Retirement Calculator'!A:A,0),0),0)</f>
        <v>0</v>
      </c>
      <c r="K1844" s="455">
        <f t="shared" ca="1" si="118"/>
        <v>-3740130.2697988413</v>
      </c>
      <c r="L1844" s="455">
        <f t="shared" ca="1" si="119"/>
        <v>-901371395.02152073</v>
      </c>
      <c r="M1844" s="471">
        <f t="shared" si="121"/>
        <v>0.05</v>
      </c>
      <c r="N1844" s="475">
        <f t="shared" si="122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20"/>
        <v>-901371395.02152073</v>
      </c>
      <c r="J1845" s="455">
        <f t="array" ref="J1845">IFERROR(INDEX('Retirement Calculator'!K:K,MATCH('Lorri 401b'!N1845,'Retirement Calculator'!A:A,0),0),0)</f>
        <v>0</v>
      </c>
      <c r="K1845" s="455">
        <f t="shared" ca="1" si="118"/>
        <v>-3755714.1459230031</v>
      </c>
      <c r="L1845" s="455">
        <f t="shared" ca="1" si="119"/>
        <v>-905127109.16744375</v>
      </c>
      <c r="M1845" s="471">
        <f t="shared" si="121"/>
        <v>0.05</v>
      </c>
      <c r="N1845" s="475">
        <f t="shared" si="122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20"/>
        <v>-905127109.16744375</v>
      </c>
      <c r="J1846" s="455">
        <f t="array" ref="J1846">IFERROR(INDEX('Retirement Calculator'!K:K,MATCH('Lorri 401b'!N1846,'Retirement Calculator'!A:A,0),0),0)</f>
        <v>0</v>
      </c>
      <c r="K1846" s="455">
        <f t="shared" ca="1" si="118"/>
        <v>-3771362.9548643488</v>
      </c>
      <c r="L1846" s="455">
        <f t="shared" ca="1" si="119"/>
        <v>-908898472.12230814</v>
      </c>
      <c r="M1846" s="471">
        <f t="shared" si="121"/>
        <v>0.05</v>
      </c>
      <c r="N1846" s="475">
        <f t="shared" si="122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20"/>
        <v>-908898472.12230814</v>
      </c>
      <c r="J1847" s="455">
        <f t="array" ref="J1847">IFERROR(INDEX('Retirement Calculator'!K:K,MATCH('Lorri 401b'!N1847,'Retirement Calculator'!A:A,0),0),0)</f>
        <v>0</v>
      </c>
      <c r="K1847" s="455">
        <f t="shared" ca="1" si="118"/>
        <v>-3787076.9671762837</v>
      </c>
      <c r="L1847" s="455">
        <f t="shared" ca="1" si="119"/>
        <v>-912685549.08948445</v>
      </c>
      <c r="M1847" s="471">
        <f t="shared" si="121"/>
        <v>0.05</v>
      </c>
      <c r="N1847" s="475">
        <f t="shared" si="122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20"/>
        <v>-912685549.08948445</v>
      </c>
      <c r="J1848" s="455">
        <f t="array" ref="J1848">IFERROR(INDEX('Retirement Calculator'!K:K,MATCH('Lorri 401b'!N1848,'Retirement Calculator'!A:A,0),0),0)</f>
        <v>0</v>
      </c>
      <c r="K1848" s="455">
        <f t="shared" ca="1" si="118"/>
        <v>-3802856.4545395183</v>
      </c>
      <c r="L1848" s="455">
        <f t="shared" ca="1" si="119"/>
        <v>-916488405.54402399</v>
      </c>
      <c r="M1848" s="471">
        <f t="shared" si="121"/>
        <v>0.05</v>
      </c>
      <c r="N1848" s="475">
        <f t="shared" si="122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20"/>
        <v>-916488405.54402399</v>
      </c>
      <c r="J1849" s="455">
        <f t="array" ref="J1849">IFERROR(INDEX('Retirement Calculator'!K:K,MATCH('Lorri 401b'!N1849,'Retirement Calculator'!A:A,0),0),0)</f>
        <v>0</v>
      </c>
      <c r="K1849" s="455">
        <f t="shared" ca="1" si="118"/>
        <v>-3818701.689766766</v>
      </c>
      <c r="L1849" s="455">
        <f t="shared" ca="1" si="119"/>
        <v>-920307107.23379076</v>
      </c>
      <c r="M1849" s="471">
        <f t="shared" si="121"/>
        <v>0.05</v>
      </c>
      <c r="N1849" s="475">
        <f t="shared" si="122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20"/>
        <v>-920307107.23379076</v>
      </c>
      <c r="J1850" s="455">
        <f t="array" ref="J1850">IFERROR(INDEX('Retirement Calculator'!K:K,MATCH('Lorri 401b'!N1850,'Retirement Calculator'!A:A,0),0),0)</f>
        <v>0</v>
      </c>
      <c r="K1850" s="455">
        <f t="shared" ca="1" si="118"/>
        <v>-3834612.9468074613</v>
      </c>
      <c r="L1850" s="455">
        <f t="shared" ca="1" si="119"/>
        <v>-924141720.18059826</v>
      </c>
      <c r="M1850" s="471">
        <f t="shared" si="121"/>
        <v>0.05</v>
      </c>
      <c r="N1850" s="475">
        <f t="shared" si="122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20"/>
        <v>-924141720.18059826</v>
      </c>
      <c r="J1851" s="455">
        <f t="array" ref="J1851">IFERROR(INDEX('Retirement Calculator'!K:K,MATCH('Lorri 401b'!N1851,'Retirement Calculator'!A:A,0),0),0)</f>
        <v>0</v>
      </c>
      <c r="K1851" s="455">
        <f t="shared" ca="1" si="118"/>
        <v>-3850590.5007524928</v>
      </c>
      <c r="L1851" s="455">
        <f t="shared" ca="1" si="119"/>
        <v>-927992310.68135071</v>
      </c>
      <c r="M1851" s="471">
        <f t="shared" si="121"/>
        <v>0.05</v>
      </c>
      <c r="N1851" s="475">
        <f t="shared" si="122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20"/>
        <v>-927992310.68135071</v>
      </c>
      <c r="J1852" s="455">
        <f t="array" ref="J1852">IFERROR(INDEX('Retirement Calculator'!K:K,MATCH('Lorri 401b'!N1852,'Retirement Calculator'!A:A,0),0),0)</f>
        <v>0</v>
      </c>
      <c r="K1852" s="455">
        <f t="shared" ca="1" si="118"/>
        <v>-3866634.6278389618</v>
      </c>
      <c r="L1852" s="455">
        <f t="shared" ca="1" si="119"/>
        <v>-931858945.30918968</v>
      </c>
      <c r="M1852" s="471">
        <f t="shared" si="121"/>
        <v>0.05</v>
      </c>
      <c r="N1852" s="475">
        <f t="shared" si="122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20"/>
        <v>-931858945.30918968</v>
      </c>
      <c r="J1853" s="455">
        <f t="array" ref="J1853">IFERROR(INDEX('Retirement Calculator'!K:K,MATCH('Lorri 401b'!N1853,'Retirement Calculator'!A:A,0),0),0)</f>
        <v>0</v>
      </c>
      <c r="K1853" s="455">
        <f t="shared" ca="1" si="118"/>
        <v>-3882745.6054549571</v>
      </c>
      <c r="L1853" s="455">
        <f t="shared" ca="1" si="119"/>
        <v>-935741690.9146446</v>
      </c>
      <c r="M1853" s="471">
        <f t="shared" si="121"/>
        <v>0.05</v>
      </c>
      <c r="N1853" s="475">
        <f t="shared" si="122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20"/>
        <v>-935741690.9146446</v>
      </c>
      <c r="J1854" s="455">
        <f t="array" ref="J1854">IFERROR(INDEX('Retirement Calculator'!K:K,MATCH('Lorri 401b'!N1854,'Retirement Calculator'!A:A,0),0),0)</f>
        <v>0</v>
      </c>
      <c r="K1854" s="455">
        <f t="shared" ca="1" si="118"/>
        <v>-3898923.7121443525</v>
      </c>
      <c r="L1854" s="455">
        <f t="shared" ca="1" si="119"/>
        <v>-939640614.62678897</v>
      </c>
      <c r="M1854" s="471">
        <f t="shared" si="121"/>
        <v>0.05</v>
      </c>
      <c r="N1854" s="475">
        <f t="shared" si="122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20"/>
        <v>-939640614.62678897</v>
      </c>
      <c r="J1855" s="455">
        <f t="array" ref="J1855">IFERROR(INDEX('Retirement Calculator'!K:K,MATCH('Lorri 401b'!N1855,'Retirement Calculator'!A:A,0),0),0)</f>
        <v>0</v>
      </c>
      <c r="K1855" s="455">
        <f t="shared" ca="1" si="118"/>
        <v>-3915169.22761162</v>
      </c>
      <c r="L1855" s="455">
        <f t="shared" ca="1" si="119"/>
        <v>-943555783.85440063</v>
      </c>
      <c r="M1855" s="471">
        <f t="shared" si="121"/>
        <v>0.05</v>
      </c>
      <c r="N1855" s="475">
        <f t="shared" si="122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20"/>
        <v>-943555783.85440063</v>
      </c>
      <c r="J1856" s="455">
        <f t="array" ref="J1856">IFERROR(INDEX('Retirement Calculator'!K:K,MATCH('Lorri 401b'!N1856,'Retirement Calculator'!A:A,0),0),0)</f>
        <v>0</v>
      </c>
      <c r="K1856" s="455">
        <f t="shared" ca="1" si="118"/>
        <v>-3931482.4327266696</v>
      </c>
      <c r="L1856" s="455">
        <f t="shared" ca="1" si="119"/>
        <v>-947487266.28712726</v>
      </c>
      <c r="M1856" s="471">
        <f t="shared" si="121"/>
        <v>0.05</v>
      </c>
      <c r="N1856" s="475">
        <f t="shared" si="122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20"/>
        <v>-947487266.28712726</v>
      </c>
      <c r="J1857" s="455">
        <f t="array" ref="J1857">IFERROR(INDEX('Retirement Calculator'!K:K,MATCH('Lorri 401b'!N1857,'Retirement Calculator'!A:A,0),0),0)</f>
        <v>0</v>
      </c>
      <c r="K1857" s="455">
        <f t="shared" ca="1" si="118"/>
        <v>-3947863.6095296964</v>
      </c>
      <c r="L1857" s="455">
        <f t="shared" ca="1" si="119"/>
        <v>-951435129.89665699</v>
      </c>
      <c r="M1857" s="471">
        <f t="shared" si="121"/>
        <v>0.05</v>
      </c>
      <c r="N1857" s="475">
        <f t="shared" si="122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20"/>
        <v>-951435129.89665699</v>
      </c>
      <c r="J1858" s="455">
        <f t="array" ref="J1858">IFERROR(INDEX('Retirement Calculator'!K:K,MATCH('Lorri 401b'!N1858,'Retirement Calculator'!A:A,0),0),0)</f>
        <v>0</v>
      </c>
      <c r="K1858" s="455">
        <f t="shared" ca="1" si="118"/>
        <v>-3964313.0412360709</v>
      </c>
      <c r="L1858" s="455">
        <f t="shared" ca="1" si="119"/>
        <v>-955399442.93789303</v>
      </c>
      <c r="M1858" s="471">
        <f t="shared" si="121"/>
        <v>0.05</v>
      </c>
      <c r="N1858" s="475">
        <f t="shared" si="122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20"/>
        <v>-955399442.93789303</v>
      </c>
      <c r="J1859" s="455">
        <f t="array" ref="J1859">IFERROR(INDEX('Retirement Calculator'!K:K,MATCH('Lorri 401b'!N1859,'Retirement Calculator'!A:A,0),0),0)</f>
        <v>0</v>
      </c>
      <c r="K1859" s="455">
        <f t="shared" ca="1" si="118"/>
        <v>-3980831.012241221</v>
      </c>
      <c r="L1859" s="455">
        <f t="shared" ca="1" si="119"/>
        <v>-959380273.95013428</v>
      </c>
      <c r="M1859" s="471">
        <f t="shared" si="121"/>
        <v>0.05</v>
      </c>
      <c r="N1859" s="475">
        <f t="shared" si="122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20"/>
        <v>-959380273.95013428</v>
      </c>
      <c r="J1860" s="455">
        <f t="array" ref="J1860">IFERROR(INDEX('Retirement Calculator'!K:K,MATCH('Lorri 401b'!N1860,'Retirement Calculator'!A:A,0),0),0)</f>
        <v>0</v>
      </c>
      <c r="K1860" s="455">
        <f t="shared" ca="1" si="118"/>
        <v>-3997417.8081255592</v>
      </c>
      <c r="L1860" s="455">
        <f t="shared" ca="1" si="119"/>
        <v>-963377691.75825989</v>
      </c>
      <c r="M1860" s="471">
        <f t="shared" si="121"/>
        <v>0.05</v>
      </c>
      <c r="N1860" s="475">
        <f t="shared" si="122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20"/>
        <v>-963377691.75825989</v>
      </c>
      <c r="J1861" s="455">
        <f t="array" ref="J1861">IFERROR(INDEX('Retirement Calculator'!K:K,MATCH('Lorri 401b'!N1861,'Retirement Calculator'!A:A,0),0),0)</f>
        <v>0</v>
      </c>
      <c r="K1861" s="455">
        <f t="shared" ca="1" si="118"/>
        <v>-4014073.7156594163</v>
      </c>
      <c r="L1861" s="455">
        <f t="shared" ca="1" si="119"/>
        <v>-967391765.47391927</v>
      </c>
      <c r="M1861" s="471">
        <f t="shared" si="121"/>
        <v>0.05</v>
      </c>
      <c r="N1861" s="475">
        <f t="shared" si="122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20"/>
        <v>-967391765.47391927</v>
      </c>
      <c r="J1862" s="455">
        <f t="array" ref="J1862">IFERROR(INDEX('Retirement Calculator'!K:K,MATCH('Lorri 401b'!N1862,'Retirement Calculator'!A:A,0),0),0)</f>
        <v>0</v>
      </c>
      <c r="K1862" s="455">
        <f t="shared" ca="1" si="118"/>
        <v>-4030799.0228079967</v>
      </c>
      <c r="L1862" s="455">
        <f t="shared" ca="1" si="119"/>
        <v>-971422564.49672723</v>
      </c>
      <c r="M1862" s="471">
        <f t="shared" si="121"/>
        <v>0.05</v>
      </c>
      <c r="N1862" s="475">
        <f t="shared" si="122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20"/>
        <v>-971422564.49672723</v>
      </c>
      <c r="J1863" s="455">
        <f t="array" ref="J1863">IFERROR(INDEX('Retirement Calculator'!K:K,MATCH('Lorri 401b'!N1863,'Retirement Calculator'!A:A,0),0),0)</f>
        <v>0</v>
      </c>
      <c r="K1863" s="455">
        <f t="shared" ca="1" si="118"/>
        <v>-4047594.0187363634</v>
      </c>
      <c r="L1863" s="455">
        <f t="shared" ca="1" si="119"/>
        <v>-975470158.51546359</v>
      </c>
      <c r="M1863" s="471">
        <f t="shared" si="121"/>
        <v>0.05</v>
      </c>
      <c r="N1863" s="475">
        <f t="shared" si="122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20"/>
        <v>-975470158.51546359</v>
      </c>
      <c r="J1864" s="455">
        <f t="array" ref="J1864">IFERROR(INDEX('Retirement Calculator'!K:K,MATCH('Lorri 401b'!N1864,'Retirement Calculator'!A:A,0),0),0)</f>
        <v>0</v>
      </c>
      <c r="K1864" s="455">
        <f t="shared" ca="1" si="118"/>
        <v>-4064458.9938144311</v>
      </c>
      <c r="L1864" s="455">
        <f t="shared" ca="1" si="119"/>
        <v>-979534617.50927806</v>
      </c>
      <c r="M1864" s="471">
        <f t="shared" si="121"/>
        <v>0.05</v>
      </c>
      <c r="N1864" s="475">
        <f t="shared" si="122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20"/>
        <v>-979534617.50927806</v>
      </c>
      <c r="J1865" s="455">
        <f t="array" ref="J1865">IFERROR(INDEX('Retirement Calculator'!K:K,MATCH('Lorri 401b'!N1865,'Retirement Calculator'!A:A,0),0),0)</f>
        <v>0</v>
      </c>
      <c r="K1865" s="455">
        <f t="shared" ca="1" si="118"/>
        <v>-4081394.2396219918</v>
      </c>
      <c r="L1865" s="455">
        <f t="shared" ca="1" si="119"/>
        <v>-983616011.74890006</v>
      </c>
      <c r="M1865" s="471">
        <f t="shared" si="121"/>
        <v>0.05</v>
      </c>
      <c r="N1865" s="475">
        <f t="shared" si="122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20"/>
        <v>-983616011.74890006</v>
      </c>
      <c r="J1866" s="455">
        <f t="array" ref="J1866">IFERROR(INDEX('Retirement Calculator'!K:K,MATCH('Lorri 401b'!N1866,'Retirement Calculator'!A:A,0),0),0)</f>
        <v>0</v>
      </c>
      <c r="K1866" s="455">
        <f t="shared" ca="1" si="118"/>
        <v>-4098400.0489537502</v>
      </c>
      <c r="L1866" s="455">
        <f t="shared" ca="1" si="119"/>
        <v>-987714411.79785383</v>
      </c>
      <c r="M1866" s="471">
        <f t="shared" si="121"/>
        <v>0.05</v>
      </c>
      <c r="N1866" s="475">
        <f t="shared" si="122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20"/>
        <v>-987714411.79785383</v>
      </c>
      <c r="J1867" s="455">
        <f t="array" ref="J1867">IFERROR(INDEX('Retirement Calculator'!K:K,MATCH('Lorri 401b'!N1867,'Retirement Calculator'!A:A,0),0),0)</f>
        <v>0</v>
      </c>
      <c r="K1867" s="455">
        <f t="shared" ca="1" si="118"/>
        <v>-4115476.7158243903</v>
      </c>
      <c r="L1867" s="455">
        <f t="shared" ca="1" si="119"/>
        <v>-991829888.51367819</v>
      </c>
      <c r="M1867" s="471">
        <f t="shared" si="121"/>
        <v>0.05</v>
      </c>
      <c r="N1867" s="475">
        <f t="shared" si="122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20"/>
        <v>-991829888.51367819</v>
      </c>
      <c r="J1868" s="455">
        <f t="array" ref="J1868">IFERROR(INDEX('Retirement Calculator'!K:K,MATCH('Lorri 401b'!N1868,'Retirement Calculator'!A:A,0),0),0)</f>
        <v>0</v>
      </c>
      <c r="K1868" s="455">
        <f t="shared" ca="1" si="118"/>
        <v>-4132624.5354736592</v>
      </c>
      <c r="L1868" s="455">
        <f t="shared" ca="1" si="119"/>
        <v>-995962513.0491519</v>
      </c>
      <c r="M1868" s="471">
        <f t="shared" si="121"/>
        <v>0.05</v>
      </c>
      <c r="N1868" s="475">
        <f t="shared" si="122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20"/>
        <v>-995962513.0491519</v>
      </c>
      <c r="J1869" s="455">
        <f t="array" ref="J1869">IFERROR(INDEX('Retirement Calculator'!K:K,MATCH('Lorri 401b'!N1869,'Retirement Calculator'!A:A,0),0),0)</f>
        <v>0</v>
      </c>
      <c r="K1869" s="455">
        <f t="shared" ca="1" si="118"/>
        <v>-4149843.8043714664</v>
      </c>
      <c r="L1869" s="455">
        <f t="shared" ca="1" si="119"/>
        <v>-1000112356.8535234</v>
      </c>
      <c r="M1869" s="471">
        <f t="shared" si="121"/>
        <v>0.05</v>
      </c>
      <c r="N1869" s="475">
        <f t="shared" si="122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20"/>
        <v>-1000112356.8535234</v>
      </c>
      <c r="J1870" s="455">
        <f t="array" ref="J1870">IFERROR(INDEX('Retirement Calculator'!K:K,MATCH('Lorri 401b'!N1870,'Retirement Calculator'!A:A,0),0),0)</f>
        <v>0</v>
      </c>
      <c r="K1870" s="455">
        <f t="shared" ca="1" si="118"/>
        <v>-4167134.8202230134</v>
      </c>
      <c r="L1870" s="455">
        <f t="shared" ca="1" si="119"/>
        <v>-1004279491.6737463</v>
      </c>
      <c r="M1870" s="471">
        <f t="shared" si="121"/>
        <v>0.05</v>
      </c>
      <c r="N1870" s="475">
        <f t="shared" si="122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20"/>
        <v>-1004279491.6737463</v>
      </c>
      <c r="J1871" s="455">
        <f t="array" ref="J1871">IFERROR(INDEX('Retirement Calculator'!K:K,MATCH('Lorri 401b'!N1871,'Retirement Calculator'!A:A,0),0),0)</f>
        <v>0</v>
      </c>
      <c r="K1871" s="455">
        <f t="shared" ca="1" si="118"/>
        <v>-4184497.8819739432</v>
      </c>
      <c r="L1871" s="455">
        <f t="shared" ca="1" si="119"/>
        <v>-1008463989.5557203</v>
      </c>
      <c r="M1871" s="471">
        <f t="shared" si="121"/>
        <v>0.05</v>
      </c>
      <c r="N1871" s="475">
        <f t="shared" si="122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20"/>
        <v>-1008463989.5557203</v>
      </c>
      <c r="J1872" s="455">
        <f t="array" ref="J1872">IFERROR(INDEX('Retirement Calculator'!K:K,MATCH('Lorri 401b'!N1872,'Retirement Calculator'!A:A,0),0),0)</f>
        <v>0</v>
      </c>
      <c r="K1872" s="455">
        <f t="shared" ca="1" si="118"/>
        <v>-4201933.2898155004</v>
      </c>
      <c r="L1872" s="455">
        <f t="shared" ca="1" si="119"/>
        <v>-1012665922.8455359</v>
      </c>
      <c r="M1872" s="471">
        <f t="shared" si="121"/>
        <v>0.05</v>
      </c>
      <c r="N1872" s="475">
        <f t="shared" si="122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20"/>
        <v>-1012665922.8455359</v>
      </c>
      <c r="J1873" s="455">
        <f t="array" ref="J1873">IFERROR(INDEX('Retirement Calculator'!K:K,MATCH('Lorri 401b'!N1873,'Retirement Calculator'!A:A,0),0),0)</f>
        <v>0</v>
      </c>
      <c r="K1873" s="455">
        <f t="shared" ca="1" si="118"/>
        <v>-4219441.3451897334</v>
      </c>
      <c r="L1873" s="455">
        <f t="shared" ca="1" si="119"/>
        <v>-1016885364.1907256</v>
      </c>
      <c r="M1873" s="471">
        <f t="shared" si="121"/>
        <v>0.05</v>
      </c>
      <c r="N1873" s="475">
        <f t="shared" si="122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20"/>
        <v>-1016885364.1907256</v>
      </c>
      <c r="J1874" s="455">
        <f t="array" ref="J1874">IFERROR(INDEX('Retirement Calculator'!K:K,MATCH('Lorri 401b'!N1874,'Retirement Calculator'!A:A,0),0),0)</f>
        <v>0</v>
      </c>
      <c r="K1874" s="455">
        <f t="shared" ca="1" si="118"/>
        <v>-4237022.3507946897</v>
      </c>
      <c r="L1874" s="455">
        <f t="shared" ca="1" si="119"/>
        <v>-1021122386.5415202</v>
      </c>
      <c r="M1874" s="471">
        <f t="shared" si="121"/>
        <v>0.05</v>
      </c>
      <c r="N1874" s="475">
        <f t="shared" si="122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20"/>
        <v>-1021122386.5415202</v>
      </c>
      <c r="J1875" s="455">
        <f t="array" ref="J1875">IFERROR(INDEX('Retirement Calculator'!K:K,MATCH('Lorri 401b'!N1875,'Retirement Calculator'!A:A,0),0),0)</f>
        <v>0</v>
      </c>
      <c r="K1875" s="455">
        <f t="shared" ca="1" si="118"/>
        <v>-4254676.6105896682</v>
      </c>
      <c r="L1875" s="455">
        <f t="shared" ca="1" si="119"/>
        <v>-1025377063.1521099</v>
      </c>
      <c r="M1875" s="471">
        <f t="shared" si="121"/>
        <v>0.05</v>
      </c>
      <c r="N1875" s="475">
        <f t="shared" si="122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20"/>
        <v>-1025377063.1521099</v>
      </c>
      <c r="J1876" s="455">
        <f t="array" ref="J1876">IFERROR(INDEX('Retirement Calculator'!K:K,MATCH('Lorri 401b'!N1876,'Retirement Calculator'!A:A,0),0),0)</f>
        <v>0</v>
      </c>
      <c r="K1876" s="455">
        <f t="shared" ca="1" si="118"/>
        <v>-4272404.4298004573</v>
      </c>
      <c r="L1876" s="455">
        <f t="shared" ca="1" si="119"/>
        <v>-1029649467.5819104</v>
      </c>
      <c r="M1876" s="471">
        <f t="shared" si="121"/>
        <v>0.05</v>
      </c>
      <c r="N1876" s="475">
        <f t="shared" si="122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20"/>
        <v>-1029649467.5819104</v>
      </c>
      <c r="J1877" s="455">
        <f t="array" ref="J1877">IFERROR(INDEX('Retirement Calculator'!K:K,MATCH('Lorri 401b'!N1877,'Retirement Calculator'!A:A,0),0),0)</f>
        <v>0</v>
      </c>
      <c r="K1877" s="455">
        <f t="shared" ca="1" si="118"/>
        <v>-4290206.1149246264</v>
      </c>
      <c r="L1877" s="455">
        <f t="shared" ca="1" si="119"/>
        <v>-1033939673.696835</v>
      </c>
      <c r="M1877" s="471">
        <f t="shared" si="121"/>
        <v>0.05</v>
      </c>
      <c r="N1877" s="475">
        <f t="shared" si="122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20"/>
        <v>-1033939673.696835</v>
      </c>
      <c r="J1878" s="455">
        <f t="array" ref="J1878">IFERROR(INDEX('Retirement Calculator'!K:K,MATCH('Lorri 401b'!N1878,'Retirement Calculator'!A:A,0),0),0)</f>
        <v>0</v>
      </c>
      <c r="K1878" s="455">
        <f t="shared" ca="1" si="118"/>
        <v>-4308081.9737368133</v>
      </c>
      <c r="L1878" s="455">
        <f t="shared" ca="1" si="119"/>
        <v>-1038247755.6705718</v>
      </c>
      <c r="M1878" s="471">
        <f t="shared" si="121"/>
        <v>0.05</v>
      </c>
      <c r="N1878" s="475">
        <f t="shared" si="122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20"/>
        <v>-1038247755.6705718</v>
      </c>
      <c r="J1879" s="455">
        <f t="array" ref="J1879">IFERROR(INDEX('Retirement Calculator'!K:K,MATCH('Lorri 401b'!N1879,'Retirement Calculator'!A:A,0),0),0)</f>
        <v>0</v>
      </c>
      <c r="K1879" s="455">
        <f t="shared" ca="1" si="118"/>
        <v>-4326032.3152940487</v>
      </c>
      <c r="L1879" s="455">
        <f t="shared" ca="1" si="119"/>
        <v>-1042573787.9858658</v>
      </c>
      <c r="M1879" s="471">
        <f t="shared" si="121"/>
        <v>0.05</v>
      </c>
      <c r="N1879" s="475">
        <f t="shared" si="122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20"/>
        <v>-1042573787.9858658</v>
      </c>
      <c r="J1880" s="455">
        <f t="array" ref="J1880">IFERROR(INDEX('Retirement Calculator'!K:K,MATCH('Lorri 401b'!N1880,'Retirement Calculator'!A:A,0),0),0)</f>
        <v>0</v>
      </c>
      <c r="K1880" s="455">
        <f t="shared" ca="1" si="118"/>
        <v>-4344057.449941108</v>
      </c>
      <c r="L1880" s="455">
        <f t="shared" ca="1" si="119"/>
        <v>-1046917845.435807</v>
      </c>
      <c r="M1880" s="471">
        <f t="shared" si="121"/>
        <v>0.05</v>
      </c>
      <c r="N1880" s="475">
        <f t="shared" si="122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20"/>
        <v>-1046917845.435807</v>
      </c>
      <c r="J1881" s="455">
        <f t="array" ref="J1881">IFERROR(INDEX('Retirement Calculator'!K:K,MATCH('Lorri 401b'!N1881,'Retirement Calculator'!A:A,0),0),0)</f>
        <v>0</v>
      </c>
      <c r="K1881" s="455">
        <f t="shared" ca="1" si="118"/>
        <v>-4362157.689315862</v>
      </c>
      <c r="L1881" s="455">
        <f t="shared" ca="1" si="119"/>
        <v>-1051280003.1251229</v>
      </c>
      <c r="M1881" s="471">
        <f t="shared" si="121"/>
        <v>0.05</v>
      </c>
      <c r="N1881" s="475">
        <f t="shared" si="122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20"/>
        <v>-1051280003.1251229</v>
      </c>
      <c r="J1882" s="455">
        <f t="array" ref="J1882">IFERROR(INDEX('Retirement Calculator'!K:K,MATCH('Lorri 401b'!N1882,'Retirement Calculator'!A:A,0),0),0)</f>
        <v>0</v>
      </c>
      <c r="K1882" s="455">
        <f t="shared" ca="1" si="118"/>
        <v>-4380333.3463546783</v>
      </c>
      <c r="L1882" s="455">
        <f t="shared" ca="1" si="119"/>
        <v>-1055660336.4714776</v>
      </c>
      <c r="M1882" s="471">
        <f t="shared" si="121"/>
        <v>0.05</v>
      </c>
      <c r="N1882" s="475">
        <f t="shared" si="122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20"/>
        <v>-1055660336.4714776</v>
      </c>
      <c r="J1883" s="455">
        <f t="array" ref="J1883">IFERROR(INDEX('Retirement Calculator'!K:K,MATCH('Lorri 401b'!N1883,'Retirement Calculator'!A:A,0),0),0)</f>
        <v>0</v>
      </c>
      <c r="K1883" s="455">
        <f t="shared" ca="1" si="118"/>
        <v>-4398584.7352978233</v>
      </c>
      <c r="L1883" s="455">
        <f t="shared" ca="1" si="119"/>
        <v>-1060058921.2067754</v>
      </c>
      <c r="M1883" s="471">
        <f t="shared" si="121"/>
        <v>0.05</v>
      </c>
      <c r="N1883" s="475">
        <f t="shared" si="122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20"/>
        <v>-1060058921.2067754</v>
      </c>
      <c r="J1884" s="455">
        <f t="array" ref="J1884">IFERROR(INDEX('Retirement Calculator'!K:K,MATCH('Lorri 401b'!N1884,'Retirement Calculator'!A:A,0),0),0)</f>
        <v>0</v>
      </c>
      <c r="K1884" s="455">
        <f t="shared" ca="1" si="118"/>
        <v>-4416912.1716948971</v>
      </c>
      <c r="L1884" s="455">
        <f t="shared" ca="1" si="119"/>
        <v>-1064475833.3784703</v>
      </c>
      <c r="M1884" s="471">
        <f t="shared" si="121"/>
        <v>0.05</v>
      </c>
      <c r="N1884" s="475">
        <f t="shared" si="122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20"/>
        <v>-1064475833.3784703</v>
      </c>
      <c r="J1885" s="455">
        <f t="array" ref="J1885">IFERROR(INDEX('Retirement Calculator'!K:K,MATCH('Lorri 401b'!N1885,'Retirement Calculator'!A:A,0),0),0)</f>
        <v>0</v>
      </c>
      <c r="K1885" s="455">
        <f t="shared" ca="1" si="118"/>
        <v>-4435315.9724102933</v>
      </c>
      <c r="L1885" s="455">
        <f t="shared" ca="1" si="119"/>
        <v>-1068911149.3508806</v>
      </c>
      <c r="M1885" s="471">
        <f t="shared" si="121"/>
        <v>0.05</v>
      </c>
      <c r="N1885" s="475">
        <f t="shared" si="122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20"/>
        <v>-1068911149.3508806</v>
      </c>
      <c r="J1886" s="455">
        <f t="array" ref="J1886">IFERROR(INDEX('Retirement Calculator'!K:K,MATCH('Lorri 401b'!N1886,'Retirement Calculator'!A:A,0),0),0)</f>
        <v>0</v>
      </c>
      <c r="K1886" s="455">
        <f t="shared" ca="1" si="118"/>
        <v>-4453796.4556286689</v>
      </c>
      <c r="L1886" s="455">
        <f t="shared" ca="1" si="119"/>
        <v>-1073364945.8065093</v>
      </c>
      <c r="M1886" s="471">
        <f t="shared" si="121"/>
        <v>0.05</v>
      </c>
      <c r="N1886" s="475">
        <f t="shared" si="122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20"/>
        <v>-1073364945.8065093</v>
      </c>
      <c r="J1887" s="455">
        <f t="array" ref="J1887">IFERROR(INDEX('Retirement Calculator'!K:K,MATCH('Lorri 401b'!N1887,'Retirement Calculator'!A:A,0),0),0)</f>
        <v>0</v>
      </c>
      <c r="K1887" s="455">
        <f t="shared" ca="1" si="118"/>
        <v>-4472353.9408604559</v>
      </c>
      <c r="L1887" s="455">
        <f t="shared" ca="1" si="119"/>
        <v>-1077837299.7473698</v>
      </c>
      <c r="M1887" s="471">
        <f t="shared" si="121"/>
        <v>0.05</v>
      </c>
      <c r="N1887" s="475">
        <f t="shared" si="122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20"/>
        <v>-1077837299.7473698</v>
      </c>
      <c r="J1888" s="455">
        <f t="array" ref="J1888">IFERROR(INDEX('Retirement Calculator'!K:K,MATCH('Lorri 401b'!N1888,'Retirement Calculator'!A:A,0),0),0)</f>
        <v>0</v>
      </c>
      <c r="K1888" s="455">
        <f t="shared" ca="1" si="118"/>
        <v>-4490988.7489473736</v>
      </c>
      <c r="L1888" s="455">
        <f t="shared" ca="1" si="119"/>
        <v>-1082328288.4963171</v>
      </c>
      <c r="M1888" s="471">
        <f t="shared" si="121"/>
        <v>0.05</v>
      </c>
      <c r="N1888" s="475">
        <f t="shared" si="122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20"/>
        <v>-1082328288.4963171</v>
      </c>
      <c r="J1889" s="455">
        <f t="array" ref="J1889">IFERROR(INDEX('Retirement Calculator'!K:K,MATCH('Lorri 401b'!N1889,'Retirement Calculator'!A:A,0),0),0)</f>
        <v>0</v>
      </c>
      <c r="K1889" s="455">
        <f t="shared" ca="1" si="118"/>
        <v>-4509701.202067988</v>
      </c>
      <c r="L1889" s="455">
        <f t="shared" ca="1" si="119"/>
        <v>-1086837989.6983852</v>
      </c>
      <c r="M1889" s="471">
        <f t="shared" si="121"/>
        <v>0.05</v>
      </c>
      <c r="N1889" s="475">
        <f t="shared" si="122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20"/>
        <v>-1086837989.6983852</v>
      </c>
      <c r="J1890" s="455">
        <f t="array" ref="J1890">IFERROR(INDEX('Retirement Calculator'!K:K,MATCH('Lorri 401b'!N1890,'Retirement Calculator'!A:A,0),0),0)</f>
        <v>0</v>
      </c>
      <c r="K1890" s="455">
        <f t="shared" ca="1" si="118"/>
        <v>-4528491.6237432715</v>
      </c>
      <c r="L1890" s="455">
        <f t="shared" ca="1" si="119"/>
        <v>-1091366481.3221285</v>
      </c>
      <c r="M1890" s="471">
        <f t="shared" si="121"/>
        <v>0.05</v>
      </c>
      <c r="N1890" s="475">
        <f t="shared" si="122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20"/>
        <v>-1091366481.3221285</v>
      </c>
      <c r="J1891" s="455">
        <f t="array" ref="J1891">IFERROR(INDEX('Retirement Calculator'!K:K,MATCH('Lorri 401b'!N1891,'Retirement Calculator'!A:A,0),0),0)</f>
        <v>0</v>
      </c>
      <c r="K1891" s="455">
        <f t="shared" ca="1" si="118"/>
        <v>-4547360.338842202</v>
      </c>
      <c r="L1891" s="455">
        <f t="shared" ca="1" si="119"/>
        <v>-1095913841.6609707</v>
      </c>
      <c r="M1891" s="471">
        <f t="shared" si="121"/>
        <v>0.05</v>
      </c>
      <c r="N1891" s="475">
        <f t="shared" si="122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20"/>
        <v>-1095913841.6609707</v>
      </c>
      <c r="J1892" s="455">
        <f t="array" ref="J1892">IFERROR(INDEX('Retirement Calculator'!K:K,MATCH('Lorri 401b'!N1892,'Retirement Calculator'!A:A,0),0),0)</f>
        <v>0</v>
      </c>
      <c r="K1892" s="455">
        <f t="shared" ca="1" si="118"/>
        <v>-4566307.6735873781</v>
      </c>
      <c r="L1892" s="455">
        <f t="shared" ca="1" si="119"/>
        <v>-1100480149.334558</v>
      </c>
      <c r="M1892" s="471">
        <f t="shared" si="121"/>
        <v>0.05</v>
      </c>
      <c r="N1892" s="475">
        <f t="shared" si="122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20"/>
        <v>-1100480149.334558</v>
      </c>
      <c r="J1893" s="455">
        <f t="array" ref="J1893">IFERROR(INDEX('Retirement Calculator'!K:K,MATCH('Lorri 401b'!N1893,'Retirement Calculator'!A:A,0),0),0)</f>
        <v>0</v>
      </c>
      <c r="K1893" s="455">
        <f t="shared" ca="1" si="118"/>
        <v>-4585333.9555606581</v>
      </c>
      <c r="L1893" s="455">
        <f t="shared" ca="1" si="119"/>
        <v>-1105065483.2901187</v>
      </c>
      <c r="M1893" s="471">
        <f t="shared" si="121"/>
        <v>0.05</v>
      </c>
      <c r="N1893" s="475">
        <f t="shared" si="122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20"/>
        <v>-1105065483.2901187</v>
      </c>
      <c r="J1894" s="455">
        <f t="array" ref="J1894">IFERROR(INDEX('Retirement Calculator'!K:K,MATCH('Lorri 401b'!N1894,'Retirement Calculator'!A:A,0),0),0)</f>
        <v>0</v>
      </c>
      <c r="K1894" s="455">
        <f t="shared" ca="1" si="118"/>
        <v>-4604439.513708828</v>
      </c>
      <c r="L1894" s="455">
        <f t="shared" ca="1" si="119"/>
        <v>-1109669922.8038275</v>
      </c>
      <c r="M1894" s="471">
        <f t="shared" si="121"/>
        <v>0.05</v>
      </c>
      <c r="N1894" s="475">
        <f t="shared" si="122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20"/>
        <v>-1109669922.8038275</v>
      </c>
      <c r="J1895" s="455">
        <f t="array" ref="J1895">IFERROR(INDEX('Retirement Calculator'!K:K,MATCH('Lorri 401b'!N1895,'Retirement Calculator'!A:A,0),0),0)</f>
        <v>0</v>
      </c>
      <c r="K1895" s="455">
        <f t="shared" ca="1" si="118"/>
        <v>-4623624.6783492817</v>
      </c>
      <c r="L1895" s="455">
        <f t="shared" ca="1" si="119"/>
        <v>-1114293547.4821768</v>
      </c>
      <c r="M1895" s="471">
        <f t="shared" si="121"/>
        <v>0.05</v>
      </c>
      <c r="N1895" s="475">
        <f t="shared" si="122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20"/>
        <v>-1114293547.4821768</v>
      </c>
      <c r="J1896" s="455">
        <f t="array" ref="J1896">IFERROR(INDEX('Retirement Calculator'!K:K,MATCH('Lorri 401b'!N1896,'Retirement Calculator'!A:A,0),0),0)</f>
        <v>0</v>
      </c>
      <c r="K1896" s="455">
        <f t="shared" ca="1" si="118"/>
        <v>-4642889.7811757363</v>
      </c>
      <c r="L1896" s="455">
        <f t="shared" ca="1" si="119"/>
        <v>-1118936437.2633526</v>
      </c>
      <c r="M1896" s="471">
        <f t="shared" si="121"/>
        <v>0.05</v>
      </c>
      <c r="N1896" s="475">
        <f t="shared" si="122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20"/>
        <v>-1118936437.2633526</v>
      </c>
      <c r="J1897" s="455">
        <f t="array" ref="J1897">IFERROR(INDEX('Retirement Calculator'!K:K,MATCH('Lorri 401b'!N1897,'Retirement Calculator'!A:A,0),0),0)</f>
        <v>0</v>
      </c>
      <c r="K1897" s="455">
        <f t="shared" ca="1" si="118"/>
        <v>-4662235.1552639697</v>
      </c>
      <c r="L1897" s="455">
        <f t="shared" ca="1" si="119"/>
        <v>-1123598672.4186165</v>
      </c>
      <c r="M1897" s="471">
        <f t="shared" si="121"/>
        <v>0.05</v>
      </c>
      <c r="N1897" s="475">
        <f t="shared" si="122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20"/>
        <v>-1123598672.4186165</v>
      </c>
      <c r="J1898" s="455">
        <f t="array" ref="J1898">IFERROR(INDEX('Retirement Calculator'!K:K,MATCH('Lorri 401b'!N1898,'Retirement Calculator'!A:A,0),0),0)</f>
        <v>0</v>
      </c>
      <c r="K1898" s="455">
        <f t="shared" ca="1" si="118"/>
        <v>-4681661.1350775687</v>
      </c>
      <c r="L1898" s="455">
        <f t="shared" ca="1" si="119"/>
        <v>-1128280333.553694</v>
      </c>
      <c r="M1898" s="471">
        <f t="shared" si="121"/>
        <v>0.05</v>
      </c>
      <c r="N1898" s="475">
        <f t="shared" si="122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20"/>
        <v>-1128280333.553694</v>
      </c>
      <c r="J1899" s="455">
        <f t="array" ref="J1899">IFERROR(INDEX('Retirement Calculator'!K:K,MATCH('Lorri 401b'!N1899,'Retirement Calculator'!A:A,0),0),0)</f>
        <v>0</v>
      </c>
      <c r="K1899" s="455">
        <f t="shared" ca="1" si="118"/>
        <v>-4701168.0564737245</v>
      </c>
      <c r="L1899" s="455">
        <f t="shared" ca="1" si="119"/>
        <v>-1132981501.6101677</v>
      </c>
      <c r="M1899" s="471">
        <f t="shared" si="121"/>
        <v>0.05</v>
      </c>
      <c r="N1899" s="475">
        <f t="shared" si="122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20"/>
        <v>-1132981501.6101677</v>
      </c>
      <c r="J1900" s="455">
        <f t="array" ref="J1900">IFERROR(INDEX('Retirement Calculator'!K:K,MATCH('Lorri 401b'!N1900,'Retirement Calculator'!A:A,0),0),0)</f>
        <v>0</v>
      </c>
      <c r="K1900" s="455">
        <f t="shared" ca="1" si="118"/>
        <v>-4720756.2567090318</v>
      </c>
      <c r="L1900" s="455">
        <f t="shared" ca="1" si="119"/>
        <v>-1137702257.8668768</v>
      </c>
      <c r="M1900" s="471">
        <f t="shared" si="121"/>
        <v>0.05</v>
      </c>
      <c r="N1900" s="475">
        <f t="shared" si="122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20"/>
        <v>-1137702257.8668768</v>
      </c>
      <c r="J1901" s="455">
        <f t="array" ref="J1901">IFERROR(INDEX('Retirement Calculator'!K:K,MATCH('Lorri 401b'!N1901,'Retirement Calculator'!A:A,0),0),0)</f>
        <v>0</v>
      </c>
      <c r="K1901" s="455">
        <f t="shared" ca="1" si="118"/>
        <v>-4740426.0744453203</v>
      </c>
      <c r="L1901" s="455">
        <f t="shared" ca="1" si="119"/>
        <v>-1142442683.9413221</v>
      </c>
      <c r="M1901" s="471">
        <f t="shared" si="121"/>
        <v>0.05</v>
      </c>
      <c r="N1901" s="475">
        <f t="shared" si="122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20"/>
        <v>-1142442683.9413221</v>
      </c>
      <c r="J1902" s="455">
        <f t="array" ref="J1902">IFERROR(INDEX('Retirement Calculator'!K:K,MATCH('Lorri 401b'!N1902,'Retirement Calculator'!A:A,0),0),0)</f>
        <v>0</v>
      </c>
      <c r="K1902" s="455">
        <f t="shared" ca="1" si="118"/>
        <v>-4760177.8497555088</v>
      </c>
      <c r="L1902" s="455">
        <f t="shared" ca="1" si="119"/>
        <v>-1147202861.7910776</v>
      </c>
      <c r="M1902" s="471">
        <f t="shared" si="121"/>
        <v>0.05</v>
      </c>
      <c r="N1902" s="475">
        <f t="shared" si="122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20"/>
        <v>-1147202861.7910776</v>
      </c>
      <c r="J1903" s="455">
        <f t="array" ref="J1903">IFERROR(INDEX('Retirement Calculator'!K:K,MATCH('Lorri 401b'!N1903,'Retirement Calculator'!A:A,0),0),0)</f>
        <v>0</v>
      </c>
      <c r="K1903" s="455">
        <f t="shared" ca="1" si="118"/>
        <v>-4780011.9241294898</v>
      </c>
      <c r="L1903" s="455">
        <f t="shared" ca="1" si="119"/>
        <v>-1151982873.7152071</v>
      </c>
      <c r="M1903" s="471">
        <f t="shared" si="121"/>
        <v>0.05</v>
      </c>
      <c r="N1903" s="475">
        <f t="shared" si="122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20"/>
        <v>-1151982873.7152071</v>
      </c>
      <c r="J1904" s="455">
        <f t="array" ref="J1904">IFERROR(INDEX('Retirement Calculator'!K:K,MATCH('Lorri 401b'!N1904,'Retirement Calculator'!A:A,0),0),0)</f>
        <v>0</v>
      </c>
      <c r="K1904" s="455">
        <f t="shared" ca="1" si="118"/>
        <v>-4799928.6404800294</v>
      </c>
      <c r="L1904" s="455">
        <f t="shared" ca="1" si="119"/>
        <v>-1156782802.3556871</v>
      </c>
      <c r="M1904" s="471">
        <f t="shared" si="121"/>
        <v>0.05</v>
      </c>
      <c r="N1904" s="475">
        <f t="shared" si="122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20"/>
        <v>-1156782802.3556871</v>
      </c>
      <c r="J1905" s="455">
        <f t="array" ref="J1905">IFERROR(INDEX('Retirement Calculator'!K:K,MATCH('Lorri 401b'!N1905,'Retirement Calculator'!A:A,0),0),0)</f>
        <v>0</v>
      </c>
      <c r="K1905" s="455">
        <f t="shared" ca="1" si="118"/>
        <v>-4819928.3431486962</v>
      </c>
      <c r="L1905" s="455">
        <f t="shared" ca="1" si="119"/>
        <v>-1161602730.6988358</v>
      </c>
      <c r="M1905" s="471">
        <f t="shared" si="121"/>
        <v>0.05</v>
      </c>
      <c r="N1905" s="475">
        <f t="shared" si="122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20"/>
        <v>-1161602730.6988358</v>
      </c>
      <c r="J1906" s="455">
        <f t="array" ref="J1906">IFERROR(INDEX('Retirement Calculator'!K:K,MATCH('Lorri 401b'!N1906,'Retirement Calculator'!A:A,0),0),0)</f>
        <v>0</v>
      </c>
      <c r="K1906" s="455">
        <f t="shared" ca="1" si="118"/>
        <v>-4840011.3779118164</v>
      </c>
      <c r="L1906" s="455">
        <f t="shared" ca="1" si="119"/>
        <v>-1166442742.0767477</v>
      </c>
      <c r="M1906" s="471">
        <f t="shared" si="121"/>
        <v>0.05</v>
      </c>
      <c r="N1906" s="475">
        <f t="shared" si="122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20"/>
        <v>-1166442742.0767477</v>
      </c>
      <c r="J1907" s="455">
        <f t="array" ref="J1907">IFERROR(INDEX('Retirement Calculator'!K:K,MATCH('Lorri 401b'!N1907,'Retirement Calculator'!A:A,0),0),0)</f>
        <v>0</v>
      </c>
      <c r="K1907" s="455">
        <f t="shared" ca="1" si="118"/>
        <v>-4860178.0919864485</v>
      </c>
      <c r="L1907" s="455">
        <f t="shared" ca="1" si="119"/>
        <v>-1171302920.1687341</v>
      </c>
      <c r="M1907" s="471">
        <f t="shared" si="121"/>
        <v>0.05</v>
      </c>
      <c r="N1907" s="475">
        <f t="shared" si="122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20"/>
        <v>-1171302920.1687341</v>
      </c>
      <c r="J1908" s="455">
        <f t="array" ref="J1908">IFERROR(INDEX('Retirement Calculator'!K:K,MATCH('Lorri 401b'!N1908,'Retirement Calculator'!A:A,0),0),0)</f>
        <v>0</v>
      </c>
      <c r="K1908" s="455">
        <f t="shared" ca="1" si="118"/>
        <v>-4880428.8340363922</v>
      </c>
      <c r="L1908" s="455">
        <f t="shared" ca="1" si="119"/>
        <v>-1176183349.0027704</v>
      </c>
      <c r="M1908" s="471">
        <f t="shared" si="121"/>
        <v>0.05</v>
      </c>
      <c r="N1908" s="475">
        <f t="shared" si="122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20"/>
        <v>-1176183349.0027704</v>
      </c>
      <c r="J1909" s="455">
        <f t="array" ref="J1909">IFERROR(INDEX('Retirement Calculator'!K:K,MATCH('Lorri 401b'!N1909,'Retirement Calculator'!A:A,0),0),0)</f>
        <v>0</v>
      </c>
      <c r="K1909" s="455">
        <f t="shared" ca="1" si="118"/>
        <v>-4900763.9541782103</v>
      </c>
      <c r="L1909" s="455">
        <f t="shared" ca="1" si="119"/>
        <v>-1181084112.9569485</v>
      </c>
      <c r="M1909" s="471">
        <f t="shared" si="121"/>
        <v>0.05</v>
      </c>
      <c r="N1909" s="475">
        <f t="shared" si="122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20"/>
        <v>-1181084112.9569485</v>
      </c>
      <c r="J1910" s="455">
        <f t="array" ref="J1910">IFERROR(INDEX('Retirement Calculator'!K:K,MATCH('Lorri 401b'!N1910,'Retirement Calculator'!A:A,0),0),0)</f>
        <v>0</v>
      </c>
      <c r="K1910" s="455">
        <f t="shared" ca="1" si="118"/>
        <v>-4921183.8039872851</v>
      </c>
      <c r="L1910" s="455">
        <f t="shared" ca="1" si="119"/>
        <v>-1186005296.7609358</v>
      </c>
      <c r="M1910" s="471">
        <f t="shared" si="121"/>
        <v>0.05</v>
      </c>
      <c r="N1910" s="475">
        <f t="shared" si="122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20"/>
        <v>-1186005296.7609358</v>
      </c>
      <c r="J1911" s="455">
        <f t="array" ref="J1911">IFERROR(INDEX('Retirement Calculator'!K:K,MATCH('Lorri 401b'!N1911,'Retirement Calculator'!A:A,0),0),0)</f>
        <v>0</v>
      </c>
      <c r="K1911" s="455">
        <f t="shared" ca="1" si="118"/>
        <v>-4941688.7365038991</v>
      </c>
      <c r="L1911" s="455">
        <f t="shared" ca="1" si="119"/>
        <v>-1190946985.4974396</v>
      </c>
      <c r="M1911" s="471">
        <f t="shared" si="121"/>
        <v>0.05</v>
      </c>
      <c r="N1911" s="475">
        <f t="shared" si="122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20"/>
        <v>-1190946985.4974396</v>
      </c>
      <c r="J1912" s="455">
        <f t="array" ref="J1912">IFERROR(INDEX('Retirement Calculator'!K:K,MATCH('Lorri 401b'!N1912,'Retirement Calculator'!A:A,0),0),0)</f>
        <v>0</v>
      </c>
      <c r="K1912" s="455">
        <f t="shared" ca="1" si="118"/>
        <v>-4962279.1062393319</v>
      </c>
      <c r="L1912" s="455">
        <f t="shared" ca="1" si="119"/>
        <v>-1195909264.6036789</v>
      </c>
      <c r="M1912" s="471">
        <f t="shared" si="121"/>
        <v>0.05</v>
      </c>
      <c r="N1912" s="475">
        <f t="shared" si="122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20"/>
        <v>-1195909264.6036789</v>
      </c>
      <c r="J1913" s="455">
        <f t="array" ref="J1913">IFERROR(INDEX('Retirement Calculator'!K:K,MATCH('Lorri 401b'!N1913,'Retirement Calculator'!A:A,0),0),0)</f>
        <v>0</v>
      </c>
      <c r="K1913" s="455">
        <f t="shared" ca="1" si="118"/>
        <v>-4982955.2691819957</v>
      </c>
      <c r="L1913" s="455">
        <f t="shared" ca="1" si="119"/>
        <v>-1200892219.8728609</v>
      </c>
      <c r="M1913" s="471">
        <f t="shared" si="121"/>
        <v>0.05</v>
      </c>
      <c r="N1913" s="475">
        <f t="shared" si="122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20"/>
        <v>-1200892219.8728609</v>
      </c>
      <c r="J1914" s="455">
        <f t="array" ref="J1914">IFERROR(INDEX('Retirement Calculator'!K:K,MATCH('Lorri 401b'!N1914,'Retirement Calculator'!A:A,0),0),0)</f>
        <v>0</v>
      </c>
      <c r="K1914" s="455">
        <f t="shared" ca="1" si="118"/>
        <v>-5003717.5828035874</v>
      </c>
      <c r="L1914" s="455">
        <f t="shared" ca="1" si="119"/>
        <v>-1205895937.4556644</v>
      </c>
      <c r="M1914" s="471">
        <f t="shared" si="121"/>
        <v>0.05</v>
      </c>
      <c r="N1914" s="475">
        <f t="shared" si="122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20"/>
        <v>-1205895937.4556644</v>
      </c>
      <c r="J1915" s="455">
        <f t="array" ref="J1915">IFERROR(INDEX('Retirement Calculator'!K:K,MATCH('Lorri 401b'!N1915,'Retirement Calculator'!A:A,0),0),0)</f>
        <v>0</v>
      </c>
      <c r="K1915" s="455">
        <f t="shared" ca="1" si="118"/>
        <v>-5024566.4060652684</v>
      </c>
      <c r="L1915" s="455">
        <f t="shared" ca="1" si="119"/>
        <v>-1210920503.8617296</v>
      </c>
      <c r="M1915" s="471">
        <f t="shared" si="121"/>
        <v>0.05</v>
      </c>
      <c r="N1915" s="475">
        <f t="shared" si="122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20"/>
        <v>-1210920503.8617296</v>
      </c>
      <c r="J1916" s="455">
        <f t="array" ref="J1916">IFERROR(INDEX('Retirement Calculator'!K:K,MATCH('Lorri 401b'!N1916,'Retirement Calculator'!A:A,0),0),0)</f>
        <v>0</v>
      </c>
      <c r="K1916" s="455">
        <f t="shared" ca="1" si="118"/>
        <v>-5045502.0994238732</v>
      </c>
      <c r="L1916" s="455">
        <f t="shared" ca="1" si="119"/>
        <v>-1215966005.9611535</v>
      </c>
      <c r="M1916" s="471">
        <f t="shared" si="121"/>
        <v>0.05</v>
      </c>
      <c r="N1916" s="475">
        <f t="shared" si="122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20"/>
        <v>-1215966005.9611535</v>
      </c>
      <c r="J1917" s="455">
        <f t="array" ref="J1917">IFERROR(INDEX('Retirement Calculator'!K:K,MATCH('Lorri 401b'!N1917,'Retirement Calculator'!A:A,0),0),0)</f>
        <v>0</v>
      </c>
      <c r="K1917" s="455">
        <f t="shared" ca="1" si="118"/>
        <v>-5066525.0248381393</v>
      </c>
      <c r="L1917" s="455">
        <f t="shared" ca="1" si="119"/>
        <v>-1221032530.9859917</v>
      </c>
      <c r="M1917" s="471">
        <f t="shared" si="121"/>
        <v>0.05</v>
      </c>
      <c r="N1917" s="475">
        <f t="shared" si="122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20"/>
        <v>-1221032530.9859917</v>
      </c>
      <c r="J1918" s="455">
        <f t="array" ref="J1918">IFERROR(INDEX('Retirement Calculator'!K:K,MATCH('Lorri 401b'!N1918,'Retirement Calculator'!A:A,0),0),0)</f>
        <v>0</v>
      </c>
      <c r="K1918" s="455">
        <f t="shared" ca="1" si="118"/>
        <v>-5087635.5457749655</v>
      </c>
      <c r="L1918" s="455">
        <f t="shared" ca="1" si="119"/>
        <v>-1226120166.5317667</v>
      </c>
      <c r="M1918" s="471">
        <f t="shared" si="121"/>
        <v>0.05</v>
      </c>
      <c r="N1918" s="475">
        <f t="shared" si="122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20"/>
        <v>-1226120166.5317667</v>
      </c>
      <c r="J1919" s="455">
        <f t="array" ref="J1919">IFERROR(INDEX('Retirement Calculator'!K:K,MATCH('Lorri 401b'!N1919,'Retirement Calculator'!A:A,0),0),0)</f>
        <v>0</v>
      </c>
      <c r="K1919" s="455">
        <f t="shared" ca="1" si="118"/>
        <v>-5108834.0272156941</v>
      </c>
      <c r="L1919" s="455">
        <f t="shared" ca="1" si="119"/>
        <v>-1231229000.5589824</v>
      </c>
      <c r="M1919" s="471">
        <f t="shared" si="121"/>
        <v>0.05</v>
      </c>
      <c r="N1919" s="475">
        <f t="shared" si="122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20"/>
        <v>-1231229000.5589824</v>
      </c>
      <c r="J1920" s="455">
        <f t="array" ref="J1920">IFERROR(INDEX('Retirement Calculator'!K:K,MATCH('Lorri 401b'!N1920,'Retirement Calculator'!A:A,0),0),0)</f>
        <v>0</v>
      </c>
      <c r="K1920" s="455">
        <f t="shared" ca="1" si="118"/>
        <v>-5130120.8356624264</v>
      </c>
      <c r="L1920" s="455">
        <f t="shared" ca="1" si="119"/>
        <v>-1236359121.3946447</v>
      </c>
      <c r="M1920" s="471">
        <f t="shared" si="121"/>
        <v>0.05</v>
      </c>
      <c r="N1920" s="475">
        <f t="shared" si="122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20"/>
        <v>-1236359121.3946447</v>
      </c>
      <c r="J1921" s="455">
        <f t="array" ref="J1921">IFERROR(INDEX('Retirement Calculator'!K:K,MATCH('Lorri 401b'!N1921,'Retirement Calculator'!A:A,0),0),0)</f>
        <v>0</v>
      </c>
      <c r="K1921" s="455">
        <f t="shared" ca="1" si="118"/>
        <v>-5151496.3391443528</v>
      </c>
      <c r="L1921" s="455">
        <f t="shared" ca="1" si="119"/>
        <v>-1241510617.7337892</v>
      </c>
      <c r="M1921" s="471">
        <f t="shared" si="121"/>
        <v>0.05</v>
      </c>
      <c r="N1921" s="475">
        <f t="shared" si="122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20"/>
        <v>-1241510617.7337892</v>
      </c>
      <c r="J1922" s="455">
        <f t="array" ref="J1922">IFERROR(INDEX('Retirement Calculator'!K:K,MATCH('Lorri 401b'!N1922,'Retirement Calculator'!A:A,0),0),0)</f>
        <v>0</v>
      </c>
      <c r="K1922" s="455">
        <f t="shared" ca="1" si="118"/>
        <v>-5172960.9072241215</v>
      </c>
      <c r="L1922" s="455">
        <f t="shared" ca="1" si="119"/>
        <v>-1246683578.6410134</v>
      </c>
      <c r="M1922" s="471">
        <f t="shared" si="121"/>
        <v>0.05</v>
      </c>
      <c r="N1922" s="475">
        <f t="shared" si="122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20"/>
        <v>-1246683578.6410134</v>
      </c>
      <c r="J1923" s="455">
        <f t="array" ref="J1923">IFERROR(INDEX('Retirement Calculator'!K:K,MATCH('Lorri 401b'!N1923,'Retirement Calculator'!A:A,0),0),0)</f>
        <v>0</v>
      </c>
      <c r="K1923" s="455">
        <f t="shared" ca="1" si="118"/>
        <v>-5194514.911004222</v>
      </c>
      <c r="L1923" s="455">
        <f t="shared" ca="1" si="119"/>
        <v>-1251878093.5520177</v>
      </c>
      <c r="M1923" s="471">
        <f t="shared" si="121"/>
        <v>0.05</v>
      </c>
      <c r="N1923" s="475">
        <f t="shared" si="122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20"/>
        <v>-1251878093.5520177</v>
      </c>
      <c r="J1924" s="455">
        <f t="array" ref="J1924">IFERROR(INDEX('Retirement Calculator'!K:K,MATCH('Lorri 401b'!N1924,'Retirement Calculator'!A:A,0),0),0)</f>
        <v>0</v>
      </c>
      <c r="K1924" s="455">
        <f t="shared" ca="1" si="118"/>
        <v>-5216158.7231334066</v>
      </c>
      <c r="L1924" s="455">
        <f t="shared" ca="1" si="119"/>
        <v>-1257094252.275151</v>
      </c>
      <c r="M1924" s="471">
        <f t="shared" si="121"/>
        <v>0.05</v>
      </c>
      <c r="N1924" s="475">
        <f t="shared" si="122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20"/>
        <v>-1257094252.275151</v>
      </c>
      <c r="J1925" s="455">
        <f t="array" ref="J1925">IFERROR(INDEX('Retirement Calculator'!K:K,MATCH('Lorri 401b'!N1925,'Retirement Calculator'!A:A,0),0),0)</f>
        <v>0</v>
      </c>
      <c r="K1925" s="455">
        <f t="shared" ca="1" si="118"/>
        <v>-5237892.7178131295</v>
      </c>
      <c r="L1925" s="455">
        <f t="shared" ca="1" si="119"/>
        <v>-1262332144.992964</v>
      </c>
      <c r="M1925" s="471">
        <f t="shared" si="121"/>
        <v>0.05</v>
      </c>
      <c r="N1925" s="475">
        <f t="shared" si="122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20"/>
        <v>-1262332144.992964</v>
      </c>
      <c r="J1926" s="455">
        <f t="array" ref="J1926">IFERROR(INDEX('Retirement Calculator'!K:K,MATCH('Lorri 401b'!N1926,'Retirement Calculator'!A:A,0),0),0)</f>
        <v>0</v>
      </c>
      <c r="K1926" s="455">
        <f t="shared" ca="1" si="118"/>
        <v>-5259717.2708040169</v>
      </c>
      <c r="L1926" s="455">
        <f t="shared" ca="1" si="119"/>
        <v>-1267591862.263768</v>
      </c>
      <c r="M1926" s="471">
        <f t="shared" si="121"/>
        <v>0.05</v>
      </c>
      <c r="N1926" s="475">
        <f t="shared" si="122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20"/>
        <v>-1267591862.263768</v>
      </c>
      <c r="J1927" s="455">
        <f t="array" ref="J1927">IFERROR(INDEX('Retirement Calculator'!K:K,MATCH('Lorri 401b'!N1927,'Retirement Calculator'!A:A,0),0),0)</f>
        <v>0</v>
      </c>
      <c r="K1927" s="455">
        <f t="shared" ca="1" si="118"/>
        <v>-5281632.7594323661</v>
      </c>
      <c r="L1927" s="455">
        <f t="shared" ca="1" si="119"/>
        <v>-1272873495.0232003</v>
      </c>
      <c r="M1927" s="471">
        <f t="shared" si="121"/>
        <v>0.05</v>
      </c>
      <c r="N1927" s="475">
        <f t="shared" si="122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20"/>
        <v>-1272873495.0232003</v>
      </c>
      <c r="J1928" s="455">
        <f t="array" ref="J1928">IFERROR(INDEX('Retirement Calculator'!K:K,MATCH('Lorri 401b'!N1928,'Retirement Calculator'!A:A,0),0),0)</f>
        <v>0</v>
      </c>
      <c r="K1928" s="455">
        <f t="shared" ca="1" si="118"/>
        <v>-5303639.5625966676</v>
      </c>
      <c r="L1928" s="455">
        <f t="shared" ca="1" si="119"/>
        <v>-1278177134.5857968</v>
      </c>
      <c r="M1928" s="471">
        <f t="shared" si="121"/>
        <v>0.05</v>
      </c>
      <c r="N1928" s="475">
        <f t="shared" si="122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20"/>
        <v>-1278177134.5857968</v>
      </c>
      <c r="J1929" s="455">
        <f t="array" ref="J1929">IFERROR(INDEX('Retirement Calculator'!K:K,MATCH('Lorri 401b'!N1929,'Retirement Calculator'!A:A,0),0),0)</f>
        <v>0</v>
      </c>
      <c r="K1929" s="455">
        <f t="shared" ca="1" si="118"/>
        <v>-5325738.0607741531</v>
      </c>
      <c r="L1929" s="455">
        <f t="shared" ca="1" si="119"/>
        <v>-1283502872.6465709</v>
      </c>
      <c r="M1929" s="471">
        <f t="shared" si="121"/>
        <v>0.05</v>
      </c>
      <c r="N1929" s="475">
        <f t="shared" si="122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20"/>
        <v>-1283502872.6465709</v>
      </c>
      <c r="J1930" s="455">
        <f t="array" ref="J1930">IFERROR(INDEX('Retirement Calculator'!K:K,MATCH('Lorri 401b'!N1930,'Retirement Calculator'!A:A,0),0),0)</f>
        <v>0</v>
      </c>
      <c r="K1930" s="455">
        <f t="shared" ca="1" si="118"/>
        <v>-5347928.636027379</v>
      </c>
      <c r="L1930" s="455">
        <f t="shared" ca="1" si="119"/>
        <v>-1288850801.2825983</v>
      </c>
      <c r="M1930" s="471">
        <f t="shared" si="121"/>
        <v>0.05</v>
      </c>
      <c r="N1930" s="475">
        <f t="shared" si="122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20"/>
        <v>-1288850801.2825983</v>
      </c>
      <c r="J1931" s="455">
        <f t="array" ref="J1931">IFERROR(INDEX('Retirement Calculator'!K:K,MATCH('Lorri 401b'!N1931,'Retirement Calculator'!A:A,0),0),0)</f>
        <v>0</v>
      </c>
      <c r="K1931" s="455">
        <f t="shared" ca="1" si="118"/>
        <v>-5370211.6720108259</v>
      </c>
      <c r="L1931" s="455">
        <f t="shared" ca="1" si="119"/>
        <v>-1294221012.9546092</v>
      </c>
      <c r="M1931" s="471">
        <f t="shared" si="121"/>
        <v>0.05</v>
      </c>
      <c r="N1931" s="475">
        <f t="shared" si="122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20"/>
        <v>-1294221012.9546092</v>
      </c>
      <c r="J1932" s="455">
        <f t="array" ref="J1932">IFERROR(INDEX('Retirement Calculator'!K:K,MATCH('Lorri 401b'!N1932,'Retirement Calculator'!A:A,0),0),0)</f>
        <v>0</v>
      </c>
      <c r="K1932" s="455">
        <f t="shared" ca="1" si="118"/>
        <v>-5392587.5539775379</v>
      </c>
      <c r="L1932" s="455">
        <f t="shared" ca="1" si="119"/>
        <v>-1299613600.5085866</v>
      </c>
      <c r="M1932" s="471">
        <f t="shared" si="121"/>
        <v>0.05</v>
      </c>
      <c r="N1932" s="475">
        <f t="shared" si="122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20"/>
        <v>-1299613600.5085866</v>
      </c>
      <c r="J1933" s="455">
        <f t="array" ref="J1933">IFERROR(INDEX('Retirement Calculator'!K:K,MATCH('Lorri 401b'!N1933,'Retirement Calculator'!A:A,0),0),0)</f>
        <v>0</v>
      </c>
      <c r="K1933" s="455">
        <f t="shared" ca="1" si="118"/>
        <v>-5415056.6687857779</v>
      </c>
      <c r="L1933" s="455">
        <f t="shared" ca="1" si="119"/>
        <v>-1305028657.1773725</v>
      </c>
      <c r="M1933" s="471">
        <f t="shared" si="121"/>
        <v>0.05</v>
      </c>
      <c r="N1933" s="475">
        <f t="shared" si="122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20"/>
        <v>-1305028657.1773725</v>
      </c>
      <c r="J1934" s="455">
        <f t="array" ref="J1934">IFERROR(INDEX('Retirement Calculator'!K:K,MATCH('Lorri 401b'!N1934,'Retirement Calculator'!A:A,0),0),0)</f>
        <v>0</v>
      </c>
      <c r="K1934" s="455">
        <f t="shared" ca="1" si="118"/>
        <v>-5437619.4049057188</v>
      </c>
      <c r="L1934" s="455">
        <f t="shared" ca="1" si="119"/>
        <v>-1310466276.5822783</v>
      </c>
      <c r="M1934" s="471">
        <f t="shared" si="121"/>
        <v>0.05</v>
      </c>
      <c r="N1934" s="475">
        <f t="shared" si="122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20"/>
        <v>-1310466276.5822783</v>
      </c>
      <c r="J1935" s="455">
        <f t="array" ref="J1935">IFERROR(INDEX('Retirement Calculator'!K:K,MATCH('Lorri 401b'!N1935,'Retirement Calculator'!A:A,0),0),0)</f>
        <v>0</v>
      </c>
      <c r="K1935" s="455">
        <f t="shared" ca="1" si="118"/>
        <v>-5460276.152426159</v>
      </c>
      <c r="L1935" s="455">
        <f t="shared" ca="1" si="119"/>
        <v>-1315926552.7347045</v>
      </c>
      <c r="M1935" s="471">
        <f t="shared" si="121"/>
        <v>0.05</v>
      </c>
      <c r="N1935" s="475">
        <f t="shared" si="122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20"/>
        <v>-1315926552.7347045</v>
      </c>
      <c r="J1936" s="455">
        <f t="array" ref="J1936">IFERROR(INDEX('Retirement Calculator'!K:K,MATCH('Lorri 401b'!N1936,'Retirement Calculator'!A:A,0),0),0)</f>
        <v>0</v>
      </c>
      <c r="K1936" s="455">
        <f t="shared" ca="1" si="118"/>
        <v>-5483027.3030612683</v>
      </c>
      <c r="L1936" s="455">
        <f t="shared" ca="1" si="119"/>
        <v>-1321409580.0377657</v>
      </c>
      <c r="M1936" s="471">
        <f t="shared" si="121"/>
        <v>0.05</v>
      </c>
      <c r="N1936" s="475">
        <f t="shared" si="122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20"/>
        <v>-1321409580.0377657</v>
      </c>
      <c r="J1937" s="455">
        <f t="array" ref="J1937">IFERROR(INDEX('Retirement Calculator'!K:K,MATCH('Lorri 401b'!N1937,'Retirement Calculator'!A:A,0),0),0)</f>
        <v>0</v>
      </c>
      <c r="K1937" s="455">
        <f t="shared" ca="1" si="118"/>
        <v>-5505873.2501573572</v>
      </c>
      <c r="L1937" s="455">
        <f t="shared" ca="1" si="119"/>
        <v>-1326915453.2879231</v>
      </c>
      <c r="M1937" s="471">
        <f t="shared" si="121"/>
        <v>0.05</v>
      </c>
      <c r="N1937" s="475">
        <f t="shared" si="122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20"/>
        <v>-1326915453.2879231</v>
      </c>
      <c r="J1938" s="455">
        <f t="array" ref="J1938">IFERROR(INDEX('Retirement Calculator'!K:K,MATCH('Lorri 401b'!N1938,'Retirement Calculator'!A:A,0),0),0)</f>
        <v>0</v>
      </c>
      <c r="K1938" s="455">
        <f t="shared" ca="1" si="118"/>
        <v>-5528814.3886996796</v>
      </c>
      <c r="L1938" s="455">
        <f t="shared" ca="1" si="119"/>
        <v>-1332444267.6766229</v>
      </c>
      <c r="M1938" s="471">
        <f t="shared" si="121"/>
        <v>0.05</v>
      </c>
      <c r="N1938" s="475">
        <f t="shared" si="122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20"/>
        <v>-1332444267.6766229</v>
      </c>
      <c r="J1939" s="455">
        <f t="array" ref="J1939">IFERROR(INDEX('Retirement Calculator'!K:K,MATCH('Lorri 401b'!N1939,'Retirement Calculator'!A:A,0),0),0)</f>
        <v>0</v>
      </c>
      <c r="K1939" s="455">
        <f t="shared" ca="1" si="118"/>
        <v>-5551851.1153192623</v>
      </c>
      <c r="L1939" s="455">
        <f t="shared" ca="1" si="119"/>
        <v>-1337996118.7919421</v>
      </c>
      <c r="M1939" s="471">
        <f t="shared" si="121"/>
        <v>0.05</v>
      </c>
      <c r="N1939" s="475">
        <f t="shared" si="122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20"/>
        <v>-1337996118.7919421</v>
      </c>
      <c r="J1940" s="455">
        <f t="array" ref="J1940">IFERROR(INDEX('Retirement Calculator'!K:K,MATCH('Lorri 401b'!N1940,'Retirement Calculator'!A:A,0),0),0)</f>
        <v>0</v>
      </c>
      <c r="K1940" s="455">
        <f t="shared" ca="1" si="118"/>
        <v>-5574983.828299759</v>
      </c>
      <c r="L1940" s="455">
        <f t="shared" ca="1" si="119"/>
        <v>-1343571102.6202419</v>
      </c>
      <c r="M1940" s="471">
        <f t="shared" si="121"/>
        <v>0.05</v>
      </c>
      <c r="N1940" s="475">
        <f t="shared" si="122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20"/>
        <v>-1343571102.6202419</v>
      </c>
      <c r="J1941" s="455">
        <f t="array" ref="J1941">IFERROR(INDEX('Retirement Calculator'!K:K,MATCH('Lorri 401b'!N1941,'Retirement Calculator'!A:A,0),0),0)</f>
        <v>0</v>
      </c>
      <c r="K1941" s="455">
        <f t="shared" ca="1" si="118"/>
        <v>-5598212.9275843408</v>
      </c>
      <c r="L1941" s="455">
        <f t="shared" ca="1" si="119"/>
        <v>-1349169315.5478263</v>
      </c>
      <c r="M1941" s="471">
        <f t="shared" si="121"/>
        <v>0.05</v>
      </c>
      <c r="N1941" s="475">
        <f t="shared" si="122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20"/>
        <v>-1349169315.5478263</v>
      </c>
      <c r="J1942" s="455">
        <f t="array" ref="J1942">IFERROR(INDEX('Retirement Calculator'!K:K,MATCH('Lorri 401b'!N1942,'Retirement Calculator'!A:A,0),0),0)</f>
        <v>0</v>
      </c>
      <c r="K1942" s="455">
        <f t="shared" ca="1" si="118"/>
        <v>-5621538.8147826092</v>
      </c>
      <c r="L1942" s="455">
        <f t="shared" ca="1" si="119"/>
        <v>-1354790854.3626089</v>
      </c>
      <c r="M1942" s="471">
        <f t="shared" si="121"/>
        <v>0.05</v>
      </c>
      <c r="N1942" s="475">
        <f t="shared" si="122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20"/>
        <v>-1354790854.3626089</v>
      </c>
      <c r="J1943" s="455">
        <f t="array" ref="J1943">IFERROR(INDEX('Retirement Calculator'!K:K,MATCH('Lorri 401b'!N1943,'Retirement Calculator'!A:A,0),0),0)</f>
        <v>0</v>
      </c>
      <c r="K1943" s="455">
        <f t="shared" ca="1" si="118"/>
        <v>-5644961.8931775372</v>
      </c>
      <c r="L1943" s="455">
        <f t="shared" ca="1" si="119"/>
        <v>-1360435816.2557864</v>
      </c>
      <c r="M1943" s="471">
        <f t="shared" si="121"/>
        <v>0.05</v>
      </c>
      <c r="N1943" s="475">
        <f t="shared" si="122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20"/>
        <v>-1360435816.2557864</v>
      </c>
      <c r="J1944" s="455">
        <f t="array" ref="J1944">IFERROR(INDEX('Retirement Calculator'!K:K,MATCH('Lorri 401b'!N1944,'Retirement Calculator'!A:A,0),0),0)</f>
        <v>0</v>
      </c>
      <c r="K1944" s="455">
        <f t="shared" ca="1" si="118"/>
        <v>-5668482.5677324431</v>
      </c>
      <c r="L1944" s="455">
        <f t="shared" ca="1" si="119"/>
        <v>-1366104298.8235188</v>
      </c>
      <c r="M1944" s="471">
        <f t="shared" si="121"/>
        <v>0.05</v>
      </c>
      <c r="N1944" s="475">
        <f t="shared" si="122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20"/>
        <v>-1366104298.8235188</v>
      </c>
      <c r="J1945" s="455">
        <f t="array" ref="J1945">IFERROR(INDEX('Retirement Calculator'!K:K,MATCH('Lorri 401b'!N1945,'Retirement Calculator'!A:A,0),0),0)</f>
        <v>0</v>
      </c>
      <c r="K1945" s="455">
        <f t="shared" ca="1" si="118"/>
        <v>-5692101.2450979948</v>
      </c>
      <c r="L1945" s="455">
        <f t="shared" ca="1" si="119"/>
        <v>-1371796400.0686169</v>
      </c>
      <c r="M1945" s="471">
        <f t="shared" si="121"/>
        <v>0.05</v>
      </c>
      <c r="N1945" s="475">
        <f t="shared" si="122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20"/>
        <v>-1371796400.0686169</v>
      </c>
      <c r="J1946" s="455">
        <f t="array" ref="J1946">IFERROR(INDEX('Retirement Calculator'!K:K,MATCH('Lorri 401b'!N1946,'Retirement Calculator'!A:A,0),0),0)</f>
        <v>0</v>
      </c>
      <c r="K1946" s="455">
        <f t="shared" ca="1" si="118"/>
        <v>-5715818.3336192369</v>
      </c>
      <c r="L1946" s="455">
        <f t="shared" ca="1" si="119"/>
        <v>-1377512218.402236</v>
      </c>
      <c r="M1946" s="471">
        <f t="shared" si="121"/>
        <v>0.05</v>
      </c>
      <c r="N1946" s="475">
        <f t="shared" si="122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20"/>
        <v>-1377512218.402236</v>
      </c>
      <c r="J1947" s="455">
        <f t="array" ref="J1947">IFERROR(INDEX('Retirement Calculator'!K:K,MATCH('Lorri 401b'!N1947,'Retirement Calculator'!A:A,0),0),0)</f>
        <v>0</v>
      </c>
      <c r="K1947" s="455">
        <f t="shared" ca="1" si="118"/>
        <v>-5739634.2433426501</v>
      </c>
      <c r="L1947" s="455">
        <f t="shared" ca="1" si="119"/>
        <v>-1383251852.6455786</v>
      </c>
      <c r="M1947" s="471">
        <f t="shared" si="121"/>
        <v>0.05</v>
      </c>
      <c r="N1947" s="475">
        <f t="shared" si="122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20"/>
        <v>-1383251852.6455786</v>
      </c>
      <c r="J1948" s="455">
        <f t="array" ref="J1948">IFERROR(INDEX('Retirement Calculator'!K:K,MATCH('Lorri 401b'!N1948,'Retirement Calculator'!A:A,0),0),0)</f>
        <v>0</v>
      </c>
      <c r="K1948" s="455">
        <f t="shared" ca="1" si="118"/>
        <v>-5763549.3860232439</v>
      </c>
      <c r="L1948" s="455">
        <f t="shared" ca="1" si="119"/>
        <v>-1389015402.0316019</v>
      </c>
      <c r="M1948" s="471">
        <f t="shared" si="121"/>
        <v>0.05</v>
      </c>
      <c r="N1948" s="475">
        <f t="shared" si="122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20"/>
        <v>-1389015402.0316019</v>
      </c>
      <c r="J1949" s="455">
        <f t="array" ref="J1949">IFERROR(INDEX('Retirement Calculator'!K:K,MATCH('Lorri 401b'!N1949,'Retirement Calculator'!A:A,0),0),0)</f>
        <v>0</v>
      </c>
      <c r="K1949" s="455">
        <f t="shared" ca="1" si="118"/>
        <v>-5787564.1751316749</v>
      </c>
      <c r="L1949" s="455">
        <f t="shared" ca="1" si="119"/>
        <v>-1394802966.2067335</v>
      </c>
      <c r="M1949" s="471">
        <f t="shared" si="121"/>
        <v>0.05</v>
      </c>
      <c r="N1949" s="475">
        <f t="shared" si="122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20"/>
        <v>-1394802966.2067335</v>
      </c>
      <c r="J1950" s="455">
        <f t="array" ref="J1950">IFERROR(INDEX('Retirement Calculator'!K:K,MATCH('Lorri 401b'!N1950,'Retirement Calculator'!A:A,0),0),0)</f>
        <v>0</v>
      </c>
      <c r="K1950" s="455">
        <f t="shared" ca="1" si="118"/>
        <v>-5811679.025861389</v>
      </c>
      <c r="L1950" s="455">
        <f t="shared" ca="1" si="119"/>
        <v>-1400614645.232595</v>
      </c>
      <c r="M1950" s="471">
        <f t="shared" si="121"/>
        <v>0.05</v>
      </c>
      <c r="N1950" s="475">
        <f t="shared" si="122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20"/>
        <v>-1400614645.232595</v>
      </c>
      <c r="J1951" s="455">
        <f t="array" ref="J1951">IFERROR(INDEX('Retirement Calculator'!K:K,MATCH('Lorri 401b'!N1951,'Retirement Calculator'!A:A,0),0),0)</f>
        <v>0</v>
      </c>
      <c r="K1951" s="455">
        <f t="shared" ca="1" si="118"/>
        <v>-5835894.3551358124</v>
      </c>
      <c r="L1951" s="455">
        <f t="shared" ca="1" si="119"/>
        <v>-1406450539.5877309</v>
      </c>
      <c r="M1951" s="471">
        <f t="shared" si="121"/>
        <v>0.05</v>
      </c>
      <c r="N1951" s="475">
        <f t="shared" si="122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20"/>
        <v>-1406450539.5877309</v>
      </c>
      <c r="J1952" s="455">
        <f t="array" ref="J1952">IFERROR(INDEX('Retirement Calculator'!K:K,MATCH('Lorri 401b'!N1952,'Retirement Calculator'!A:A,0),0),0)</f>
        <v>0</v>
      </c>
      <c r="K1952" s="455">
        <f t="shared" ca="1" si="118"/>
        <v>-5860210.5816155449</v>
      </c>
      <c r="L1952" s="455">
        <f t="shared" ca="1" si="119"/>
        <v>-1412310750.1693463</v>
      </c>
      <c r="M1952" s="471">
        <f t="shared" si="121"/>
        <v>0.05</v>
      </c>
      <c r="N1952" s="475">
        <f t="shared" si="122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20"/>
        <v>-1412310750.1693463</v>
      </c>
      <c r="J1953" s="455">
        <f t="array" ref="J1953">IFERROR(INDEX('Retirement Calculator'!K:K,MATCH('Lorri 401b'!N1953,'Retirement Calculator'!A:A,0),0),0)</f>
        <v>0</v>
      </c>
      <c r="K1953" s="455">
        <f t="shared" ca="1" si="118"/>
        <v>-5884628.12570561</v>
      </c>
      <c r="L1953" s="455">
        <f t="shared" ca="1" si="119"/>
        <v>-1418195378.2950521</v>
      </c>
      <c r="M1953" s="471">
        <f t="shared" si="121"/>
        <v>0.05</v>
      </c>
      <c r="N1953" s="475">
        <f t="shared" si="122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20"/>
        <v>-1418195378.2950521</v>
      </c>
      <c r="J1954" s="455">
        <f t="array" ref="J1954">IFERROR(INDEX('Retirement Calculator'!K:K,MATCH('Lorri 401b'!N1954,'Retirement Calculator'!A:A,0),0),0)</f>
        <v>0</v>
      </c>
      <c r="K1954" s="455">
        <f t="shared" ca="1" si="118"/>
        <v>-5909147.4095627172</v>
      </c>
      <c r="L1954" s="455">
        <f t="shared" ca="1" si="119"/>
        <v>-1424104525.7046149</v>
      </c>
      <c r="M1954" s="471">
        <f t="shared" si="121"/>
        <v>0.05</v>
      </c>
      <c r="N1954" s="475">
        <f t="shared" si="122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20"/>
        <v>-1424104525.7046149</v>
      </c>
      <c r="J1955" s="455">
        <f t="array" ref="J1955">IFERROR(INDEX('Retirement Calculator'!K:K,MATCH('Lorri 401b'!N1955,'Retirement Calculator'!A:A,0),0),0)</f>
        <v>0</v>
      </c>
      <c r="K1955" s="455">
        <f t="shared" ca="1" si="118"/>
        <v>-5933768.8571025617</v>
      </c>
      <c r="L1955" s="455">
        <f t="shared" ca="1" si="119"/>
        <v>-1430038294.5617175</v>
      </c>
      <c r="M1955" s="471">
        <f t="shared" si="121"/>
        <v>0.05</v>
      </c>
      <c r="N1955" s="475">
        <f t="shared" si="122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20"/>
        <v>-1430038294.5617175</v>
      </c>
      <c r="J1956" s="455">
        <f t="array" ref="J1956">IFERROR(INDEX('Retirement Calculator'!K:K,MATCH('Lorri 401b'!N1956,'Retirement Calculator'!A:A,0),0),0)</f>
        <v>0</v>
      </c>
      <c r="K1956" s="455">
        <f t="shared" ca="1" si="118"/>
        <v>-5958492.8940071566</v>
      </c>
      <c r="L1956" s="455">
        <f t="shared" ca="1" si="119"/>
        <v>-1435996787.4557247</v>
      </c>
      <c r="M1956" s="471">
        <f t="shared" si="121"/>
        <v>0.05</v>
      </c>
      <c r="N1956" s="475">
        <f t="shared" si="122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20"/>
        <v>-1435996787.4557247</v>
      </c>
      <c r="J1957" s="455">
        <f t="array" ref="J1957">IFERROR(INDEX('Retirement Calculator'!K:K,MATCH('Lorri 401b'!N1957,'Retirement Calculator'!A:A,0),0),0)</f>
        <v>0</v>
      </c>
      <c r="K1957" s="455">
        <f t="shared" ca="1" si="118"/>
        <v>-5983319.9477321859</v>
      </c>
      <c r="L1957" s="455">
        <f t="shared" ca="1" si="119"/>
        <v>-1441980107.4034569</v>
      </c>
      <c r="M1957" s="471">
        <f t="shared" si="121"/>
        <v>0.05</v>
      </c>
      <c r="N1957" s="475">
        <f t="shared" si="122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20"/>
        <v>-1441980107.4034569</v>
      </c>
      <c r="J1958" s="455">
        <f t="array" ref="J1958">IFERROR(INDEX('Retirement Calculator'!K:K,MATCH('Lorri 401b'!N1958,'Retirement Calculator'!A:A,0),0),0)</f>
        <v>0</v>
      </c>
      <c r="K1958" s="455">
        <f t="shared" ca="1" si="118"/>
        <v>-6008250.4475144036</v>
      </c>
      <c r="L1958" s="455">
        <f t="shared" ca="1" si="119"/>
        <v>-1447988357.8509712</v>
      </c>
      <c r="M1958" s="471">
        <f t="shared" si="121"/>
        <v>0.05</v>
      </c>
      <c r="N1958" s="475">
        <f t="shared" si="122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20"/>
        <v>-1447988357.8509712</v>
      </c>
      <c r="J1959" s="455">
        <f t="array" ref="J1959">IFERROR(INDEX('Retirement Calculator'!K:K,MATCH('Lorri 401b'!N1959,'Retirement Calculator'!A:A,0),0),0)</f>
        <v>0</v>
      </c>
      <c r="K1959" s="455">
        <f t="shared" ca="1" si="118"/>
        <v>-6033284.8243790464</v>
      </c>
      <c r="L1959" s="455">
        <f t="shared" ca="1" si="119"/>
        <v>-1454021642.6753502</v>
      </c>
      <c r="M1959" s="471">
        <f t="shared" si="121"/>
        <v>0.05</v>
      </c>
      <c r="N1959" s="475">
        <f t="shared" si="122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20"/>
        <v>-1454021642.6753502</v>
      </c>
      <c r="J1960" s="455">
        <f t="array" ref="J1960">IFERROR(INDEX('Retirement Calculator'!K:K,MATCH('Lorri 401b'!N1960,'Retirement Calculator'!A:A,0),0),0)</f>
        <v>0</v>
      </c>
      <c r="K1960" s="455">
        <f t="shared" ca="1" si="118"/>
        <v>-6058423.5111472923</v>
      </c>
      <c r="L1960" s="455">
        <f t="shared" ca="1" si="119"/>
        <v>-1460080066.1864974</v>
      </c>
      <c r="M1960" s="471">
        <f t="shared" si="121"/>
        <v>0.05</v>
      </c>
      <c r="N1960" s="475">
        <f t="shared" si="122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20"/>
        <v>-1460080066.1864974</v>
      </c>
      <c r="J1961" s="455">
        <f t="array" ref="J1961">IFERROR(INDEX('Retirement Calculator'!K:K,MATCH('Lorri 401b'!N1961,'Retirement Calculator'!A:A,0),0),0)</f>
        <v>0</v>
      </c>
      <c r="K1961" s="455">
        <f t="shared" ca="1" si="118"/>
        <v>-6083666.9424437396</v>
      </c>
      <c r="L1961" s="455">
        <f t="shared" ca="1" si="119"/>
        <v>-1466163733.1289413</v>
      </c>
      <c r="M1961" s="471">
        <f t="shared" si="121"/>
        <v>0.05</v>
      </c>
      <c r="N1961" s="475">
        <f t="shared" si="122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20"/>
        <v>-1466163733.1289413</v>
      </c>
      <c r="J1962" s="455">
        <f t="array" ref="J1962">IFERROR(INDEX('Retirement Calculator'!K:K,MATCH('Lorri 401b'!N1962,'Retirement Calculator'!A:A,0),0),0)</f>
        <v>0</v>
      </c>
      <c r="K1962" s="455">
        <f t="shared" ca="1" si="118"/>
        <v>-6109015.554703922</v>
      </c>
      <c r="L1962" s="455">
        <f t="shared" ca="1" si="119"/>
        <v>-1472272748.6836452</v>
      </c>
      <c r="M1962" s="471">
        <f t="shared" si="121"/>
        <v>0.05</v>
      </c>
      <c r="N1962" s="475">
        <f t="shared" si="122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20"/>
        <v>-1472272748.6836452</v>
      </c>
      <c r="J1963" s="455">
        <f t="array" ref="J1963">IFERROR(INDEX('Retirement Calculator'!K:K,MATCH('Lorri 401b'!N1963,'Retirement Calculator'!A:A,0),0),0)</f>
        <v>0</v>
      </c>
      <c r="K1963" s="455">
        <f t="shared" ca="1" si="118"/>
        <v>-6134469.786181855</v>
      </c>
      <c r="L1963" s="455">
        <f t="shared" ca="1" si="119"/>
        <v>-1478407218.4698272</v>
      </c>
      <c r="M1963" s="471">
        <f t="shared" si="121"/>
        <v>0.05</v>
      </c>
      <c r="N1963" s="475">
        <f t="shared" si="122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20"/>
        <v>-1478407218.4698272</v>
      </c>
      <c r="J1964" s="455">
        <f t="array" ref="J1964">IFERROR(INDEX('Retirement Calculator'!K:K,MATCH('Lorri 401b'!N1964,'Retirement Calculator'!A:A,0),0),0)</f>
        <v>0</v>
      </c>
      <c r="K1964" s="455">
        <f t="shared" ca="1" si="118"/>
        <v>-6160030.0769576132</v>
      </c>
      <c r="L1964" s="455">
        <f t="shared" ca="1" si="119"/>
        <v>-1484567248.5467849</v>
      </c>
      <c r="M1964" s="471">
        <f t="shared" si="121"/>
        <v>0.05</v>
      </c>
      <c r="N1964" s="475">
        <f t="shared" si="122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20"/>
        <v>-1484567248.5467849</v>
      </c>
      <c r="J1965" s="455">
        <f t="array" ref="J1965">IFERROR(INDEX('Retirement Calculator'!K:K,MATCH('Lorri 401b'!N1965,'Retirement Calculator'!A:A,0),0),0)</f>
        <v>0</v>
      </c>
      <c r="K1965" s="455">
        <f t="shared" ca="1" si="118"/>
        <v>-6185696.8689449374</v>
      </c>
      <c r="L1965" s="455">
        <f t="shared" ca="1" si="119"/>
        <v>-1490752945.4157298</v>
      </c>
      <c r="M1965" s="471">
        <f t="shared" si="121"/>
        <v>0.05</v>
      </c>
      <c r="N1965" s="475">
        <f t="shared" si="122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20"/>
        <v>-1490752945.4157298</v>
      </c>
      <c r="J1966" s="455">
        <f t="array" ref="J1966">IFERROR(INDEX('Retirement Calculator'!K:K,MATCH('Lorri 401b'!N1966,'Retirement Calculator'!A:A,0),0),0)</f>
        <v>0</v>
      </c>
      <c r="K1966" s="455">
        <f t="shared" ca="1" si="118"/>
        <v>-6211470.6058988739</v>
      </c>
      <c r="L1966" s="455">
        <f t="shared" ca="1" si="119"/>
        <v>-1496964416.0216286</v>
      </c>
      <c r="M1966" s="471">
        <f t="shared" si="121"/>
        <v>0.05</v>
      </c>
      <c r="N1966" s="475">
        <f t="shared" si="122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20"/>
        <v>-1496964416.0216286</v>
      </c>
      <c r="J1967" s="455">
        <f t="array" ref="J1967">IFERROR(INDEX('Retirement Calculator'!K:K,MATCH('Lorri 401b'!N1967,'Retirement Calculator'!A:A,0),0),0)</f>
        <v>0</v>
      </c>
      <c r="K1967" s="455">
        <f t="shared" ca="1" si="118"/>
        <v>-6237351.7334234528</v>
      </c>
      <c r="L1967" s="455">
        <f t="shared" ca="1" si="119"/>
        <v>-1503201767.7550521</v>
      </c>
      <c r="M1967" s="471">
        <f t="shared" si="121"/>
        <v>0.05</v>
      </c>
      <c r="N1967" s="475">
        <f t="shared" si="122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20"/>
        <v>-1503201767.7550521</v>
      </c>
      <c r="J1968" s="455">
        <f t="array" ref="J1968">IFERROR(INDEX('Retirement Calculator'!K:K,MATCH('Lorri 401b'!N1968,'Retirement Calculator'!A:A,0),0),0)</f>
        <v>0</v>
      </c>
      <c r="K1968" s="455">
        <f t="shared" ca="1" si="118"/>
        <v>-6263340.6989793833</v>
      </c>
      <c r="L1968" s="455">
        <f t="shared" ca="1" si="119"/>
        <v>-1509465108.4540315</v>
      </c>
      <c r="M1968" s="471">
        <f t="shared" si="121"/>
        <v>0.05</v>
      </c>
      <c r="N1968" s="475">
        <f t="shared" si="122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20"/>
        <v>-1509465108.4540315</v>
      </c>
      <c r="J1969" s="455">
        <f t="array" ref="J1969">IFERROR(INDEX('Retirement Calculator'!K:K,MATCH('Lorri 401b'!N1969,'Retirement Calculator'!A:A,0),0),0)</f>
        <v>0</v>
      </c>
      <c r="K1969" s="455">
        <f t="shared" ca="1" si="118"/>
        <v>-6289437.9518917976</v>
      </c>
      <c r="L1969" s="455">
        <f t="shared" ca="1" si="119"/>
        <v>-1515754546.4059234</v>
      </c>
      <c r="M1969" s="471">
        <f t="shared" si="121"/>
        <v>0.05</v>
      </c>
      <c r="N1969" s="475">
        <f t="shared" si="122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20"/>
        <v>-1515754546.4059234</v>
      </c>
      <c r="J1970" s="455">
        <f t="array" ref="J1970">IFERROR(INDEX('Retirement Calculator'!K:K,MATCH('Lorri 401b'!N1970,'Retirement Calculator'!A:A,0),0),0)</f>
        <v>0</v>
      </c>
      <c r="K1970" s="455">
        <f t="shared" ca="1" si="118"/>
        <v>-6315643.9433580143</v>
      </c>
      <c r="L1970" s="455">
        <f t="shared" ca="1" si="119"/>
        <v>-1522070190.3492813</v>
      </c>
      <c r="M1970" s="471">
        <f t="shared" si="121"/>
        <v>0.05</v>
      </c>
      <c r="N1970" s="475">
        <f t="shared" si="122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20"/>
        <v>-1522070190.3492813</v>
      </c>
      <c r="J1971" s="455">
        <f t="array" ref="J1971">IFERROR(INDEX('Retirement Calculator'!K:K,MATCH('Lorri 401b'!N1971,'Retirement Calculator'!A:A,0),0),0)</f>
        <v>0</v>
      </c>
      <c r="K1971" s="455">
        <f t="shared" ca="1" si="118"/>
        <v>-6341959.1264553387</v>
      </c>
      <c r="L1971" s="455">
        <f t="shared" ca="1" si="119"/>
        <v>-1528412149.4757366</v>
      </c>
      <c r="M1971" s="471">
        <f t="shared" si="121"/>
        <v>0.05</v>
      </c>
      <c r="N1971" s="475">
        <f t="shared" si="122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20"/>
        <v>-1528412149.4757366</v>
      </c>
      <c r="J1972" s="455">
        <f t="array" ref="J1972">IFERROR(INDEX('Retirement Calculator'!K:K,MATCH('Lorri 401b'!N1972,'Retirement Calculator'!A:A,0),0),0)</f>
        <v>0</v>
      </c>
      <c r="K1972" s="455">
        <f t="shared" ca="1" si="118"/>
        <v>-6368383.9561489029</v>
      </c>
      <c r="L1972" s="455">
        <f t="shared" ca="1" si="119"/>
        <v>-1534780533.4318855</v>
      </c>
      <c r="M1972" s="471">
        <f t="shared" si="121"/>
        <v>0.05</v>
      </c>
      <c r="N1972" s="475">
        <f t="shared" si="122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20"/>
        <v>-1534780533.4318855</v>
      </c>
      <c r="J1973" s="455">
        <f t="array" ref="J1973">IFERROR(INDEX('Retirement Calculator'!K:K,MATCH('Lorri 401b'!N1973,'Retirement Calculator'!A:A,0),0),0)</f>
        <v>0</v>
      </c>
      <c r="K1973" s="455">
        <f t="shared" ca="1" si="118"/>
        <v>-6394918.8892995231</v>
      </c>
      <c r="L1973" s="455">
        <f t="shared" ca="1" si="119"/>
        <v>-1541175452.3211851</v>
      </c>
      <c r="M1973" s="471">
        <f t="shared" si="121"/>
        <v>0.05</v>
      </c>
      <c r="N1973" s="475">
        <f t="shared" si="122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20"/>
        <v>-1541175452.3211851</v>
      </c>
      <c r="J1974" s="455">
        <f t="array" ref="J1974">IFERROR(INDEX('Retirement Calculator'!K:K,MATCH('Lorri 401b'!N1974,'Retirement Calculator'!A:A,0),0),0)</f>
        <v>0</v>
      </c>
      <c r="K1974" s="455">
        <f t="shared" ca="1" si="118"/>
        <v>-6421564.3846716043</v>
      </c>
      <c r="L1974" s="455">
        <f t="shared" ca="1" si="119"/>
        <v>-1547597016.7058568</v>
      </c>
      <c r="M1974" s="471">
        <f t="shared" si="121"/>
        <v>0.05</v>
      </c>
      <c r="N1974" s="475">
        <f t="shared" si="122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20"/>
        <v>-1547597016.7058568</v>
      </c>
      <c r="J1975" s="455">
        <f t="array" ref="J1975">IFERROR(INDEX('Retirement Calculator'!K:K,MATCH('Lorri 401b'!N1975,'Retirement Calculator'!A:A,0),0),0)</f>
        <v>0</v>
      </c>
      <c r="K1975" s="455">
        <f t="shared" ca="1" si="118"/>
        <v>-6448320.9029410696</v>
      </c>
      <c r="L1975" s="455">
        <f t="shared" ca="1" si="119"/>
        <v>-1554045337.6087978</v>
      </c>
      <c r="M1975" s="471">
        <f t="shared" si="121"/>
        <v>0.05</v>
      </c>
      <c r="N1975" s="475">
        <f t="shared" si="122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20"/>
        <v>-1554045337.6087978</v>
      </c>
      <c r="J1976" s="455">
        <f t="array" ref="J1976">IFERROR(INDEX('Retirement Calculator'!K:K,MATCH('Lorri 401b'!N1976,'Retirement Calculator'!A:A,0),0),0)</f>
        <v>0</v>
      </c>
      <c r="K1976" s="455">
        <f t="shared" ca="1" si="118"/>
        <v>-6475188.9067033241</v>
      </c>
      <c r="L1976" s="455">
        <f t="shared" ca="1" si="119"/>
        <v>-1560520526.515501</v>
      </c>
      <c r="M1976" s="471">
        <f t="shared" si="121"/>
        <v>0.05</v>
      </c>
      <c r="N1976" s="475">
        <f t="shared" si="122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20"/>
        <v>-1560520526.515501</v>
      </c>
      <c r="J1977" s="455">
        <f t="array" ref="J1977">IFERROR(INDEX('Retirement Calculator'!K:K,MATCH('Lorri 401b'!N1977,'Retirement Calculator'!A:A,0),0),0)</f>
        <v>0</v>
      </c>
      <c r="K1977" s="455">
        <f t="shared" ca="1" si="118"/>
        <v>-6502168.8604812538</v>
      </c>
      <c r="L1977" s="455">
        <f t="shared" ca="1" si="119"/>
        <v>-1567022695.3759823</v>
      </c>
      <c r="M1977" s="471">
        <f t="shared" si="121"/>
        <v>0.05</v>
      </c>
      <c r="N1977" s="475">
        <f t="shared" si="122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20"/>
        <v>-1567022695.3759823</v>
      </c>
      <c r="J1978" s="455">
        <f t="array" ref="J1978">IFERROR(INDEX('Retirement Calculator'!K:K,MATCH('Lorri 401b'!N1978,'Retirement Calculator'!A:A,0),0),0)</f>
        <v>0</v>
      </c>
      <c r="K1978" s="455">
        <f t="shared" ca="1" si="118"/>
        <v>-6529261.2307332596</v>
      </c>
      <c r="L1978" s="455">
        <f t="shared" ca="1" si="119"/>
        <v>-1573551956.6067154</v>
      </c>
      <c r="M1978" s="471">
        <f t="shared" si="121"/>
        <v>0.05</v>
      </c>
      <c r="N1978" s="475">
        <f t="shared" si="122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20"/>
        <v>-1573551956.6067154</v>
      </c>
      <c r="J1979" s="455">
        <f t="array" ref="J1979">IFERROR(INDEX('Retirement Calculator'!K:K,MATCH('Lorri 401b'!N1979,'Retirement Calculator'!A:A,0),0),0)</f>
        <v>0</v>
      </c>
      <c r="K1979" s="455">
        <f t="shared" ca="1" si="118"/>
        <v>-6556466.4858613145</v>
      </c>
      <c r="L1979" s="455">
        <f t="shared" ca="1" si="119"/>
        <v>-1580108423.0925767</v>
      </c>
      <c r="M1979" s="471">
        <f t="shared" si="121"/>
        <v>0.05</v>
      </c>
      <c r="N1979" s="475">
        <f t="shared" si="122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20"/>
        <v>-1580108423.0925767</v>
      </c>
      <c r="J1980" s="455">
        <f t="array" ref="J1980">IFERROR(INDEX('Retirement Calculator'!K:K,MATCH('Lorri 401b'!N1980,'Retirement Calculator'!A:A,0),0),0)</f>
        <v>0</v>
      </c>
      <c r="K1980" s="455">
        <f t="shared" ca="1" si="118"/>
        <v>-6583785.0962190693</v>
      </c>
      <c r="L1980" s="455">
        <f t="shared" ca="1" si="119"/>
        <v>-1586692208.1887958</v>
      </c>
      <c r="M1980" s="471">
        <f t="shared" si="121"/>
        <v>0.05</v>
      </c>
      <c r="N1980" s="475">
        <f t="shared" si="122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20"/>
        <v>-1586692208.1887958</v>
      </c>
      <c r="J1981" s="455">
        <f t="array" ref="J1981">IFERROR(INDEX('Retirement Calculator'!K:K,MATCH('Lorri 401b'!N1981,'Retirement Calculator'!A:A,0),0),0)</f>
        <v>0</v>
      </c>
      <c r="K1981" s="455">
        <f t="shared" ca="1" si="118"/>
        <v>-6611217.5341199823</v>
      </c>
      <c r="L1981" s="455">
        <f t="shared" ca="1" si="119"/>
        <v>-1593303425.7229159</v>
      </c>
      <c r="M1981" s="471">
        <f t="shared" si="121"/>
        <v>0.05</v>
      </c>
      <c r="N1981" s="475">
        <f t="shared" si="122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20"/>
        <v>-1593303425.7229159</v>
      </c>
      <c r="J1982" s="455">
        <f t="array" ref="J1982">IFERROR(INDEX('Retirement Calculator'!K:K,MATCH('Lorri 401b'!N1982,'Retirement Calculator'!A:A,0),0),0)</f>
        <v>0</v>
      </c>
      <c r="K1982" s="455">
        <f t="shared" ca="1" si="118"/>
        <v>-6638764.2738454826</v>
      </c>
      <c r="L1982" s="455">
        <f t="shared" ca="1" si="119"/>
        <v>-1599942189.9967613</v>
      </c>
      <c r="M1982" s="471">
        <f t="shared" si="121"/>
        <v>0.05</v>
      </c>
      <c r="N1982" s="475">
        <f t="shared" si="122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20"/>
        <v>-1599942189.9967613</v>
      </c>
      <c r="J1983" s="455">
        <f t="array" ref="J1983">IFERROR(INDEX('Retirement Calculator'!K:K,MATCH('Lorri 401b'!N1983,'Retirement Calculator'!A:A,0),0),0)</f>
        <v>0</v>
      </c>
      <c r="K1983" s="455">
        <f t="shared" ca="1" si="118"/>
        <v>-6666425.7916531721</v>
      </c>
      <c r="L1983" s="455">
        <f t="shared" ca="1" si="119"/>
        <v>-1606608615.7884145</v>
      </c>
      <c r="M1983" s="471">
        <f t="shared" si="121"/>
        <v>0.05</v>
      </c>
      <c r="N1983" s="475">
        <f t="shared" si="122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20"/>
        <v>-1606608615.7884145</v>
      </c>
      <c r="J1984" s="455">
        <f t="array" ref="J1984">IFERROR(INDEX('Retirement Calculator'!K:K,MATCH('Lorri 401b'!N1984,'Retirement Calculator'!A:A,0),0),0)</f>
        <v>0</v>
      </c>
      <c r="K1984" s="455">
        <f t="shared" ca="1" si="118"/>
        <v>-6694202.5657850606</v>
      </c>
      <c r="L1984" s="455">
        <f t="shared" ca="1" si="119"/>
        <v>-1613302818.3541996</v>
      </c>
      <c r="M1984" s="471">
        <f t="shared" si="121"/>
        <v>0.05</v>
      </c>
      <c r="N1984" s="475">
        <f t="shared" si="122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20"/>
        <v>-1613302818.3541996</v>
      </c>
      <c r="J1985" s="455">
        <f t="array" ref="J1985">IFERROR(INDEX('Retirement Calculator'!K:K,MATCH('Lorri 401b'!N1985,'Retirement Calculator'!A:A,0),0),0)</f>
        <v>0</v>
      </c>
      <c r="K1985" s="455">
        <f t="shared" ca="1" si="118"/>
        <v>-6722095.0764758317</v>
      </c>
      <c r="L1985" s="455">
        <f t="shared" ca="1" si="119"/>
        <v>-1620024913.4306755</v>
      </c>
      <c r="M1985" s="471">
        <f t="shared" si="121"/>
        <v>0.05</v>
      </c>
      <c r="N1985" s="475">
        <f t="shared" si="122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20"/>
        <v>-1620024913.4306755</v>
      </c>
      <c r="J1986" s="455">
        <f t="array" ref="J1986">IFERROR(INDEX('Retirement Calculator'!K:K,MATCH('Lorri 401b'!N1986,'Retirement Calculator'!A:A,0),0),0)</f>
        <v>0</v>
      </c>
      <c r="K1986" s="455">
        <f t="shared" ca="1" si="118"/>
        <v>-6750103.8059611479</v>
      </c>
      <c r="L1986" s="455">
        <f t="shared" ca="1" si="119"/>
        <v>-1626775017.2366366</v>
      </c>
      <c r="M1986" s="471">
        <f t="shared" si="121"/>
        <v>0.05</v>
      </c>
      <c r="N1986" s="475">
        <f t="shared" si="122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20"/>
        <v>-1626775017.2366366</v>
      </c>
      <c r="J1987" s="455">
        <f t="array" ref="J1987">IFERROR(INDEX('Retirement Calculator'!K:K,MATCH('Lorri 401b'!N1987,'Retirement Calculator'!A:A,0),0),0)</f>
        <v>0</v>
      </c>
      <c r="K1987" s="455">
        <f t="shared" ca="1" si="118"/>
        <v>-6778229.2384859854</v>
      </c>
      <c r="L1987" s="455">
        <f t="shared" ca="1" si="119"/>
        <v>-1633553246.4751227</v>
      </c>
      <c r="M1987" s="471">
        <f t="shared" si="121"/>
        <v>0.05</v>
      </c>
      <c r="N1987" s="475">
        <f t="shared" si="122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20"/>
        <v>-1633553246.4751227</v>
      </c>
      <c r="J1988" s="455">
        <f t="array" ref="J1988">IFERROR(INDEX('Retirement Calculator'!K:K,MATCH('Lorri 401b'!N1988,'Retirement Calculator'!A:A,0),0),0)</f>
        <v>0</v>
      </c>
      <c r="K1988" s="455">
        <f t="shared" ca="1" si="118"/>
        <v>-6806471.8603130113</v>
      </c>
      <c r="L1988" s="455">
        <f t="shared" ca="1" si="119"/>
        <v>-1640359718.3354356</v>
      </c>
      <c r="M1988" s="471">
        <f t="shared" si="121"/>
        <v>0.05</v>
      </c>
      <c r="N1988" s="475">
        <f t="shared" si="122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20"/>
        <v>-1640359718.3354356</v>
      </c>
      <c r="J1989" s="455">
        <f t="array" ref="J1989">IFERROR(INDEX('Retirement Calculator'!K:K,MATCH('Lorri 401b'!N1989,'Retirement Calculator'!A:A,0),0),0)</f>
        <v>0</v>
      </c>
      <c r="K1989" s="455">
        <f t="shared" ca="1" si="118"/>
        <v>-6834832.159730982</v>
      </c>
      <c r="L1989" s="455">
        <f t="shared" ca="1" si="119"/>
        <v>-1647194550.4951665</v>
      </c>
      <c r="M1989" s="471">
        <f t="shared" si="121"/>
        <v>0.05</v>
      </c>
      <c r="N1989" s="475">
        <f t="shared" si="122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20"/>
        <v>-1647194550.4951665</v>
      </c>
      <c r="J1990" s="455">
        <f t="array" ref="J1990">IFERROR(INDEX('Retirement Calculator'!K:K,MATCH('Lorri 401b'!N1990,'Retirement Calculator'!A:A,0),0),0)</f>
        <v>0</v>
      </c>
      <c r="K1990" s="455">
        <f t="shared" ca="1" si="118"/>
        <v>-6863310.6270631934</v>
      </c>
      <c r="L1990" s="455">
        <f t="shared" ca="1" si="119"/>
        <v>-1654057861.1222298</v>
      </c>
      <c r="M1990" s="471">
        <f t="shared" si="121"/>
        <v>0.05</v>
      </c>
      <c r="N1990" s="475">
        <f t="shared" si="122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20"/>
        <v>-1654057861.1222298</v>
      </c>
      <c r="J1991" s="455">
        <f t="array" ref="J1991">IFERROR(INDEX('Retirement Calculator'!K:K,MATCH('Lorri 401b'!N1991,'Retirement Calculator'!A:A,0),0),0)</f>
        <v>0</v>
      </c>
      <c r="K1991" s="455">
        <f t="shared" ca="1" si="118"/>
        <v>-6891907.7546759574</v>
      </c>
      <c r="L1991" s="455">
        <f t="shared" ca="1" si="119"/>
        <v>-1660949768.8769057</v>
      </c>
      <c r="M1991" s="471">
        <f t="shared" si="121"/>
        <v>0.05</v>
      </c>
      <c r="N1991" s="475">
        <f t="shared" si="122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20"/>
        <v>-1660949768.8769057</v>
      </c>
      <c r="J1992" s="455">
        <f t="array" ref="J1992">IFERROR(INDEX('Retirement Calculator'!K:K,MATCH('Lorri 401b'!N1992,'Retirement Calculator'!A:A,0),0),0)</f>
        <v>0</v>
      </c>
      <c r="K1992" s="455">
        <f t="shared" ca="1" si="118"/>
        <v>-6920624.0369871072</v>
      </c>
      <c r="L1992" s="455">
        <f t="shared" ca="1" si="119"/>
        <v>-1667870392.9138927</v>
      </c>
      <c r="M1992" s="471">
        <f t="shared" si="121"/>
        <v>0.05</v>
      </c>
      <c r="N1992" s="475">
        <f t="shared" si="122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20"/>
        <v>-1667870392.9138927</v>
      </c>
      <c r="J1993" s="455">
        <f t="array" ref="J1993">IFERROR(INDEX('Retirement Calculator'!K:K,MATCH('Lorri 401b'!N1993,'Retirement Calculator'!A:A,0),0),0)</f>
        <v>0</v>
      </c>
      <c r="K1993" s="455">
        <f t="shared" ca="1" si="118"/>
        <v>-6949459.9704745533</v>
      </c>
      <c r="L1993" s="455">
        <f t="shared" ca="1" si="119"/>
        <v>-1674819852.8843672</v>
      </c>
      <c r="M1993" s="471">
        <f t="shared" si="121"/>
        <v>0.05</v>
      </c>
      <c r="N1993" s="475">
        <f t="shared" si="122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20"/>
        <v>-1674819852.8843672</v>
      </c>
      <c r="J1994" s="455">
        <f t="array" ref="J1994">IFERROR(INDEX('Retirement Calculator'!K:K,MATCH('Lorri 401b'!N1994,'Retirement Calculator'!A:A,0),0),0)</f>
        <v>0</v>
      </c>
      <c r="K1994" s="455">
        <f t="shared" ca="1" si="118"/>
        <v>-6978416.0536848633</v>
      </c>
      <c r="L1994" s="455">
        <f t="shared" ca="1" si="119"/>
        <v>-1681798268.9380522</v>
      </c>
      <c r="M1994" s="471">
        <f t="shared" si="121"/>
        <v>0.05</v>
      </c>
      <c r="N1994" s="475">
        <f t="shared" si="122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20"/>
        <v>-1681798268.9380522</v>
      </c>
      <c r="J1995" s="455">
        <f t="array" ref="J1995">IFERROR(INDEX('Retirement Calculator'!K:K,MATCH('Lorri 401b'!N1995,'Retirement Calculator'!A:A,0),0),0)</f>
        <v>0</v>
      </c>
      <c r="K1995" s="455">
        <f t="shared" ca="1" si="118"/>
        <v>-7007492.7872418836</v>
      </c>
      <c r="L1995" s="455">
        <f t="shared" ca="1" si="119"/>
        <v>-1688805761.7252941</v>
      </c>
      <c r="M1995" s="471">
        <f t="shared" si="121"/>
        <v>0.05</v>
      </c>
      <c r="N1995" s="475">
        <f t="shared" si="122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20"/>
        <v>-1688805761.7252941</v>
      </c>
      <c r="J1996" s="455">
        <f t="array" ref="J1996">IFERROR(INDEX('Retirement Calculator'!K:K,MATCH('Lorri 401b'!N1996,'Retirement Calculator'!A:A,0),0),0)</f>
        <v>0</v>
      </c>
      <c r="K1996" s="455">
        <f t="shared" ca="1" si="118"/>
        <v>-7036690.6738553923</v>
      </c>
      <c r="L1996" s="455">
        <f t="shared" ca="1" si="119"/>
        <v>-1695842452.3991494</v>
      </c>
      <c r="M1996" s="471">
        <f t="shared" si="121"/>
        <v>0.05</v>
      </c>
      <c r="N1996" s="475">
        <f t="shared" si="122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20"/>
        <v>-1695842452.3991494</v>
      </c>
      <c r="J1997" s="455">
        <f t="array" ref="J1997">IFERROR(INDEX('Retirement Calculator'!K:K,MATCH('Lorri 401b'!N1997,'Retirement Calculator'!A:A,0),0),0)</f>
        <v>0</v>
      </c>
      <c r="K1997" s="455">
        <f t="shared" ca="1" si="118"/>
        <v>-7066010.2183297882</v>
      </c>
      <c r="L1997" s="455">
        <f t="shared" ca="1" si="119"/>
        <v>-1702908462.6174793</v>
      </c>
      <c r="M1997" s="471">
        <f t="shared" si="121"/>
        <v>0.05</v>
      </c>
      <c r="N1997" s="475">
        <f t="shared" si="122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20"/>
        <v>-1702908462.6174793</v>
      </c>
      <c r="J1998" s="455">
        <f t="array" ref="J1998">IFERROR(INDEX('Retirement Calculator'!K:K,MATCH('Lorri 401b'!N1998,'Retirement Calculator'!A:A,0),0),0)</f>
        <v>0</v>
      </c>
      <c r="K1998" s="455">
        <f t="shared" ca="1" si="118"/>
        <v>-7095451.9275728315</v>
      </c>
      <c r="L1998" s="455">
        <f t="shared" ca="1" si="119"/>
        <v>-1710003914.5450521</v>
      </c>
      <c r="M1998" s="471">
        <f t="shared" si="121"/>
        <v>0.05</v>
      </c>
      <c r="N1998" s="475">
        <f t="shared" si="122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20"/>
        <v>-1710003914.5450521</v>
      </c>
      <c r="J1999" s="455">
        <f t="array" ref="J1999">IFERROR(INDEX('Retirement Calculator'!K:K,MATCH('Lorri 401b'!N1999,'Retirement Calculator'!A:A,0),0),0)</f>
        <v>0</v>
      </c>
      <c r="K1999" s="455">
        <f t="shared" ca="1" si="118"/>
        <v>-7125016.3106043823</v>
      </c>
      <c r="L1999" s="455">
        <f t="shared" ca="1" si="119"/>
        <v>-1717128930.8556564</v>
      </c>
      <c r="M1999" s="471">
        <f t="shared" si="121"/>
        <v>0.05</v>
      </c>
      <c r="N1999" s="475">
        <f t="shared" si="122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20"/>
        <v>-1717128930.8556564</v>
      </c>
      <c r="J2000" s="455">
        <f t="array" ref="J2000">IFERROR(INDEX('Retirement Calculator'!K:K,MATCH('Lorri 401b'!N2000,'Retirement Calculator'!A:A,0),0),0)</f>
        <v>0</v>
      </c>
      <c r="K2000" s="455">
        <f t="shared" ca="1" si="118"/>
        <v>-7154703.8785652351</v>
      </c>
      <c r="L2000" s="455">
        <f t="shared" ca="1" si="119"/>
        <v>-1724283634.7342217</v>
      </c>
      <c r="M2000" s="471">
        <f t="shared" si="121"/>
        <v>0.05</v>
      </c>
      <c r="N2000" s="475">
        <f t="shared" si="122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20"/>
        <v>-1724283634.7342217</v>
      </c>
      <c r="J2001" s="455">
        <f t="array" ref="J2001">IFERROR(INDEX('Retirement Calculator'!K:K,MATCH('Lorri 401b'!N2001,'Retirement Calculator'!A:A,0),0),0)</f>
        <v>0</v>
      </c>
      <c r="K2001" s="455">
        <f t="shared" ca="1" si="118"/>
        <v>-7184515.1447259225</v>
      </c>
      <c r="L2001" s="455">
        <f t="shared" ca="1" si="119"/>
        <v>-1731468149.8789477</v>
      </c>
      <c r="M2001" s="471">
        <f t="shared" si="121"/>
        <v>0.05</v>
      </c>
      <c r="N2001" s="475">
        <f t="shared" si="122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20"/>
        <v>-1731468149.8789477</v>
      </c>
      <c r="J2002" s="455">
        <f t="array" ref="J2002">IFERROR(INDEX('Retirement Calculator'!K:K,MATCH('Lorri 401b'!N2002,'Retirement Calculator'!A:A,0),0),0)</f>
        <v>0</v>
      </c>
      <c r="K2002" s="455">
        <f t="shared" ca="1" si="118"/>
        <v>-7214450.6244956153</v>
      </c>
      <c r="L2002" s="455">
        <f t="shared" ca="1" si="119"/>
        <v>-1738682600.5034432</v>
      </c>
      <c r="M2002" s="471">
        <f t="shared" si="121"/>
        <v>0.05</v>
      </c>
      <c r="N2002" s="475">
        <f t="shared" si="122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20"/>
        <v>-1738682600.5034432</v>
      </c>
      <c r="J2003" s="455">
        <f t="array" ref="J2003">IFERROR(INDEX('Retirement Calculator'!K:K,MATCH('Lorri 401b'!N2003,'Retirement Calculator'!A:A,0),0),0)</f>
        <v>0</v>
      </c>
      <c r="K2003" s="455">
        <f t="shared" ca="1" si="118"/>
        <v>-7244510.8354310133</v>
      </c>
      <c r="L2003" s="455">
        <f t="shared" ca="1" si="119"/>
        <v>-1745927111.3388743</v>
      </c>
      <c r="M2003" s="471">
        <f t="shared" si="121"/>
        <v>0.05</v>
      </c>
      <c r="N2003" s="475">
        <f t="shared" si="122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20"/>
        <v>-1745927111.3388743</v>
      </c>
      <c r="J2004" s="455">
        <f t="array" ref="J2004">IFERROR(INDEX('Retirement Calculator'!K:K,MATCH('Lorri 401b'!N2004,'Retirement Calculator'!A:A,0),0),0)</f>
        <v>0</v>
      </c>
      <c r="K2004" s="455">
        <f t="shared" ca="1" si="118"/>
        <v>-7274696.2972453097</v>
      </c>
      <c r="L2004" s="455">
        <f t="shared" ca="1" si="119"/>
        <v>-1753201807.6361196</v>
      </c>
      <c r="M2004" s="471">
        <f t="shared" si="121"/>
        <v>0.05</v>
      </c>
      <c r="N2004" s="475">
        <f t="shared" si="122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20"/>
        <v>-1753201807.6361196</v>
      </c>
      <c r="J2005" s="455">
        <f t="array" ref="J2005">IFERROR(INDEX('Retirement Calculator'!K:K,MATCH('Lorri 401b'!N2005,'Retirement Calculator'!A:A,0),0),0)</f>
        <v>0</v>
      </c>
      <c r="K2005" s="455">
        <f t="shared" ca="1" si="118"/>
        <v>-7305007.5318171643</v>
      </c>
      <c r="L2005" s="455">
        <f t="shared" ca="1" si="119"/>
        <v>-1760506815.1679368</v>
      </c>
      <c r="M2005" s="471">
        <f t="shared" si="121"/>
        <v>0.05</v>
      </c>
      <c r="N2005" s="475">
        <f t="shared" si="122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20"/>
        <v>-1760506815.1679368</v>
      </c>
      <c r="J2006" s="455">
        <f t="array" ref="J2006">IFERROR(INDEX('Retirement Calculator'!K:K,MATCH('Lorri 401b'!N2006,'Retirement Calculator'!A:A,0),0),0)</f>
        <v>0</v>
      </c>
      <c r="K2006" s="455">
        <f t="shared" ca="1" si="118"/>
        <v>-7335445.0631997362</v>
      </c>
      <c r="L2006" s="455">
        <f t="shared" ca="1" si="119"/>
        <v>-1767842260.2311366</v>
      </c>
      <c r="M2006" s="471">
        <f t="shared" si="121"/>
        <v>0.05</v>
      </c>
      <c r="N2006" s="475">
        <f t="shared" si="122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20"/>
        <v>-1767842260.2311366</v>
      </c>
      <c r="J2007" s="455">
        <f t="array" ref="J2007">IFERROR(INDEX('Retirement Calculator'!K:K,MATCH('Lorri 401b'!N2007,'Retirement Calculator'!A:A,0),0),0)</f>
        <v>0</v>
      </c>
      <c r="K2007" s="455">
        <f t="shared" ca="1" si="118"/>
        <v>-7366009.4176297355</v>
      </c>
      <c r="L2007" s="455">
        <f t="shared" ca="1" si="119"/>
        <v>-1775208269.6487663</v>
      </c>
      <c r="M2007" s="471">
        <f t="shared" si="121"/>
        <v>0.05</v>
      </c>
      <c r="N2007" s="475">
        <f t="shared" si="122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20"/>
        <v>-1775208269.6487663</v>
      </c>
      <c r="J2008" s="455">
        <f t="array" ref="J2008">IFERROR(INDEX('Retirement Calculator'!K:K,MATCH('Lorri 401b'!N2008,'Retirement Calculator'!A:A,0),0),0)</f>
        <v>0</v>
      </c>
      <c r="K2008" s="455">
        <f t="shared" ca="1" si="118"/>
        <v>-7396701.1235365262</v>
      </c>
      <c r="L2008" s="455">
        <f t="shared" ca="1" si="119"/>
        <v>-1782604970.7723029</v>
      </c>
      <c r="M2008" s="471">
        <f t="shared" si="121"/>
        <v>0.05</v>
      </c>
      <c r="N2008" s="475">
        <f t="shared" si="122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20"/>
        <v>-1782604970.7723029</v>
      </c>
      <c r="J2009" s="455">
        <f t="array" ref="J2009">IFERROR(INDEX('Retirement Calculator'!K:K,MATCH('Lorri 401b'!N2009,'Retirement Calculator'!A:A,0),0),0)</f>
        <v>0</v>
      </c>
      <c r="K2009" s="455">
        <f t="shared" ca="1" si="118"/>
        <v>-7427520.7115512621</v>
      </c>
      <c r="L2009" s="455">
        <f t="shared" ca="1" si="119"/>
        <v>-1790032491.4838541</v>
      </c>
      <c r="M2009" s="471">
        <f t="shared" si="121"/>
        <v>0.05</v>
      </c>
      <c r="N2009" s="475">
        <f t="shared" si="122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20"/>
        <v>-1790032491.4838541</v>
      </c>
      <c r="J2010" s="455">
        <f t="array" ref="J2010">IFERROR(INDEX('Retirement Calculator'!K:K,MATCH('Lorri 401b'!N2010,'Retirement Calculator'!A:A,0),0),0)</f>
        <v>0</v>
      </c>
      <c r="K2010" s="455">
        <f t="shared" ca="1" si="118"/>
        <v>-7458468.7145160586</v>
      </c>
      <c r="L2010" s="455">
        <f t="shared" ca="1" si="119"/>
        <v>-1797490960.1983702</v>
      </c>
      <c r="M2010" s="471">
        <f t="shared" si="121"/>
        <v>0.05</v>
      </c>
      <c r="N2010" s="475">
        <f t="shared" si="122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20"/>
        <v>-1797490960.1983702</v>
      </c>
      <c r="J2011" s="455">
        <f t="array" ref="J2011">IFERROR(INDEX('Retirement Calculator'!K:K,MATCH('Lorri 401b'!N2011,'Retirement Calculator'!A:A,0),0),0)</f>
        <v>0</v>
      </c>
      <c r="K2011" s="455">
        <f t="shared" ca="1" si="118"/>
        <v>-7489545.6674932092</v>
      </c>
      <c r="L2011" s="455">
        <f t="shared" ca="1" si="119"/>
        <v>-1804980505.8658633</v>
      </c>
      <c r="M2011" s="471">
        <f t="shared" si="121"/>
        <v>0.05</v>
      </c>
      <c r="N2011" s="475">
        <f t="shared" si="122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20"/>
        <v>-1804980505.8658633</v>
      </c>
      <c r="J2012" s="455">
        <f t="array" ref="J2012">IFERROR(INDEX('Retirement Calculator'!K:K,MATCH('Lorri 401b'!N2012,'Retirement Calculator'!A:A,0),0),0)</f>
        <v>0</v>
      </c>
      <c r="K2012" s="455">
        <f t="shared" ca="1" si="118"/>
        <v>-7520752.10777443</v>
      </c>
      <c r="L2012" s="455">
        <f t="shared" ca="1" si="119"/>
        <v>-1812501257.9736378</v>
      </c>
      <c r="M2012" s="471">
        <f t="shared" si="121"/>
        <v>0.05</v>
      </c>
      <c r="N2012" s="475">
        <f t="shared" si="122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20"/>
        <v>-1812501257.9736378</v>
      </c>
      <c r="J2013" s="455">
        <f t="array" ref="J2013">IFERROR(INDEX('Retirement Calculator'!K:K,MATCH('Lorri 401b'!N2013,'Retirement Calculator'!A:A,0),0),0)</f>
        <v>0</v>
      </c>
      <c r="K2013" s="455">
        <f t="shared" ca="1" si="118"/>
        <v>-7552088.5748901563</v>
      </c>
      <c r="L2013" s="455">
        <f t="shared" ca="1" si="119"/>
        <v>-1820053346.548528</v>
      </c>
      <c r="M2013" s="471">
        <f t="shared" si="121"/>
        <v>0.05</v>
      </c>
      <c r="N2013" s="475">
        <f t="shared" si="122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20"/>
        <v>-1820053346.548528</v>
      </c>
      <c r="J2014" s="455">
        <f t="array" ref="J2014">IFERROR(INDEX('Retirement Calculator'!K:K,MATCH('Lorri 401b'!N2014,'Retirement Calculator'!A:A,0),0),0)</f>
        <v>0</v>
      </c>
      <c r="K2014" s="455">
        <f t="shared" ca="1" si="118"/>
        <v>-7583555.610618866</v>
      </c>
      <c r="L2014" s="455">
        <f t="shared" ca="1" si="119"/>
        <v>-1827636902.1591468</v>
      </c>
      <c r="M2014" s="471">
        <f t="shared" si="121"/>
        <v>0.05</v>
      </c>
      <c r="N2014" s="475">
        <f t="shared" si="122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20"/>
        <v>-1827636902.1591468</v>
      </c>
      <c r="J2015" s="455">
        <f t="array" ref="J2015">IFERROR(INDEX('Retirement Calculator'!K:K,MATCH('Lorri 401b'!N2015,'Retirement Calculator'!A:A,0),0),0)</f>
        <v>0</v>
      </c>
      <c r="K2015" s="455">
        <f t="shared" ca="1" si="118"/>
        <v>-7615153.7589964448</v>
      </c>
      <c r="L2015" s="455">
        <f t="shared" ca="1" si="119"/>
        <v>-1835252055.9181433</v>
      </c>
      <c r="M2015" s="471">
        <f t="shared" si="121"/>
        <v>0.05</v>
      </c>
      <c r="N2015" s="475">
        <f t="shared" si="122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20"/>
        <v>-1835252055.9181433</v>
      </c>
      <c r="J2016" s="455">
        <f t="array" ref="J2016">IFERROR(INDEX('Retirement Calculator'!K:K,MATCH('Lorri 401b'!N2016,'Retirement Calculator'!A:A,0),0),0)</f>
        <v>0</v>
      </c>
      <c r="K2016" s="455">
        <f t="shared" ca="1" si="118"/>
        <v>-7646883.5663255965</v>
      </c>
      <c r="L2016" s="455">
        <f t="shared" ca="1" si="119"/>
        <v>-1842898939.4844689</v>
      </c>
      <c r="M2016" s="471">
        <f t="shared" si="121"/>
        <v>0.05</v>
      </c>
      <c r="N2016" s="475">
        <f t="shared" si="122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20"/>
        <v>-1842898939.4844689</v>
      </c>
      <c r="J2017" s="455">
        <f t="array" ref="J2017">IFERROR(INDEX('Retirement Calculator'!K:K,MATCH('Lorri 401b'!N2017,'Retirement Calculator'!A:A,0),0),0)</f>
        <v>0</v>
      </c>
      <c r="K2017" s="455">
        <f t="shared" ca="1" si="118"/>
        <v>-7678745.5811852869</v>
      </c>
      <c r="L2017" s="455">
        <f t="shared" ca="1" si="119"/>
        <v>-1850577685.0656543</v>
      </c>
      <c r="M2017" s="471">
        <f t="shared" si="121"/>
        <v>0.05</v>
      </c>
      <c r="N2017" s="475">
        <f t="shared" si="122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20"/>
        <v>-1850577685.0656543</v>
      </c>
      <c r="J2018" s="455">
        <f t="array" ref="J2018">IFERROR(INDEX('Retirement Calculator'!K:K,MATCH('Lorri 401b'!N2018,'Retirement Calculator'!A:A,0),0),0)</f>
        <v>0</v>
      </c>
      <c r="K2018" s="455">
        <f t="shared" ca="1" si="118"/>
        <v>-7710740.3544402262</v>
      </c>
      <c r="L2018" s="455">
        <f t="shared" ca="1" si="119"/>
        <v>-1858288425.4200945</v>
      </c>
      <c r="M2018" s="471">
        <f t="shared" si="121"/>
        <v>0.05</v>
      </c>
      <c r="N2018" s="475">
        <f t="shared" si="122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20"/>
        <v>-1858288425.4200945</v>
      </c>
      <c r="J2019" s="455">
        <f t="array" ref="J2019">IFERROR(INDEX('Retirement Calculator'!K:K,MATCH('Lorri 401b'!N2019,'Retirement Calculator'!A:A,0),0),0)</f>
        <v>0</v>
      </c>
      <c r="K2019" s="455">
        <f t="shared" ca="1" si="118"/>
        <v>-7742868.4392503938</v>
      </c>
      <c r="L2019" s="455">
        <f t="shared" ca="1" si="119"/>
        <v>-1866031293.859345</v>
      </c>
      <c r="M2019" s="471">
        <f t="shared" si="121"/>
        <v>0.05</v>
      </c>
      <c r="N2019" s="475">
        <f t="shared" si="122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20"/>
        <v>-1866031293.859345</v>
      </c>
      <c r="J2020" s="455">
        <f t="array" ref="J2020">IFERROR(INDEX('Retirement Calculator'!K:K,MATCH('Lorri 401b'!N2020,'Retirement Calculator'!A:A,0),0),0)</f>
        <v>0</v>
      </c>
      <c r="K2020" s="455">
        <f t="shared" ca="1" si="118"/>
        <v>-7775130.3910806049</v>
      </c>
      <c r="L2020" s="455">
        <f t="shared" ca="1" si="119"/>
        <v>-1873806424.2504256</v>
      </c>
      <c r="M2020" s="471">
        <f t="shared" si="121"/>
        <v>0.05</v>
      </c>
      <c r="N2020" s="475">
        <f t="shared" si="122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20"/>
        <v>-1873806424.2504256</v>
      </c>
      <c r="J2021" s="455">
        <f t="array" ref="J2021">IFERROR(INDEX('Retirement Calculator'!K:K,MATCH('Lorri 401b'!N2021,'Retirement Calculator'!A:A,0),0),0)</f>
        <v>0</v>
      </c>
      <c r="K2021" s="455">
        <f t="shared" ca="1" si="118"/>
        <v>-7807526.7677101055</v>
      </c>
      <c r="L2021" s="455">
        <f t="shared" ca="1" si="119"/>
        <v>-1881613951.0181358</v>
      </c>
      <c r="M2021" s="471">
        <f t="shared" si="121"/>
        <v>0.05</v>
      </c>
      <c r="N2021" s="475">
        <f t="shared" si="122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20"/>
        <v>-1881613951.0181358</v>
      </c>
      <c r="J2022" s="455">
        <f t="array" ref="J2022">IFERROR(INDEX('Retirement Calculator'!K:K,MATCH('Lorri 401b'!N2022,'Retirement Calculator'!A:A,0),0),0)</f>
        <v>0</v>
      </c>
      <c r="K2022" s="455">
        <f t="shared" ca="1" si="118"/>
        <v>-7840058.1292422321</v>
      </c>
      <c r="L2022" s="455">
        <f t="shared" ca="1" si="119"/>
        <v>-1889454009.147378</v>
      </c>
      <c r="M2022" s="471">
        <f t="shared" si="121"/>
        <v>0.05</v>
      </c>
      <c r="N2022" s="475">
        <f t="shared" si="122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20"/>
        <v>-1889454009.147378</v>
      </c>
      <c r="J2023" s="455">
        <f t="array" ref="J2023">IFERROR(INDEX('Retirement Calculator'!K:K,MATCH('Lorri 401b'!N2023,'Retirement Calculator'!A:A,0),0),0)</f>
        <v>0</v>
      </c>
      <c r="K2023" s="455">
        <f t="shared" ca="1" si="118"/>
        <v>-7872725.0381140737</v>
      </c>
      <c r="L2023" s="455">
        <f t="shared" ca="1" si="119"/>
        <v>-1897326734.185492</v>
      </c>
      <c r="M2023" s="471">
        <f t="shared" si="121"/>
        <v>0.05</v>
      </c>
      <c r="N2023" s="475">
        <f t="shared" si="122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20"/>
        <v>-1897326734.185492</v>
      </c>
      <c r="J2024" s="455">
        <f t="array" ref="J2024">IFERROR(INDEX('Retirement Calculator'!K:K,MATCH('Lorri 401b'!N2024,'Retirement Calculator'!A:A,0),0),0)</f>
        <v>0</v>
      </c>
      <c r="K2024" s="455">
        <f t="shared" ca="1" si="118"/>
        <v>-7905528.0591062158</v>
      </c>
      <c r="L2024" s="455">
        <f t="shared" ca="1" si="119"/>
        <v>-1905232262.2445982</v>
      </c>
      <c r="M2024" s="471">
        <f t="shared" si="121"/>
        <v>0.05</v>
      </c>
      <c r="N2024" s="475">
        <f t="shared" si="122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20"/>
        <v>-1905232262.2445982</v>
      </c>
      <c r="J2025" s="455">
        <f t="array" ref="J2025">IFERROR(INDEX('Retirement Calculator'!K:K,MATCH('Lorri 401b'!N2025,'Retirement Calculator'!A:A,0),0),0)</f>
        <v>0</v>
      </c>
      <c r="K2025" s="455">
        <f t="shared" ca="1" si="118"/>
        <v>-7938467.7593524922</v>
      </c>
      <c r="L2025" s="455">
        <f t="shared" ca="1" si="119"/>
        <v>-1913170730.0039506</v>
      </c>
      <c r="M2025" s="471">
        <f t="shared" si="121"/>
        <v>0.05</v>
      </c>
      <c r="N2025" s="475">
        <f t="shared" si="122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20"/>
        <v>-1913170730.0039506</v>
      </c>
      <c r="J2026" s="455">
        <f t="array" ref="J2026">IFERROR(INDEX('Retirement Calculator'!K:K,MATCH('Lorri 401b'!N2026,'Retirement Calculator'!A:A,0),0),0)</f>
        <v>0</v>
      </c>
      <c r="K2026" s="455">
        <f t="shared" ca="1" si="118"/>
        <v>-7971544.7083497941</v>
      </c>
      <c r="L2026" s="455">
        <f t="shared" ca="1" si="119"/>
        <v>-1921142274.7123003</v>
      </c>
      <c r="M2026" s="471">
        <f t="shared" si="121"/>
        <v>0.05</v>
      </c>
      <c r="N2026" s="475">
        <f t="shared" si="122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20"/>
        <v>-1921142274.7123003</v>
      </c>
      <c r="J2027" s="455">
        <f t="array" ref="J2027">IFERROR(INDEX('Retirement Calculator'!K:K,MATCH('Lorri 401b'!N2027,'Retirement Calculator'!A:A,0),0),0)</f>
        <v>0</v>
      </c>
      <c r="K2027" s="455">
        <f t="shared" ca="1" si="118"/>
        <v>-8004759.4779679179</v>
      </c>
      <c r="L2027" s="455">
        <f t="shared" ca="1" si="119"/>
        <v>-1929147034.1902683</v>
      </c>
      <c r="M2027" s="471">
        <f t="shared" si="121"/>
        <v>0.05</v>
      </c>
      <c r="N2027" s="475">
        <f t="shared" si="122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20"/>
        <v>-1929147034.1902683</v>
      </c>
      <c r="J2028" s="455">
        <f t="array" ref="J2028">IFERROR(INDEX('Retirement Calculator'!K:K,MATCH('Lorri 401b'!N2028,'Retirement Calculator'!A:A,0),0),0)</f>
        <v>0</v>
      </c>
      <c r="K2028" s="455">
        <f t="shared" ca="1" si="118"/>
        <v>-8038112.6424594512</v>
      </c>
      <c r="L2028" s="455">
        <f t="shared" ca="1" si="119"/>
        <v>-1937185146.8327277</v>
      </c>
      <c r="M2028" s="471">
        <f t="shared" si="121"/>
        <v>0.05</v>
      </c>
      <c r="N2028" s="475">
        <f t="shared" si="122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20"/>
        <v>-1937185146.8327277</v>
      </c>
      <c r="J2029" s="455">
        <f t="array" ref="J2029">IFERROR(INDEX('Retirement Calculator'!K:K,MATCH('Lorri 401b'!N2029,'Retirement Calculator'!A:A,0),0),0)</f>
        <v>0</v>
      </c>
      <c r="K2029" s="455">
        <f t="shared" ca="1" si="118"/>
        <v>-8071604.7784696985</v>
      </c>
      <c r="L2029" s="455">
        <f t="shared" ca="1" si="119"/>
        <v>-1945256751.6111975</v>
      </c>
      <c r="M2029" s="471">
        <f t="shared" si="121"/>
        <v>0.05</v>
      </c>
      <c r="N2029" s="475">
        <f t="shared" si="122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20"/>
        <v>-1945256751.6111975</v>
      </c>
      <c r="J2030" s="455">
        <f t="array" ref="J2030">IFERROR(INDEX('Retirement Calculator'!K:K,MATCH('Lorri 401b'!N2030,'Retirement Calculator'!A:A,0),0),0)</f>
        <v>0</v>
      </c>
      <c r="K2030" s="455">
        <f t="shared" ca="1" si="118"/>
        <v>-8105236.4650466563</v>
      </c>
      <c r="L2030" s="455">
        <f t="shared" ca="1" si="119"/>
        <v>-1953361988.0762441</v>
      </c>
      <c r="M2030" s="471">
        <f t="shared" si="121"/>
        <v>0.05</v>
      </c>
      <c r="N2030" s="475">
        <f t="shared" si="122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20"/>
        <v>-1953361988.0762441</v>
      </c>
      <c r="J2031" s="455">
        <f t="array" ref="J2031">IFERROR(INDEX('Retirement Calculator'!K:K,MATCH('Lorri 401b'!N2031,'Retirement Calculator'!A:A,0),0),0)</f>
        <v>0</v>
      </c>
      <c r="K2031" s="455">
        <f t="shared" ca="1" si="118"/>
        <v>-8139008.2836510167</v>
      </c>
      <c r="L2031" s="455">
        <f t="shared" ca="1" si="119"/>
        <v>-1961500996.3598952</v>
      </c>
      <c r="M2031" s="471">
        <f t="shared" si="121"/>
        <v>0.05</v>
      </c>
      <c r="N2031" s="475">
        <f t="shared" si="122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20"/>
        <v>-1961500996.3598952</v>
      </c>
      <c r="J2032" s="455">
        <f t="array" ref="J2032">IFERROR(INDEX('Retirement Calculator'!K:K,MATCH('Lorri 401b'!N2032,'Retirement Calculator'!A:A,0),0),0)</f>
        <v>0</v>
      </c>
      <c r="K2032" s="455">
        <f t="shared" ca="1" si="118"/>
        <v>-8172920.8181662299</v>
      </c>
      <c r="L2032" s="455">
        <f t="shared" ca="1" si="119"/>
        <v>-1969673917.1780615</v>
      </c>
      <c r="M2032" s="471">
        <f t="shared" si="121"/>
        <v>0.05</v>
      </c>
      <c r="N2032" s="475">
        <f t="shared" si="122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20"/>
        <v>-1969673917.1780615</v>
      </c>
      <c r="J2033" s="455">
        <f t="array" ref="J2033">IFERROR(INDEX('Retirement Calculator'!K:K,MATCH('Lorri 401b'!N2033,'Retirement Calculator'!A:A,0),0),0)</f>
        <v>0</v>
      </c>
      <c r="K2033" s="455">
        <f t="shared" ca="1" si="118"/>
        <v>-8206974.6549085882</v>
      </c>
      <c r="L2033" s="455">
        <f t="shared" ca="1" si="119"/>
        <v>-1977880891.8329701</v>
      </c>
      <c r="M2033" s="471">
        <f t="shared" si="121"/>
        <v>0.05</v>
      </c>
      <c r="N2033" s="475">
        <f t="shared" si="122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20"/>
        <v>-1977880891.8329701</v>
      </c>
      <c r="J2034" s="455">
        <f t="array" ref="J2034">IFERROR(INDEX('Retirement Calculator'!K:K,MATCH('Lorri 401b'!N2034,'Retirement Calculator'!A:A,0),0),0)</f>
        <v>0</v>
      </c>
      <c r="K2034" s="455">
        <f t="shared" ca="1" si="118"/>
        <v>-8241170.3826373741</v>
      </c>
      <c r="L2034" s="455">
        <f t="shared" ca="1" si="119"/>
        <v>-1986122062.2156074</v>
      </c>
      <c r="M2034" s="471">
        <f t="shared" si="121"/>
        <v>0.05</v>
      </c>
      <c r="N2034" s="475">
        <f t="shared" si="122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20"/>
        <v>-1986122062.2156074</v>
      </c>
      <c r="J2035" s="455">
        <f t="array" ref="J2035">IFERROR(INDEX('Retirement Calculator'!K:K,MATCH('Lorri 401b'!N2035,'Retirement Calculator'!A:A,0),0),0)</f>
        <v>0</v>
      </c>
      <c r="K2035" s="455">
        <f t="shared" ca="1" si="118"/>
        <v>-8275508.5925650299</v>
      </c>
      <c r="L2035" s="455">
        <f t="shared" ca="1" si="119"/>
        <v>-1994397570.8081725</v>
      </c>
      <c r="M2035" s="471">
        <f t="shared" si="121"/>
        <v>0.05</v>
      </c>
      <c r="N2035" s="475">
        <f t="shared" si="122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20"/>
        <v>-1994397570.8081725</v>
      </c>
      <c r="J2036" s="455">
        <f t="array" ref="J2036">IFERROR(INDEX('Retirement Calculator'!K:K,MATCH('Lorri 401b'!N2036,'Retirement Calculator'!A:A,0),0),0)</f>
        <v>0</v>
      </c>
      <c r="K2036" s="455">
        <f t="shared" ca="1" si="118"/>
        <v>-8309989.8783673849</v>
      </c>
      <c r="L2036" s="455">
        <f t="shared" ca="1" si="119"/>
        <v>-2002707560.6865399</v>
      </c>
      <c r="M2036" s="471">
        <f t="shared" si="121"/>
        <v>0.05</v>
      </c>
      <c r="N2036" s="475">
        <f t="shared" si="122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20"/>
        <v>-2002707560.6865399</v>
      </c>
      <c r="J2037" s="455">
        <f t="array" ref="J2037">IFERROR(INDEX('Retirement Calculator'!K:K,MATCH('Lorri 401b'!N2037,'Retirement Calculator'!A:A,0),0),0)</f>
        <v>0</v>
      </c>
      <c r="K2037" s="455">
        <f t="shared" ca="1" si="118"/>
        <v>-8344614.8361939164</v>
      </c>
      <c r="L2037" s="455">
        <f t="shared" ca="1" si="119"/>
        <v>-2011052175.5227337</v>
      </c>
      <c r="M2037" s="471">
        <f t="shared" si="121"/>
        <v>0.05</v>
      </c>
      <c r="N2037" s="475">
        <f t="shared" si="122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20"/>
        <v>-2011052175.5227337</v>
      </c>
      <c r="J2038" s="455">
        <f t="array" ref="J2038">IFERROR(INDEX('Retirement Calculator'!K:K,MATCH('Lorri 401b'!N2038,'Retirement Calculator'!A:A,0),0),0)</f>
        <v>0</v>
      </c>
      <c r="K2038" s="455">
        <f t="shared" ca="1" si="118"/>
        <v>-8379384.0646780571</v>
      </c>
      <c r="L2038" s="455">
        <f t="shared" ca="1" si="119"/>
        <v>-2019431559.5874116</v>
      </c>
      <c r="M2038" s="471">
        <f t="shared" si="121"/>
        <v>0.05</v>
      </c>
      <c r="N2038" s="475">
        <f t="shared" si="122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20"/>
        <v>-2019431559.5874116</v>
      </c>
      <c r="J2039" s="455">
        <f t="array" ref="J2039">IFERROR(INDEX('Retirement Calculator'!K:K,MATCH('Lorri 401b'!N2039,'Retirement Calculator'!A:A,0),0),0)</f>
        <v>0</v>
      </c>
      <c r="K2039" s="455">
        <f t="shared" ca="1" si="118"/>
        <v>-8414298.164947547</v>
      </c>
      <c r="L2039" s="455">
        <f t="shared" ca="1" si="119"/>
        <v>-2027845857.7523592</v>
      </c>
      <c r="M2039" s="471">
        <f t="shared" si="121"/>
        <v>0.05</v>
      </c>
      <c r="N2039" s="475">
        <f t="shared" si="122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20"/>
        <v>-2027845857.7523592</v>
      </c>
      <c r="J2040" s="455">
        <f t="array" ref="J2040">IFERROR(INDEX('Retirement Calculator'!K:K,MATCH('Lorri 401b'!N2040,'Retirement Calculator'!A:A,0),0),0)</f>
        <v>0</v>
      </c>
      <c r="K2040" s="455">
        <f t="shared" ca="1" si="118"/>
        <v>-8449357.7406348288</v>
      </c>
      <c r="L2040" s="455">
        <f t="shared" ca="1" si="119"/>
        <v>-2036295215.4929941</v>
      </c>
      <c r="M2040" s="471">
        <f t="shared" si="121"/>
        <v>0.05</v>
      </c>
      <c r="N2040" s="475">
        <f t="shared" si="122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20"/>
        <v>-2036295215.4929941</v>
      </c>
      <c r="J2041" s="455">
        <f t="array" ref="J2041">IFERROR(INDEX('Retirement Calculator'!K:K,MATCH('Lorri 401b'!N2041,'Retirement Calculator'!A:A,0),0),0)</f>
        <v>0</v>
      </c>
      <c r="K2041" s="455">
        <f t="shared" ca="1" si="118"/>
        <v>-8484563.3978874758</v>
      </c>
      <c r="L2041" s="455">
        <f t="shared" ca="1" si="119"/>
        <v>-2044779778.8908815</v>
      </c>
      <c r="M2041" s="471">
        <f t="shared" si="121"/>
        <v>0.05</v>
      </c>
      <c r="N2041" s="475">
        <f t="shared" si="122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20"/>
        <v>-2044779778.8908815</v>
      </c>
      <c r="J2042" s="455">
        <f t="array" ref="J2042">IFERROR(INDEX('Retirement Calculator'!K:K,MATCH('Lorri 401b'!N2042,'Retirement Calculator'!A:A,0),0),0)</f>
        <v>0</v>
      </c>
      <c r="K2042" s="455">
        <f t="shared" ca="1" si="118"/>
        <v>-8519915.7453786731</v>
      </c>
      <c r="L2042" s="455">
        <f t="shared" ca="1" si="119"/>
        <v>-2053299694.6362603</v>
      </c>
      <c r="M2042" s="471">
        <f t="shared" si="121"/>
        <v>0.05</v>
      </c>
      <c r="N2042" s="475">
        <f t="shared" si="122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20"/>
        <v>-2053299694.6362603</v>
      </c>
      <c r="J2043" s="455">
        <f t="array" ref="J2043">IFERROR(INDEX('Retirement Calculator'!K:K,MATCH('Lorri 401b'!N2043,'Retirement Calculator'!A:A,0),0),0)</f>
        <v>0</v>
      </c>
      <c r="K2043" s="455">
        <f t="shared" ca="1" si="118"/>
        <v>-8555415.3943177518</v>
      </c>
      <c r="L2043" s="455">
        <f t="shared" ca="1" si="119"/>
        <v>-2061855110.0305781</v>
      </c>
      <c r="M2043" s="471">
        <f t="shared" si="121"/>
        <v>0.05</v>
      </c>
      <c r="N2043" s="475">
        <f t="shared" si="122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20"/>
        <v>-2061855110.0305781</v>
      </c>
      <c r="J2044" s="455">
        <f t="array" ref="J2044">IFERROR(INDEX('Retirement Calculator'!K:K,MATCH('Lorri 401b'!N2044,'Retirement Calculator'!A:A,0),0),0)</f>
        <v>0</v>
      </c>
      <c r="K2044" s="455">
        <f t="shared" ca="1" si="118"/>
        <v>-8591062.9584607426</v>
      </c>
      <c r="L2044" s="455">
        <f t="shared" ca="1" si="119"/>
        <v>-2070446172.9890389</v>
      </c>
      <c r="M2044" s="471">
        <f t="shared" si="121"/>
        <v>0.05</v>
      </c>
      <c r="N2044" s="475">
        <f t="shared" si="122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20"/>
        <v>-2070446172.9890389</v>
      </c>
      <c r="J2045" s="455">
        <f t="array" ref="J2045">IFERROR(INDEX('Retirement Calculator'!K:K,MATCH('Lorri 401b'!N2045,'Retirement Calculator'!A:A,0),0),0)</f>
        <v>0</v>
      </c>
      <c r="K2045" s="455">
        <f t="shared" ca="1" si="118"/>
        <v>-8626859.0541209951</v>
      </c>
      <c r="L2045" s="455">
        <f t="shared" ca="1" si="119"/>
        <v>-2079073032.04316</v>
      </c>
      <c r="M2045" s="471">
        <f t="shared" si="121"/>
        <v>0.05</v>
      </c>
      <c r="N2045" s="475">
        <f t="shared" si="122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20"/>
        <v>-2079073032.04316</v>
      </c>
      <c r="J2046" s="455">
        <f t="array" ref="J2046">IFERROR(INDEX('Retirement Calculator'!K:K,MATCH('Lorri 401b'!N2046,'Retirement Calculator'!A:A,0),0),0)</f>
        <v>0</v>
      </c>
      <c r="K2046" s="455">
        <f t="shared" ca="1" si="118"/>
        <v>-8662804.3001798335</v>
      </c>
      <c r="L2046" s="455">
        <f t="shared" ca="1" si="119"/>
        <v>-2087735836.3433397</v>
      </c>
      <c r="M2046" s="471">
        <f t="shared" si="121"/>
        <v>0.05</v>
      </c>
      <c r="N2046" s="475">
        <f t="shared" si="122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20"/>
        <v>-2087735836.3433397</v>
      </c>
      <c r="J2047" s="455">
        <f t="array" ref="J2047">IFERROR(INDEX('Retirement Calculator'!K:K,MATCH('Lorri 401b'!N2047,'Retirement Calculator'!A:A,0),0),0)</f>
        <v>0</v>
      </c>
      <c r="K2047" s="455">
        <f t="shared" ca="1" si="118"/>
        <v>-8698899.3180972487</v>
      </c>
      <c r="L2047" s="455">
        <f t="shared" ca="1" si="119"/>
        <v>-2096434735.661437</v>
      </c>
      <c r="M2047" s="471">
        <f t="shared" si="121"/>
        <v>0.05</v>
      </c>
      <c r="N2047" s="475">
        <f t="shared" si="122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20"/>
        <v>-2096434735.661437</v>
      </c>
      <c r="J2048" s="455">
        <f t="array" ref="J2048">IFERROR(INDEX('Retirement Calculator'!K:K,MATCH('Lorri 401b'!N2048,'Retirement Calculator'!A:A,0),0),0)</f>
        <v>0</v>
      </c>
      <c r="K2048" s="455">
        <f t="shared" ref="K2048:K2302" ca="1" si="123">IPMT(M2048/12,1,12,-I2048+J2048,,0)</f>
        <v>-8735144.7319226526</v>
      </c>
      <c r="L2048" s="455">
        <f t="shared" ref="L2048:L2302" ca="1" si="124">I2048-J2048+K2048</f>
        <v>-2105169880.3933597</v>
      </c>
      <c r="M2048" s="471">
        <f t="shared" si="121"/>
        <v>0.05</v>
      </c>
      <c r="N2048" s="475">
        <f t="shared" si="122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25">L2048</f>
        <v>-2105169880.3933597</v>
      </c>
      <c r="J2049" s="455">
        <f t="array" ref="J2049">IFERROR(INDEX('Retirement Calculator'!K:K,MATCH('Lorri 401b'!N2049,'Retirement Calculator'!A:A,0),0),0)</f>
        <v>0</v>
      </c>
      <c r="K2049" s="455">
        <f t="shared" ca="1" si="123"/>
        <v>-8771541.1683056653</v>
      </c>
      <c r="L2049" s="455">
        <f t="shared" ca="1" si="124"/>
        <v>-2113941421.5616653</v>
      </c>
      <c r="M2049" s="471">
        <f t="shared" ref="M2049:M2303" si="126">M2048</f>
        <v>0.05</v>
      </c>
      <c r="N2049" s="475">
        <f t="shared" ref="N2049:N2303" si="127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25"/>
        <v>-2113941421.5616653</v>
      </c>
      <c r="J2050" s="455">
        <f t="array" ref="J2050">IFERROR(INDEX('Retirement Calculator'!K:K,MATCH('Lorri 401b'!N2050,'Retirement Calculator'!A:A,0),0),0)</f>
        <v>0</v>
      </c>
      <c r="K2050" s="455">
        <f t="shared" ca="1" si="123"/>
        <v>-8808089.2565069385</v>
      </c>
      <c r="L2050" s="455">
        <f t="shared" ca="1" si="124"/>
        <v>-2122749510.8181722</v>
      </c>
      <c r="M2050" s="471">
        <f t="shared" si="126"/>
        <v>0.05</v>
      </c>
      <c r="N2050" s="475">
        <f t="shared" si="127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25"/>
        <v>-2122749510.8181722</v>
      </c>
      <c r="J2051" s="455">
        <f t="array" ref="J2051">IFERROR(INDEX('Retirement Calculator'!K:K,MATCH('Lorri 401b'!N2051,'Retirement Calculator'!A:A,0),0),0)</f>
        <v>0</v>
      </c>
      <c r="K2051" s="455">
        <f t="shared" ca="1" si="123"/>
        <v>-8844789.6284090504</v>
      </c>
      <c r="L2051" s="455">
        <f t="shared" ca="1" si="124"/>
        <v>-2131594300.4465814</v>
      </c>
      <c r="M2051" s="471">
        <f t="shared" si="126"/>
        <v>0.05</v>
      </c>
      <c r="N2051" s="475">
        <f t="shared" si="127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25"/>
        <v>-2131594300.4465814</v>
      </c>
      <c r="J2052" s="455">
        <f t="array" ref="J2052">IFERROR(INDEX('Retirement Calculator'!K:K,MATCH('Lorri 401b'!N2052,'Retirement Calculator'!A:A,0),0),0)</f>
        <v>0</v>
      </c>
      <c r="K2052" s="455">
        <f t="shared" ca="1" si="123"/>
        <v>-8881642.9185274225</v>
      </c>
      <c r="L2052" s="455">
        <f t="shared" ca="1" si="124"/>
        <v>-2140475943.3651087</v>
      </c>
      <c r="M2052" s="471">
        <f t="shared" si="126"/>
        <v>0.05</v>
      </c>
      <c r="N2052" s="475">
        <f t="shared" si="127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25"/>
        <v>-2140475943.3651087</v>
      </c>
      <c r="J2053" s="455">
        <f t="array" ref="J2053">IFERROR(INDEX('Retirement Calculator'!K:K,MATCH('Lorri 401b'!N2053,'Retirement Calculator'!A:A,0),0),0)</f>
        <v>0</v>
      </c>
      <c r="K2053" s="455">
        <f t="shared" ca="1" si="123"/>
        <v>-8918649.7640212849</v>
      </c>
      <c r="L2053" s="455">
        <f t="shared" ca="1" si="124"/>
        <v>-2149394593.1291299</v>
      </c>
      <c r="M2053" s="471">
        <f t="shared" si="126"/>
        <v>0.05</v>
      </c>
      <c r="N2053" s="475">
        <f t="shared" si="127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25"/>
        <v>-2149394593.1291299</v>
      </c>
      <c r="J2054" s="455">
        <f t="array" ref="J2054">IFERROR(INDEX('Retirement Calculator'!K:K,MATCH('Lorri 401b'!N2054,'Retirement Calculator'!A:A,0),0),0)</f>
        <v>0</v>
      </c>
      <c r="K2054" s="455">
        <f t="shared" ca="1" si="123"/>
        <v>-8955810.8047047071</v>
      </c>
      <c r="L2054" s="455">
        <f t="shared" ca="1" si="124"/>
        <v>-2158350403.9338346</v>
      </c>
      <c r="M2054" s="471">
        <f t="shared" si="126"/>
        <v>0.05</v>
      </c>
      <c r="N2054" s="475">
        <f t="shared" si="127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25"/>
        <v>-2158350403.9338346</v>
      </c>
      <c r="J2055" s="455">
        <f t="array" ref="J2055">IFERROR(INDEX('Retirement Calculator'!K:K,MATCH('Lorri 401b'!N2055,'Retirement Calculator'!A:A,0),0),0)</f>
        <v>0</v>
      </c>
      <c r="K2055" s="455">
        <f t="shared" ca="1" si="123"/>
        <v>-8993126.6830576435</v>
      </c>
      <c r="L2055" s="455">
        <f t="shared" ca="1" si="124"/>
        <v>-2167343530.6168923</v>
      </c>
      <c r="M2055" s="471">
        <f t="shared" si="126"/>
        <v>0.05</v>
      </c>
      <c r="N2055" s="475">
        <f t="shared" si="127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25"/>
        <v>-2167343530.6168923</v>
      </c>
      <c r="J2056" s="455">
        <f t="array" ref="J2056">IFERROR(INDEX('Retirement Calculator'!K:K,MATCH('Lorri 401b'!N2056,'Retirement Calculator'!A:A,0),0),0)</f>
        <v>0</v>
      </c>
      <c r="K2056" s="455">
        <f t="shared" ca="1" si="123"/>
        <v>-9030598.0442370512</v>
      </c>
      <c r="L2056" s="455">
        <f t="shared" ca="1" si="124"/>
        <v>-2176374128.6611295</v>
      </c>
      <c r="M2056" s="471">
        <f t="shared" si="126"/>
        <v>0.05</v>
      </c>
      <c r="N2056" s="475">
        <f t="shared" si="127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25"/>
        <v>-2176374128.6611295</v>
      </c>
      <c r="J2057" s="455">
        <f t="array" ref="J2057">IFERROR(INDEX('Retirement Calculator'!K:K,MATCH('Lorri 401b'!N2057,'Retirement Calculator'!A:A,0),0),0)</f>
        <v>0</v>
      </c>
      <c r="K2057" s="455">
        <f t="shared" ca="1" si="123"/>
        <v>-9068225.5360880401</v>
      </c>
      <c r="L2057" s="455">
        <f t="shared" ca="1" si="124"/>
        <v>-2185442354.1972175</v>
      </c>
      <c r="M2057" s="471">
        <f t="shared" si="126"/>
        <v>0.05</v>
      </c>
      <c r="N2057" s="475">
        <f t="shared" si="127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25"/>
        <v>-2185442354.1972175</v>
      </c>
      <c r="J2058" s="455">
        <f t="array" ref="J2058">IFERROR(INDEX('Retirement Calculator'!K:K,MATCH('Lorri 401b'!N2058,'Retirement Calculator'!A:A,0),0),0)</f>
        <v>0</v>
      </c>
      <c r="K2058" s="455">
        <f t="shared" ca="1" si="123"/>
        <v>-9106009.809155073</v>
      </c>
      <c r="L2058" s="455">
        <f t="shared" ca="1" si="124"/>
        <v>-2194548364.0063725</v>
      </c>
      <c r="M2058" s="471">
        <f t="shared" si="126"/>
        <v>0.05</v>
      </c>
      <c r="N2058" s="475">
        <f t="shared" si="127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25"/>
        <v>-2194548364.0063725</v>
      </c>
      <c r="J2059" s="455">
        <f t="array" ref="J2059">IFERROR(INDEX('Retirement Calculator'!K:K,MATCH('Lorri 401b'!N2059,'Retirement Calculator'!A:A,0),0),0)</f>
        <v>0</v>
      </c>
      <c r="K2059" s="455">
        <f t="shared" ca="1" si="123"/>
        <v>-9143951.5166932177</v>
      </c>
      <c r="L2059" s="455">
        <f t="shared" ca="1" si="124"/>
        <v>-2203692315.5230656</v>
      </c>
      <c r="M2059" s="471">
        <f t="shared" si="126"/>
        <v>0.05</v>
      </c>
      <c r="N2059" s="475">
        <f t="shared" si="127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25"/>
        <v>-2203692315.5230656</v>
      </c>
      <c r="J2060" s="455">
        <f t="array" ref="J2060">IFERROR(INDEX('Retirement Calculator'!K:K,MATCH('Lorri 401b'!N2060,'Retirement Calculator'!A:A,0),0),0)</f>
        <v>0</v>
      </c>
      <c r="K2060" s="455">
        <f t="shared" ca="1" si="123"/>
        <v>-9182051.3146794401</v>
      </c>
      <c r="L2060" s="455">
        <f t="shared" ca="1" si="124"/>
        <v>-2212874366.8377452</v>
      </c>
      <c r="M2060" s="471">
        <f t="shared" si="126"/>
        <v>0.05</v>
      </c>
      <c r="N2060" s="475">
        <f t="shared" si="127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25"/>
        <v>-2212874366.8377452</v>
      </c>
      <c r="J2061" s="455">
        <f t="array" ref="J2061">IFERROR(INDEX('Retirement Calculator'!K:K,MATCH('Lorri 401b'!N2061,'Retirement Calculator'!A:A,0),0),0)</f>
        <v>0</v>
      </c>
      <c r="K2061" s="455">
        <f t="shared" ca="1" si="123"/>
        <v>-9220309.8618239388</v>
      </c>
      <c r="L2061" s="455">
        <f t="shared" ca="1" si="124"/>
        <v>-2222094676.6995692</v>
      </c>
      <c r="M2061" s="471">
        <f t="shared" si="126"/>
        <v>0.05</v>
      </c>
      <c r="N2061" s="475">
        <f t="shared" si="127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25"/>
        <v>-2222094676.6995692</v>
      </c>
      <c r="J2062" s="455">
        <f t="array" ref="J2062">IFERROR(INDEX('Retirement Calculator'!K:K,MATCH('Lorri 401b'!N2062,'Retirement Calculator'!A:A,0),0),0)</f>
        <v>0</v>
      </c>
      <c r="K2062" s="455">
        <f t="shared" ca="1" si="123"/>
        <v>-9258727.8195815384</v>
      </c>
      <c r="L2062" s="455">
        <f t="shared" ca="1" si="124"/>
        <v>-2231353404.5191507</v>
      </c>
      <c r="M2062" s="471">
        <f t="shared" si="126"/>
        <v>0.05</v>
      </c>
      <c r="N2062" s="475">
        <f t="shared" si="127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25"/>
        <v>-2231353404.5191507</v>
      </c>
      <c r="J2063" s="455">
        <f t="array" ref="J2063">IFERROR(INDEX('Retirement Calculator'!K:K,MATCH('Lorri 401b'!N2063,'Retirement Calculator'!A:A,0),0),0)</f>
        <v>0</v>
      </c>
      <c r="K2063" s="455">
        <f t="shared" ca="1" si="123"/>
        <v>-9297305.8521631286</v>
      </c>
      <c r="L2063" s="455">
        <f t="shared" ca="1" si="124"/>
        <v>-2240650710.371314</v>
      </c>
      <c r="M2063" s="471">
        <f t="shared" si="126"/>
        <v>0.05</v>
      </c>
      <c r="N2063" s="475">
        <f t="shared" si="127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25"/>
        <v>-2240650710.371314</v>
      </c>
      <c r="J2064" s="455">
        <f t="array" ref="J2064">IFERROR(INDEX('Retirement Calculator'!K:K,MATCH('Lorri 401b'!N2064,'Retirement Calculator'!A:A,0),0),0)</f>
        <v>0</v>
      </c>
      <c r="K2064" s="455">
        <f t="shared" ca="1" si="123"/>
        <v>-9336044.626547141</v>
      </c>
      <c r="L2064" s="455">
        <f t="shared" ca="1" si="124"/>
        <v>-2249986754.9978614</v>
      </c>
      <c r="M2064" s="471">
        <f t="shared" si="126"/>
        <v>0.05</v>
      </c>
      <c r="N2064" s="475">
        <f t="shared" si="127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25"/>
        <v>-2249986754.9978614</v>
      </c>
      <c r="J2065" s="455">
        <f t="array" ref="J2065">IFERROR(INDEX('Retirement Calculator'!K:K,MATCH('Lorri 401b'!N2065,'Retirement Calculator'!A:A,0),0),0)</f>
        <v>0</v>
      </c>
      <c r="K2065" s="455">
        <f t="shared" ca="1" si="123"/>
        <v>-9374944.8124910891</v>
      </c>
      <c r="L2065" s="455">
        <f t="shared" ca="1" si="124"/>
        <v>-2259361699.8103523</v>
      </c>
      <c r="M2065" s="471">
        <f t="shared" si="126"/>
        <v>0.05</v>
      </c>
      <c r="N2065" s="475">
        <f t="shared" si="127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25"/>
        <v>-2259361699.8103523</v>
      </c>
      <c r="J2066" s="455">
        <f t="array" ref="J2066">IFERROR(INDEX('Retirement Calculator'!K:K,MATCH('Lorri 401b'!N2066,'Retirement Calculator'!A:A,0),0),0)</f>
        <v>0</v>
      </c>
      <c r="K2066" s="455">
        <f t="shared" ca="1" si="123"/>
        <v>-9414007.0825431347</v>
      </c>
      <c r="L2066" s="455">
        <f t="shared" ca="1" si="124"/>
        <v>-2268775706.8928957</v>
      </c>
      <c r="M2066" s="471">
        <f t="shared" si="126"/>
        <v>0.05</v>
      </c>
      <c r="N2066" s="475">
        <f t="shared" si="127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25"/>
        <v>-2268775706.8928957</v>
      </c>
      <c r="J2067" s="455">
        <f t="array" ref="J2067">IFERROR(INDEX('Retirement Calculator'!K:K,MATCH('Lorri 401b'!N2067,'Retirement Calculator'!A:A,0),0),0)</f>
        <v>0</v>
      </c>
      <c r="K2067" s="455">
        <f t="shared" ca="1" si="123"/>
        <v>-9453232.1120537315</v>
      </c>
      <c r="L2067" s="455">
        <f t="shared" ca="1" si="124"/>
        <v>-2278228939.0049496</v>
      </c>
      <c r="M2067" s="471">
        <f t="shared" si="126"/>
        <v>0.05</v>
      </c>
      <c r="N2067" s="475">
        <f t="shared" si="127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25"/>
        <v>-2278228939.0049496</v>
      </c>
      <c r="J2068" s="455">
        <f t="array" ref="J2068">IFERROR(INDEX('Retirement Calculator'!K:K,MATCH('Lorri 401b'!N2068,'Retirement Calculator'!A:A,0),0),0)</f>
        <v>0</v>
      </c>
      <c r="K2068" s="455">
        <f t="shared" ca="1" si="123"/>
        <v>-9492620.5791872889</v>
      </c>
      <c r="L2068" s="455">
        <f t="shared" ca="1" si="124"/>
        <v>-2287721559.584137</v>
      </c>
      <c r="M2068" s="471">
        <f t="shared" si="126"/>
        <v>0.05</v>
      </c>
      <c r="N2068" s="475">
        <f t="shared" si="127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25"/>
        <v>-2287721559.584137</v>
      </c>
      <c r="J2069" s="455">
        <f t="array" ref="J2069">IFERROR(INDEX('Retirement Calculator'!K:K,MATCH('Lorri 401b'!N2069,'Retirement Calculator'!A:A,0),0),0)</f>
        <v>0</v>
      </c>
      <c r="K2069" s="455">
        <f t="shared" ca="1" si="123"/>
        <v>-9532173.1649339031</v>
      </c>
      <c r="L2069" s="455">
        <f t="shared" ca="1" si="124"/>
        <v>-2297253732.7490706</v>
      </c>
      <c r="M2069" s="471">
        <f t="shared" si="126"/>
        <v>0.05</v>
      </c>
      <c r="N2069" s="475">
        <f t="shared" si="127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25"/>
        <v>-2297253732.7490706</v>
      </c>
      <c r="J2070" s="455">
        <f t="array" ref="J2070">IFERROR(INDEX('Retirement Calculator'!K:K,MATCH('Lorri 401b'!N2070,'Retirement Calculator'!A:A,0),0),0)</f>
        <v>0</v>
      </c>
      <c r="K2070" s="455">
        <f t="shared" ca="1" si="123"/>
        <v>-9571890.5531211272</v>
      </c>
      <c r="L2070" s="455">
        <f t="shared" ca="1" si="124"/>
        <v>-2306825623.3021917</v>
      </c>
      <c r="M2070" s="471">
        <f t="shared" si="126"/>
        <v>0.05</v>
      </c>
      <c r="N2070" s="475">
        <f t="shared" si="127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25"/>
        <v>-2306825623.3021917</v>
      </c>
      <c r="J2071" s="455">
        <f t="array" ref="J2071">IFERROR(INDEX('Retirement Calculator'!K:K,MATCH('Lorri 401b'!N2071,'Retirement Calculator'!A:A,0),0),0)</f>
        <v>0</v>
      </c>
      <c r="K2071" s="455">
        <f t="shared" ca="1" si="123"/>
        <v>-9611773.4304257985</v>
      </c>
      <c r="L2071" s="455">
        <f t="shared" ca="1" si="124"/>
        <v>-2316437396.7326174</v>
      </c>
      <c r="M2071" s="471">
        <f t="shared" si="126"/>
        <v>0.05</v>
      </c>
      <c r="N2071" s="475">
        <f t="shared" si="127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25"/>
        <v>-2316437396.7326174</v>
      </c>
      <c r="J2072" s="455">
        <f t="array" ref="J2072">IFERROR(INDEX('Retirement Calculator'!K:K,MATCH('Lorri 401b'!N2072,'Retirement Calculator'!A:A,0),0),0)</f>
        <v>0</v>
      </c>
      <c r="K2072" s="455">
        <f t="shared" ca="1" si="123"/>
        <v>-9651822.4863859061</v>
      </c>
      <c r="L2072" s="455">
        <f t="shared" ca="1" si="124"/>
        <v>-2326089219.2190032</v>
      </c>
      <c r="M2072" s="471">
        <f t="shared" si="126"/>
        <v>0.05</v>
      </c>
      <c r="N2072" s="475">
        <f t="shared" si="127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25"/>
        <v>-2326089219.2190032</v>
      </c>
      <c r="J2073" s="455">
        <f t="array" ref="J2073">IFERROR(INDEX('Retirement Calculator'!K:K,MATCH('Lorri 401b'!N2073,'Retirement Calculator'!A:A,0),0),0)</f>
        <v>0</v>
      </c>
      <c r="K2073" s="455">
        <f t="shared" ca="1" si="123"/>
        <v>-9692038.4134125132</v>
      </c>
      <c r="L2073" s="455">
        <f t="shared" ca="1" si="124"/>
        <v>-2335781257.6324158</v>
      </c>
      <c r="M2073" s="471">
        <f t="shared" si="126"/>
        <v>0.05</v>
      </c>
      <c r="N2073" s="475">
        <f t="shared" si="127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25"/>
        <v>-2335781257.6324158</v>
      </c>
      <c r="J2074" s="455">
        <f t="array" ref="J2074">IFERROR(INDEX('Retirement Calculator'!K:K,MATCH('Lorri 401b'!N2074,'Retirement Calculator'!A:A,0),0),0)</f>
        <v>0</v>
      </c>
      <c r="K2074" s="455">
        <f t="shared" ca="1" si="123"/>
        <v>-9732421.9068017323</v>
      </c>
      <c r="L2074" s="455">
        <f t="shared" ca="1" si="124"/>
        <v>-2345513679.5392175</v>
      </c>
      <c r="M2074" s="471">
        <f t="shared" si="126"/>
        <v>0.05</v>
      </c>
      <c r="N2074" s="475">
        <f t="shared" si="127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25"/>
        <v>-2345513679.5392175</v>
      </c>
      <c r="J2075" s="455">
        <f t="array" ref="J2075">IFERROR(INDEX('Retirement Calculator'!K:K,MATCH('Lorri 401b'!N2075,'Retirement Calculator'!A:A,0),0),0)</f>
        <v>0</v>
      </c>
      <c r="K2075" s="455">
        <f t="shared" ca="1" si="123"/>
        <v>-9772973.664746739</v>
      </c>
      <c r="L2075" s="455">
        <f t="shared" ca="1" si="124"/>
        <v>-2355286653.2039642</v>
      </c>
      <c r="M2075" s="471">
        <f t="shared" si="126"/>
        <v>0.05</v>
      </c>
      <c r="N2075" s="475">
        <f t="shared" si="127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25"/>
        <v>-2355286653.2039642</v>
      </c>
      <c r="J2076" s="455">
        <f t="array" ref="J2076">IFERROR(INDEX('Retirement Calculator'!K:K,MATCH('Lorri 401b'!N2076,'Retirement Calculator'!A:A,0),0),0)</f>
        <v>0</v>
      </c>
      <c r="K2076" s="455">
        <f t="shared" ca="1" si="123"/>
        <v>-9813694.3883498516</v>
      </c>
      <c r="L2076" s="455">
        <f t="shared" ca="1" si="124"/>
        <v>-2365100347.5923142</v>
      </c>
      <c r="M2076" s="471">
        <f t="shared" si="126"/>
        <v>0.05</v>
      </c>
      <c r="N2076" s="475">
        <f t="shared" si="127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25"/>
        <v>-2365100347.5923142</v>
      </c>
      <c r="J2077" s="455">
        <f t="array" ref="J2077">IFERROR(INDEX('Retirement Calculator'!K:K,MATCH('Lorri 401b'!N2077,'Retirement Calculator'!A:A,0),0),0)</f>
        <v>0</v>
      </c>
      <c r="K2077" s="455">
        <f t="shared" ca="1" si="123"/>
        <v>-9854584.7816346418</v>
      </c>
      <c r="L2077" s="455">
        <f t="shared" ca="1" si="124"/>
        <v>-2374954932.3739491</v>
      </c>
      <c r="M2077" s="471">
        <f t="shared" si="126"/>
        <v>0.05</v>
      </c>
      <c r="N2077" s="475">
        <f t="shared" si="127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25"/>
        <v>-2374954932.3739491</v>
      </c>
      <c r="J2078" s="455">
        <f t="array" ref="J2078">IFERROR(INDEX('Retirement Calculator'!K:K,MATCH('Lorri 401b'!N2078,'Retirement Calculator'!A:A,0),0),0)</f>
        <v>0</v>
      </c>
      <c r="K2078" s="455">
        <f t="shared" ca="1" si="123"/>
        <v>-9895645.5515581202</v>
      </c>
      <c r="L2078" s="455">
        <f t="shared" ca="1" si="124"/>
        <v>-2384850577.9255071</v>
      </c>
      <c r="M2078" s="471">
        <f t="shared" si="126"/>
        <v>0.05</v>
      </c>
      <c r="N2078" s="475">
        <f t="shared" si="127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25"/>
        <v>-2384850577.9255071</v>
      </c>
      <c r="J2079" s="455">
        <f t="array" ref="J2079">IFERROR(INDEX('Retirement Calculator'!K:K,MATCH('Lorri 401b'!N2079,'Retirement Calculator'!A:A,0),0),0)</f>
        <v>0</v>
      </c>
      <c r="K2079" s="455">
        <f t="shared" ca="1" si="123"/>
        <v>-9936877.4080229457</v>
      </c>
      <c r="L2079" s="455">
        <f t="shared" ca="1" si="124"/>
        <v>-2394787455.3335299</v>
      </c>
      <c r="M2079" s="471">
        <f t="shared" si="126"/>
        <v>0.05</v>
      </c>
      <c r="N2079" s="475">
        <f t="shared" si="127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25"/>
        <v>-2394787455.3335299</v>
      </c>
      <c r="J2080" s="455">
        <f t="array" ref="J2080">IFERROR(INDEX('Retirement Calculator'!K:K,MATCH('Lorri 401b'!N2080,'Retirement Calculator'!A:A,0),0),0)</f>
        <v>0</v>
      </c>
      <c r="K2080" s="455">
        <f t="shared" ca="1" si="123"/>
        <v>-9978281.0638897084</v>
      </c>
      <c r="L2080" s="455">
        <f t="shared" ca="1" si="124"/>
        <v>-2404765736.3974195</v>
      </c>
      <c r="M2080" s="471">
        <f t="shared" si="126"/>
        <v>0.05</v>
      </c>
      <c r="N2080" s="475">
        <f t="shared" si="127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25"/>
        <v>-2404765736.3974195</v>
      </c>
      <c r="J2081" s="455">
        <f t="array" ref="J2081">IFERROR(INDEX('Retirement Calculator'!K:K,MATCH('Lorri 401b'!N2081,'Retirement Calculator'!A:A,0),0),0)</f>
        <v>0</v>
      </c>
      <c r="K2081" s="455">
        <f t="shared" ca="1" si="123"/>
        <v>-10019857.234989248</v>
      </c>
      <c r="L2081" s="455">
        <f t="shared" ca="1" si="124"/>
        <v>-2414785593.6324086</v>
      </c>
      <c r="M2081" s="471">
        <f t="shared" si="126"/>
        <v>0.05</v>
      </c>
      <c r="N2081" s="475">
        <f t="shared" si="127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25"/>
        <v>-2414785593.6324086</v>
      </c>
      <c r="J2082" s="455">
        <f t="array" ref="J2082">IFERROR(INDEX('Retirement Calculator'!K:K,MATCH('Lorri 401b'!N2082,'Retirement Calculator'!A:A,0),0),0)</f>
        <v>0</v>
      </c>
      <c r="K2082" s="455">
        <f t="shared" ca="1" si="123"/>
        <v>-10061606.640135035</v>
      </c>
      <c r="L2082" s="455">
        <f t="shared" ca="1" si="124"/>
        <v>-2424847200.2725434</v>
      </c>
      <c r="M2082" s="471">
        <f t="shared" si="126"/>
        <v>0.05</v>
      </c>
      <c r="N2082" s="475">
        <f t="shared" si="127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25"/>
        <v>-2424847200.2725434</v>
      </c>
      <c r="J2083" s="455">
        <f t="array" ref="J2083">IFERROR(INDEX('Retirement Calculator'!K:K,MATCH('Lorri 401b'!N2083,'Retirement Calculator'!A:A,0),0),0)</f>
        <v>0</v>
      </c>
      <c r="K2083" s="455">
        <f t="shared" ca="1" si="123"/>
        <v>-10103530.001135597</v>
      </c>
      <c r="L2083" s="455">
        <f t="shared" ca="1" si="124"/>
        <v>-2434950730.2736793</v>
      </c>
      <c r="M2083" s="471">
        <f t="shared" si="126"/>
        <v>0.05</v>
      </c>
      <c r="N2083" s="475">
        <f t="shared" si="127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25"/>
        <v>-2434950730.2736793</v>
      </c>
      <c r="J2084" s="455">
        <f t="array" ref="J2084">IFERROR(INDEX('Retirement Calculator'!K:K,MATCH('Lorri 401b'!N2084,'Retirement Calculator'!A:A,0),0),0)</f>
        <v>0</v>
      </c>
      <c r="K2084" s="455">
        <f t="shared" ca="1" si="123"/>
        <v>-10145628.042806996</v>
      </c>
      <c r="L2084" s="455">
        <f t="shared" ca="1" si="124"/>
        <v>-2445096358.3164864</v>
      </c>
      <c r="M2084" s="471">
        <f t="shared" si="126"/>
        <v>0.05</v>
      </c>
      <c r="N2084" s="475">
        <f t="shared" si="127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25"/>
        <v>-2445096358.3164864</v>
      </c>
      <c r="J2085" s="455">
        <f t="array" ref="J2085">IFERROR(INDEX('Retirement Calculator'!K:K,MATCH('Lorri 401b'!N2085,'Retirement Calculator'!A:A,0),0),0)</f>
        <v>0</v>
      </c>
      <c r="K2085" s="455">
        <f t="shared" ca="1" si="123"/>
        <v>-10187901.49298536</v>
      </c>
      <c r="L2085" s="455">
        <f t="shared" ca="1" si="124"/>
        <v>-2455284259.8094716</v>
      </c>
      <c r="M2085" s="471">
        <f t="shared" si="126"/>
        <v>0.05</v>
      </c>
      <c r="N2085" s="475">
        <f t="shared" si="127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25"/>
        <v>-2455284259.8094716</v>
      </c>
      <c r="J2086" s="455">
        <f t="array" ref="J2086">IFERROR(INDEX('Retirement Calculator'!K:K,MATCH('Lorri 401b'!N2086,'Retirement Calculator'!A:A,0),0),0)</f>
        <v>0</v>
      </c>
      <c r="K2086" s="455">
        <f t="shared" ca="1" si="123"/>
        <v>-10230351.082539465</v>
      </c>
      <c r="L2086" s="455">
        <f t="shared" ca="1" si="124"/>
        <v>-2465514610.8920112</v>
      </c>
      <c r="M2086" s="471">
        <f t="shared" si="126"/>
        <v>0.05</v>
      </c>
      <c r="N2086" s="475">
        <f t="shared" si="127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25"/>
        <v>-2465514610.8920112</v>
      </c>
      <c r="J2087" s="455">
        <f t="array" ref="J2087">IFERROR(INDEX('Retirement Calculator'!K:K,MATCH('Lorri 401b'!N2087,'Retirement Calculator'!A:A,0),0),0)</f>
        <v>0</v>
      </c>
      <c r="K2087" s="455">
        <f t="shared" ca="1" si="123"/>
        <v>-10272977.545383379</v>
      </c>
      <c r="L2087" s="455">
        <f t="shared" ca="1" si="124"/>
        <v>-2475787588.4373946</v>
      </c>
      <c r="M2087" s="471">
        <f t="shared" si="126"/>
        <v>0.05</v>
      </c>
      <c r="N2087" s="475">
        <f t="shared" si="127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25"/>
        <v>-2475787588.4373946</v>
      </c>
      <c r="J2088" s="455">
        <f t="array" ref="J2088">IFERROR(INDEX('Retirement Calculator'!K:K,MATCH('Lorri 401b'!N2088,'Retirement Calculator'!A:A,0),0),0)</f>
        <v>0</v>
      </c>
      <c r="K2088" s="455">
        <f t="shared" ca="1" si="123"/>
        <v>-10315781.618489144</v>
      </c>
      <c r="L2088" s="455">
        <f t="shared" ca="1" si="124"/>
        <v>-2486103370.0558839</v>
      </c>
      <c r="M2088" s="471">
        <f t="shared" si="126"/>
        <v>0.05</v>
      </c>
      <c r="N2088" s="475">
        <f t="shared" si="127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25"/>
        <v>-2486103370.0558839</v>
      </c>
      <c r="J2089" s="455">
        <f t="array" ref="J2089">IFERROR(INDEX('Retirement Calculator'!K:K,MATCH('Lorri 401b'!N2089,'Retirement Calculator'!A:A,0),0),0)</f>
        <v>0</v>
      </c>
      <c r="K2089" s="455">
        <f t="shared" ca="1" si="123"/>
        <v>-10358764.041899515</v>
      </c>
      <c r="L2089" s="455">
        <f t="shared" ca="1" si="124"/>
        <v>-2496462134.0977836</v>
      </c>
      <c r="M2089" s="471">
        <f t="shared" si="126"/>
        <v>0.05</v>
      </c>
      <c r="N2089" s="475">
        <f t="shared" si="127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25"/>
        <v>-2496462134.0977836</v>
      </c>
      <c r="J2090" s="455">
        <f t="array" ref="J2090">IFERROR(INDEX('Retirement Calculator'!K:K,MATCH('Lorri 401b'!N2090,'Retirement Calculator'!A:A,0),0),0)</f>
        <v>0</v>
      </c>
      <c r="K2090" s="455">
        <f t="shared" ca="1" si="123"/>
        <v>-10401925.558740765</v>
      </c>
      <c r="L2090" s="455">
        <f t="shared" ca="1" si="124"/>
        <v>-2506864059.6565242</v>
      </c>
      <c r="M2090" s="471">
        <f t="shared" si="126"/>
        <v>0.05</v>
      </c>
      <c r="N2090" s="475">
        <f t="shared" si="127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25"/>
        <v>-2506864059.6565242</v>
      </c>
      <c r="J2091" s="455">
        <f t="array" ref="J2091">IFERROR(INDEX('Retirement Calculator'!K:K,MATCH('Lorri 401b'!N2091,'Retirement Calculator'!A:A,0),0),0)</f>
        <v>0</v>
      </c>
      <c r="K2091" s="455">
        <f t="shared" ca="1" si="123"/>
        <v>-10445266.915235518</v>
      </c>
      <c r="L2091" s="455">
        <f t="shared" ca="1" si="124"/>
        <v>-2517309326.5717597</v>
      </c>
      <c r="M2091" s="471">
        <f t="shared" si="126"/>
        <v>0.05</v>
      </c>
      <c r="N2091" s="475">
        <f t="shared" si="127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25"/>
        <v>-2517309326.5717597</v>
      </c>
      <c r="J2092" s="455">
        <f t="array" ref="J2092">IFERROR(INDEX('Retirement Calculator'!K:K,MATCH('Lorri 401b'!N2092,'Retirement Calculator'!A:A,0),0),0)</f>
        <v>0</v>
      </c>
      <c r="K2092" s="455">
        <f t="shared" ca="1" si="123"/>
        <v>-10488788.860715665</v>
      </c>
      <c r="L2092" s="455">
        <f t="shared" ca="1" si="124"/>
        <v>-2527798115.4324756</v>
      </c>
      <c r="M2092" s="471">
        <f t="shared" si="126"/>
        <v>0.05</v>
      </c>
      <c r="N2092" s="475">
        <f t="shared" si="127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25"/>
        <v>-2527798115.4324756</v>
      </c>
      <c r="J2093" s="455">
        <f t="array" ref="J2093">IFERROR(INDEX('Retirement Calculator'!K:K,MATCH('Lorri 401b'!N2093,'Retirement Calculator'!A:A,0),0),0)</f>
        <v>0</v>
      </c>
      <c r="K2093" s="455">
        <f t="shared" ca="1" si="123"/>
        <v>-10532492.147635315</v>
      </c>
      <c r="L2093" s="455">
        <f t="shared" ca="1" si="124"/>
        <v>-2538330607.580111</v>
      </c>
      <c r="M2093" s="471">
        <f t="shared" si="126"/>
        <v>0.05</v>
      </c>
      <c r="N2093" s="475">
        <f t="shared" si="127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25"/>
        <v>-2538330607.580111</v>
      </c>
      <c r="J2094" s="455">
        <f t="array" ref="J2094">IFERROR(INDEX('Retirement Calculator'!K:K,MATCH('Lorri 401b'!N2094,'Retirement Calculator'!A:A,0),0),0)</f>
        <v>0</v>
      </c>
      <c r="K2094" s="455">
        <f t="shared" ca="1" si="123"/>
        <v>-10576377.531583795</v>
      </c>
      <c r="L2094" s="455">
        <f t="shared" ca="1" si="124"/>
        <v>-2548906985.1116948</v>
      </c>
      <c r="M2094" s="471">
        <f t="shared" si="126"/>
        <v>0.05</v>
      </c>
      <c r="N2094" s="475">
        <f t="shared" si="127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25"/>
        <v>-2548906985.1116948</v>
      </c>
      <c r="J2095" s="455">
        <f t="array" ref="J2095">IFERROR(INDEX('Retirement Calculator'!K:K,MATCH('Lorri 401b'!N2095,'Retirement Calculator'!A:A,0),0),0)</f>
        <v>0</v>
      </c>
      <c r="K2095" s="455">
        <f t="shared" ca="1" si="123"/>
        <v>-10620445.771298729</v>
      </c>
      <c r="L2095" s="455">
        <f t="shared" ca="1" si="124"/>
        <v>-2559527430.8829937</v>
      </c>
      <c r="M2095" s="471">
        <f t="shared" si="126"/>
        <v>0.05</v>
      </c>
      <c r="N2095" s="475">
        <f t="shared" si="127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25"/>
        <v>-2559527430.8829937</v>
      </c>
      <c r="J2096" s="455">
        <f t="array" ref="J2096">IFERROR(INDEX('Retirement Calculator'!K:K,MATCH('Lorri 401b'!N2096,'Retirement Calculator'!A:A,0),0),0)</f>
        <v>0</v>
      </c>
      <c r="K2096" s="455">
        <f t="shared" ca="1" si="123"/>
        <v>-10664697.62867914</v>
      </c>
      <c r="L2096" s="455">
        <f t="shared" ca="1" si="124"/>
        <v>-2570192128.511673</v>
      </c>
      <c r="M2096" s="471">
        <f t="shared" si="126"/>
        <v>0.05</v>
      </c>
      <c r="N2096" s="475">
        <f t="shared" si="127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25"/>
        <v>-2570192128.511673</v>
      </c>
      <c r="J2097" s="455">
        <f t="array" ref="J2097">IFERROR(INDEX('Retirement Calculator'!K:K,MATCH('Lorri 401b'!N2097,'Retirement Calculator'!A:A,0),0),0)</f>
        <v>0</v>
      </c>
      <c r="K2097" s="455">
        <f t="shared" ca="1" si="123"/>
        <v>-10709133.868798638</v>
      </c>
      <c r="L2097" s="455">
        <f t="shared" ca="1" si="124"/>
        <v>-2580901262.3804717</v>
      </c>
      <c r="M2097" s="471">
        <f t="shared" si="126"/>
        <v>0.05</v>
      </c>
      <c r="N2097" s="475">
        <f t="shared" si="127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25"/>
        <v>-2580901262.3804717</v>
      </c>
      <c r="J2098" s="455">
        <f t="array" ref="J2098">IFERROR(INDEX('Retirement Calculator'!K:K,MATCH('Lorri 401b'!N2098,'Retirement Calculator'!A:A,0),0),0)</f>
        <v>0</v>
      </c>
      <c r="K2098" s="455">
        <f t="shared" ca="1" si="123"/>
        <v>-10753755.259918632</v>
      </c>
      <c r="L2098" s="455">
        <f t="shared" ca="1" si="124"/>
        <v>-2591655017.6403904</v>
      </c>
      <c r="M2098" s="471">
        <f t="shared" si="126"/>
        <v>0.05</v>
      </c>
      <c r="N2098" s="475">
        <f t="shared" si="127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25"/>
        <v>-2591655017.6403904</v>
      </c>
      <c r="J2099" s="455">
        <f t="array" ref="J2099">IFERROR(INDEX('Retirement Calculator'!K:K,MATCH('Lorri 401b'!N2099,'Retirement Calculator'!A:A,0),0),0)</f>
        <v>0</v>
      </c>
      <c r="K2099" s="455">
        <f t="shared" ca="1" si="123"/>
        <v>-10798562.573501626</v>
      </c>
      <c r="L2099" s="455">
        <f t="shared" ca="1" si="124"/>
        <v>-2602453580.213892</v>
      </c>
      <c r="M2099" s="471">
        <f t="shared" si="126"/>
        <v>0.05</v>
      </c>
      <c r="N2099" s="475">
        <f t="shared" si="127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25"/>
        <v>-2602453580.213892</v>
      </c>
      <c r="J2100" s="455">
        <f t="array" ref="J2100">IFERROR(INDEX('Retirement Calculator'!K:K,MATCH('Lorri 401b'!N2100,'Retirement Calculator'!A:A,0),0),0)</f>
        <v>0</v>
      </c>
      <c r="K2100" s="455">
        <f t="shared" ca="1" si="123"/>
        <v>-10843556.58422455</v>
      </c>
      <c r="L2100" s="455">
        <f t="shared" ca="1" si="124"/>
        <v>-2613297136.7981167</v>
      </c>
      <c r="M2100" s="471">
        <f t="shared" si="126"/>
        <v>0.05</v>
      </c>
      <c r="N2100" s="475">
        <f t="shared" si="127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25"/>
        <v>-2613297136.7981167</v>
      </c>
      <c r="J2101" s="455">
        <f t="array" ref="J2101">IFERROR(INDEX('Retirement Calculator'!K:K,MATCH('Lorri 401b'!N2101,'Retirement Calculator'!A:A,0),0),0)</f>
        <v>0</v>
      </c>
      <c r="K2101" s="455">
        <f t="shared" ca="1" si="123"/>
        <v>-10888738.069992153</v>
      </c>
      <c r="L2101" s="455">
        <f t="shared" ca="1" si="124"/>
        <v>-2624185874.8681087</v>
      </c>
      <c r="M2101" s="471">
        <f t="shared" si="126"/>
        <v>0.05</v>
      </c>
      <c r="N2101" s="475">
        <f t="shared" si="127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25"/>
        <v>-2624185874.8681087</v>
      </c>
      <c r="J2102" s="455">
        <f t="array" ref="J2102">IFERROR(INDEX('Retirement Calculator'!K:K,MATCH('Lorri 401b'!N2102,'Retirement Calculator'!A:A,0),0),0)</f>
        <v>0</v>
      </c>
      <c r="K2102" s="455">
        <f t="shared" ca="1" si="123"/>
        <v>-10934107.811950453</v>
      </c>
      <c r="L2102" s="455">
        <f t="shared" ca="1" si="124"/>
        <v>-2635119982.6800594</v>
      </c>
      <c r="M2102" s="471">
        <f t="shared" si="126"/>
        <v>0.05</v>
      </c>
      <c r="N2102" s="475">
        <f t="shared" si="127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25"/>
        <v>-2635119982.6800594</v>
      </c>
      <c r="J2103" s="455">
        <f t="array" ref="J2103">IFERROR(INDEX('Retirement Calculator'!K:K,MATCH('Lorri 401b'!N2103,'Retirement Calculator'!A:A,0),0),0)</f>
        <v>0</v>
      </c>
      <c r="K2103" s="455">
        <f t="shared" ca="1" si="123"/>
        <v>-10979666.594500247</v>
      </c>
      <c r="L2103" s="455">
        <f t="shared" ca="1" si="124"/>
        <v>-2646099649.2745595</v>
      </c>
      <c r="M2103" s="471">
        <f t="shared" si="126"/>
        <v>0.05</v>
      </c>
      <c r="N2103" s="475">
        <f t="shared" si="127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25"/>
        <v>-2646099649.2745595</v>
      </c>
      <c r="J2104" s="455">
        <f t="array" ref="J2104">IFERROR(INDEX('Retirement Calculator'!K:K,MATCH('Lorri 401b'!N2104,'Retirement Calculator'!A:A,0),0),0)</f>
        <v>0</v>
      </c>
      <c r="K2104" s="455">
        <f t="shared" ca="1" si="123"/>
        <v>-11025415.205310665</v>
      </c>
      <c r="L2104" s="455">
        <f t="shared" ca="1" si="124"/>
        <v>-2657125064.4798703</v>
      </c>
      <c r="M2104" s="471">
        <f t="shared" si="126"/>
        <v>0.05</v>
      </c>
      <c r="N2104" s="475">
        <f t="shared" si="127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25"/>
        <v>-2657125064.4798703</v>
      </c>
      <c r="J2105" s="455">
        <f t="array" ref="J2105">IFERROR(INDEX('Retirement Calculator'!K:K,MATCH('Lorri 401b'!N2105,'Retirement Calculator'!A:A,0),0),0)</f>
        <v>0</v>
      </c>
      <c r="K2105" s="455">
        <f t="shared" ca="1" si="123"/>
        <v>-11071354.435332794</v>
      </c>
      <c r="L2105" s="455">
        <f t="shared" ca="1" si="124"/>
        <v>-2668196418.9152031</v>
      </c>
      <c r="M2105" s="471">
        <f t="shared" si="126"/>
        <v>0.05</v>
      </c>
      <c r="N2105" s="475">
        <f t="shared" si="127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25"/>
        <v>-2668196418.9152031</v>
      </c>
      <c r="J2106" s="455">
        <f t="array" ref="J2106">IFERROR(INDEX('Retirement Calculator'!K:K,MATCH('Lorri 401b'!N2106,'Retirement Calculator'!A:A,0),0),0)</f>
        <v>0</v>
      </c>
      <c r="K2106" s="455">
        <f t="shared" ca="1" si="123"/>
        <v>-11117485.078813346</v>
      </c>
      <c r="L2106" s="455">
        <f t="shared" ca="1" si="124"/>
        <v>-2679313903.9940166</v>
      </c>
      <c r="M2106" s="471">
        <f t="shared" si="126"/>
        <v>0.05</v>
      </c>
      <c r="N2106" s="475">
        <f t="shared" si="127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25"/>
        <v>-2679313903.9940166</v>
      </c>
      <c r="J2107" s="455">
        <f t="array" ref="J2107">IFERROR(INDEX('Retirement Calculator'!K:K,MATCH('Lorri 401b'!N2107,'Retirement Calculator'!A:A,0),0),0)</f>
        <v>0</v>
      </c>
      <c r="K2107" s="455">
        <f t="shared" ca="1" si="123"/>
        <v>-11163807.933308402</v>
      </c>
      <c r="L2107" s="455">
        <f t="shared" ca="1" si="124"/>
        <v>-2690477711.9273252</v>
      </c>
      <c r="M2107" s="471">
        <f t="shared" si="126"/>
        <v>0.05</v>
      </c>
      <c r="N2107" s="475">
        <f t="shared" si="127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25"/>
        <v>-2690477711.9273252</v>
      </c>
      <c r="J2108" s="455">
        <f t="array" ref="J2108">IFERROR(INDEX('Retirement Calculator'!K:K,MATCH('Lorri 401b'!N2108,'Retirement Calculator'!A:A,0),0),0)</f>
        <v>0</v>
      </c>
      <c r="K2108" s="455">
        <f t="shared" ca="1" si="123"/>
        <v>-11210323.799697189</v>
      </c>
      <c r="L2108" s="455">
        <f t="shared" ca="1" si="124"/>
        <v>-2701688035.7270226</v>
      </c>
      <c r="M2108" s="471">
        <f t="shared" si="126"/>
        <v>0.05</v>
      </c>
      <c r="N2108" s="475">
        <f t="shared" si="127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25"/>
        <v>-2701688035.7270226</v>
      </c>
      <c r="J2109" s="455">
        <f t="array" ref="J2109">IFERROR(INDEX('Retirement Calculator'!K:K,MATCH('Lorri 401b'!N2109,'Retirement Calculator'!A:A,0),0),0)</f>
        <v>0</v>
      </c>
      <c r="K2109" s="455">
        <f t="shared" ca="1" si="123"/>
        <v>-11257033.482195927</v>
      </c>
      <c r="L2109" s="455">
        <f t="shared" ca="1" si="124"/>
        <v>-2712945069.2092185</v>
      </c>
      <c r="M2109" s="471">
        <f t="shared" si="126"/>
        <v>0.05</v>
      </c>
      <c r="N2109" s="475">
        <f t="shared" si="127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25"/>
        <v>-2712945069.2092185</v>
      </c>
      <c r="J2110" s="455">
        <f t="array" ref="J2110">IFERROR(INDEX('Retirement Calculator'!K:K,MATCH('Lorri 401b'!N2110,'Retirement Calculator'!A:A,0),0),0)</f>
        <v>0</v>
      </c>
      <c r="K2110" s="455">
        <f t="shared" ca="1" si="123"/>
        <v>-11303937.788371744</v>
      </c>
      <c r="L2110" s="455">
        <f t="shared" ca="1" si="124"/>
        <v>-2724249006.9975901</v>
      </c>
      <c r="M2110" s="471">
        <f t="shared" si="126"/>
        <v>0.05</v>
      </c>
      <c r="N2110" s="475">
        <f t="shared" si="127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25"/>
        <v>-2724249006.9975901</v>
      </c>
      <c r="J2111" s="455">
        <f t="array" ref="J2111">IFERROR(INDEX('Retirement Calculator'!K:K,MATCH('Lorri 401b'!N2111,'Retirement Calculator'!A:A,0),0),0)</f>
        <v>0</v>
      </c>
      <c r="K2111" s="455">
        <f t="shared" ca="1" si="123"/>
        <v>-11351037.529156625</v>
      </c>
      <c r="L2111" s="455">
        <f t="shared" ca="1" si="124"/>
        <v>-2735600044.5267467</v>
      </c>
      <c r="M2111" s="471">
        <f t="shared" si="126"/>
        <v>0.05</v>
      </c>
      <c r="N2111" s="475">
        <f t="shared" si="127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25"/>
        <v>-2735600044.5267467</v>
      </c>
      <c r="J2112" s="455">
        <f t="array" ref="J2112">IFERROR(INDEX('Retirement Calculator'!K:K,MATCH('Lorri 401b'!N2112,'Retirement Calculator'!A:A,0),0),0)</f>
        <v>0</v>
      </c>
      <c r="K2112" s="455">
        <f t="shared" ca="1" si="123"/>
        <v>-11398333.518861445</v>
      </c>
      <c r="L2112" s="455">
        <f t="shared" ca="1" si="124"/>
        <v>-2746998378.045608</v>
      </c>
      <c r="M2112" s="471">
        <f t="shared" si="126"/>
        <v>0.05</v>
      </c>
      <c r="N2112" s="475">
        <f t="shared" si="127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25"/>
        <v>-2746998378.045608</v>
      </c>
      <c r="J2113" s="455">
        <f t="array" ref="J2113">IFERROR(INDEX('Retirement Calculator'!K:K,MATCH('Lorri 401b'!N2113,'Retirement Calculator'!A:A,0),0),0)</f>
        <v>0</v>
      </c>
      <c r="K2113" s="455">
        <f t="shared" ca="1" si="123"/>
        <v>-11445826.575190034</v>
      </c>
      <c r="L2113" s="455">
        <f t="shared" ca="1" si="124"/>
        <v>-2758444204.6207981</v>
      </c>
      <c r="M2113" s="471">
        <f t="shared" si="126"/>
        <v>0.05</v>
      </c>
      <c r="N2113" s="475">
        <f t="shared" si="127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25"/>
        <v>-2758444204.6207981</v>
      </c>
      <c r="J2114" s="455">
        <f t="array" ref="J2114">IFERROR(INDEX('Retirement Calculator'!K:K,MATCH('Lorri 401b'!N2114,'Retirement Calculator'!A:A,0),0),0)</f>
        <v>0</v>
      </c>
      <c r="K2114" s="455">
        <f t="shared" ca="1" si="123"/>
        <v>-11493517.519253325</v>
      </c>
      <c r="L2114" s="455">
        <f t="shared" ca="1" si="124"/>
        <v>-2769937722.1400514</v>
      </c>
      <c r="M2114" s="471">
        <f t="shared" si="126"/>
        <v>0.05</v>
      </c>
      <c r="N2114" s="475">
        <f t="shared" si="127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25"/>
        <v>-2769937722.1400514</v>
      </c>
      <c r="J2115" s="455">
        <f t="array" ref="J2115">IFERROR(INDEX('Retirement Calculator'!K:K,MATCH('Lorri 401b'!N2115,'Retirement Calculator'!A:A,0),0),0)</f>
        <v>0</v>
      </c>
      <c r="K2115" s="455">
        <f t="shared" ca="1" si="123"/>
        <v>-11541407.175583547</v>
      </c>
      <c r="L2115" s="455">
        <f t="shared" ca="1" si="124"/>
        <v>-2781479129.3156347</v>
      </c>
      <c r="M2115" s="471">
        <f t="shared" si="126"/>
        <v>0.05</v>
      </c>
      <c r="N2115" s="475">
        <f t="shared" si="127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25"/>
        <v>-2781479129.3156347</v>
      </c>
      <c r="J2116" s="455">
        <f t="array" ref="J2116">IFERROR(INDEX('Retirement Calculator'!K:K,MATCH('Lorri 401b'!N2116,'Retirement Calculator'!A:A,0),0),0)</f>
        <v>0</v>
      </c>
      <c r="K2116" s="455">
        <f t="shared" ca="1" si="123"/>
        <v>-11589496.372148478</v>
      </c>
      <c r="L2116" s="455">
        <f t="shared" ca="1" si="124"/>
        <v>-2793068625.6877832</v>
      </c>
      <c r="M2116" s="471">
        <f t="shared" si="126"/>
        <v>0.05</v>
      </c>
      <c r="N2116" s="475">
        <f t="shared" si="127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25"/>
        <v>-2793068625.6877832</v>
      </c>
      <c r="J2117" s="455">
        <f t="array" ref="J2117">IFERROR(INDEX('Retirement Calculator'!K:K,MATCH('Lorri 401b'!N2117,'Retirement Calculator'!A:A,0),0),0)</f>
        <v>0</v>
      </c>
      <c r="K2117" s="455">
        <f t="shared" ca="1" si="123"/>
        <v>-11637785.940365763</v>
      </c>
      <c r="L2117" s="455">
        <f t="shared" ca="1" si="124"/>
        <v>-2804706411.628149</v>
      </c>
      <c r="M2117" s="471">
        <f t="shared" si="126"/>
        <v>0.05</v>
      </c>
      <c r="N2117" s="475">
        <f t="shared" si="127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25"/>
        <v>-2804706411.628149</v>
      </c>
      <c r="J2118" s="455">
        <f t="array" ref="J2118">IFERROR(INDEX('Retirement Calculator'!K:K,MATCH('Lorri 401b'!N2118,'Retirement Calculator'!A:A,0),0),0)</f>
        <v>0</v>
      </c>
      <c r="K2118" s="455">
        <f t="shared" ca="1" si="123"/>
        <v>-11686276.715117287</v>
      </c>
      <c r="L2118" s="455">
        <f t="shared" ca="1" si="124"/>
        <v>-2816392688.3432665</v>
      </c>
      <c r="M2118" s="471">
        <f t="shared" si="126"/>
        <v>0.05</v>
      </c>
      <c r="N2118" s="475">
        <f t="shared" si="127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25"/>
        <v>-2816392688.3432665</v>
      </c>
      <c r="J2119" s="455">
        <f t="array" ref="J2119">IFERROR(INDEX('Retirement Calculator'!K:K,MATCH('Lorri 401b'!N2119,'Retirement Calculator'!A:A,0),0),0)</f>
        <v>0</v>
      </c>
      <c r="K2119" s="455">
        <f t="shared" ca="1" si="123"/>
        <v>-11734969.53476361</v>
      </c>
      <c r="L2119" s="455">
        <f t="shared" ca="1" si="124"/>
        <v>-2828127657.8780303</v>
      </c>
      <c r="M2119" s="471">
        <f t="shared" si="126"/>
        <v>0.05</v>
      </c>
      <c r="N2119" s="475">
        <f t="shared" si="127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25"/>
        <v>-2828127657.8780303</v>
      </c>
      <c r="J2120" s="455">
        <f t="array" ref="J2120">IFERROR(INDEX('Retirement Calculator'!K:K,MATCH('Lorri 401b'!N2120,'Retirement Calculator'!A:A,0),0),0)</f>
        <v>0</v>
      </c>
      <c r="K2120" s="455">
        <f t="shared" ca="1" si="123"/>
        <v>-11783865.241158459</v>
      </c>
      <c r="L2120" s="455">
        <f t="shared" ca="1" si="124"/>
        <v>-2839911523.1191888</v>
      </c>
      <c r="M2120" s="471">
        <f t="shared" si="126"/>
        <v>0.05</v>
      </c>
      <c r="N2120" s="475">
        <f t="shared" si="127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25"/>
        <v>-2839911523.1191888</v>
      </c>
      <c r="J2121" s="455">
        <f t="array" ref="J2121">IFERROR(INDEX('Retirement Calculator'!K:K,MATCH('Lorri 401b'!N2121,'Retirement Calculator'!A:A,0),0),0)</f>
        <v>0</v>
      </c>
      <c r="K2121" s="455">
        <f t="shared" ca="1" si="123"/>
        <v>-11832964.679663286</v>
      </c>
      <c r="L2121" s="455">
        <f t="shared" ca="1" si="124"/>
        <v>-2851744487.798852</v>
      </c>
      <c r="M2121" s="471">
        <f t="shared" si="126"/>
        <v>0.05</v>
      </c>
      <c r="N2121" s="475">
        <f t="shared" si="127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25"/>
        <v>-2851744487.798852</v>
      </c>
      <c r="J2122" s="455">
        <f t="array" ref="J2122">IFERROR(INDEX('Retirement Calculator'!K:K,MATCH('Lorri 401b'!N2122,'Retirement Calculator'!A:A,0),0),0)</f>
        <v>0</v>
      </c>
      <c r="K2122" s="455">
        <f t="shared" ca="1" si="123"/>
        <v>-11882268.699161883</v>
      </c>
      <c r="L2122" s="455">
        <f t="shared" ca="1" si="124"/>
        <v>-2863626756.498014</v>
      </c>
      <c r="M2122" s="471">
        <f t="shared" si="126"/>
        <v>0.05</v>
      </c>
      <c r="N2122" s="475">
        <f t="shared" si="127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25"/>
        <v>-2863626756.498014</v>
      </c>
      <c r="J2123" s="455">
        <f t="array" ref="J2123">IFERROR(INDEX('Retirement Calculator'!K:K,MATCH('Lorri 401b'!N2123,'Retirement Calculator'!A:A,0),0),0)</f>
        <v>0</v>
      </c>
      <c r="K2123" s="455">
        <f t="shared" ca="1" si="123"/>
        <v>-11931778.152075058</v>
      </c>
      <c r="L2123" s="455">
        <f t="shared" ca="1" si="124"/>
        <v>-2875558534.6500893</v>
      </c>
      <c r="M2123" s="471">
        <f t="shared" si="126"/>
        <v>0.05</v>
      </c>
      <c r="N2123" s="475">
        <f t="shared" si="127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25"/>
        <v>-2875558534.6500893</v>
      </c>
      <c r="J2124" s="455">
        <f t="array" ref="J2124">IFERROR(INDEX('Retirement Calculator'!K:K,MATCH('Lorri 401b'!N2124,'Retirement Calculator'!A:A,0),0),0)</f>
        <v>0</v>
      </c>
      <c r="K2124" s="455">
        <f t="shared" ca="1" si="123"/>
        <v>-11981493.894375373</v>
      </c>
      <c r="L2124" s="455">
        <f t="shared" ca="1" si="124"/>
        <v>-2887540028.5444646</v>
      </c>
      <c r="M2124" s="471">
        <f t="shared" si="126"/>
        <v>0.05</v>
      </c>
      <c r="N2124" s="475">
        <f t="shared" si="127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25"/>
        <v>-2887540028.5444646</v>
      </c>
      <c r="J2125" s="455">
        <f t="array" ref="J2125">IFERROR(INDEX('Retirement Calculator'!K:K,MATCH('Lorri 401b'!N2125,'Retirement Calculator'!A:A,0),0),0)</f>
        <v>0</v>
      </c>
      <c r="K2125" s="455">
        <f t="shared" ca="1" si="123"/>
        <v>-12031416.785601936</v>
      </c>
      <c r="L2125" s="455">
        <f t="shared" ca="1" si="124"/>
        <v>-2899571445.3300667</v>
      </c>
      <c r="M2125" s="471">
        <f t="shared" si="126"/>
        <v>0.05</v>
      </c>
      <c r="N2125" s="475">
        <f t="shared" si="127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25"/>
        <v>-2899571445.3300667</v>
      </c>
      <c r="J2126" s="455">
        <f t="array" ref="J2126">IFERROR(INDEX('Retirement Calculator'!K:K,MATCH('Lorri 401b'!N2126,'Retirement Calculator'!A:A,0),0),0)</f>
        <v>0</v>
      </c>
      <c r="K2126" s="455">
        <f t="shared" ca="1" si="123"/>
        <v>-12081547.688875278</v>
      </c>
      <c r="L2126" s="455">
        <f t="shared" ca="1" si="124"/>
        <v>-2911652993.0189419</v>
      </c>
      <c r="M2126" s="471">
        <f t="shared" si="126"/>
        <v>0.05</v>
      </c>
      <c r="N2126" s="475">
        <f t="shared" si="127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25"/>
        <v>-2911652993.0189419</v>
      </c>
      <c r="J2127" s="455">
        <f t="array" ref="J2127">IFERROR(INDEX('Retirement Calculator'!K:K,MATCH('Lorri 401b'!N2127,'Retirement Calculator'!A:A,0),0),0)</f>
        <v>0</v>
      </c>
      <c r="K2127" s="455">
        <f t="shared" ca="1" si="123"/>
        <v>-12131887.470912257</v>
      </c>
      <c r="L2127" s="455">
        <f t="shared" ca="1" si="124"/>
        <v>-2923784880.4898543</v>
      </c>
      <c r="M2127" s="471">
        <f t="shared" si="126"/>
        <v>0.05</v>
      </c>
      <c r="N2127" s="475">
        <f t="shared" si="127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25"/>
        <v>-2923784880.4898543</v>
      </c>
      <c r="J2128" s="455">
        <f t="array" ref="J2128">IFERROR(INDEX('Retirement Calculator'!K:K,MATCH('Lorri 401b'!N2128,'Retirement Calculator'!A:A,0),0),0)</f>
        <v>0</v>
      </c>
      <c r="K2128" s="455">
        <f t="shared" ca="1" si="123"/>
        <v>-12182437.00204106</v>
      </c>
      <c r="L2128" s="455">
        <f t="shared" ca="1" si="124"/>
        <v>-2935967317.4918952</v>
      </c>
      <c r="M2128" s="471">
        <f t="shared" si="126"/>
        <v>0.05</v>
      </c>
      <c r="N2128" s="475">
        <f t="shared" si="127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25"/>
        <v>-2935967317.4918952</v>
      </c>
      <c r="J2129" s="455">
        <f t="array" ref="J2129">IFERROR(INDEX('Retirement Calculator'!K:K,MATCH('Lorri 401b'!N2129,'Retirement Calculator'!A:A,0),0),0)</f>
        <v>0</v>
      </c>
      <c r="K2129" s="455">
        <f t="shared" ca="1" si="123"/>
        <v>-12233197.15621623</v>
      </c>
      <c r="L2129" s="455">
        <f t="shared" ca="1" si="124"/>
        <v>-2948200514.6481113</v>
      </c>
      <c r="M2129" s="471">
        <f t="shared" si="126"/>
        <v>0.05</v>
      </c>
      <c r="N2129" s="475">
        <f t="shared" si="127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25"/>
        <v>-2948200514.6481113</v>
      </c>
      <c r="J2130" s="455">
        <f t="array" ref="J2130">IFERROR(INDEX('Retirement Calculator'!K:K,MATCH('Lorri 401b'!N2130,'Retirement Calculator'!A:A,0),0),0)</f>
        <v>0</v>
      </c>
      <c r="K2130" s="455">
        <f t="shared" ca="1" si="123"/>
        <v>-12284168.811033797</v>
      </c>
      <c r="L2130" s="455">
        <f t="shared" ca="1" si="124"/>
        <v>-2960484683.4591451</v>
      </c>
      <c r="M2130" s="471">
        <f t="shared" si="126"/>
        <v>0.05</v>
      </c>
      <c r="N2130" s="475">
        <f t="shared" si="127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25"/>
        <v>-2960484683.4591451</v>
      </c>
      <c r="J2131" s="455">
        <f t="array" ref="J2131">IFERROR(INDEX('Retirement Calculator'!K:K,MATCH('Lorri 401b'!N2131,'Retirement Calculator'!A:A,0),0),0)</f>
        <v>0</v>
      </c>
      <c r="K2131" s="455">
        <f t="shared" ca="1" si="123"/>
        <v>-12335352.847746437</v>
      </c>
      <c r="L2131" s="455">
        <f t="shared" ca="1" si="124"/>
        <v>-2972820036.3068914</v>
      </c>
      <c r="M2131" s="471">
        <f t="shared" si="126"/>
        <v>0.05</v>
      </c>
      <c r="N2131" s="475">
        <f t="shared" si="127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25"/>
        <v>-2972820036.3068914</v>
      </c>
      <c r="J2132" s="455">
        <f t="array" ref="J2132">IFERROR(INDEX('Retirement Calculator'!K:K,MATCH('Lorri 401b'!N2132,'Retirement Calculator'!A:A,0),0),0)</f>
        <v>0</v>
      </c>
      <c r="K2132" s="455">
        <f t="shared" ca="1" si="123"/>
        <v>-12386750.151278714</v>
      </c>
      <c r="L2132" s="455">
        <f t="shared" ca="1" si="124"/>
        <v>-2985206786.4581699</v>
      </c>
      <c r="M2132" s="471">
        <f t="shared" si="126"/>
        <v>0.05</v>
      </c>
      <c r="N2132" s="475">
        <f t="shared" si="127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25"/>
        <v>-2985206786.4581699</v>
      </c>
      <c r="J2133" s="455">
        <f t="array" ref="J2133">IFERROR(INDEX('Retirement Calculator'!K:K,MATCH('Lorri 401b'!N2133,'Retirement Calculator'!A:A,0),0),0)</f>
        <v>0</v>
      </c>
      <c r="K2133" s="455">
        <f t="shared" ca="1" si="123"/>
        <v>-12438361.610242374</v>
      </c>
      <c r="L2133" s="455">
        <f t="shared" ca="1" si="124"/>
        <v>-2997645148.0684123</v>
      </c>
      <c r="M2133" s="471">
        <f t="shared" si="126"/>
        <v>0.05</v>
      </c>
      <c r="N2133" s="475">
        <f t="shared" si="127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25"/>
        <v>-2997645148.0684123</v>
      </c>
      <c r="J2134" s="455">
        <f t="array" ref="J2134">IFERROR(INDEX('Retirement Calculator'!K:K,MATCH('Lorri 401b'!N2134,'Retirement Calculator'!A:A,0),0),0)</f>
        <v>0</v>
      </c>
      <c r="K2134" s="455">
        <f t="shared" ca="1" si="123"/>
        <v>-12490188.116951717</v>
      </c>
      <c r="L2134" s="455">
        <f t="shared" ca="1" si="124"/>
        <v>-3010135336.1853642</v>
      </c>
      <c r="M2134" s="471">
        <f t="shared" si="126"/>
        <v>0.05</v>
      </c>
      <c r="N2134" s="475">
        <f t="shared" si="127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25"/>
        <v>-3010135336.1853642</v>
      </c>
      <c r="J2135" s="455">
        <f t="array" ref="J2135">IFERROR(INDEX('Retirement Calculator'!K:K,MATCH('Lorri 401b'!N2135,'Retirement Calculator'!A:A,0),0),0)</f>
        <v>0</v>
      </c>
      <c r="K2135" s="455">
        <f t="shared" ca="1" si="123"/>
        <v>-12542230.567439018</v>
      </c>
      <c r="L2135" s="455">
        <f t="shared" ca="1" si="124"/>
        <v>-3022677566.7528033</v>
      </c>
      <c r="M2135" s="471">
        <f t="shared" si="126"/>
        <v>0.05</v>
      </c>
      <c r="N2135" s="475">
        <f t="shared" si="127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25"/>
        <v>-3022677566.7528033</v>
      </c>
      <c r="J2136" s="455">
        <f t="array" ref="J2136">IFERROR(INDEX('Retirement Calculator'!K:K,MATCH('Lorri 401b'!N2136,'Retirement Calculator'!A:A,0),0),0)</f>
        <v>0</v>
      </c>
      <c r="K2136" s="455">
        <f t="shared" ca="1" si="123"/>
        <v>-12594489.861470014</v>
      </c>
      <c r="L2136" s="455">
        <f t="shared" ca="1" si="124"/>
        <v>-3035272056.6142735</v>
      </c>
      <c r="M2136" s="471">
        <f t="shared" si="126"/>
        <v>0.05</v>
      </c>
      <c r="N2136" s="475">
        <f t="shared" si="127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25"/>
        <v>-3035272056.6142735</v>
      </c>
      <c r="J2137" s="455">
        <f t="array" ref="J2137">IFERROR(INDEX('Retirement Calculator'!K:K,MATCH('Lorri 401b'!N2137,'Retirement Calculator'!A:A,0),0),0)</f>
        <v>0</v>
      </c>
      <c r="K2137" s="455">
        <f t="shared" ca="1" si="123"/>
        <v>-12646966.902559472</v>
      </c>
      <c r="L2137" s="455">
        <f t="shared" ca="1" si="124"/>
        <v>-3047919023.5168328</v>
      </c>
      <c r="M2137" s="471">
        <f t="shared" si="126"/>
        <v>0.05</v>
      </c>
      <c r="N2137" s="475">
        <f t="shared" si="127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25"/>
        <v>-3047919023.5168328</v>
      </c>
      <c r="J2138" s="455">
        <f t="array" ref="J2138">IFERROR(INDEX('Retirement Calculator'!K:K,MATCH('Lorri 401b'!N2138,'Retirement Calculator'!A:A,0),0),0)</f>
        <v>0</v>
      </c>
      <c r="K2138" s="455">
        <f t="shared" ca="1" si="123"/>
        <v>-12699662.597986802</v>
      </c>
      <c r="L2138" s="455">
        <f t="shared" ca="1" si="124"/>
        <v>-3060618686.1148195</v>
      </c>
      <c r="M2138" s="471">
        <f t="shared" si="126"/>
        <v>0.05</v>
      </c>
      <c r="N2138" s="475">
        <f t="shared" si="127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25"/>
        <v>-3060618686.1148195</v>
      </c>
      <c r="J2139" s="455">
        <f t="array" ref="J2139">IFERROR(INDEX('Retirement Calculator'!K:K,MATCH('Lorri 401b'!N2139,'Retirement Calculator'!A:A,0),0),0)</f>
        <v>0</v>
      </c>
      <c r="K2139" s="455">
        <f t="shared" ca="1" si="123"/>
        <v>-12752577.858811747</v>
      </c>
      <c r="L2139" s="455">
        <f t="shared" ca="1" si="124"/>
        <v>-3073371263.9736314</v>
      </c>
      <c r="M2139" s="471">
        <f t="shared" si="126"/>
        <v>0.05</v>
      </c>
      <c r="N2139" s="475">
        <f t="shared" si="127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25"/>
        <v>-3073371263.9736314</v>
      </c>
      <c r="J2140" s="455">
        <f t="array" ref="J2140">IFERROR(INDEX('Retirement Calculator'!K:K,MATCH('Lorri 401b'!N2140,'Retirement Calculator'!A:A,0),0),0)</f>
        <v>0</v>
      </c>
      <c r="K2140" s="455">
        <f t="shared" ca="1" si="123"/>
        <v>-12805713.599890132</v>
      </c>
      <c r="L2140" s="455">
        <f t="shared" ca="1" si="124"/>
        <v>-3086176977.5735216</v>
      </c>
      <c r="M2140" s="471">
        <f t="shared" si="126"/>
        <v>0.05</v>
      </c>
      <c r="N2140" s="475">
        <f t="shared" si="127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25"/>
        <v>-3086176977.5735216</v>
      </c>
      <c r="J2141" s="455">
        <f t="array" ref="J2141">IFERROR(INDEX('Retirement Calculator'!K:K,MATCH('Lorri 401b'!N2141,'Retirement Calculator'!A:A,0),0),0)</f>
        <v>0</v>
      </c>
      <c r="K2141" s="455">
        <f t="shared" ca="1" si="123"/>
        <v>-12859070.739889674</v>
      </c>
      <c r="L2141" s="455">
        <f t="shared" ca="1" si="124"/>
        <v>-3099036048.3134112</v>
      </c>
      <c r="M2141" s="471">
        <f t="shared" si="126"/>
        <v>0.05</v>
      </c>
      <c r="N2141" s="475">
        <f t="shared" si="127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25"/>
        <v>-3099036048.3134112</v>
      </c>
      <c r="J2142" s="455">
        <f t="array" ref="J2142">IFERROR(INDEX('Retirement Calculator'!K:K,MATCH('Lorri 401b'!N2142,'Retirement Calculator'!A:A,0),0),0)</f>
        <v>0</v>
      </c>
      <c r="K2142" s="455">
        <f t="shared" ca="1" si="123"/>
        <v>-12912650.201305879</v>
      </c>
      <c r="L2142" s="455">
        <f t="shared" ca="1" si="124"/>
        <v>-3111948698.5147171</v>
      </c>
      <c r="M2142" s="471">
        <f t="shared" si="126"/>
        <v>0.05</v>
      </c>
      <c r="N2142" s="475">
        <f t="shared" si="127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25"/>
        <v>-3111948698.5147171</v>
      </c>
      <c r="J2143" s="455">
        <f t="array" ref="J2143">IFERROR(INDEX('Retirement Calculator'!K:K,MATCH('Lorri 401b'!N2143,'Retirement Calculator'!A:A,0),0),0)</f>
        <v>0</v>
      </c>
      <c r="K2143" s="455">
        <f t="shared" ca="1" si="123"/>
        <v>-12966452.910477988</v>
      </c>
      <c r="L2143" s="455">
        <f t="shared" ca="1" si="124"/>
        <v>-3124915151.4251952</v>
      </c>
      <c r="M2143" s="471">
        <f t="shared" si="126"/>
        <v>0.05</v>
      </c>
      <c r="N2143" s="475">
        <f t="shared" si="127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25"/>
        <v>-3124915151.4251952</v>
      </c>
      <c r="J2144" s="455">
        <f t="array" ref="J2144">IFERROR(INDEX('Retirement Calculator'!K:K,MATCH('Lorri 401b'!N2144,'Retirement Calculator'!A:A,0),0),0)</f>
        <v>0</v>
      </c>
      <c r="K2144" s="455">
        <f t="shared" ca="1" si="123"/>
        <v>-13020479.79760498</v>
      </c>
      <c r="L2144" s="455">
        <f t="shared" ca="1" si="124"/>
        <v>-3137935631.2228003</v>
      </c>
      <c r="M2144" s="471">
        <f t="shared" si="126"/>
        <v>0.05</v>
      </c>
      <c r="N2144" s="475">
        <f t="shared" si="127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25"/>
        <v>-3137935631.2228003</v>
      </c>
      <c r="J2145" s="455">
        <f t="array" ref="J2145">IFERROR(INDEX('Retirement Calculator'!K:K,MATCH('Lorri 401b'!N2145,'Retirement Calculator'!A:A,0),0),0)</f>
        <v>0</v>
      </c>
      <c r="K2145" s="455">
        <f t="shared" ca="1" si="123"/>
        <v>-13074731.796761667</v>
      </c>
      <c r="L2145" s="455">
        <f t="shared" ca="1" si="124"/>
        <v>-3151010363.0195618</v>
      </c>
      <c r="M2145" s="471">
        <f t="shared" si="126"/>
        <v>0.05</v>
      </c>
      <c r="N2145" s="475">
        <f t="shared" si="127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25"/>
        <v>-3151010363.0195618</v>
      </c>
      <c r="J2146" s="455">
        <f t="array" ref="J2146">IFERROR(INDEX('Retirement Calculator'!K:K,MATCH('Lorri 401b'!N2146,'Retirement Calculator'!A:A,0),0),0)</f>
        <v>0</v>
      </c>
      <c r="K2146" s="455">
        <f t="shared" ca="1" si="123"/>
        <v>-13129209.845914841</v>
      </c>
      <c r="L2146" s="455">
        <f t="shared" ca="1" si="124"/>
        <v>-3164139572.8654766</v>
      </c>
      <c r="M2146" s="471">
        <f t="shared" si="126"/>
        <v>0.05</v>
      </c>
      <c r="N2146" s="475">
        <f t="shared" si="127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25"/>
        <v>-3164139572.8654766</v>
      </c>
      <c r="J2147" s="455">
        <f t="array" ref="J2147">IFERROR(INDEX('Retirement Calculator'!K:K,MATCH('Lorri 401b'!N2147,'Retirement Calculator'!A:A,0),0),0)</f>
        <v>0</v>
      </c>
      <c r="K2147" s="455">
        <f t="shared" ca="1" si="123"/>
        <v>-13183914.886939486</v>
      </c>
      <c r="L2147" s="455">
        <f t="shared" ca="1" si="124"/>
        <v>-3177323487.7524161</v>
      </c>
      <c r="M2147" s="471">
        <f t="shared" si="126"/>
        <v>0.05</v>
      </c>
      <c r="N2147" s="475">
        <f t="shared" si="127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25"/>
        <v>-3177323487.7524161</v>
      </c>
      <c r="J2148" s="455">
        <f t="array" ref="J2148">IFERROR(INDEX('Retirement Calculator'!K:K,MATCH('Lorri 401b'!N2148,'Retirement Calculator'!A:A,0),0),0)</f>
        <v>0</v>
      </c>
      <c r="K2148" s="455">
        <f t="shared" ca="1" si="123"/>
        <v>-13238847.865635067</v>
      </c>
      <c r="L2148" s="455">
        <f t="shared" ca="1" si="124"/>
        <v>-3190562335.6180511</v>
      </c>
      <c r="M2148" s="471">
        <f t="shared" si="126"/>
        <v>0.05</v>
      </c>
      <c r="N2148" s="475">
        <f t="shared" si="127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25"/>
        <v>-3190562335.6180511</v>
      </c>
      <c r="J2149" s="455">
        <f t="array" ref="J2149">IFERROR(INDEX('Retirement Calculator'!K:K,MATCH('Lorri 401b'!N2149,'Retirement Calculator'!A:A,0),0),0)</f>
        <v>0</v>
      </c>
      <c r="K2149" s="455">
        <f t="shared" ca="1" si="123"/>
        <v>-13294009.731741879</v>
      </c>
      <c r="L2149" s="455">
        <f t="shared" ca="1" si="124"/>
        <v>-3203856345.349793</v>
      </c>
      <c r="M2149" s="471">
        <f t="shared" si="126"/>
        <v>0.05</v>
      </c>
      <c r="N2149" s="475">
        <f t="shared" si="127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25"/>
        <v>-3203856345.349793</v>
      </c>
      <c r="J2150" s="455">
        <f t="array" ref="J2150">IFERROR(INDEX('Retirement Calculator'!K:K,MATCH('Lorri 401b'!N2150,'Retirement Calculator'!A:A,0),0),0)</f>
        <v>0</v>
      </c>
      <c r="K2150" s="455">
        <f t="shared" ca="1" si="123"/>
        <v>-13349401.438957471</v>
      </c>
      <c r="L2150" s="455">
        <f t="shared" ca="1" si="124"/>
        <v>-3217205746.7887506</v>
      </c>
      <c r="M2150" s="471">
        <f t="shared" si="126"/>
        <v>0.05</v>
      </c>
      <c r="N2150" s="475">
        <f t="shared" si="127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25"/>
        <v>-3217205746.7887506</v>
      </c>
      <c r="J2151" s="455">
        <f t="array" ref="J2151">IFERROR(INDEX('Retirement Calculator'!K:K,MATCH('Lorri 401b'!N2151,'Retirement Calculator'!A:A,0),0),0)</f>
        <v>0</v>
      </c>
      <c r="K2151" s="455">
        <f t="shared" ca="1" si="123"/>
        <v>-13405023.944953127</v>
      </c>
      <c r="L2151" s="455">
        <f t="shared" ca="1" si="124"/>
        <v>-3230610770.7337036</v>
      </c>
      <c r="M2151" s="471">
        <f t="shared" si="126"/>
        <v>0.05</v>
      </c>
      <c r="N2151" s="475">
        <f t="shared" si="127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25"/>
        <v>-3230610770.7337036</v>
      </c>
      <c r="J2152" s="455">
        <f t="array" ref="J2152">IFERROR(INDEX('Retirement Calculator'!K:K,MATCH('Lorri 401b'!N2152,'Retirement Calculator'!A:A,0),0),0)</f>
        <v>0</v>
      </c>
      <c r="K2152" s="455">
        <f t="shared" ca="1" si="123"/>
        <v>-13460878.211390432</v>
      </c>
      <c r="L2152" s="455">
        <f t="shared" ca="1" si="124"/>
        <v>-3244071648.9450941</v>
      </c>
      <c r="M2152" s="471">
        <f t="shared" si="126"/>
        <v>0.05</v>
      </c>
      <c r="N2152" s="475">
        <f t="shared" si="127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25"/>
        <v>-3244071648.9450941</v>
      </c>
      <c r="J2153" s="455">
        <f t="array" ref="J2153">IFERROR(INDEX('Retirement Calculator'!K:K,MATCH('Lorri 401b'!N2153,'Retirement Calculator'!A:A,0),0),0)</f>
        <v>0</v>
      </c>
      <c r="K2153" s="455">
        <f t="shared" ca="1" si="123"/>
        <v>-13516965.203937892</v>
      </c>
      <c r="L2153" s="455">
        <f t="shared" ca="1" si="124"/>
        <v>-3257588614.1490321</v>
      </c>
      <c r="M2153" s="471">
        <f t="shared" si="126"/>
        <v>0.05</v>
      </c>
      <c r="N2153" s="475">
        <f t="shared" si="127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25"/>
        <v>-3257588614.1490321</v>
      </c>
      <c r="J2154" s="455">
        <f t="array" ref="J2154">IFERROR(INDEX('Retirement Calculator'!K:K,MATCH('Lorri 401b'!N2154,'Retirement Calculator'!A:A,0),0),0)</f>
        <v>0</v>
      </c>
      <c r="K2154" s="455">
        <f t="shared" ca="1" si="123"/>
        <v>-13573285.892287634</v>
      </c>
      <c r="L2154" s="455">
        <f t="shared" ca="1" si="124"/>
        <v>-3271161900.0413198</v>
      </c>
      <c r="M2154" s="471">
        <f t="shared" si="126"/>
        <v>0.05</v>
      </c>
      <c r="N2154" s="475">
        <f t="shared" si="127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25"/>
        <v>-3271161900.0413198</v>
      </c>
      <c r="J2155" s="455">
        <f t="array" ref="J2155">IFERROR(INDEX('Retirement Calculator'!K:K,MATCH('Lorri 401b'!N2155,'Retirement Calculator'!A:A,0),0),0)</f>
        <v>0</v>
      </c>
      <c r="K2155" s="455">
        <f t="shared" ca="1" si="123"/>
        <v>-13629841.250172166</v>
      </c>
      <c r="L2155" s="455">
        <f t="shared" ca="1" si="124"/>
        <v>-3284791741.291492</v>
      </c>
      <c r="M2155" s="471">
        <f t="shared" si="126"/>
        <v>0.05</v>
      </c>
      <c r="N2155" s="475">
        <f t="shared" si="127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25"/>
        <v>-3284791741.291492</v>
      </c>
      <c r="J2156" s="455">
        <f t="array" ref="J2156">IFERROR(INDEX('Retirement Calculator'!K:K,MATCH('Lorri 401b'!N2156,'Retirement Calculator'!A:A,0),0),0)</f>
        <v>0</v>
      </c>
      <c r="K2156" s="455">
        <f t="shared" ca="1" si="123"/>
        <v>-13686632.255381217</v>
      </c>
      <c r="L2156" s="455">
        <f t="shared" ca="1" si="124"/>
        <v>-3298478373.5468731</v>
      </c>
      <c r="M2156" s="471">
        <f t="shared" si="126"/>
        <v>0.05</v>
      </c>
      <c r="N2156" s="475">
        <f t="shared" si="127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25"/>
        <v>-3298478373.5468731</v>
      </c>
      <c r="J2157" s="455">
        <f t="array" ref="J2157">IFERROR(INDEX('Retirement Calculator'!K:K,MATCH('Lorri 401b'!N2157,'Retirement Calculator'!A:A,0),0),0)</f>
        <v>0</v>
      </c>
      <c r="K2157" s="455">
        <f t="shared" ca="1" si="123"/>
        <v>-13743659.889778638</v>
      </c>
      <c r="L2157" s="455">
        <f t="shared" ca="1" si="124"/>
        <v>-3312222033.4366517</v>
      </c>
      <c r="M2157" s="471">
        <f t="shared" si="126"/>
        <v>0.05</v>
      </c>
      <c r="N2157" s="475">
        <f t="shared" si="127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25"/>
        <v>-3312222033.4366517</v>
      </c>
      <c r="J2158" s="455">
        <f t="array" ref="J2158">IFERROR(INDEX('Retirement Calculator'!K:K,MATCH('Lorri 401b'!N2158,'Retirement Calculator'!A:A,0),0),0)</f>
        <v>0</v>
      </c>
      <c r="K2158" s="455">
        <f t="shared" ca="1" si="123"/>
        <v>-13800925.139319383</v>
      </c>
      <c r="L2158" s="455">
        <f t="shared" ca="1" si="124"/>
        <v>-3326022958.5759711</v>
      </c>
      <c r="M2158" s="471">
        <f t="shared" si="126"/>
        <v>0.05</v>
      </c>
      <c r="N2158" s="475">
        <f t="shared" si="127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25"/>
        <v>-3326022958.5759711</v>
      </c>
      <c r="J2159" s="455">
        <f t="array" ref="J2159">IFERROR(INDEX('Retirement Calculator'!K:K,MATCH('Lorri 401b'!N2159,'Retirement Calculator'!A:A,0),0),0)</f>
        <v>0</v>
      </c>
      <c r="K2159" s="455">
        <f t="shared" ca="1" si="123"/>
        <v>-13858428.994066546</v>
      </c>
      <c r="L2159" s="455">
        <f t="shared" ca="1" si="124"/>
        <v>-3339881387.5700378</v>
      </c>
      <c r="M2159" s="471">
        <f t="shared" si="126"/>
        <v>0.05</v>
      </c>
      <c r="N2159" s="475">
        <f t="shared" si="127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25"/>
        <v>-3339881387.5700378</v>
      </c>
      <c r="J2160" s="455">
        <f t="array" ref="J2160">IFERROR(INDEX('Retirement Calculator'!K:K,MATCH('Lorri 401b'!N2160,'Retirement Calculator'!A:A,0),0),0)</f>
        <v>0</v>
      </c>
      <c r="K2160" s="455">
        <f t="shared" ca="1" si="123"/>
        <v>-13916172.44820849</v>
      </c>
      <c r="L2160" s="455">
        <f t="shared" ca="1" si="124"/>
        <v>-3353797560.0182462</v>
      </c>
      <c r="M2160" s="471">
        <f t="shared" si="126"/>
        <v>0.05</v>
      </c>
      <c r="N2160" s="475">
        <f t="shared" si="127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25"/>
        <v>-3353797560.0182462</v>
      </c>
      <c r="J2161" s="455">
        <f t="array" ref="J2161">IFERROR(INDEX('Retirement Calculator'!K:K,MATCH('Lorri 401b'!N2161,'Retirement Calculator'!A:A,0),0),0)</f>
        <v>0</v>
      </c>
      <c r="K2161" s="455">
        <f t="shared" ca="1" si="123"/>
        <v>-13974156.500076024</v>
      </c>
      <c r="L2161" s="455">
        <f t="shared" ca="1" si="124"/>
        <v>-3367771716.518322</v>
      </c>
      <c r="M2161" s="471">
        <f t="shared" si="126"/>
        <v>0.05</v>
      </c>
      <c r="N2161" s="475">
        <f t="shared" si="127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25"/>
        <v>-3367771716.518322</v>
      </c>
      <c r="J2162" s="455">
        <f t="array" ref="J2162">IFERROR(INDEX('Retirement Calculator'!K:K,MATCH('Lorri 401b'!N2162,'Retirement Calculator'!A:A,0),0),0)</f>
        <v>0</v>
      </c>
      <c r="K2162" s="455">
        <f t="shared" ca="1" si="123"/>
        <v>-14032382.152159674</v>
      </c>
      <c r="L2162" s="455">
        <f t="shared" ca="1" si="124"/>
        <v>-3381804098.6704817</v>
      </c>
      <c r="M2162" s="471">
        <f t="shared" si="126"/>
        <v>0.05</v>
      </c>
      <c r="N2162" s="475">
        <f t="shared" si="127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25"/>
        <v>-3381804098.6704817</v>
      </c>
      <c r="J2163" s="455">
        <f t="array" ref="J2163">IFERROR(INDEX('Retirement Calculator'!K:K,MATCH('Lorri 401b'!N2163,'Retirement Calculator'!A:A,0),0),0)</f>
        <v>0</v>
      </c>
      <c r="K2163" s="455">
        <f t="shared" ca="1" si="123"/>
        <v>-14090850.411127007</v>
      </c>
      <c r="L2163" s="455">
        <f t="shared" ca="1" si="124"/>
        <v>-3395894949.0816088</v>
      </c>
      <c r="M2163" s="471">
        <f t="shared" si="126"/>
        <v>0.05</v>
      </c>
      <c r="N2163" s="475">
        <f t="shared" si="127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25"/>
        <v>-3395894949.0816088</v>
      </c>
      <c r="J2164" s="455">
        <f t="array" ref="J2164">IFERROR(INDEX('Retirement Calculator'!K:K,MATCH('Lorri 401b'!N2164,'Retirement Calculator'!A:A,0),0),0)</f>
        <v>0</v>
      </c>
      <c r="K2164" s="455">
        <f t="shared" ca="1" si="123"/>
        <v>-14149562.287840037</v>
      </c>
      <c r="L2164" s="455">
        <f t="shared" ca="1" si="124"/>
        <v>-3410044511.3694487</v>
      </c>
      <c r="M2164" s="471">
        <f t="shared" si="126"/>
        <v>0.05</v>
      </c>
      <c r="N2164" s="475">
        <f t="shared" si="127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25"/>
        <v>-3410044511.3694487</v>
      </c>
      <c r="J2165" s="455">
        <f t="array" ref="J2165">IFERROR(INDEX('Retirement Calculator'!K:K,MATCH('Lorri 401b'!N2165,'Retirement Calculator'!A:A,0),0),0)</f>
        <v>0</v>
      </c>
      <c r="K2165" s="455">
        <f t="shared" ca="1" si="123"/>
        <v>-14208518.797372703</v>
      </c>
      <c r="L2165" s="455">
        <f t="shared" ca="1" si="124"/>
        <v>-3424253030.1668215</v>
      </c>
      <c r="M2165" s="471">
        <f t="shared" si="126"/>
        <v>0.05</v>
      </c>
      <c r="N2165" s="475">
        <f t="shared" si="127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25"/>
        <v>-3424253030.1668215</v>
      </c>
      <c r="J2166" s="455">
        <f t="array" ref="J2166">IFERROR(INDEX('Retirement Calculator'!K:K,MATCH('Lorri 401b'!N2166,'Retirement Calculator'!A:A,0),0),0)</f>
        <v>0</v>
      </c>
      <c r="K2166" s="455">
        <f t="shared" ca="1" si="123"/>
        <v>-14267720.959028423</v>
      </c>
      <c r="L2166" s="455">
        <f t="shared" ca="1" si="124"/>
        <v>-3438520751.1258497</v>
      </c>
      <c r="M2166" s="471">
        <f t="shared" si="126"/>
        <v>0.05</v>
      </c>
      <c r="N2166" s="475">
        <f t="shared" si="127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25"/>
        <v>-3438520751.1258497</v>
      </c>
      <c r="J2167" s="455">
        <f t="array" ref="J2167">IFERROR(INDEX('Retirement Calculator'!K:K,MATCH('Lorri 401b'!N2167,'Retirement Calculator'!A:A,0),0),0)</f>
        <v>0</v>
      </c>
      <c r="K2167" s="455">
        <f t="shared" ca="1" si="123"/>
        <v>-14327169.796357706</v>
      </c>
      <c r="L2167" s="455">
        <f t="shared" ca="1" si="124"/>
        <v>-3452847920.9222074</v>
      </c>
      <c r="M2167" s="471">
        <f t="shared" si="126"/>
        <v>0.05</v>
      </c>
      <c r="N2167" s="475">
        <f t="shared" si="127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25"/>
        <v>-3452847920.9222074</v>
      </c>
      <c r="J2168" s="455">
        <f t="array" ref="J2168">IFERROR(INDEX('Retirement Calculator'!K:K,MATCH('Lorri 401b'!N2168,'Retirement Calculator'!A:A,0),0),0)</f>
        <v>0</v>
      </c>
      <c r="K2168" s="455">
        <f t="shared" ca="1" si="123"/>
        <v>-14386866.337175863</v>
      </c>
      <c r="L2168" s="455">
        <f t="shared" ca="1" si="124"/>
        <v>-3467234787.2593832</v>
      </c>
      <c r="M2168" s="471">
        <f t="shared" si="126"/>
        <v>0.05</v>
      </c>
      <c r="N2168" s="475">
        <f t="shared" si="127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25"/>
        <v>-3467234787.2593832</v>
      </c>
      <c r="J2169" s="455">
        <f t="array" ref="J2169">IFERROR(INDEX('Retirement Calculator'!K:K,MATCH('Lorri 401b'!N2169,'Retirement Calculator'!A:A,0),0),0)</f>
        <v>0</v>
      </c>
      <c r="K2169" s="455">
        <f t="shared" ca="1" si="123"/>
        <v>-14446811.613580763</v>
      </c>
      <c r="L2169" s="455">
        <f t="shared" ca="1" si="124"/>
        <v>-3481681598.8729639</v>
      </c>
      <c r="M2169" s="471">
        <f t="shared" si="126"/>
        <v>0.05</v>
      </c>
      <c r="N2169" s="475">
        <f t="shared" si="127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25"/>
        <v>-3481681598.8729639</v>
      </c>
      <c r="J2170" s="455">
        <f t="array" ref="J2170">IFERROR(INDEX('Retirement Calculator'!K:K,MATCH('Lorri 401b'!N2170,'Retirement Calculator'!A:A,0),0),0)</f>
        <v>0</v>
      </c>
      <c r="K2170" s="455">
        <f t="shared" ca="1" si="123"/>
        <v>-14507006.661970682</v>
      </c>
      <c r="L2170" s="455">
        <f t="shared" ca="1" si="124"/>
        <v>-3496188605.5349345</v>
      </c>
      <c r="M2170" s="471">
        <f t="shared" si="126"/>
        <v>0.05</v>
      </c>
      <c r="N2170" s="475">
        <f t="shared" si="127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25"/>
        <v>-3496188605.5349345</v>
      </c>
      <c r="J2171" s="455">
        <f t="array" ref="J2171">IFERROR(INDEX('Retirement Calculator'!K:K,MATCH('Lorri 401b'!N2171,'Retirement Calculator'!A:A,0),0),0)</f>
        <v>0</v>
      </c>
      <c r="K2171" s="455">
        <f t="shared" ca="1" si="123"/>
        <v>-14567452.523062227</v>
      </c>
      <c r="L2171" s="455">
        <f t="shared" ca="1" si="124"/>
        <v>-3510756058.0579967</v>
      </c>
      <c r="M2171" s="471">
        <f t="shared" si="126"/>
        <v>0.05</v>
      </c>
      <c r="N2171" s="475">
        <f t="shared" si="127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25"/>
        <v>-3510756058.0579967</v>
      </c>
      <c r="J2172" s="455">
        <f t="array" ref="J2172">IFERROR(INDEX('Retirement Calculator'!K:K,MATCH('Lorri 401b'!N2172,'Retirement Calculator'!A:A,0),0),0)</f>
        <v>0</v>
      </c>
      <c r="K2172" s="455">
        <f t="shared" ca="1" si="123"/>
        <v>-14628150.241908321</v>
      </c>
      <c r="L2172" s="455">
        <f t="shared" ca="1" si="124"/>
        <v>-3525384208.2999053</v>
      </c>
      <c r="M2172" s="471">
        <f t="shared" si="126"/>
        <v>0.05</v>
      </c>
      <c r="N2172" s="475">
        <f t="shared" si="127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25"/>
        <v>-3525384208.2999053</v>
      </c>
      <c r="J2173" s="455">
        <f t="array" ref="J2173">IFERROR(INDEX('Retirement Calculator'!K:K,MATCH('Lorri 401b'!N2173,'Retirement Calculator'!A:A,0),0),0)</f>
        <v>0</v>
      </c>
      <c r="K2173" s="455">
        <f t="shared" ca="1" si="123"/>
        <v>-14689100.867916273</v>
      </c>
      <c r="L2173" s="455">
        <f t="shared" ca="1" si="124"/>
        <v>-3540073309.1678214</v>
      </c>
      <c r="M2173" s="471">
        <f t="shared" si="126"/>
        <v>0.05</v>
      </c>
      <c r="N2173" s="475">
        <f t="shared" si="127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25"/>
        <v>-3540073309.1678214</v>
      </c>
      <c r="J2174" s="455">
        <f t="array" ref="J2174">IFERROR(INDEX('Retirement Calculator'!K:K,MATCH('Lorri 401b'!N2174,'Retirement Calculator'!A:A,0),0),0)</f>
        <v>0</v>
      </c>
      <c r="K2174" s="455">
        <f t="shared" ca="1" si="123"/>
        <v>-14750305.454865923</v>
      </c>
      <c r="L2174" s="455">
        <f t="shared" ca="1" si="124"/>
        <v>-3554823614.6226873</v>
      </c>
      <c r="M2174" s="471">
        <f t="shared" si="126"/>
        <v>0.05</v>
      </c>
      <c r="N2174" s="475">
        <f t="shared" si="127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25"/>
        <v>-3554823614.6226873</v>
      </c>
      <c r="J2175" s="455">
        <f t="array" ref="J2175">IFERROR(INDEX('Retirement Calculator'!K:K,MATCH('Lorri 401b'!N2175,'Retirement Calculator'!A:A,0),0),0)</f>
        <v>0</v>
      </c>
      <c r="K2175" s="455">
        <f t="shared" ca="1" si="123"/>
        <v>-14811765.060927864</v>
      </c>
      <c r="L2175" s="455">
        <f t="shared" ca="1" si="124"/>
        <v>-3569635379.6836152</v>
      </c>
      <c r="M2175" s="471">
        <f t="shared" si="126"/>
        <v>0.05</v>
      </c>
      <c r="N2175" s="475">
        <f t="shared" si="127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25"/>
        <v>-3569635379.6836152</v>
      </c>
      <c r="J2176" s="455">
        <f t="array" ref="J2176">IFERROR(INDEX('Retirement Calculator'!K:K,MATCH('Lorri 401b'!N2176,'Retirement Calculator'!A:A,0),0),0)</f>
        <v>0</v>
      </c>
      <c r="K2176" s="455">
        <f t="shared" ca="1" si="123"/>
        <v>-14873480.74868173</v>
      </c>
      <c r="L2176" s="455">
        <f t="shared" ca="1" si="124"/>
        <v>-3584508860.4322968</v>
      </c>
      <c r="M2176" s="471">
        <f t="shared" si="126"/>
        <v>0.05</v>
      </c>
      <c r="N2176" s="475">
        <f t="shared" si="127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25"/>
        <v>-3584508860.4322968</v>
      </c>
      <c r="J2177" s="455">
        <f t="array" ref="J2177">IFERROR(INDEX('Retirement Calculator'!K:K,MATCH('Lorri 401b'!N2177,'Retirement Calculator'!A:A,0),0),0)</f>
        <v>0</v>
      </c>
      <c r="K2177" s="455">
        <f t="shared" ca="1" si="123"/>
        <v>-14935453.58513457</v>
      </c>
      <c r="L2177" s="455">
        <f t="shared" ca="1" si="124"/>
        <v>-3599444314.0174313</v>
      </c>
      <c r="M2177" s="471">
        <f t="shared" si="126"/>
        <v>0.05</v>
      </c>
      <c r="N2177" s="475">
        <f t="shared" si="127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25"/>
        <v>-3599444314.0174313</v>
      </c>
      <c r="J2178" s="455">
        <f t="array" ref="J2178">IFERROR(INDEX('Retirement Calculator'!K:K,MATCH('Lorri 401b'!N2178,'Retirement Calculator'!A:A,0),0),0)</f>
        <v>0</v>
      </c>
      <c r="K2178" s="455">
        <f t="shared" ca="1" si="123"/>
        <v>-14997684.641739296</v>
      </c>
      <c r="L2178" s="455">
        <f t="shared" ca="1" si="124"/>
        <v>-3614441998.6591706</v>
      </c>
      <c r="M2178" s="471">
        <f t="shared" si="126"/>
        <v>0.05</v>
      </c>
      <c r="N2178" s="475">
        <f t="shared" si="127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25"/>
        <v>-3614441998.6591706</v>
      </c>
      <c r="J2179" s="455">
        <f t="array" ref="J2179">IFERROR(INDEX('Retirement Calculator'!K:K,MATCH('Lorri 401b'!N2179,'Retirement Calculator'!A:A,0),0),0)</f>
        <v>0</v>
      </c>
      <c r="K2179" s="455">
        <f t="shared" ca="1" si="123"/>
        <v>-15060174.99441321</v>
      </c>
      <c r="L2179" s="455">
        <f t="shared" ca="1" si="124"/>
        <v>-3629502173.653584</v>
      </c>
      <c r="M2179" s="471">
        <f t="shared" si="126"/>
        <v>0.05</v>
      </c>
      <c r="N2179" s="475">
        <f t="shared" si="127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25"/>
        <v>-3629502173.653584</v>
      </c>
      <c r="J2180" s="455">
        <f t="array" ref="J2180">IFERROR(INDEX('Retirement Calculator'!K:K,MATCH('Lorri 401b'!N2180,'Retirement Calculator'!A:A,0),0),0)</f>
        <v>0</v>
      </c>
      <c r="K2180" s="455">
        <f t="shared" ca="1" si="123"/>
        <v>-15122925.723556601</v>
      </c>
      <c r="L2180" s="455">
        <f t="shared" ca="1" si="124"/>
        <v>-3644625099.3771405</v>
      </c>
      <c r="M2180" s="471">
        <f t="shared" si="126"/>
        <v>0.05</v>
      </c>
      <c r="N2180" s="475">
        <f t="shared" si="127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25"/>
        <v>-3644625099.3771405</v>
      </c>
      <c r="J2181" s="455">
        <f t="array" ref="J2181">IFERROR(INDEX('Retirement Calculator'!K:K,MATCH('Lorri 401b'!N2181,'Retirement Calculator'!A:A,0),0),0)</f>
        <v>0</v>
      </c>
      <c r="K2181" s="455">
        <f t="shared" ca="1" si="123"/>
        <v>-15185937.914071418</v>
      </c>
      <c r="L2181" s="455">
        <f t="shared" ca="1" si="124"/>
        <v>-3659811037.2912121</v>
      </c>
      <c r="M2181" s="471">
        <f t="shared" si="126"/>
        <v>0.05</v>
      </c>
      <c r="N2181" s="475">
        <f t="shared" si="127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25"/>
        <v>-3659811037.2912121</v>
      </c>
      <c r="J2182" s="455">
        <f t="array" ref="J2182">IFERROR(INDEX('Retirement Calculator'!K:K,MATCH('Lorri 401b'!N2182,'Retirement Calculator'!A:A,0),0),0)</f>
        <v>0</v>
      </c>
      <c r="K2182" s="455">
        <f t="shared" ca="1" si="123"/>
        <v>-15249212.65538005</v>
      </c>
      <c r="L2182" s="455">
        <f t="shared" ca="1" si="124"/>
        <v>-3675060249.9465923</v>
      </c>
      <c r="M2182" s="471">
        <f t="shared" si="126"/>
        <v>0.05</v>
      </c>
      <c r="N2182" s="475">
        <f t="shared" si="127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25"/>
        <v>-3675060249.9465923</v>
      </c>
      <c r="J2183" s="455">
        <f t="array" ref="J2183">IFERROR(INDEX('Retirement Calculator'!K:K,MATCH('Lorri 401b'!N2183,'Retirement Calculator'!A:A,0),0),0)</f>
        <v>0</v>
      </c>
      <c r="K2183" s="455">
        <f t="shared" ca="1" si="123"/>
        <v>-15312751.041444134</v>
      </c>
      <c r="L2183" s="455">
        <f t="shared" ca="1" si="124"/>
        <v>-3690373000.9880366</v>
      </c>
      <c r="M2183" s="471">
        <f t="shared" si="126"/>
        <v>0.05</v>
      </c>
      <c r="N2183" s="475">
        <f t="shared" si="127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25"/>
        <v>-3690373000.9880366</v>
      </c>
      <c r="J2184" s="455">
        <f t="array" ref="J2184">IFERROR(INDEX('Retirement Calculator'!K:K,MATCH('Lorri 401b'!N2184,'Retirement Calculator'!A:A,0),0),0)</f>
        <v>0</v>
      </c>
      <c r="K2184" s="455">
        <f t="shared" ca="1" si="123"/>
        <v>-15376554.170783486</v>
      </c>
      <c r="L2184" s="455">
        <f t="shared" ca="1" si="124"/>
        <v>-3705749555.1588202</v>
      </c>
      <c r="M2184" s="471">
        <f t="shared" si="126"/>
        <v>0.05</v>
      </c>
      <c r="N2184" s="475">
        <f t="shared" si="127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25"/>
        <v>-3705749555.1588202</v>
      </c>
      <c r="J2185" s="455">
        <f t="array" ref="J2185">IFERROR(INDEX('Retirement Calculator'!K:K,MATCH('Lorri 401b'!N2185,'Retirement Calculator'!A:A,0),0),0)</f>
        <v>0</v>
      </c>
      <c r="K2185" s="455">
        <f t="shared" ca="1" si="123"/>
        <v>-15440623.146495085</v>
      </c>
      <c r="L2185" s="455">
        <f t="shared" ca="1" si="124"/>
        <v>-3721190178.305315</v>
      </c>
      <c r="M2185" s="471">
        <f t="shared" si="126"/>
        <v>0.05</v>
      </c>
      <c r="N2185" s="475">
        <f t="shared" si="127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25"/>
        <v>-3721190178.305315</v>
      </c>
      <c r="J2186" s="455">
        <f t="array" ref="J2186">IFERROR(INDEX('Retirement Calculator'!K:K,MATCH('Lorri 401b'!N2186,'Retirement Calculator'!A:A,0),0),0)</f>
        <v>0</v>
      </c>
      <c r="K2186" s="455">
        <f t="shared" ca="1" si="123"/>
        <v>-15504959.076272145</v>
      </c>
      <c r="L2186" s="455">
        <f t="shared" ca="1" si="124"/>
        <v>-3736695137.381587</v>
      </c>
      <c r="M2186" s="471">
        <f t="shared" si="126"/>
        <v>0.05</v>
      </c>
      <c r="N2186" s="475">
        <f t="shared" si="127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25"/>
        <v>-3736695137.381587</v>
      </c>
      <c r="J2187" s="455">
        <f t="array" ref="J2187">IFERROR(INDEX('Retirement Calculator'!K:K,MATCH('Lorri 401b'!N2187,'Retirement Calculator'!A:A,0),0),0)</f>
        <v>0</v>
      </c>
      <c r="K2187" s="455">
        <f t="shared" ca="1" si="123"/>
        <v>-15569563.072423279</v>
      </c>
      <c r="L2187" s="455">
        <f t="shared" ca="1" si="124"/>
        <v>-3752264700.4540105</v>
      </c>
      <c r="M2187" s="471">
        <f t="shared" si="126"/>
        <v>0.05</v>
      </c>
      <c r="N2187" s="475">
        <f t="shared" si="127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25"/>
        <v>-3752264700.4540105</v>
      </c>
      <c r="J2188" s="455">
        <f t="array" ref="J2188">IFERROR(INDEX('Retirement Calculator'!K:K,MATCH('Lorri 401b'!N2188,'Retirement Calculator'!A:A,0),0),0)</f>
        <v>0</v>
      </c>
      <c r="K2188" s="455">
        <f t="shared" ca="1" si="123"/>
        <v>-15634436.251891712</v>
      </c>
      <c r="L2188" s="455">
        <f t="shared" ca="1" si="124"/>
        <v>-3767899136.7059021</v>
      </c>
      <c r="M2188" s="471">
        <f t="shared" si="126"/>
        <v>0.05</v>
      </c>
      <c r="N2188" s="475">
        <f t="shared" si="127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25"/>
        <v>-3767899136.7059021</v>
      </c>
      <c r="J2189" s="455">
        <f t="array" ref="J2189">IFERROR(INDEX('Retirement Calculator'!K:K,MATCH('Lorri 401b'!N2189,'Retirement Calculator'!A:A,0),0),0)</f>
        <v>0</v>
      </c>
      <c r="K2189" s="455">
        <f t="shared" ca="1" si="123"/>
        <v>-15699579.736274593</v>
      </c>
      <c r="L2189" s="455">
        <f t="shared" ca="1" si="124"/>
        <v>-3783598716.4421768</v>
      </c>
      <c r="M2189" s="471">
        <f t="shared" si="126"/>
        <v>0.05</v>
      </c>
      <c r="N2189" s="475">
        <f t="shared" si="127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25"/>
        <v>-3783598716.4421768</v>
      </c>
      <c r="J2190" s="455">
        <f t="array" ref="J2190">IFERROR(INDEX('Retirement Calculator'!K:K,MATCH('Lorri 401b'!N2190,'Retirement Calculator'!A:A,0),0),0)</f>
        <v>0</v>
      </c>
      <c r="K2190" s="455">
        <f t="shared" ca="1" si="123"/>
        <v>-15764994.651842402</v>
      </c>
      <c r="L2190" s="455">
        <f t="shared" ca="1" si="124"/>
        <v>-3799363711.0940194</v>
      </c>
      <c r="M2190" s="471">
        <f t="shared" si="126"/>
        <v>0.05</v>
      </c>
      <c r="N2190" s="475">
        <f t="shared" si="127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25"/>
        <v>-3799363711.0940194</v>
      </c>
      <c r="J2191" s="455">
        <f t="array" ref="J2191">IFERROR(INDEX('Retirement Calculator'!K:K,MATCH('Lorri 401b'!N2191,'Retirement Calculator'!A:A,0),0),0)</f>
        <v>0</v>
      </c>
      <c r="K2191" s="455">
        <f t="shared" ca="1" si="123"/>
        <v>-15830682.129558412</v>
      </c>
      <c r="L2191" s="455">
        <f t="shared" ca="1" si="124"/>
        <v>-3815194393.223578</v>
      </c>
      <c r="M2191" s="471">
        <f t="shared" si="126"/>
        <v>0.05</v>
      </c>
      <c r="N2191" s="475">
        <f t="shared" si="127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25"/>
        <v>-3815194393.223578</v>
      </c>
      <c r="J2192" s="455">
        <f t="array" ref="J2192">IFERROR(INDEX('Retirement Calculator'!K:K,MATCH('Lorri 401b'!N2192,'Retirement Calculator'!A:A,0),0),0)</f>
        <v>0</v>
      </c>
      <c r="K2192" s="455">
        <f t="shared" ca="1" si="123"/>
        <v>-15896643.305098243</v>
      </c>
      <c r="L2192" s="455">
        <f t="shared" ca="1" si="124"/>
        <v>-3831091036.528676</v>
      </c>
      <c r="M2192" s="471">
        <f t="shared" si="126"/>
        <v>0.05</v>
      </c>
      <c r="N2192" s="475">
        <f t="shared" si="127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25"/>
        <v>-3831091036.528676</v>
      </c>
      <c r="J2193" s="455">
        <f t="array" ref="J2193">IFERROR(INDEX('Retirement Calculator'!K:K,MATCH('Lorri 401b'!N2193,'Retirement Calculator'!A:A,0),0),0)</f>
        <v>0</v>
      </c>
      <c r="K2193" s="455">
        <f t="shared" ca="1" si="123"/>
        <v>-15962879.318869483</v>
      </c>
      <c r="L2193" s="455">
        <f t="shared" ca="1" si="124"/>
        <v>-3847053915.8475456</v>
      </c>
      <c r="M2193" s="471">
        <f t="shared" si="126"/>
        <v>0.05</v>
      </c>
      <c r="N2193" s="475">
        <f t="shared" si="127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25"/>
        <v>-3847053915.8475456</v>
      </c>
      <c r="J2194" s="455">
        <f t="array" ref="J2194">IFERROR(INDEX('Retirement Calculator'!K:K,MATCH('Lorri 401b'!N2194,'Retirement Calculator'!A:A,0),0),0)</f>
        <v>0</v>
      </c>
      <c r="K2194" s="455">
        <f t="shared" ca="1" si="123"/>
        <v>-16029391.316031439</v>
      </c>
      <c r="L2194" s="455">
        <f t="shared" ca="1" si="124"/>
        <v>-3863083307.1635771</v>
      </c>
      <c r="M2194" s="471">
        <f t="shared" si="126"/>
        <v>0.05</v>
      </c>
      <c r="N2194" s="475">
        <f t="shared" si="127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25"/>
        <v>-3863083307.1635771</v>
      </c>
      <c r="J2195" s="455">
        <f t="array" ref="J2195">IFERROR(INDEX('Retirement Calculator'!K:K,MATCH('Lorri 401b'!N2195,'Retirement Calculator'!A:A,0),0),0)</f>
        <v>0</v>
      </c>
      <c r="K2195" s="455">
        <f t="shared" ca="1" si="123"/>
        <v>-16096180.446514904</v>
      </c>
      <c r="L2195" s="455">
        <f t="shared" ca="1" si="124"/>
        <v>-3879179487.6100922</v>
      </c>
      <c r="M2195" s="471">
        <f t="shared" si="126"/>
        <v>0.05</v>
      </c>
      <c r="N2195" s="475">
        <f t="shared" si="127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25"/>
        <v>-3879179487.6100922</v>
      </c>
      <c r="J2196" s="455">
        <f t="array" ref="J2196">IFERROR(INDEX('Retirement Calculator'!K:K,MATCH('Lorri 401b'!N2196,'Retirement Calculator'!A:A,0),0),0)</f>
        <v>0</v>
      </c>
      <c r="K2196" s="455">
        <f t="shared" ca="1" si="123"/>
        <v>-16163247.865042051</v>
      </c>
      <c r="L2196" s="455">
        <f t="shared" ca="1" si="124"/>
        <v>-3895342735.4751344</v>
      </c>
      <c r="M2196" s="471">
        <f t="shared" si="126"/>
        <v>0.05</v>
      </c>
      <c r="N2196" s="475">
        <f t="shared" si="127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25"/>
        <v>-3895342735.4751344</v>
      </c>
      <c r="J2197" s="455">
        <f t="array" ref="J2197">IFERROR(INDEX('Retirement Calculator'!K:K,MATCH('Lorri 401b'!N2197,'Retirement Calculator'!A:A,0),0),0)</f>
        <v>0</v>
      </c>
      <c r="K2197" s="455">
        <f t="shared" ca="1" si="123"/>
        <v>-16230594.731146395</v>
      </c>
      <c r="L2197" s="455">
        <f t="shared" ca="1" si="124"/>
        <v>-3911573330.2062807</v>
      </c>
      <c r="M2197" s="471">
        <f t="shared" si="126"/>
        <v>0.05</v>
      </c>
      <c r="N2197" s="475">
        <f t="shared" si="127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25"/>
        <v>-3911573330.2062807</v>
      </c>
      <c r="J2198" s="455">
        <f t="array" ref="J2198">IFERROR(INDEX('Retirement Calculator'!K:K,MATCH('Lorri 401b'!N2198,'Retirement Calculator'!A:A,0),0),0)</f>
        <v>0</v>
      </c>
      <c r="K2198" s="455">
        <f t="shared" ca="1" si="123"/>
        <v>-16298222.209192837</v>
      </c>
      <c r="L2198" s="455">
        <f t="shared" ca="1" si="124"/>
        <v>-3927871552.4154735</v>
      </c>
      <c r="M2198" s="471">
        <f t="shared" si="126"/>
        <v>0.05</v>
      </c>
      <c r="N2198" s="475">
        <f t="shared" si="127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25"/>
        <v>-3927871552.4154735</v>
      </c>
      <c r="J2199" s="455">
        <f t="array" ref="J2199">IFERROR(INDEX('Retirement Calculator'!K:K,MATCH('Lorri 401b'!N2199,'Retirement Calculator'!A:A,0),0),0)</f>
        <v>0</v>
      </c>
      <c r="K2199" s="455">
        <f t="shared" ca="1" si="123"/>
        <v>-16366131.468397805</v>
      </c>
      <c r="L2199" s="455">
        <f t="shared" ca="1" si="124"/>
        <v>-3944237683.8838711</v>
      </c>
      <c r="M2199" s="471">
        <f t="shared" si="126"/>
        <v>0.05</v>
      </c>
      <c r="N2199" s="475">
        <f t="shared" si="127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25"/>
        <v>-3944237683.8838711</v>
      </c>
      <c r="J2200" s="455">
        <f t="array" ref="J2200">IFERROR(INDEX('Retirement Calculator'!K:K,MATCH('Lorri 401b'!N2200,'Retirement Calculator'!A:A,0),0),0)</f>
        <v>0</v>
      </c>
      <c r="K2200" s="455">
        <f t="shared" ca="1" si="123"/>
        <v>-16434323.682849461</v>
      </c>
      <c r="L2200" s="455">
        <f t="shared" ca="1" si="124"/>
        <v>-3960672007.5667205</v>
      </c>
      <c r="M2200" s="471">
        <f t="shared" si="126"/>
        <v>0.05</v>
      </c>
      <c r="N2200" s="475">
        <f t="shared" si="127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25"/>
        <v>-3960672007.5667205</v>
      </c>
      <c r="J2201" s="455">
        <f t="array" ref="J2201">IFERROR(INDEX('Retirement Calculator'!K:K,MATCH('Lorri 401b'!N2201,'Retirement Calculator'!A:A,0),0),0)</f>
        <v>0</v>
      </c>
      <c r="K2201" s="455">
        <f t="shared" ca="1" si="123"/>
        <v>-16502800.031528</v>
      </c>
      <c r="L2201" s="455">
        <f t="shared" ca="1" si="124"/>
        <v>-3977174807.5982485</v>
      </c>
      <c r="M2201" s="471">
        <f t="shared" si="126"/>
        <v>0.05</v>
      </c>
      <c r="N2201" s="475">
        <f t="shared" si="127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25"/>
        <v>-3977174807.5982485</v>
      </c>
      <c r="J2202" s="455">
        <f t="array" ref="J2202">IFERROR(INDEX('Retirement Calculator'!K:K,MATCH('Lorri 401b'!N2202,'Retirement Calculator'!A:A,0),0),0)</f>
        <v>0</v>
      </c>
      <c r="K2202" s="455">
        <f t="shared" ca="1" si="123"/>
        <v>-16571561.698326033</v>
      </c>
      <c r="L2202" s="455">
        <f t="shared" ca="1" si="124"/>
        <v>-3993746369.2965746</v>
      </c>
      <c r="M2202" s="471">
        <f t="shared" si="126"/>
        <v>0.05</v>
      </c>
      <c r="N2202" s="475">
        <f t="shared" si="127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25"/>
        <v>-3993746369.2965746</v>
      </c>
      <c r="J2203" s="455">
        <f t="array" ref="J2203">IFERROR(INDEX('Retirement Calculator'!K:K,MATCH('Lorri 401b'!N2203,'Retirement Calculator'!A:A,0),0),0)</f>
        <v>0</v>
      </c>
      <c r="K2203" s="455">
        <f t="shared" ca="1" si="123"/>
        <v>-16640609.872069061</v>
      </c>
      <c r="L2203" s="455">
        <f t="shared" ca="1" si="124"/>
        <v>-4010386979.1686435</v>
      </c>
      <c r="M2203" s="471">
        <f t="shared" si="126"/>
        <v>0.05</v>
      </c>
      <c r="N2203" s="475">
        <f t="shared" si="127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25"/>
        <v>-4010386979.1686435</v>
      </c>
      <c r="J2204" s="455">
        <f t="array" ref="J2204">IFERROR(INDEX('Retirement Calculator'!K:K,MATCH('Lorri 401b'!N2204,'Retirement Calculator'!A:A,0),0),0)</f>
        <v>0</v>
      </c>
      <c r="K2204" s="455">
        <f t="shared" ca="1" si="123"/>
        <v>-16709945.746536013</v>
      </c>
      <c r="L2204" s="455">
        <f t="shared" ca="1" si="124"/>
        <v>-4027096924.9151793</v>
      </c>
      <c r="M2204" s="471">
        <f t="shared" si="126"/>
        <v>0.05</v>
      </c>
      <c r="N2204" s="475">
        <f t="shared" si="127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25"/>
        <v>-4027096924.9151793</v>
      </c>
      <c r="J2205" s="455">
        <f t="array" ref="J2205">IFERROR(INDEX('Retirement Calculator'!K:K,MATCH('Lorri 401b'!N2205,'Retirement Calculator'!A:A,0),0),0)</f>
        <v>0</v>
      </c>
      <c r="K2205" s="455">
        <f t="shared" ca="1" si="123"/>
        <v>-16779570.520479914</v>
      </c>
      <c r="L2205" s="455">
        <f t="shared" ca="1" si="124"/>
        <v>-4043876495.4356589</v>
      </c>
      <c r="M2205" s="471">
        <f t="shared" si="126"/>
        <v>0.05</v>
      </c>
      <c r="N2205" s="475">
        <f t="shared" si="127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25"/>
        <v>-4043876495.4356589</v>
      </c>
      <c r="J2206" s="455">
        <f t="array" ref="J2206">IFERROR(INDEX('Retirement Calculator'!K:K,MATCH('Lorri 401b'!N2206,'Retirement Calculator'!A:A,0),0),0)</f>
        <v>0</v>
      </c>
      <c r="K2206" s="455">
        <f t="shared" ca="1" si="123"/>
        <v>-16849485.39764858</v>
      </c>
      <c r="L2206" s="455">
        <f t="shared" ca="1" si="124"/>
        <v>-4060725980.8333077</v>
      </c>
      <c r="M2206" s="471">
        <f t="shared" si="126"/>
        <v>0.05</v>
      </c>
      <c r="N2206" s="475">
        <f t="shared" si="127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25"/>
        <v>-4060725980.8333077</v>
      </c>
      <c r="J2207" s="455">
        <f t="array" ref="J2207">IFERROR(INDEX('Retirement Calculator'!K:K,MATCH('Lorri 401b'!N2207,'Retirement Calculator'!A:A,0),0),0)</f>
        <v>0</v>
      </c>
      <c r="K2207" s="455">
        <f t="shared" ca="1" si="123"/>
        <v>-16919691.586805448</v>
      </c>
      <c r="L2207" s="455">
        <f t="shared" ca="1" si="124"/>
        <v>-4077645672.4201131</v>
      </c>
      <c r="M2207" s="471">
        <f t="shared" si="126"/>
        <v>0.05</v>
      </c>
      <c r="N2207" s="475">
        <f t="shared" si="127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25"/>
        <v>-4077645672.4201131</v>
      </c>
      <c r="J2208" s="455">
        <f t="array" ref="J2208">IFERROR(INDEX('Retirement Calculator'!K:K,MATCH('Lorri 401b'!N2208,'Retirement Calculator'!A:A,0),0),0)</f>
        <v>0</v>
      </c>
      <c r="K2208" s="455">
        <f t="shared" ca="1" si="123"/>
        <v>-16990190.30175047</v>
      </c>
      <c r="L2208" s="455">
        <f t="shared" ca="1" si="124"/>
        <v>-4094635862.7218637</v>
      </c>
      <c r="M2208" s="471">
        <f t="shared" si="126"/>
        <v>0.05</v>
      </c>
      <c r="N2208" s="475">
        <f t="shared" si="127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25"/>
        <v>-4094635862.7218637</v>
      </c>
      <c r="J2209" s="455">
        <f t="array" ref="J2209">IFERROR(INDEX('Retirement Calculator'!K:K,MATCH('Lorri 401b'!N2209,'Retirement Calculator'!A:A,0),0),0)</f>
        <v>0</v>
      </c>
      <c r="K2209" s="455">
        <f t="shared" ca="1" si="123"/>
        <v>-17060982.761341099</v>
      </c>
      <c r="L2209" s="455">
        <f t="shared" ca="1" si="124"/>
        <v>-4111696845.4832048</v>
      </c>
      <c r="M2209" s="471">
        <f t="shared" si="126"/>
        <v>0.05</v>
      </c>
      <c r="N2209" s="475">
        <f t="shared" si="127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25"/>
        <v>-4111696845.4832048</v>
      </c>
      <c r="J2210" s="455">
        <f t="array" ref="J2210">IFERROR(INDEX('Retirement Calculator'!K:K,MATCH('Lorri 401b'!N2210,'Retirement Calculator'!A:A,0),0),0)</f>
        <v>0</v>
      </c>
      <c r="K2210" s="455">
        <f t="shared" ca="1" si="123"/>
        <v>-17132070.189513355</v>
      </c>
      <c r="L2210" s="455">
        <f t="shared" ca="1" si="124"/>
        <v>-4128828915.672718</v>
      </c>
      <c r="M2210" s="471">
        <f t="shared" si="126"/>
        <v>0.05</v>
      </c>
      <c r="N2210" s="475">
        <f t="shared" si="127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25"/>
        <v>-4128828915.672718</v>
      </c>
      <c r="J2211" s="455">
        <f t="array" ref="J2211">IFERROR(INDEX('Retirement Calculator'!K:K,MATCH('Lorri 401b'!N2211,'Retirement Calculator'!A:A,0),0),0)</f>
        <v>0</v>
      </c>
      <c r="K2211" s="455">
        <f t="shared" ca="1" si="123"/>
        <v>-17203453.815302994</v>
      </c>
      <c r="L2211" s="455">
        <f t="shared" ca="1" si="124"/>
        <v>-4146032369.4880209</v>
      </c>
      <c r="M2211" s="471">
        <f t="shared" si="126"/>
        <v>0.05</v>
      </c>
      <c r="N2211" s="475">
        <f t="shared" si="127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25"/>
        <v>-4146032369.4880209</v>
      </c>
      <c r="J2212" s="455">
        <f t="array" ref="J2212">IFERROR(INDEX('Retirement Calculator'!K:K,MATCH('Lorri 401b'!N2212,'Retirement Calculator'!A:A,0),0),0)</f>
        <v>0</v>
      </c>
      <c r="K2212" s="455">
        <f t="shared" ca="1" si="123"/>
        <v>-17275134.872866757</v>
      </c>
      <c r="L2212" s="455">
        <f t="shared" ca="1" si="124"/>
        <v>-4163307504.3608875</v>
      </c>
      <c r="M2212" s="471">
        <f t="shared" si="126"/>
        <v>0.05</v>
      </c>
      <c r="N2212" s="475">
        <f t="shared" si="127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25"/>
        <v>-4163307504.3608875</v>
      </c>
      <c r="J2213" s="455">
        <f t="array" ref="J2213">IFERROR(INDEX('Retirement Calculator'!K:K,MATCH('Lorri 401b'!N2213,'Retirement Calculator'!A:A,0),0),0)</f>
        <v>0</v>
      </c>
      <c r="K2213" s="455">
        <f t="shared" ca="1" si="123"/>
        <v>-17347114.6015037</v>
      </c>
      <c r="L2213" s="455">
        <f t="shared" ca="1" si="124"/>
        <v>-4180654618.9623914</v>
      </c>
      <c r="M2213" s="471">
        <f t="shared" si="126"/>
        <v>0.05</v>
      </c>
      <c r="N2213" s="475">
        <f t="shared" si="127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25"/>
        <v>-4180654618.9623914</v>
      </c>
      <c r="J2214" s="455">
        <f t="array" ref="J2214">IFERROR(INDEX('Retirement Calculator'!K:K,MATCH('Lorri 401b'!N2214,'Retirement Calculator'!A:A,0),0),0)</f>
        <v>0</v>
      </c>
      <c r="K2214" s="455">
        <f t="shared" ca="1" si="123"/>
        <v>-17419394.245676629</v>
      </c>
      <c r="L2214" s="455">
        <f t="shared" ca="1" si="124"/>
        <v>-4198074013.2080679</v>
      </c>
      <c r="M2214" s="471">
        <f t="shared" si="126"/>
        <v>0.05</v>
      </c>
      <c r="N2214" s="475">
        <f t="shared" si="127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25"/>
        <v>-4198074013.2080679</v>
      </c>
      <c r="J2215" s="455">
        <f t="array" ref="J2215">IFERROR(INDEX('Retirement Calculator'!K:K,MATCH('Lorri 401b'!N2215,'Retirement Calculator'!A:A,0),0),0)</f>
        <v>0</v>
      </c>
      <c r="K2215" s="455">
        <f t="shared" ca="1" si="123"/>
        <v>-17491975.055033617</v>
      </c>
      <c r="L2215" s="455">
        <f t="shared" ca="1" si="124"/>
        <v>-4215565988.2631016</v>
      </c>
      <c r="M2215" s="471">
        <f t="shared" si="126"/>
        <v>0.05</v>
      </c>
      <c r="N2215" s="475">
        <f t="shared" si="127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25"/>
        <v>-4215565988.2631016</v>
      </c>
      <c r="J2216" s="455">
        <f t="array" ref="J2216">IFERROR(INDEX('Retirement Calculator'!K:K,MATCH('Lorri 401b'!N2216,'Retirement Calculator'!A:A,0),0),0)</f>
        <v>0</v>
      </c>
      <c r="K2216" s="455">
        <f t="shared" ca="1" si="123"/>
        <v>-17564858.284429591</v>
      </c>
      <c r="L2216" s="455">
        <f t="shared" ca="1" si="124"/>
        <v>-4233130846.5475311</v>
      </c>
      <c r="M2216" s="471">
        <f t="shared" si="126"/>
        <v>0.05</v>
      </c>
      <c r="N2216" s="475">
        <f t="shared" si="127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25"/>
        <v>-4233130846.5475311</v>
      </c>
      <c r="J2217" s="455">
        <f t="array" ref="J2217">IFERROR(INDEX('Retirement Calculator'!K:K,MATCH('Lorri 401b'!N2217,'Retirement Calculator'!A:A,0),0),0)</f>
        <v>0</v>
      </c>
      <c r="K2217" s="455">
        <f t="shared" ca="1" si="123"/>
        <v>-17638045.193948049</v>
      </c>
      <c r="L2217" s="455">
        <f t="shared" ca="1" si="124"/>
        <v>-4250768891.7414794</v>
      </c>
      <c r="M2217" s="471">
        <f t="shared" si="126"/>
        <v>0.05</v>
      </c>
      <c r="N2217" s="475">
        <f t="shared" si="127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25"/>
        <v>-4250768891.7414794</v>
      </c>
      <c r="J2218" s="455">
        <f t="array" ref="J2218">IFERROR(INDEX('Retirement Calculator'!K:K,MATCH('Lorri 401b'!N2218,'Retirement Calculator'!A:A,0),0),0)</f>
        <v>0</v>
      </c>
      <c r="K2218" s="455">
        <f t="shared" ca="1" si="123"/>
        <v>-17711537.048922829</v>
      </c>
      <c r="L2218" s="455">
        <f t="shared" ca="1" si="124"/>
        <v>-4268480428.7904024</v>
      </c>
      <c r="M2218" s="471">
        <f t="shared" si="126"/>
        <v>0.05</v>
      </c>
      <c r="N2218" s="475">
        <f t="shared" si="127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25"/>
        <v>-4268480428.7904024</v>
      </c>
      <c r="J2219" s="455">
        <f t="array" ref="J2219">IFERROR(INDEX('Retirement Calculator'!K:K,MATCH('Lorri 401b'!N2219,'Retirement Calculator'!A:A,0),0),0)</f>
        <v>0</v>
      </c>
      <c r="K2219" s="455">
        <f t="shared" ca="1" si="123"/>
        <v>-17785335.11996001</v>
      </c>
      <c r="L2219" s="455">
        <f t="shared" ca="1" si="124"/>
        <v>-4286265763.9103622</v>
      </c>
      <c r="M2219" s="471">
        <f t="shared" si="126"/>
        <v>0.05</v>
      </c>
      <c r="N2219" s="475">
        <f t="shared" si="127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25"/>
        <v>-4286265763.9103622</v>
      </c>
      <c r="J2220" s="455">
        <f t="array" ref="J2220">IFERROR(INDEX('Retirement Calculator'!K:K,MATCH('Lorri 401b'!N2220,'Retirement Calculator'!A:A,0),0),0)</f>
        <v>0</v>
      </c>
      <c r="K2220" s="455">
        <f t="shared" ca="1" si="123"/>
        <v>-17859440.682959843</v>
      </c>
      <c r="L2220" s="455">
        <f t="shared" ca="1" si="124"/>
        <v>-4304125204.5933218</v>
      </c>
      <c r="M2220" s="471">
        <f t="shared" si="126"/>
        <v>0.05</v>
      </c>
      <c r="N2220" s="475">
        <f t="shared" si="127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25"/>
        <v>-4304125204.5933218</v>
      </c>
      <c r="J2221" s="455">
        <f t="array" ref="J2221">IFERROR(INDEX('Retirement Calculator'!K:K,MATCH('Lorri 401b'!N2221,'Retirement Calculator'!A:A,0),0),0)</f>
        <v>0</v>
      </c>
      <c r="K2221" s="455">
        <f t="shared" ca="1" si="123"/>
        <v>-17933855.019138839</v>
      </c>
      <c r="L2221" s="455">
        <f t="shared" ca="1" si="124"/>
        <v>-4322059059.6124611</v>
      </c>
      <c r="M2221" s="471">
        <f t="shared" si="126"/>
        <v>0.05</v>
      </c>
      <c r="N2221" s="475">
        <f t="shared" si="127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25"/>
        <v>-4322059059.6124611</v>
      </c>
      <c r="J2222" s="455">
        <f t="array" ref="J2222">IFERROR(INDEX('Retirement Calculator'!K:K,MATCH('Lorri 401b'!N2222,'Retirement Calculator'!A:A,0),0),0)</f>
        <v>0</v>
      </c>
      <c r="K2222" s="455">
        <f t="shared" ca="1" si="123"/>
        <v>-18008579.415051922</v>
      </c>
      <c r="L2222" s="455">
        <f t="shared" ca="1" si="124"/>
        <v>-4340067639.0275126</v>
      </c>
      <c r="M2222" s="471">
        <f t="shared" si="126"/>
        <v>0.05</v>
      </c>
      <c r="N2222" s="475">
        <f t="shared" si="127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25"/>
        <v>-4340067639.0275126</v>
      </c>
      <c r="J2223" s="455">
        <f t="array" ref="J2223">IFERROR(INDEX('Retirement Calculator'!K:K,MATCH('Lorri 401b'!N2223,'Retirement Calculator'!A:A,0),0),0)</f>
        <v>0</v>
      </c>
      <c r="K2223" s="455">
        <f t="shared" ca="1" si="123"/>
        <v>-18083615.162614636</v>
      </c>
      <c r="L2223" s="455">
        <f t="shared" ca="1" si="124"/>
        <v>-4358151254.1901274</v>
      </c>
      <c r="M2223" s="471">
        <f t="shared" si="126"/>
        <v>0.05</v>
      </c>
      <c r="N2223" s="475">
        <f t="shared" si="127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25"/>
        <v>-4358151254.1901274</v>
      </c>
      <c r="J2224" s="455">
        <f t="array" ref="J2224">IFERROR(INDEX('Retirement Calculator'!K:K,MATCH('Lorri 401b'!N2224,'Retirement Calculator'!A:A,0),0),0)</f>
        <v>0</v>
      </c>
      <c r="K2224" s="455">
        <f t="shared" ca="1" si="123"/>
        <v>-18158963.559125531</v>
      </c>
      <c r="L2224" s="455">
        <f t="shared" ca="1" si="124"/>
        <v>-4376310217.7492533</v>
      </c>
      <c r="M2224" s="471">
        <f t="shared" si="126"/>
        <v>0.05</v>
      </c>
      <c r="N2224" s="475">
        <f t="shared" si="127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25"/>
        <v>-4376310217.7492533</v>
      </c>
      <c r="J2225" s="455">
        <f t="array" ref="J2225">IFERROR(INDEX('Retirement Calculator'!K:K,MATCH('Lorri 401b'!N2225,'Retirement Calculator'!A:A,0),0),0)</f>
        <v>0</v>
      </c>
      <c r="K2225" s="455">
        <f t="shared" ca="1" si="123"/>
        <v>-18234625.907288555</v>
      </c>
      <c r="L2225" s="455">
        <f t="shared" ca="1" si="124"/>
        <v>-4394544843.6565418</v>
      </c>
      <c r="M2225" s="471">
        <f t="shared" si="126"/>
        <v>0.05</v>
      </c>
      <c r="N2225" s="475">
        <f t="shared" si="127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25"/>
        <v>-4394544843.6565418</v>
      </c>
      <c r="J2226" s="455">
        <f t="array" ref="J2226">IFERROR(INDEX('Retirement Calculator'!K:K,MATCH('Lorri 401b'!N2226,'Retirement Calculator'!A:A,0),0),0)</f>
        <v>0</v>
      </c>
      <c r="K2226" s="455">
        <f t="shared" ca="1" si="123"/>
        <v>-18310603.515235592</v>
      </c>
      <c r="L2226" s="455">
        <f t="shared" ca="1" si="124"/>
        <v>-4412855447.1717777</v>
      </c>
      <c r="M2226" s="471">
        <f t="shared" si="126"/>
        <v>0.05</v>
      </c>
      <c r="N2226" s="475">
        <f t="shared" si="127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25"/>
        <v>-4412855447.1717777</v>
      </c>
      <c r="J2227" s="455">
        <f t="array" ref="J2227">IFERROR(INDEX('Retirement Calculator'!K:K,MATCH('Lorri 401b'!N2227,'Retirement Calculator'!A:A,0),0),0)</f>
        <v>0</v>
      </c>
      <c r="K2227" s="455">
        <f t="shared" ca="1" si="123"/>
        <v>-18386897.696549073</v>
      </c>
      <c r="L2227" s="455">
        <f t="shared" ca="1" si="124"/>
        <v>-4431242344.8683271</v>
      </c>
      <c r="M2227" s="471">
        <f t="shared" si="126"/>
        <v>0.05</v>
      </c>
      <c r="N2227" s="475">
        <f t="shared" si="127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25"/>
        <v>-4431242344.8683271</v>
      </c>
      <c r="J2228" s="455">
        <f t="array" ref="J2228">IFERROR(INDEX('Retirement Calculator'!K:K,MATCH('Lorri 401b'!N2228,'Retirement Calculator'!A:A,0),0),0)</f>
        <v>0</v>
      </c>
      <c r="K2228" s="455">
        <f t="shared" ca="1" si="123"/>
        <v>-18463509.770284697</v>
      </c>
      <c r="L2228" s="455">
        <f t="shared" ca="1" si="124"/>
        <v>-4449705854.6386118</v>
      </c>
      <c r="M2228" s="471">
        <f t="shared" si="126"/>
        <v>0.05</v>
      </c>
      <c r="N2228" s="475">
        <f t="shared" si="127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25"/>
        <v>-4449705854.6386118</v>
      </c>
      <c r="J2229" s="455">
        <f t="array" ref="J2229">IFERROR(INDEX('Retirement Calculator'!K:K,MATCH('Lorri 401b'!N2229,'Retirement Calculator'!A:A,0),0),0)</f>
        <v>0</v>
      </c>
      <c r="K2229" s="455">
        <f t="shared" ca="1" si="123"/>
        <v>-18540441.060994215</v>
      </c>
      <c r="L2229" s="455">
        <f t="shared" ca="1" si="124"/>
        <v>-4468246295.6996059</v>
      </c>
      <c r="M2229" s="471">
        <f t="shared" si="126"/>
        <v>0.05</v>
      </c>
      <c r="N2229" s="475">
        <f t="shared" si="127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25"/>
        <v>-4468246295.6996059</v>
      </c>
      <c r="J2230" s="455">
        <f t="array" ref="J2230">IFERROR(INDEX('Retirement Calculator'!K:K,MATCH('Lorri 401b'!N2230,'Retirement Calculator'!A:A,0),0),0)</f>
        <v>0</v>
      </c>
      <c r="K2230" s="455">
        <f t="shared" ca="1" si="123"/>
        <v>-18617692.898748357</v>
      </c>
      <c r="L2230" s="455">
        <f t="shared" ca="1" si="124"/>
        <v>-4486863988.5983543</v>
      </c>
      <c r="M2230" s="471">
        <f t="shared" si="126"/>
        <v>0.05</v>
      </c>
      <c r="N2230" s="475">
        <f t="shared" si="127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25"/>
        <v>-4486863988.5983543</v>
      </c>
      <c r="J2231" s="455">
        <f t="array" ref="J2231">IFERROR(INDEX('Retirement Calculator'!K:K,MATCH('Lorri 401b'!N2231,'Retirement Calculator'!A:A,0),0),0)</f>
        <v>0</v>
      </c>
      <c r="K2231" s="455">
        <f t="shared" ca="1" si="123"/>
        <v>-18695266.61915981</v>
      </c>
      <c r="L2231" s="455">
        <f t="shared" ca="1" si="124"/>
        <v>-4505559255.217514</v>
      </c>
      <c r="M2231" s="471">
        <f t="shared" si="126"/>
        <v>0.05</v>
      </c>
      <c r="N2231" s="475">
        <f t="shared" si="127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25"/>
        <v>-4505559255.217514</v>
      </c>
      <c r="J2232" s="455">
        <f t="array" ref="J2232">IFERROR(INDEX('Retirement Calculator'!K:K,MATCH('Lorri 401b'!N2232,'Retirement Calculator'!A:A,0),0),0)</f>
        <v>0</v>
      </c>
      <c r="K2232" s="455">
        <f t="shared" ca="1" si="123"/>
        <v>-18773163.563406307</v>
      </c>
      <c r="L2232" s="455">
        <f t="shared" ca="1" si="124"/>
        <v>-4524332418.78092</v>
      </c>
      <c r="M2232" s="471">
        <f t="shared" si="126"/>
        <v>0.05</v>
      </c>
      <c r="N2232" s="475">
        <f t="shared" si="127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25"/>
        <v>-4524332418.78092</v>
      </c>
      <c r="J2233" s="455">
        <f t="array" ref="J2233">IFERROR(INDEX('Retirement Calculator'!K:K,MATCH('Lorri 401b'!N2233,'Retirement Calculator'!A:A,0),0),0)</f>
        <v>0</v>
      </c>
      <c r="K2233" s="455">
        <f t="shared" ca="1" si="123"/>
        <v>-18851385.078253832</v>
      </c>
      <c r="L2233" s="455">
        <f t="shared" ca="1" si="124"/>
        <v>-4543183803.8591738</v>
      </c>
      <c r="M2233" s="471">
        <f t="shared" si="126"/>
        <v>0.05</v>
      </c>
      <c r="N2233" s="475">
        <f t="shared" si="127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25"/>
        <v>-4543183803.8591738</v>
      </c>
      <c r="J2234" s="455">
        <f t="array" ref="J2234">IFERROR(INDEX('Retirement Calculator'!K:K,MATCH('Lorri 401b'!N2234,'Retirement Calculator'!A:A,0),0),0)</f>
        <v>0</v>
      </c>
      <c r="K2234" s="455">
        <f t="shared" ca="1" si="123"/>
        <v>-18929932.516079891</v>
      </c>
      <c r="L2234" s="455">
        <f t="shared" ca="1" si="124"/>
        <v>-4562113736.3752537</v>
      </c>
      <c r="M2234" s="471">
        <f t="shared" si="126"/>
        <v>0.05</v>
      </c>
      <c r="N2234" s="475">
        <f t="shared" si="127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25"/>
        <v>-4562113736.3752537</v>
      </c>
      <c r="J2235" s="455">
        <f t="array" ref="J2235">IFERROR(INDEX('Retirement Calculator'!K:K,MATCH('Lorri 401b'!N2235,'Retirement Calculator'!A:A,0),0),0)</f>
        <v>0</v>
      </c>
      <c r="K2235" s="455">
        <f t="shared" ca="1" si="123"/>
        <v>-19008807.234896891</v>
      </c>
      <c r="L2235" s="455">
        <f t="shared" ca="1" si="124"/>
        <v>-4581122543.6101503</v>
      </c>
      <c r="M2235" s="471">
        <f t="shared" si="126"/>
        <v>0.05</v>
      </c>
      <c r="N2235" s="475">
        <f t="shared" si="127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25"/>
        <v>-4581122543.6101503</v>
      </c>
      <c r="J2236" s="455">
        <f t="array" ref="J2236">IFERROR(INDEX('Retirement Calculator'!K:K,MATCH('Lorri 401b'!N2236,'Retirement Calculator'!A:A,0),0),0)</f>
        <v>0</v>
      </c>
      <c r="K2236" s="455">
        <f t="shared" ca="1" si="123"/>
        <v>-19088010.598375626</v>
      </c>
      <c r="L2236" s="455">
        <f t="shared" ca="1" si="124"/>
        <v>-4600210554.2085257</v>
      </c>
      <c r="M2236" s="471">
        <f t="shared" si="126"/>
        <v>0.05</v>
      </c>
      <c r="N2236" s="475">
        <f t="shared" si="127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25"/>
        <v>-4600210554.2085257</v>
      </c>
      <c r="J2237" s="455">
        <f t="array" ref="J2237">IFERROR(INDEX('Retirement Calculator'!K:K,MATCH('Lorri 401b'!N2237,'Retirement Calculator'!A:A,0),0),0)</f>
        <v>0</v>
      </c>
      <c r="K2237" s="455">
        <f t="shared" ca="1" si="123"/>
        <v>-19167543.975868858</v>
      </c>
      <c r="L2237" s="455">
        <f t="shared" ca="1" si="124"/>
        <v>-4619378098.1843948</v>
      </c>
      <c r="M2237" s="471">
        <f t="shared" si="126"/>
        <v>0.05</v>
      </c>
      <c r="N2237" s="475">
        <f t="shared" si="127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25"/>
        <v>-4619378098.1843948</v>
      </c>
      <c r="J2238" s="455">
        <f t="array" ref="J2238">IFERROR(INDEX('Retirement Calculator'!K:K,MATCH('Lorri 401b'!N2238,'Retirement Calculator'!A:A,0),0),0)</f>
        <v>0</v>
      </c>
      <c r="K2238" s="455">
        <f t="shared" ca="1" si="123"/>
        <v>-19247408.742434978</v>
      </c>
      <c r="L2238" s="455">
        <f t="shared" ca="1" si="124"/>
        <v>-4638625506.9268303</v>
      </c>
      <c r="M2238" s="471">
        <f t="shared" si="126"/>
        <v>0.05</v>
      </c>
      <c r="N2238" s="475">
        <f t="shared" si="127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25"/>
        <v>-4638625506.9268303</v>
      </c>
      <c r="J2239" s="455">
        <f t="array" ref="J2239">IFERROR(INDEX('Retirement Calculator'!K:K,MATCH('Lorri 401b'!N2239,'Retirement Calculator'!A:A,0),0),0)</f>
        <v>0</v>
      </c>
      <c r="K2239" s="455">
        <f t="shared" ca="1" si="123"/>
        <v>-19327606.278861791</v>
      </c>
      <c r="L2239" s="455">
        <f t="shared" ca="1" si="124"/>
        <v>-4657953113.2056923</v>
      </c>
      <c r="M2239" s="471">
        <f t="shared" si="126"/>
        <v>0.05</v>
      </c>
      <c r="N2239" s="475">
        <f t="shared" si="127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25"/>
        <v>-4657953113.2056923</v>
      </c>
      <c r="J2240" s="455">
        <f t="array" ref="J2240">IFERROR(INDEX('Retirement Calculator'!K:K,MATCH('Lorri 401b'!N2240,'Retirement Calculator'!A:A,0),0),0)</f>
        <v>0</v>
      </c>
      <c r="K2240" s="455">
        <f t="shared" ca="1" si="123"/>
        <v>-19408137.971690383</v>
      </c>
      <c r="L2240" s="455">
        <f t="shared" ca="1" si="124"/>
        <v>-4677361251.1773825</v>
      </c>
      <c r="M2240" s="471">
        <f t="shared" si="126"/>
        <v>0.05</v>
      </c>
      <c r="N2240" s="475">
        <f t="shared" si="127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25"/>
        <v>-4677361251.1773825</v>
      </c>
      <c r="J2241" s="455">
        <f t="array" ref="J2241">IFERROR(INDEX('Retirement Calculator'!K:K,MATCH('Lorri 401b'!N2241,'Retirement Calculator'!A:A,0),0),0)</f>
        <v>0</v>
      </c>
      <c r="K2241" s="455">
        <f t="shared" ca="1" si="123"/>
        <v>-19489005.213239092</v>
      </c>
      <c r="L2241" s="455">
        <f t="shared" ca="1" si="124"/>
        <v>-4696850256.3906212</v>
      </c>
      <c r="M2241" s="471">
        <f t="shared" si="126"/>
        <v>0.05</v>
      </c>
      <c r="N2241" s="475">
        <f t="shared" si="127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25"/>
        <v>-4696850256.3906212</v>
      </c>
      <c r="J2242" s="455">
        <f t="array" ref="J2242">IFERROR(INDEX('Retirement Calculator'!K:K,MATCH('Lorri 401b'!N2242,'Retirement Calculator'!A:A,0),0),0)</f>
        <v>0</v>
      </c>
      <c r="K2242" s="455">
        <f t="shared" ca="1" si="123"/>
        <v>-19570209.401627589</v>
      </c>
      <c r="L2242" s="455">
        <f t="shared" ca="1" si="124"/>
        <v>-4716420465.7922487</v>
      </c>
      <c r="M2242" s="471">
        <f t="shared" si="126"/>
        <v>0.05</v>
      </c>
      <c r="N2242" s="475">
        <f t="shared" si="127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25"/>
        <v>-4716420465.7922487</v>
      </c>
      <c r="J2243" s="455">
        <f t="array" ref="J2243">IFERROR(INDEX('Retirement Calculator'!K:K,MATCH('Lorri 401b'!N2243,'Retirement Calculator'!A:A,0),0),0)</f>
        <v>0</v>
      </c>
      <c r="K2243" s="455">
        <f t="shared" ca="1" si="123"/>
        <v>-19651751.940801036</v>
      </c>
      <c r="L2243" s="455">
        <f t="shared" ca="1" si="124"/>
        <v>-4736072217.7330494</v>
      </c>
      <c r="M2243" s="471">
        <f t="shared" si="126"/>
        <v>0.05</v>
      </c>
      <c r="N2243" s="475">
        <f t="shared" si="127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25"/>
        <v>-4736072217.7330494</v>
      </c>
      <c r="J2244" s="455">
        <f t="array" ref="J2244">IFERROR(INDEX('Retirement Calculator'!K:K,MATCH('Lorri 401b'!N2244,'Retirement Calculator'!A:A,0),0),0)</f>
        <v>0</v>
      </c>
      <c r="K2244" s="455">
        <f t="shared" ca="1" si="123"/>
        <v>-19733634.240554374</v>
      </c>
      <c r="L2244" s="455">
        <f t="shared" ca="1" si="124"/>
        <v>-4755805851.9736042</v>
      </c>
      <c r="M2244" s="471">
        <f t="shared" si="126"/>
        <v>0.05</v>
      </c>
      <c r="N2244" s="475">
        <f t="shared" si="127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25"/>
        <v>-4755805851.9736042</v>
      </c>
      <c r="J2245" s="455">
        <f t="array" ref="J2245">IFERROR(INDEX('Retirement Calculator'!K:K,MATCH('Lorri 401b'!N2245,'Retirement Calculator'!A:A,0),0),0)</f>
        <v>0</v>
      </c>
      <c r="K2245" s="455">
        <f t="shared" ca="1" si="123"/>
        <v>-19815857.716556683</v>
      </c>
      <c r="L2245" s="455">
        <f t="shared" ca="1" si="124"/>
        <v>-4775621709.6901608</v>
      </c>
      <c r="M2245" s="471">
        <f t="shared" si="126"/>
        <v>0.05</v>
      </c>
      <c r="N2245" s="475">
        <f t="shared" si="127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25"/>
        <v>-4775621709.6901608</v>
      </c>
      <c r="J2246" s="455">
        <f t="array" ref="J2246">IFERROR(INDEX('Retirement Calculator'!K:K,MATCH('Lorri 401b'!N2246,'Retirement Calculator'!A:A,0),0),0)</f>
        <v>0</v>
      </c>
      <c r="K2246" s="455">
        <f t="shared" ca="1" si="123"/>
        <v>-19898423.790375669</v>
      </c>
      <c r="L2246" s="455">
        <f t="shared" ca="1" si="124"/>
        <v>-4795520133.4805365</v>
      </c>
      <c r="M2246" s="471">
        <f t="shared" si="126"/>
        <v>0.05</v>
      </c>
      <c r="N2246" s="475">
        <f t="shared" si="127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25"/>
        <v>-4795520133.4805365</v>
      </c>
      <c r="J2247" s="455">
        <f t="array" ref="J2247">IFERROR(INDEX('Retirement Calculator'!K:K,MATCH('Lorri 401b'!N2247,'Retirement Calculator'!A:A,0),0),0)</f>
        <v>0</v>
      </c>
      <c r="K2247" s="455">
        <f t="shared" ca="1" si="123"/>
        <v>-19981333.889502235</v>
      </c>
      <c r="L2247" s="455">
        <f t="shared" ca="1" si="124"/>
        <v>-4815501467.370039</v>
      </c>
      <c r="M2247" s="471">
        <f t="shared" si="126"/>
        <v>0.05</v>
      </c>
      <c r="N2247" s="475">
        <f t="shared" si="127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25"/>
        <v>-4815501467.370039</v>
      </c>
      <c r="J2248" s="455">
        <f t="array" ref="J2248">IFERROR(INDEX('Retirement Calculator'!K:K,MATCH('Lorri 401b'!N2248,'Retirement Calculator'!A:A,0),0),0)</f>
        <v>0</v>
      </c>
      <c r="K2248" s="455">
        <f t="shared" ca="1" si="123"/>
        <v>-20064589.447375163</v>
      </c>
      <c r="L2248" s="455">
        <f t="shared" ca="1" si="124"/>
        <v>-4835566056.8174143</v>
      </c>
      <c r="M2248" s="471">
        <f t="shared" si="126"/>
        <v>0.05</v>
      </c>
      <c r="N2248" s="475">
        <f t="shared" si="127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25"/>
        <v>-4835566056.8174143</v>
      </c>
      <c r="J2249" s="455">
        <f t="array" ref="J2249">IFERROR(INDEX('Retirement Calculator'!K:K,MATCH('Lorri 401b'!N2249,'Retirement Calculator'!A:A,0),0),0)</f>
        <v>0</v>
      </c>
      <c r="K2249" s="455">
        <f t="shared" ca="1" si="123"/>
        <v>-20148191.903405894</v>
      </c>
      <c r="L2249" s="455">
        <f t="shared" ca="1" si="124"/>
        <v>-4855714248.7208204</v>
      </c>
      <c r="M2249" s="471">
        <f t="shared" si="126"/>
        <v>0.05</v>
      </c>
      <c r="N2249" s="475">
        <f t="shared" si="127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25"/>
        <v>-4855714248.7208204</v>
      </c>
      <c r="J2250" s="455">
        <f t="array" ref="J2250">IFERROR(INDEX('Retirement Calculator'!K:K,MATCH('Lorri 401b'!N2250,'Retirement Calculator'!A:A,0),0),0)</f>
        <v>0</v>
      </c>
      <c r="K2250" s="455">
        <f t="shared" ca="1" si="123"/>
        <v>-20232142.703003418</v>
      </c>
      <c r="L2250" s="455">
        <f t="shared" ca="1" si="124"/>
        <v>-4875946391.4238243</v>
      </c>
      <c r="M2250" s="471">
        <f t="shared" si="126"/>
        <v>0.05</v>
      </c>
      <c r="N2250" s="475">
        <f t="shared" si="127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25"/>
        <v>-4875946391.4238243</v>
      </c>
      <c r="J2251" s="455">
        <f t="array" ref="J2251">IFERROR(INDEX('Retirement Calculator'!K:K,MATCH('Lorri 401b'!N2251,'Retirement Calculator'!A:A,0),0),0)</f>
        <v>0</v>
      </c>
      <c r="K2251" s="455">
        <f t="shared" ca="1" si="123"/>
        <v>-20316443.297599267</v>
      </c>
      <c r="L2251" s="455">
        <f t="shared" ca="1" si="124"/>
        <v>-4896262834.7214231</v>
      </c>
      <c r="M2251" s="471">
        <f t="shared" si="126"/>
        <v>0.05</v>
      </c>
      <c r="N2251" s="475">
        <f t="shared" si="127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25"/>
        <v>-4896262834.7214231</v>
      </c>
      <c r="J2252" s="455">
        <f t="array" ref="J2252">IFERROR(INDEX('Retirement Calculator'!K:K,MATCH('Lorri 401b'!N2252,'Retirement Calculator'!A:A,0),0),0)</f>
        <v>0</v>
      </c>
      <c r="K2252" s="455">
        <f t="shared" ca="1" si="123"/>
        <v>-20401095.144672595</v>
      </c>
      <c r="L2252" s="455">
        <f t="shared" ca="1" si="124"/>
        <v>-4916663929.8660955</v>
      </c>
      <c r="M2252" s="471">
        <f t="shared" si="126"/>
        <v>0.05</v>
      </c>
      <c r="N2252" s="475">
        <f t="shared" si="127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25"/>
        <v>-4916663929.8660955</v>
      </c>
      <c r="J2253" s="455">
        <f t="array" ref="J2253">IFERROR(INDEX('Retirement Calculator'!K:K,MATCH('Lorri 401b'!N2253,'Retirement Calculator'!A:A,0),0),0)</f>
        <v>0</v>
      </c>
      <c r="K2253" s="455">
        <f t="shared" ca="1" si="123"/>
        <v>-20486099.707775399</v>
      </c>
      <c r="L2253" s="455">
        <f t="shared" ca="1" si="124"/>
        <v>-4937150029.5738707</v>
      </c>
      <c r="M2253" s="471">
        <f t="shared" si="126"/>
        <v>0.05</v>
      </c>
      <c r="N2253" s="475">
        <f t="shared" si="127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25"/>
        <v>-4937150029.5738707</v>
      </c>
      <c r="J2254" s="455">
        <f t="array" ref="J2254">IFERROR(INDEX('Retirement Calculator'!K:K,MATCH('Lorri 401b'!N2254,'Retirement Calculator'!A:A,0),0),0)</f>
        <v>0</v>
      </c>
      <c r="K2254" s="455">
        <f t="shared" ca="1" si="123"/>
        <v>-20571458.456557795</v>
      </c>
      <c r="L2254" s="455">
        <f t="shared" ca="1" si="124"/>
        <v>-4957721488.0304289</v>
      </c>
      <c r="M2254" s="471">
        <f t="shared" si="126"/>
        <v>0.05</v>
      </c>
      <c r="N2254" s="475">
        <f t="shared" si="127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25"/>
        <v>-4957721488.0304289</v>
      </c>
      <c r="J2255" s="455">
        <f t="array" ref="J2255">IFERROR(INDEX('Retirement Calculator'!K:K,MATCH('Lorri 401b'!N2255,'Retirement Calculator'!A:A,0),0),0)</f>
        <v>0</v>
      </c>
      <c r="K2255" s="455">
        <f t="shared" ca="1" si="123"/>
        <v>-20657172.866793454</v>
      </c>
      <c r="L2255" s="455">
        <f t="shared" ca="1" si="124"/>
        <v>-4978378660.8972225</v>
      </c>
      <c r="M2255" s="471">
        <f t="shared" si="126"/>
        <v>0.05</v>
      </c>
      <c r="N2255" s="475">
        <f t="shared" si="127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25"/>
        <v>-4978378660.8972225</v>
      </c>
      <c r="J2256" s="455">
        <f t="array" ref="J2256">IFERROR(INDEX('Retirement Calculator'!K:K,MATCH('Lorri 401b'!N2256,'Retirement Calculator'!A:A,0),0),0)</f>
        <v>0</v>
      </c>
      <c r="K2256" s="455">
        <f t="shared" ca="1" si="123"/>
        <v>-20743244.420405094</v>
      </c>
      <c r="L2256" s="455">
        <f t="shared" ca="1" si="124"/>
        <v>-4999121905.3176279</v>
      </c>
      <c r="M2256" s="471">
        <f t="shared" si="126"/>
        <v>0.05</v>
      </c>
      <c r="N2256" s="475">
        <f t="shared" si="127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25"/>
        <v>-4999121905.3176279</v>
      </c>
      <c r="J2257" s="455">
        <f t="array" ref="J2257">IFERROR(INDEX('Retirement Calculator'!K:K,MATCH('Lorri 401b'!N2257,'Retirement Calculator'!A:A,0),0),0)</f>
        <v>0</v>
      </c>
      <c r="K2257" s="455">
        <f t="shared" ca="1" si="123"/>
        <v>-20829674.605490115</v>
      </c>
      <c r="L2257" s="455">
        <f t="shared" ca="1" si="124"/>
        <v>-5019951579.9231176</v>
      </c>
      <c r="M2257" s="471">
        <f t="shared" si="126"/>
        <v>0.05</v>
      </c>
      <c r="N2257" s="475">
        <f t="shared" si="127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25"/>
        <v>-5019951579.9231176</v>
      </c>
      <c r="J2258" s="455">
        <f t="array" ref="J2258">IFERROR(INDEX('Retirement Calculator'!K:K,MATCH('Lorri 401b'!N2258,'Retirement Calculator'!A:A,0),0),0)</f>
        <v>0</v>
      </c>
      <c r="K2258" s="455">
        <f t="shared" ca="1" si="123"/>
        <v>-20916464.916346323</v>
      </c>
      <c r="L2258" s="455">
        <f t="shared" ca="1" si="124"/>
        <v>-5040868044.8394642</v>
      </c>
      <c r="M2258" s="471">
        <f t="shared" si="126"/>
        <v>0.05</v>
      </c>
      <c r="N2258" s="475">
        <f t="shared" si="127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25"/>
        <v>-5040868044.8394642</v>
      </c>
      <c r="J2259" s="455">
        <f t="array" ref="J2259">IFERROR(INDEX('Retirement Calculator'!K:K,MATCH('Lorri 401b'!N2259,'Retirement Calculator'!A:A,0),0),0)</f>
        <v>0</v>
      </c>
      <c r="K2259" s="455">
        <f t="shared" ca="1" si="123"/>
        <v>-21003616.853497766</v>
      </c>
      <c r="L2259" s="455">
        <f t="shared" ca="1" si="124"/>
        <v>-5061871661.6929617</v>
      </c>
      <c r="M2259" s="471">
        <f t="shared" si="126"/>
        <v>0.05</v>
      </c>
      <c r="N2259" s="475">
        <f t="shared" si="127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25"/>
        <v>-5061871661.6929617</v>
      </c>
      <c r="J2260" s="455">
        <f t="array" ref="J2260">IFERROR(INDEX('Retirement Calculator'!K:K,MATCH('Lorri 401b'!N2260,'Retirement Calculator'!A:A,0),0),0)</f>
        <v>0</v>
      </c>
      <c r="K2260" s="455">
        <f t="shared" ca="1" si="123"/>
        <v>-21091131.923720673</v>
      </c>
      <c r="L2260" s="455">
        <f t="shared" ca="1" si="124"/>
        <v>-5082962793.6166821</v>
      </c>
      <c r="M2260" s="471">
        <f t="shared" si="126"/>
        <v>0.05</v>
      </c>
      <c r="N2260" s="475">
        <f t="shared" si="127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25"/>
        <v>-5082962793.6166821</v>
      </c>
      <c r="J2261" s="455">
        <f t="array" ref="J2261">IFERROR(INDEX('Retirement Calculator'!K:K,MATCH('Lorri 401b'!N2261,'Retirement Calculator'!A:A,0),0),0)</f>
        <v>0</v>
      </c>
      <c r="K2261" s="455">
        <f t="shared" ca="1" si="123"/>
        <v>-21179011.640069507</v>
      </c>
      <c r="L2261" s="455">
        <f t="shared" ca="1" si="124"/>
        <v>-5104141805.256752</v>
      </c>
      <c r="M2261" s="471">
        <f t="shared" si="126"/>
        <v>0.05</v>
      </c>
      <c r="N2261" s="475">
        <f t="shared" si="127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25"/>
        <v>-5104141805.256752</v>
      </c>
      <c r="J2262" s="455">
        <f t="array" ref="J2262">IFERROR(INDEX('Retirement Calculator'!K:K,MATCH('Lorri 401b'!N2262,'Retirement Calculator'!A:A,0),0),0)</f>
        <v>0</v>
      </c>
      <c r="K2262" s="455">
        <f t="shared" ca="1" si="123"/>
        <v>-21267257.521903135</v>
      </c>
      <c r="L2262" s="455">
        <f t="shared" ca="1" si="124"/>
        <v>-5125409062.7786551</v>
      </c>
      <c r="M2262" s="471">
        <f t="shared" si="126"/>
        <v>0.05</v>
      </c>
      <c r="N2262" s="475">
        <f t="shared" si="127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25"/>
        <v>-5125409062.7786551</v>
      </c>
      <c r="J2263" s="455">
        <f t="array" ref="J2263">IFERROR(INDEX('Retirement Calculator'!K:K,MATCH('Lorri 401b'!N2263,'Retirement Calculator'!A:A,0),0),0)</f>
        <v>0</v>
      </c>
      <c r="K2263" s="455">
        <f t="shared" ca="1" si="123"/>
        <v>-21355871.094911061</v>
      </c>
      <c r="L2263" s="455">
        <f t="shared" ca="1" si="124"/>
        <v>-5146764933.8735657</v>
      </c>
      <c r="M2263" s="471">
        <f t="shared" si="126"/>
        <v>0.05</v>
      </c>
      <c r="N2263" s="475">
        <f t="shared" si="127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25"/>
        <v>-5146764933.8735657</v>
      </c>
      <c r="J2264" s="455">
        <f t="array" ref="J2264">IFERROR(INDEX('Retirement Calculator'!K:K,MATCH('Lorri 401b'!N2264,'Retirement Calculator'!A:A,0),0),0)</f>
        <v>0</v>
      </c>
      <c r="K2264" s="455">
        <f t="shared" ca="1" si="123"/>
        <v>-21444853.891139857</v>
      </c>
      <c r="L2264" s="455">
        <f t="shared" ca="1" si="124"/>
        <v>-5168209787.7647057</v>
      </c>
      <c r="M2264" s="471">
        <f t="shared" si="126"/>
        <v>0.05</v>
      </c>
      <c r="N2264" s="475">
        <f t="shared" si="127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25"/>
        <v>-5168209787.7647057</v>
      </c>
      <c r="J2265" s="455">
        <f t="array" ref="J2265">IFERROR(INDEX('Retirement Calculator'!K:K,MATCH('Lorri 401b'!N2265,'Retirement Calculator'!A:A,0),0),0)</f>
        <v>0</v>
      </c>
      <c r="K2265" s="455">
        <f t="shared" ca="1" si="123"/>
        <v>-21534207.449019607</v>
      </c>
      <c r="L2265" s="455">
        <f t="shared" ca="1" si="124"/>
        <v>-5189743995.2137251</v>
      </c>
      <c r="M2265" s="471">
        <f t="shared" si="126"/>
        <v>0.05</v>
      </c>
      <c r="N2265" s="475">
        <f t="shared" si="127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25"/>
        <v>-5189743995.2137251</v>
      </c>
      <c r="J2266" s="455">
        <f t="array" ref="J2266">IFERROR(INDEX('Retirement Calculator'!K:K,MATCH('Lorri 401b'!N2266,'Retirement Calculator'!A:A,0),0),0)</f>
        <v>0</v>
      </c>
      <c r="K2266" s="455">
        <f t="shared" ca="1" si="123"/>
        <v>-21623933.313390519</v>
      </c>
      <c r="L2266" s="455">
        <f t="shared" ca="1" si="124"/>
        <v>-5211367928.5271158</v>
      </c>
      <c r="M2266" s="471">
        <f t="shared" si="126"/>
        <v>0.05</v>
      </c>
      <c r="N2266" s="475">
        <f t="shared" si="127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25"/>
        <v>-5211367928.5271158</v>
      </c>
      <c r="J2267" s="455">
        <f t="array" ref="J2267">IFERROR(INDEX('Retirement Calculator'!K:K,MATCH('Lorri 401b'!N2267,'Retirement Calculator'!A:A,0),0),0)</f>
        <v>0</v>
      </c>
      <c r="K2267" s="455">
        <f t="shared" ca="1" si="123"/>
        <v>-21714033.035529651</v>
      </c>
      <c r="L2267" s="455">
        <f t="shared" ca="1" si="124"/>
        <v>-5233081961.5626459</v>
      </c>
      <c r="M2267" s="471">
        <f t="shared" si="126"/>
        <v>0.05</v>
      </c>
      <c r="N2267" s="475">
        <f t="shared" si="127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25"/>
        <v>-5233081961.5626459</v>
      </c>
      <c r="J2268" s="455">
        <f t="array" ref="J2268">IFERROR(INDEX('Retirement Calculator'!K:K,MATCH('Lorri 401b'!N2268,'Retirement Calculator'!A:A,0),0),0)</f>
        <v>0</v>
      </c>
      <c r="K2268" s="455">
        <f t="shared" ca="1" si="123"/>
        <v>-21804508.173177689</v>
      </c>
      <c r="L2268" s="455">
        <f t="shared" ca="1" si="124"/>
        <v>-5254886469.7358236</v>
      </c>
      <c r="M2268" s="471">
        <f t="shared" si="126"/>
        <v>0.05</v>
      </c>
      <c r="N2268" s="475">
        <f t="shared" si="127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25"/>
        <v>-5254886469.7358236</v>
      </c>
      <c r="J2269" s="455">
        <f t="array" ref="J2269">IFERROR(INDEX('Retirement Calculator'!K:K,MATCH('Lorri 401b'!N2269,'Retirement Calculator'!A:A,0),0),0)</f>
        <v>0</v>
      </c>
      <c r="K2269" s="455">
        <f t="shared" ca="1" si="123"/>
        <v>-21895360.29056593</v>
      </c>
      <c r="L2269" s="455">
        <f t="shared" ca="1" si="124"/>
        <v>-5276781830.0263891</v>
      </c>
      <c r="M2269" s="471">
        <f t="shared" si="126"/>
        <v>0.05</v>
      </c>
      <c r="N2269" s="475">
        <f t="shared" si="127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25"/>
        <v>-5276781830.0263891</v>
      </c>
      <c r="J2270" s="455">
        <f t="array" ref="J2270">IFERROR(INDEX('Retirement Calculator'!K:K,MATCH('Lorri 401b'!N2270,'Retirement Calculator'!A:A,0),0),0)</f>
        <v>0</v>
      </c>
      <c r="K2270" s="455">
        <f t="shared" ca="1" si="123"/>
        <v>-21986590.958443288</v>
      </c>
      <c r="L2270" s="455">
        <f t="shared" ca="1" si="124"/>
        <v>-5298768420.9848328</v>
      </c>
      <c r="M2270" s="471">
        <f t="shared" si="126"/>
        <v>0.05</v>
      </c>
      <c r="N2270" s="475">
        <f t="shared" si="127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25"/>
        <v>-5298768420.9848328</v>
      </c>
      <c r="J2271" s="455">
        <f t="array" ref="J2271">IFERROR(INDEX('Retirement Calculator'!K:K,MATCH('Lorri 401b'!N2271,'Retirement Calculator'!A:A,0),0),0)</f>
        <v>0</v>
      </c>
      <c r="K2271" s="455">
        <f t="shared" ca="1" si="123"/>
        <v>-22078201.754103471</v>
      </c>
      <c r="L2271" s="455">
        <f t="shared" ca="1" si="124"/>
        <v>-5320846622.7389364</v>
      </c>
      <c r="M2271" s="471">
        <f t="shared" si="126"/>
        <v>0.05</v>
      </c>
      <c r="N2271" s="475">
        <f t="shared" si="127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25"/>
        <v>-5320846622.7389364</v>
      </c>
      <c r="J2272" s="455">
        <f t="array" ref="J2272">IFERROR(INDEX('Retirement Calculator'!K:K,MATCH('Lorri 401b'!N2272,'Retirement Calculator'!A:A,0),0),0)</f>
        <v>0</v>
      </c>
      <c r="K2272" s="455">
        <f t="shared" ca="1" si="123"/>
        <v>-22170194.261412233</v>
      </c>
      <c r="L2272" s="455">
        <f t="shared" ca="1" si="124"/>
        <v>-5343016817.000349</v>
      </c>
      <c r="M2272" s="471">
        <f t="shared" si="126"/>
        <v>0.05</v>
      </c>
      <c r="N2272" s="475">
        <f t="shared" si="127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25"/>
        <v>-5343016817.000349</v>
      </c>
      <c r="J2273" s="455">
        <f t="array" ref="J2273">IFERROR(INDEX('Retirement Calculator'!K:K,MATCH('Lorri 401b'!N2273,'Retirement Calculator'!A:A,0),0),0)</f>
        <v>0</v>
      </c>
      <c r="K2273" s="455">
        <f t="shared" ca="1" si="123"/>
        <v>-22262570.070834786</v>
      </c>
      <c r="L2273" s="455">
        <f t="shared" ca="1" si="124"/>
        <v>-5365279387.0711842</v>
      </c>
      <c r="M2273" s="471">
        <f t="shared" si="126"/>
        <v>0.05</v>
      </c>
      <c r="N2273" s="475">
        <f t="shared" si="127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25"/>
        <v>-5365279387.0711842</v>
      </c>
      <c r="J2274" s="455">
        <f t="array" ref="J2274">IFERROR(INDEX('Retirement Calculator'!K:K,MATCH('Lorri 401b'!N2274,'Retirement Calculator'!A:A,0),0),0)</f>
        <v>0</v>
      </c>
      <c r="K2274" s="455">
        <f t="shared" ca="1" si="123"/>
        <v>-22355330.779463269</v>
      </c>
      <c r="L2274" s="455">
        <f t="shared" ca="1" si="124"/>
        <v>-5387634717.850647</v>
      </c>
      <c r="M2274" s="471">
        <f t="shared" si="126"/>
        <v>0.05</v>
      </c>
      <c r="N2274" s="475">
        <f t="shared" si="127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25"/>
        <v>-5387634717.850647</v>
      </c>
      <c r="J2275" s="455">
        <f t="array" ref="J2275">IFERROR(INDEX('Retirement Calculator'!K:K,MATCH('Lorri 401b'!N2275,'Retirement Calculator'!A:A,0),0),0)</f>
        <v>0</v>
      </c>
      <c r="K2275" s="455">
        <f t="shared" ca="1" si="123"/>
        <v>-22448477.991044361</v>
      </c>
      <c r="L2275" s="455">
        <f t="shared" ca="1" si="124"/>
        <v>-5410083195.841691</v>
      </c>
      <c r="M2275" s="471">
        <f t="shared" si="126"/>
        <v>0.05</v>
      </c>
      <c r="N2275" s="475">
        <f t="shared" si="127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25"/>
        <v>-5410083195.841691</v>
      </c>
      <c r="J2276" s="455">
        <f t="array" ref="J2276">IFERROR(INDEX('Retirement Calculator'!K:K,MATCH('Lorri 401b'!N2276,'Retirement Calculator'!A:A,0),0),0)</f>
        <v>0</v>
      </c>
      <c r="K2276" s="455">
        <f t="shared" ca="1" si="123"/>
        <v>-22542013.316007044</v>
      </c>
      <c r="L2276" s="455">
        <f t="shared" ca="1" si="124"/>
        <v>-5432625209.1576977</v>
      </c>
      <c r="M2276" s="471">
        <f t="shared" si="126"/>
        <v>0.05</v>
      </c>
      <c r="N2276" s="475">
        <f t="shared" si="127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25"/>
        <v>-5432625209.1576977</v>
      </c>
      <c r="J2277" s="455">
        <f t="array" ref="J2277">IFERROR(INDEX('Retirement Calculator'!K:K,MATCH('Lorri 401b'!N2277,'Retirement Calculator'!A:A,0),0),0)</f>
        <v>0</v>
      </c>
      <c r="K2277" s="455">
        <f t="shared" ca="1" si="123"/>
        <v>-22635938.371490408</v>
      </c>
      <c r="L2277" s="455">
        <f t="shared" ca="1" si="124"/>
        <v>-5455261147.5291882</v>
      </c>
      <c r="M2277" s="471">
        <f t="shared" si="126"/>
        <v>0.05</v>
      </c>
      <c r="N2277" s="475">
        <f t="shared" si="127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25"/>
        <v>-5455261147.5291882</v>
      </c>
      <c r="J2278" s="455">
        <f t="array" ref="J2278">IFERROR(INDEX('Retirement Calculator'!K:K,MATCH('Lorri 401b'!N2278,'Retirement Calculator'!A:A,0),0),0)</f>
        <v>0</v>
      </c>
      <c r="K2278" s="455">
        <f t="shared" ca="1" si="123"/>
        <v>-22730254.781371616</v>
      </c>
      <c r="L2278" s="455">
        <f t="shared" ca="1" si="124"/>
        <v>-5477991402.3105602</v>
      </c>
      <c r="M2278" s="471">
        <f t="shared" si="126"/>
        <v>0.05</v>
      </c>
      <c r="N2278" s="475">
        <f t="shared" si="127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25"/>
        <v>-5477991402.3105602</v>
      </c>
      <c r="J2279" s="455">
        <f t="array" ref="J2279">IFERROR(INDEX('Retirement Calculator'!K:K,MATCH('Lorri 401b'!N2279,'Retirement Calculator'!A:A,0),0),0)</f>
        <v>0</v>
      </c>
      <c r="K2279" s="455">
        <f t="shared" ca="1" si="123"/>
        <v>-22824964.176293999</v>
      </c>
      <c r="L2279" s="455">
        <f t="shared" ca="1" si="124"/>
        <v>-5500816366.4868546</v>
      </c>
      <c r="M2279" s="471">
        <f t="shared" si="126"/>
        <v>0.05</v>
      </c>
      <c r="N2279" s="475">
        <f t="shared" si="127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25"/>
        <v>-5500816366.4868546</v>
      </c>
      <c r="J2280" s="455">
        <f t="array" ref="J2280">IFERROR(INDEX('Retirement Calculator'!K:K,MATCH('Lorri 401b'!N2280,'Retirement Calculator'!A:A,0),0),0)</f>
        <v>0</v>
      </c>
      <c r="K2280" s="455">
        <f t="shared" ca="1" si="123"/>
        <v>-22920068.193695229</v>
      </c>
      <c r="L2280" s="455">
        <f t="shared" ca="1" si="124"/>
        <v>-5523736434.6805496</v>
      </c>
      <c r="M2280" s="471">
        <f t="shared" si="126"/>
        <v>0.05</v>
      </c>
      <c r="N2280" s="475">
        <f t="shared" si="127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25"/>
        <v>-5523736434.6805496</v>
      </c>
      <c r="J2281" s="455">
        <f t="array" ref="J2281">IFERROR(INDEX('Retirement Calculator'!K:K,MATCH('Lorri 401b'!N2281,'Retirement Calculator'!A:A,0),0),0)</f>
        <v>0</v>
      </c>
      <c r="K2281" s="455">
        <f t="shared" ca="1" si="123"/>
        <v>-23015568.477835622</v>
      </c>
      <c r="L2281" s="455">
        <f t="shared" ca="1" si="124"/>
        <v>-5546752003.1583853</v>
      </c>
      <c r="M2281" s="471">
        <f t="shared" si="126"/>
        <v>0.05</v>
      </c>
      <c r="N2281" s="475">
        <f t="shared" si="127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25"/>
        <v>-5546752003.1583853</v>
      </c>
      <c r="J2282" s="455">
        <f t="array" ref="J2282">IFERROR(INDEX('Retirement Calculator'!K:K,MATCH('Lorri 401b'!N2282,'Retirement Calculator'!A:A,0),0),0)</f>
        <v>0</v>
      </c>
      <c r="K2282" s="455">
        <f t="shared" ca="1" si="123"/>
        <v>-23111466.679826606</v>
      </c>
      <c r="L2282" s="455">
        <f t="shared" ca="1" si="124"/>
        <v>-5569863469.838212</v>
      </c>
      <c r="M2282" s="471">
        <f t="shared" si="126"/>
        <v>0.05</v>
      </c>
      <c r="N2282" s="475">
        <f t="shared" si="127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25"/>
        <v>-5569863469.838212</v>
      </c>
      <c r="J2283" s="455">
        <f t="array" ref="J2283">IFERROR(INDEX('Retirement Calculator'!K:K,MATCH('Lorri 401b'!N2283,'Retirement Calculator'!A:A,0),0),0)</f>
        <v>0</v>
      </c>
      <c r="K2283" s="455">
        <f t="shared" ca="1" si="123"/>
        <v>-23207764.457659215</v>
      </c>
      <c r="L2283" s="455">
        <f t="shared" ca="1" si="124"/>
        <v>-5593071234.2958708</v>
      </c>
      <c r="M2283" s="471">
        <f t="shared" si="126"/>
        <v>0.05</v>
      </c>
      <c r="N2283" s="475">
        <f t="shared" si="127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25"/>
        <v>-5593071234.2958708</v>
      </c>
      <c r="J2284" s="455">
        <f t="array" ref="J2284">IFERROR(INDEX('Retirement Calculator'!K:K,MATCH('Lorri 401b'!N2284,'Retirement Calculator'!A:A,0),0),0)</f>
        <v>0</v>
      </c>
      <c r="K2284" s="455">
        <f t="shared" ca="1" si="123"/>
        <v>-23304463.476232793</v>
      </c>
      <c r="L2284" s="455">
        <f t="shared" ca="1" si="124"/>
        <v>-5616375697.7721033</v>
      </c>
      <c r="M2284" s="471">
        <f t="shared" si="126"/>
        <v>0.05</v>
      </c>
      <c r="N2284" s="475">
        <f t="shared" si="127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25"/>
        <v>-5616375697.7721033</v>
      </c>
      <c r="J2285" s="455">
        <f t="array" ref="J2285">IFERROR(INDEX('Retirement Calculator'!K:K,MATCH('Lorri 401b'!N2285,'Retirement Calculator'!A:A,0),0),0)</f>
        <v>0</v>
      </c>
      <c r="K2285" s="455">
        <f t="shared" ca="1" si="123"/>
        <v>-23401565.407383762</v>
      </c>
      <c r="L2285" s="455">
        <f t="shared" ca="1" si="124"/>
        <v>-5639777263.1794872</v>
      </c>
      <c r="M2285" s="471">
        <f t="shared" si="126"/>
        <v>0.05</v>
      </c>
      <c r="N2285" s="475">
        <f t="shared" si="127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25"/>
        <v>-5639777263.1794872</v>
      </c>
      <c r="J2286" s="455">
        <f t="array" ref="J2286">IFERROR(INDEX('Retirement Calculator'!K:K,MATCH('Lorri 401b'!N2286,'Retirement Calculator'!A:A,0),0),0)</f>
        <v>0</v>
      </c>
      <c r="K2286" s="455">
        <f t="shared" ca="1" si="123"/>
        <v>-23499071.92991453</v>
      </c>
      <c r="L2286" s="455">
        <f t="shared" ca="1" si="124"/>
        <v>-5663276335.1094017</v>
      </c>
      <c r="M2286" s="471">
        <f t="shared" si="126"/>
        <v>0.05</v>
      </c>
      <c r="N2286" s="475">
        <f t="shared" si="127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25"/>
        <v>-5663276335.1094017</v>
      </c>
      <c r="J2287" s="455">
        <f t="array" ref="J2287">IFERROR(INDEX('Retirement Calculator'!K:K,MATCH('Lorri 401b'!N2287,'Retirement Calculator'!A:A,0),0),0)</f>
        <v>0</v>
      </c>
      <c r="K2287" s="455">
        <f t="shared" ca="1" si="123"/>
        <v>-23596984.729622506</v>
      </c>
      <c r="L2287" s="455">
        <f t="shared" ca="1" si="124"/>
        <v>-5686873319.8390245</v>
      </c>
      <c r="M2287" s="471">
        <f t="shared" si="126"/>
        <v>0.05</v>
      </c>
      <c r="N2287" s="475">
        <f t="shared" si="127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25"/>
        <v>-5686873319.8390245</v>
      </c>
      <c r="J2288" s="455">
        <f t="array" ref="J2288">IFERROR(INDEX('Retirement Calculator'!K:K,MATCH('Lorri 401b'!N2288,'Retirement Calculator'!A:A,0),0),0)</f>
        <v>0</v>
      </c>
      <c r="K2288" s="455">
        <f t="shared" ca="1" si="123"/>
        <v>-23695305.499329269</v>
      </c>
      <c r="L2288" s="455">
        <f t="shared" ca="1" si="124"/>
        <v>-5710568625.3383541</v>
      </c>
      <c r="M2288" s="471">
        <f t="shared" si="126"/>
        <v>0.05</v>
      </c>
      <c r="N2288" s="475">
        <f t="shared" si="127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25"/>
        <v>-5710568625.3383541</v>
      </c>
      <c r="J2289" s="455">
        <f t="array" ref="J2289">IFERROR(INDEX('Retirement Calculator'!K:K,MATCH('Lorri 401b'!N2289,'Retirement Calculator'!A:A,0),0),0)</f>
        <v>0</v>
      </c>
      <c r="K2289" s="455">
        <f t="shared" ca="1" si="123"/>
        <v>-23794035.93890981</v>
      </c>
      <c r="L2289" s="455">
        <f t="shared" ca="1" si="124"/>
        <v>-5734362661.2772636</v>
      </c>
      <c r="M2289" s="471">
        <f t="shared" si="126"/>
        <v>0.05</v>
      </c>
      <c r="N2289" s="475">
        <f t="shared" si="127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25"/>
        <v>-5734362661.2772636</v>
      </c>
      <c r="J2290" s="455">
        <f t="array" ref="J2290">IFERROR(INDEX('Retirement Calculator'!K:K,MATCH('Lorri 401b'!N2290,'Retirement Calculator'!A:A,0),0),0)</f>
        <v>0</v>
      </c>
      <c r="K2290" s="455">
        <f t="shared" ca="1" si="123"/>
        <v>-23893177.755321931</v>
      </c>
      <c r="L2290" s="455">
        <f t="shared" ca="1" si="124"/>
        <v>-5758255839.0325851</v>
      </c>
      <c r="M2290" s="471">
        <f t="shared" si="126"/>
        <v>0.05</v>
      </c>
      <c r="N2290" s="475">
        <f t="shared" si="127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25"/>
        <v>-5758255839.0325851</v>
      </c>
      <c r="J2291" s="455">
        <f t="array" ref="J2291">IFERROR(INDEX('Retirement Calculator'!K:K,MATCH('Lorri 401b'!N2291,'Retirement Calculator'!A:A,0),0),0)</f>
        <v>0</v>
      </c>
      <c r="K2291" s="455">
        <f t="shared" ca="1" si="123"/>
        <v>-23992732.66263577</v>
      </c>
      <c r="L2291" s="455">
        <f t="shared" ca="1" si="124"/>
        <v>-5782248571.6952209</v>
      </c>
      <c r="M2291" s="471">
        <f t="shared" si="126"/>
        <v>0.05</v>
      </c>
      <c r="N2291" s="475">
        <f t="shared" si="127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25"/>
        <v>-5782248571.6952209</v>
      </c>
      <c r="J2292" s="455">
        <f t="array" ref="J2292">IFERROR(INDEX('Retirement Calculator'!K:K,MATCH('Lorri 401b'!N2292,'Retirement Calculator'!A:A,0),0),0)</f>
        <v>0</v>
      </c>
      <c r="K2292" s="455">
        <f t="shared" ca="1" si="123"/>
        <v>-24092702.382063419</v>
      </c>
      <c r="L2292" s="455">
        <f t="shared" ca="1" si="124"/>
        <v>-5806341274.0772848</v>
      </c>
      <c r="M2292" s="471">
        <f t="shared" si="126"/>
        <v>0.05</v>
      </c>
      <c r="N2292" s="475">
        <f t="shared" si="127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25"/>
        <v>-5806341274.0772848</v>
      </c>
      <c r="J2293" s="455">
        <f t="array" ref="J2293">IFERROR(INDEX('Retirement Calculator'!K:K,MATCH('Lorri 401b'!N2293,'Retirement Calculator'!A:A,0),0),0)</f>
        <v>0</v>
      </c>
      <c r="K2293" s="455">
        <f t="shared" ca="1" si="123"/>
        <v>-24193088.641988687</v>
      </c>
      <c r="L2293" s="455">
        <f t="shared" ca="1" si="124"/>
        <v>-5830534362.7192736</v>
      </c>
      <c r="M2293" s="471">
        <f t="shared" si="126"/>
        <v>0.05</v>
      </c>
      <c r="N2293" s="475">
        <f t="shared" si="127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25"/>
        <v>-5830534362.7192736</v>
      </c>
      <c r="J2294" s="455">
        <f t="array" ref="J2294">IFERROR(INDEX('Retirement Calculator'!K:K,MATCH('Lorri 401b'!N2294,'Retirement Calculator'!A:A,0),0),0)</f>
        <v>0</v>
      </c>
      <c r="K2294" s="455">
        <f t="shared" ca="1" si="123"/>
        <v>-24293893.177996974</v>
      </c>
      <c r="L2294" s="455">
        <f t="shared" ca="1" si="124"/>
        <v>-5854828255.8972702</v>
      </c>
      <c r="M2294" s="471">
        <f t="shared" si="126"/>
        <v>0.05</v>
      </c>
      <c r="N2294" s="475">
        <f t="shared" si="127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25"/>
        <v>-5854828255.8972702</v>
      </c>
      <c r="J2295" s="455">
        <f t="array" ref="J2295">IFERROR(INDEX('Retirement Calculator'!K:K,MATCH('Lorri 401b'!N2295,'Retirement Calculator'!A:A,0),0),0)</f>
        <v>0</v>
      </c>
      <c r="K2295" s="455">
        <f t="shared" ca="1" si="123"/>
        <v>-24395117.732905291</v>
      </c>
      <c r="L2295" s="455">
        <f t="shared" ca="1" si="124"/>
        <v>-5879223373.6301756</v>
      </c>
      <c r="M2295" s="471">
        <f t="shared" si="126"/>
        <v>0.05</v>
      </c>
      <c r="N2295" s="475">
        <f t="shared" si="127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25"/>
        <v>-5879223373.6301756</v>
      </c>
      <c r="J2296" s="455">
        <f t="array" ref="J2296">IFERROR(INDEX('Retirement Calculator'!K:K,MATCH('Lorri 401b'!N2296,'Retirement Calculator'!A:A,0),0),0)</f>
        <v>0</v>
      </c>
      <c r="K2296" s="455">
        <f t="shared" ca="1" si="123"/>
        <v>-24496764.056792397</v>
      </c>
      <c r="L2296" s="455">
        <f t="shared" ca="1" si="124"/>
        <v>-5903720137.6869678</v>
      </c>
      <c r="M2296" s="471">
        <f t="shared" si="126"/>
        <v>0.05</v>
      </c>
      <c r="N2296" s="475">
        <f t="shared" si="127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25"/>
        <v>-5903720137.6869678</v>
      </c>
      <c r="J2297" s="455">
        <f t="array" ref="J2297">IFERROR(INDEX('Retirement Calculator'!K:K,MATCH('Lorri 401b'!N2297,'Retirement Calculator'!A:A,0),0),0)</f>
        <v>0</v>
      </c>
      <c r="K2297" s="455">
        <f t="shared" ca="1" si="123"/>
        <v>-24598833.907029033</v>
      </c>
      <c r="L2297" s="455">
        <f t="shared" ca="1" si="124"/>
        <v>-5928318971.593997</v>
      </c>
      <c r="M2297" s="471">
        <f t="shared" si="126"/>
        <v>0.05</v>
      </c>
      <c r="N2297" s="475">
        <f t="shared" si="127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25"/>
        <v>-5928318971.593997</v>
      </c>
      <c r="J2298" s="455">
        <f t="array" ref="J2298">IFERROR(INDEX('Retirement Calculator'!K:K,MATCH('Lorri 401b'!N2298,'Retirement Calculator'!A:A,0),0),0)</f>
        <v>0</v>
      </c>
      <c r="K2298" s="455">
        <f t="shared" ca="1" si="123"/>
        <v>-24701329.04830832</v>
      </c>
      <c r="L2298" s="455">
        <f t="shared" ca="1" si="124"/>
        <v>-5953020300.6423054</v>
      </c>
      <c r="M2298" s="471">
        <f t="shared" si="126"/>
        <v>0.05</v>
      </c>
      <c r="N2298" s="475">
        <f t="shared" si="127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25"/>
        <v>-5953020300.6423054</v>
      </c>
      <c r="J2299" s="455">
        <f t="array" ref="J2299">IFERROR(INDEX('Retirement Calculator'!K:K,MATCH('Lorri 401b'!N2299,'Retirement Calculator'!A:A,0),0),0)</f>
        <v>0</v>
      </c>
      <c r="K2299" s="455">
        <f t="shared" ca="1" si="123"/>
        <v>-24804251.252676271</v>
      </c>
      <c r="L2299" s="455">
        <f t="shared" ca="1" si="124"/>
        <v>-5977824551.8949814</v>
      </c>
      <c r="M2299" s="471">
        <f t="shared" si="126"/>
        <v>0.05</v>
      </c>
      <c r="N2299" s="475">
        <f t="shared" si="127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25"/>
        <v>-5977824551.8949814</v>
      </c>
      <c r="J2300" s="455">
        <f t="array" ref="J2300">IFERROR(INDEX('Retirement Calculator'!K:K,MATCH('Lorri 401b'!N2300,'Retirement Calculator'!A:A,0),0),0)</f>
        <v>0</v>
      </c>
      <c r="K2300" s="455">
        <f t="shared" ca="1" si="123"/>
        <v>-24907602.299562421</v>
      </c>
      <c r="L2300" s="455">
        <f t="shared" ca="1" si="124"/>
        <v>-6002732154.1945438</v>
      </c>
      <c r="M2300" s="471">
        <f t="shared" si="126"/>
        <v>0.05</v>
      </c>
      <c r="N2300" s="475">
        <f t="shared" si="127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25"/>
        <v>-6002732154.1945438</v>
      </c>
      <c r="J2301" s="455">
        <f t="array" ref="J2301">IFERROR(INDEX('Retirement Calculator'!K:K,MATCH('Lorri 401b'!N2301,'Retirement Calculator'!A:A,0),0),0)</f>
        <v>0</v>
      </c>
      <c r="K2301" s="455">
        <f t="shared" ca="1" si="123"/>
        <v>-25011383.975810599</v>
      </c>
      <c r="L2301" s="455">
        <f t="shared" ca="1" si="124"/>
        <v>-6027743538.1703548</v>
      </c>
      <c r="M2301" s="471">
        <f t="shared" si="126"/>
        <v>0.05</v>
      </c>
      <c r="N2301" s="475">
        <f t="shared" si="127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25"/>
        <v>-6027743538.1703548</v>
      </c>
      <c r="J2302" s="455">
        <f t="array" ref="J2302">IFERROR(INDEX('Retirement Calculator'!K:K,MATCH('Lorri 401b'!N2302,'Retirement Calculator'!A:A,0),0),0)</f>
        <v>0</v>
      </c>
      <c r="K2302" s="455">
        <f t="shared" ca="1" si="123"/>
        <v>-25115598.075709812</v>
      </c>
      <c r="L2302" s="455">
        <f t="shared" ca="1" si="124"/>
        <v>-6052859136.2460642</v>
      </c>
      <c r="M2302" s="471">
        <f t="shared" si="126"/>
        <v>0.05</v>
      </c>
      <c r="N2302" s="475">
        <f t="shared" si="127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25"/>
        <v>-6052859136.2460642</v>
      </c>
      <c r="J2303" s="455">
        <f t="array" ref="J2303">IFERROR(INDEX('Retirement Calculator'!K:K,MATCH('Lorri 401b'!N2303,'Retirement Calculator'!A:A,0),0),0)</f>
        <v>0</v>
      </c>
      <c r="K2303" s="455">
        <f t="shared" ref="K2303:K2557" ca="1" si="128">IPMT(M2303/12,1,12,-I2303+J2303,,0)</f>
        <v>-25220246.401025265</v>
      </c>
      <c r="L2303" s="455">
        <f t="shared" ref="L2303:L2557" ca="1" si="129">I2303-J2303+K2303</f>
        <v>-6078079382.647089</v>
      </c>
      <c r="M2303" s="471">
        <f t="shared" si="126"/>
        <v>0.05</v>
      </c>
      <c r="N2303" s="475">
        <f t="shared" si="127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30">L2303</f>
        <v>-6078079382.647089</v>
      </c>
      <c r="J2304" s="455">
        <f t="array" ref="J2304">IFERROR(INDEX('Retirement Calculator'!K:K,MATCH('Lorri 401b'!N2304,'Retirement Calculator'!A:A,0),0),0)</f>
        <v>0</v>
      </c>
      <c r="K2304" s="455">
        <f t="shared" ca="1" si="128"/>
        <v>-25325330.761029538</v>
      </c>
      <c r="L2304" s="455">
        <f t="shared" ca="1" si="129"/>
        <v>-6103404713.4081182</v>
      </c>
      <c r="M2304" s="471">
        <f t="shared" ref="M2304:M2558" si="131">M2303</f>
        <v>0.05</v>
      </c>
      <c r="N2304" s="475">
        <f t="shared" ref="N2304:N2558" si="132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30"/>
        <v>-6103404713.4081182</v>
      </c>
      <c r="J2305" s="455">
        <f t="array" ref="J2305">IFERROR(INDEX('Retirement Calculator'!K:K,MATCH('Lorri 401b'!N2305,'Retirement Calculator'!A:A,0),0),0)</f>
        <v>0</v>
      </c>
      <c r="K2305" s="455">
        <f t="shared" ca="1" si="128"/>
        <v>-25430852.972533826</v>
      </c>
      <c r="L2305" s="455">
        <f t="shared" ca="1" si="129"/>
        <v>-6128835566.3806524</v>
      </c>
      <c r="M2305" s="471">
        <f t="shared" si="131"/>
        <v>0.05</v>
      </c>
      <c r="N2305" s="475">
        <f t="shared" si="132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30"/>
        <v>-6128835566.3806524</v>
      </c>
      <c r="J2306" s="455">
        <f t="array" ref="J2306">IFERROR(INDEX('Retirement Calculator'!K:K,MATCH('Lorri 401b'!N2306,'Retirement Calculator'!A:A,0),0),0)</f>
        <v>0</v>
      </c>
      <c r="K2306" s="455">
        <f t="shared" ca="1" si="128"/>
        <v>-25536814.859919384</v>
      </c>
      <c r="L2306" s="455">
        <f t="shared" ca="1" si="129"/>
        <v>-6154372381.240572</v>
      </c>
      <c r="M2306" s="471">
        <f t="shared" si="131"/>
        <v>0.05</v>
      </c>
      <c r="N2306" s="475">
        <f t="shared" si="132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30"/>
        <v>-6154372381.240572</v>
      </c>
      <c r="J2307" s="455">
        <f t="array" ref="J2307">IFERROR(INDEX('Retirement Calculator'!K:K,MATCH('Lorri 401b'!N2307,'Retirement Calculator'!A:A,0),0),0)</f>
        <v>0</v>
      </c>
      <c r="K2307" s="455">
        <f t="shared" ca="1" si="128"/>
        <v>-25643218.255169049</v>
      </c>
      <c r="L2307" s="455">
        <f t="shared" ca="1" si="129"/>
        <v>-6180015599.4957409</v>
      </c>
      <c r="M2307" s="471">
        <f t="shared" si="131"/>
        <v>0.05</v>
      </c>
      <c r="N2307" s="475">
        <f t="shared" si="132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30"/>
        <v>-6180015599.4957409</v>
      </c>
      <c r="J2308" s="455">
        <f t="array" ref="J2308">IFERROR(INDEX('Retirement Calculator'!K:K,MATCH('Lorri 401b'!N2308,'Retirement Calculator'!A:A,0),0),0)</f>
        <v>0</v>
      </c>
      <c r="K2308" s="455">
        <f t="shared" ca="1" si="128"/>
        <v>-25750064.997898921</v>
      </c>
      <c r="L2308" s="455">
        <f t="shared" ca="1" si="129"/>
        <v>-6205765664.4936399</v>
      </c>
      <c r="M2308" s="471">
        <f t="shared" si="131"/>
        <v>0.05</v>
      </c>
      <c r="N2308" s="475">
        <f t="shared" si="132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30"/>
        <v>-6205765664.4936399</v>
      </c>
      <c r="J2309" s="455">
        <f t="array" ref="J2309">IFERROR(INDEX('Retirement Calculator'!K:K,MATCH('Lorri 401b'!N2309,'Retirement Calculator'!A:A,0),0),0)</f>
        <v>0</v>
      </c>
      <c r="K2309" s="455">
        <f t="shared" ca="1" si="128"/>
        <v>-25857356.935390167</v>
      </c>
      <c r="L2309" s="455">
        <f t="shared" ca="1" si="129"/>
        <v>-6231623021.4290304</v>
      </c>
      <c r="M2309" s="471">
        <f t="shared" si="131"/>
        <v>0.05</v>
      </c>
      <c r="N2309" s="475">
        <f t="shared" si="132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30"/>
        <v>-6231623021.4290304</v>
      </c>
      <c r="J2310" s="455">
        <f t="array" ref="J2310">IFERROR(INDEX('Retirement Calculator'!K:K,MATCH('Lorri 401b'!N2310,'Retirement Calculator'!A:A,0),0),0)</f>
        <v>0</v>
      </c>
      <c r="K2310" s="455">
        <f t="shared" ca="1" si="128"/>
        <v>-25965095.92262096</v>
      </c>
      <c r="L2310" s="455">
        <f t="shared" ca="1" si="129"/>
        <v>-6257588117.3516512</v>
      </c>
      <c r="M2310" s="471">
        <f t="shared" si="131"/>
        <v>0.05</v>
      </c>
      <c r="N2310" s="475">
        <f t="shared" si="132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30"/>
        <v>-6257588117.3516512</v>
      </c>
      <c r="J2311" s="455">
        <f t="array" ref="J2311">IFERROR(INDEX('Retirement Calculator'!K:K,MATCH('Lorri 401b'!N2311,'Retirement Calculator'!A:A,0),0),0)</f>
        <v>0</v>
      </c>
      <c r="K2311" s="455">
        <f t="shared" ca="1" si="128"/>
        <v>-26073283.822298545</v>
      </c>
      <c r="L2311" s="455">
        <f t="shared" ca="1" si="129"/>
        <v>-6283661401.1739502</v>
      </c>
      <c r="M2311" s="471">
        <f t="shared" si="131"/>
        <v>0.05</v>
      </c>
      <c r="N2311" s="475">
        <f t="shared" si="132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30"/>
        <v>-6283661401.1739502</v>
      </c>
      <c r="J2312" s="455">
        <f t="array" ref="J2312">IFERROR(INDEX('Retirement Calculator'!K:K,MATCH('Lorri 401b'!N2312,'Retirement Calculator'!A:A,0),0),0)</f>
        <v>0</v>
      </c>
      <c r="K2312" s="455">
        <f t="shared" ca="1" si="128"/>
        <v>-26181922.504891459</v>
      </c>
      <c r="L2312" s="455">
        <f t="shared" ca="1" si="129"/>
        <v>-6309843323.6788416</v>
      </c>
      <c r="M2312" s="471">
        <f t="shared" si="131"/>
        <v>0.05</v>
      </c>
      <c r="N2312" s="475">
        <f t="shared" si="132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30"/>
        <v>-6309843323.6788416</v>
      </c>
      <c r="J2313" s="455">
        <f t="array" ref="J2313">IFERROR(INDEX('Retirement Calculator'!K:K,MATCH('Lorri 401b'!N2313,'Retirement Calculator'!A:A,0),0),0)</f>
        <v>0</v>
      </c>
      <c r="K2313" s="455">
        <f t="shared" ca="1" si="128"/>
        <v>-26291013.84866184</v>
      </c>
      <c r="L2313" s="455">
        <f t="shared" ca="1" si="129"/>
        <v>-6336134337.527503</v>
      </c>
      <c r="M2313" s="471">
        <f t="shared" si="131"/>
        <v>0.05</v>
      </c>
      <c r="N2313" s="475">
        <f t="shared" si="132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30"/>
        <v>-6336134337.527503</v>
      </c>
      <c r="J2314" s="455">
        <f t="array" ref="J2314">IFERROR(INDEX('Retirement Calculator'!K:K,MATCH('Lorri 401b'!N2314,'Retirement Calculator'!A:A,0),0),0)</f>
        <v>0</v>
      </c>
      <c r="K2314" s="455">
        <f t="shared" ca="1" si="128"/>
        <v>-26400559.739697929</v>
      </c>
      <c r="L2314" s="455">
        <f t="shared" ca="1" si="129"/>
        <v>-6362534897.2672005</v>
      </c>
      <c r="M2314" s="471">
        <f t="shared" si="131"/>
        <v>0.05</v>
      </c>
      <c r="N2314" s="475">
        <f t="shared" si="132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30"/>
        <v>-6362534897.2672005</v>
      </c>
      <c r="J2315" s="455">
        <f t="array" ref="J2315">IFERROR(INDEX('Retirement Calculator'!K:K,MATCH('Lorri 401b'!N2315,'Retirement Calculator'!A:A,0),0),0)</f>
        <v>0</v>
      </c>
      <c r="K2315" s="455">
        <f t="shared" ca="1" si="128"/>
        <v>-26510562.071946669</v>
      </c>
      <c r="L2315" s="455">
        <f t="shared" ca="1" si="129"/>
        <v>-6389045459.3391476</v>
      </c>
      <c r="M2315" s="471">
        <f t="shared" si="131"/>
        <v>0.05</v>
      </c>
      <c r="N2315" s="475">
        <f t="shared" si="132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30"/>
        <v>-6389045459.3391476</v>
      </c>
      <c r="J2316" s="455">
        <f t="array" ref="J2316">IFERROR(INDEX('Retirement Calculator'!K:K,MATCH('Lorri 401b'!N2316,'Retirement Calculator'!A:A,0),0),0)</f>
        <v>0</v>
      </c>
      <c r="K2316" s="455">
        <f t="shared" ca="1" si="128"/>
        <v>-26621022.747246448</v>
      </c>
      <c r="L2316" s="455">
        <f t="shared" ca="1" si="129"/>
        <v>-6415666482.0863943</v>
      </c>
      <c r="M2316" s="471">
        <f t="shared" si="131"/>
        <v>0.05</v>
      </c>
      <c r="N2316" s="475">
        <f t="shared" si="132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30"/>
        <v>-6415666482.0863943</v>
      </c>
      <c r="J2317" s="455">
        <f t="array" ref="J2317">IFERROR(INDEX('Retirement Calculator'!K:K,MATCH('Lorri 401b'!N2317,'Retirement Calculator'!A:A,0),0),0)</f>
        <v>0</v>
      </c>
      <c r="K2317" s="455">
        <f t="shared" ca="1" si="128"/>
        <v>-26731943.675359976</v>
      </c>
      <c r="L2317" s="455">
        <f t="shared" ca="1" si="129"/>
        <v>-6442398425.761754</v>
      </c>
      <c r="M2317" s="471">
        <f t="shared" si="131"/>
        <v>0.05</v>
      </c>
      <c r="N2317" s="475">
        <f t="shared" si="132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30"/>
        <v>-6442398425.761754</v>
      </c>
      <c r="J2318" s="455">
        <f t="array" ref="J2318">IFERROR(INDEX('Retirement Calculator'!K:K,MATCH('Lorri 401b'!N2318,'Retirement Calculator'!A:A,0),0),0)</f>
        <v>0</v>
      </c>
      <c r="K2318" s="455">
        <f t="shared" ca="1" si="128"/>
        <v>-26843326.774007309</v>
      </c>
      <c r="L2318" s="455">
        <f t="shared" ca="1" si="129"/>
        <v>-6469241752.5357609</v>
      </c>
      <c r="M2318" s="471">
        <f t="shared" si="131"/>
        <v>0.05</v>
      </c>
      <c r="N2318" s="475">
        <f t="shared" si="132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30"/>
        <v>-6469241752.5357609</v>
      </c>
      <c r="J2319" s="455">
        <f t="array" ref="J2319">IFERROR(INDEX('Retirement Calculator'!K:K,MATCH('Lorri 401b'!N2319,'Retirement Calculator'!A:A,0),0),0)</f>
        <v>0</v>
      </c>
      <c r="K2319" s="455">
        <f t="shared" ca="1" si="128"/>
        <v>-26955173.968899004</v>
      </c>
      <c r="L2319" s="455">
        <f t="shared" ca="1" si="129"/>
        <v>-6496196926.5046597</v>
      </c>
      <c r="M2319" s="471">
        <f t="shared" si="131"/>
        <v>0.05</v>
      </c>
      <c r="N2319" s="475">
        <f t="shared" si="132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30"/>
        <v>-6496196926.5046597</v>
      </c>
      <c r="J2320" s="455">
        <f t="array" ref="J2320">IFERROR(INDEX('Retirement Calculator'!K:K,MATCH('Lorri 401b'!N2320,'Retirement Calculator'!A:A,0),0),0)</f>
        <v>0</v>
      </c>
      <c r="K2320" s="455">
        <f t="shared" ca="1" si="128"/>
        <v>-27067487.193769414</v>
      </c>
      <c r="L2320" s="455">
        <f t="shared" ca="1" si="129"/>
        <v>-6523264413.6984291</v>
      </c>
      <c r="M2320" s="471">
        <f t="shared" si="131"/>
        <v>0.05</v>
      </c>
      <c r="N2320" s="475">
        <f t="shared" si="132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30"/>
        <v>-6523264413.6984291</v>
      </c>
      <c r="J2321" s="455">
        <f t="array" ref="J2321">IFERROR(INDEX('Retirement Calculator'!K:K,MATCH('Lorri 401b'!N2321,'Retirement Calculator'!A:A,0),0),0)</f>
        <v>0</v>
      </c>
      <c r="K2321" s="455">
        <f t="shared" ca="1" si="128"/>
        <v>-27180268.390410122</v>
      </c>
      <c r="L2321" s="455">
        <f t="shared" ca="1" si="129"/>
        <v>-6550444682.0888395</v>
      </c>
      <c r="M2321" s="471">
        <f t="shared" si="131"/>
        <v>0.05</v>
      </c>
      <c r="N2321" s="475">
        <f t="shared" si="132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30"/>
        <v>-6550444682.0888395</v>
      </c>
      <c r="J2322" s="455">
        <f t="array" ref="J2322">IFERROR(INDEX('Retirement Calculator'!K:K,MATCH('Lorri 401b'!N2322,'Retirement Calculator'!A:A,0),0),0)</f>
        <v>0</v>
      </c>
      <c r="K2322" s="455">
        <f t="shared" ca="1" si="128"/>
        <v>-27293519.508703496</v>
      </c>
      <c r="L2322" s="455">
        <f t="shared" ca="1" si="129"/>
        <v>-6577738201.5975428</v>
      </c>
      <c r="M2322" s="471">
        <f t="shared" si="131"/>
        <v>0.05</v>
      </c>
      <c r="N2322" s="475">
        <f t="shared" si="132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30"/>
        <v>-6577738201.5975428</v>
      </c>
      <c r="J2323" s="455">
        <f t="array" ref="J2323">IFERROR(INDEX('Retirement Calculator'!K:K,MATCH('Lorri 401b'!N2323,'Retirement Calculator'!A:A,0),0),0)</f>
        <v>0</v>
      </c>
      <c r="K2323" s="455">
        <f t="shared" ca="1" si="128"/>
        <v>-27407242.506656427</v>
      </c>
      <c r="L2323" s="455">
        <f t="shared" ca="1" si="129"/>
        <v>-6605145444.1041994</v>
      </c>
      <c r="M2323" s="471">
        <f t="shared" si="131"/>
        <v>0.05</v>
      </c>
      <c r="N2323" s="475">
        <f t="shared" si="132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30"/>
        <v>-6605145444.1041994</v>
      </c>
      <c r="J2324" s="455">
        <f t="array" ref="J2324">IFERROR(INDEX('Retirement Calculator'!K:K,MATCH('Lorri 401b'!N2324,'Retirement Calculator'!A:A,0),0),0)</f>
        <v>0</v>
      </c>
      <c r="K2324" s="455">
        <f t="shared" ca="1" si="128"/>
        <v>-27521439.350434165</v>
      </c>
      <c r="L2324" s="455">
        <f t="shared" ca="1" si="129"/>
        <v>-6632666883.4546337</v>
      </c>
      <c r="M2324" s="471">
        <f t="shared" si="131"/>
        <v>0.05</v>
      </c>
      <c r="N2324" s="475">
        <f t="shared" si="132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30"/>
        <v>-6632666883.4546337</v>
      </c>
      <c r="J2325" s="455">
        <f t="array" ref="J2325">IFERROR(INDEX('Retirement Calculator'!K:K,MATCH('Lorri 401b'!N2325,'Retirement Calculator'!A:A,0),0),0)</f>
        <v>0</v>
      </c>
      <c r="K2325" s="455">
        <f t="shared" ca="1" si="128"/>
        <v>-27636112.014394306</v>
      </c>
      <c r="L2325" s="455">
        <f t="shared" ca="1" si="129"/>
        <v>-6660302995.4690285</v>
      </c>
      <c r="M2325" s="471">
        <f t="shared" si="131"/>
        <v>0.05</v>
      </c>
      <c r="N2325" s="475">
        <f t="shared" si="132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30"/>
        <v>-6660302995.4690285</v>
      </c>
      <c r="J2326" s="455">
        <f t="array" ref="J2326">IFERROR(INDEX('Retirement Calculator'!K:K,MATCH('Lorri 401b'!N2326,'Retirement Calculator'!A:A,0),0),0)</f>
        <v>0</v>
      </c>
      <c r="K2326" s="455">
        <f t="shared" ca="1" si="128"/>
        <v>-27751262.481120951</v>
      </c>
      <c r="L2326" s="455">
        <f t="shared" ca="1" si="129"/>
        <v>-6688054257.9501495</v>
      </c>
      <c r="M2326" s="471">
        <f t="shared" si="131"/>
        <v>0.05</v>
      </c>
      <c r="N2326" s="475">
        <f t="shared" si="132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30"/>
        <v>-6688054257.9501495</v>
      </c>
      <c r="J2327" s="455">
        <f t="array" ref="J2327">IFERROR(INDEX('Retirement Calculator'!K:K,MATCH('Lorri 401b'!N2327,'Retirement Calculator'!A:A,0),0),0)</f>
        <v>0</v>
      </c>
      <c r="K2327" s="455">
        <f t="shared" ca="1" si="128"/>
        <v>-27866892.741458956</v>
      </c>
      <c r="L2327" s="455">
        <f t="shared" ca="1" si="129"/>
        <v>-6715921150.6916084</v>
      </c>
      <c r="M2327" s="471">
        <f t="shared" si="131"/>
        <v>0.05</v>
      </c>
      <c r="N2327" s="475">
        <f t="shared" si="132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30"/>
        <v>-6715921150.6916084</v>
      </c>
      <c r="J2328" s="455">
        <f t="array" ref="J2328">IFERROR(INDEX('Retirement Calculator'!K:K,MATCH('Lorri 401b'!N2328,'Retirement Calculator'!A:A,0),0),0)</f>
        <v>0</v>
      </c>
      <c r="K2328" s="455">
        <f t="shared" ca="1" si="128"/>
        <v>-27983004.794548362</v>
      </c>
      <c r="L2328" s="455">
        <f t="shared" ca="1" si="129"/>
        <v>-6743904155.4861565</v>
      </c>
      <c r="M2328" s="471">
        <f t="shared" si="131"/>
        <v>0.05</v>
      </c>
      <c r="N2328" s="475">
        <f t="shared" si="132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30"/>
        <v>-6743904155.4861565</v>
      </c>
      <c r="J2329" s="455">
        <f t="array" ref="J2329">IFERROR(INDEX('Retirement Calculator'!K:K,MATCH('Lorri 401b'!N2329,'Retirement Calculator'!A:A,0),0),0)</f>
        <v>0</v>
      </c>
      <c r="K2329" s="455">
        <f t="shared" ca="1" si="128"/>
        <v>-28099600.647858985</v>
      </c>
      <c r="L2329" s="455">
        <f t="shared" ca="1" si="129"/>
        <v>-6772003756.1340151</v>
      </c>
      <c r="M2329" s="471">
        <f t="shared" si="131"/>
        <v>0.05</v>
      </c>
      <c r="N2329" s="475">
        <f t="shared" si="132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30"/>
        <v>-6772003756.1340151</v>
      </c>
      <c r="J2330" s="455">
        <f t="array" ref="J2330">IFERROR(INDEX('Retirement Calculator'!K:K,MATCH('Lorri 401b'!N2330,'Retirement Calculator'!A:A,0),0),0)</f>
        <v>0</v>
      </c>
      <c r="K2330" s="455">
        <f t="shared" ca="1" si="128"/>
        <v>-28216682.317225061</v>
      </c>
      <c r="L2330" s="455">
        <f t="shared" ca="1" si="129"/>
        <v>-6800220438.4512405</v>
      </c>
      <c r="M2330" s="471">
        <f t="shared" si="131"/>
        <v>0.05</v>
      </c>
      <c r="N2330" s="475">
        <f t="shared" si="132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30"/>
        <v>-6800220438.4512405</v>
      </c>
      <c r="J2331" s="455">
        <f t="array" ref="J2331">IFERROR(INDEX('Retirement Calculator'!K:K,MATCH('Lorri 401b'!N2331,'Retirement Calculator'!A:A,0),0),0)</f>
        <v>0</v>
      </c>
      <c r="K2331" s="455">
        <f t="shared" ca="1" si="128"/>
        <v>-28334251.826880168</v>
      </c>
      <c r="L2331" s="455">
        <f t="shared" ca="1" si="129"/>
        <v>-6828554690.278121</v>
      </c>
      <c r="M2331" s="471">
        <f t="shared" si="131"/>
        <v>0.05</v>
      </c>
      <c r="N2331" s="475">
        <f t="shared" si="132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30"/>
        <v>-6828554690.278121</v>
      </c>
      <c r="J2332" s="455">
        <f t="array" ref="J2332">IFERROR(INDEX('Retirement Calculator'!K:K,MATCH('Lorri 401b'!N2332,'Retirement Calculator'!A:A,0),0),0)</f>
        <v>0</v>
      </c>
      <c r="K2332" s="455">
        <f t="shared" ca="1" si="128"/>
        <v>-28452311.209492169</v>
      </c>
      <c r="L2332" s="455">
        <f t="shared" ca="1" si="129"/>
        <v>-6857007001.4876127</v>
      </c>
      <c r="M2332" s="471">
        <f t="shared" si="131"/>
        <v>0.05</v>
      </c>
      <c r="N2332" s="475">
        <f t="shared" si="132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30"/>
        <v>-6857007001.4876127</v>
      </c>
      <c r="J2333" s="455">
        <f t="array" ref="J2333">IFERROR(INDEX('Retirement Calculator'!K:K,MATCH('Lorri 401b'!N2333,'Retirement Calculator'!A:A,0),0),0)</f>
        <v>0</v>
      </c>
      <c r="K2333" s="455">
        <f t="shared" ca="1" si="128"/>
        <v>-28570862.506198388</v>
      </c>
      <c r="L2333" s="455">
        <f t="shared" ca="1" si="129"/>
        <v>-6885577863.9938107</v>
      </c>
      <c r="M2333" s="471">
        <f t="shared" si="131"/>
        <v>0.05</v>
      </c>
      <c r="N2333" s="475">
        <f t="shared" si="132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30"/>
        <v>-6885577863.9938107</v>
      </c>
      <c r="J2334" s="455">
        <f t="array" ref="J2334">IFERROR(INDEX('Retirement Calculator'!K:K,MATCH('Lorri 401b'!N2334,'Retirement Calculator'!A:A,0),0),0)</f>
        <v>0</v>
      </c>
      <c r="K2334" s="455">
        <f t="shared" ca="1" si="128"/>
        <v>-28689907.766640875</v>
      </c>
      <c r="L2334" s="455">
        <f t="shared" ca="1" si="129"/>
        <v>-6914267771.7604513</v>
      </c>
      <c r="M2334" s="471">
        <f t="shared" si="131"/>
        <v>0.05</v>
      </c>
      <c r="N2334" s="475">
        <f t="shared" si="132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30"/>
        <v>-6914267771.7604513</v>
      </c>
      <c r="J2335" s="455">
        <f t="array" ref="J2335">IFERROR(INDEX('Retirement Calculator'!K:K,MATCH('Lorri 401b'!N2335,'Retirement Calculator'!A:A,0),0),0)</f>
        <v>0</v>
      </c>
      <c r="K2335" s="455">
        <f t="shared" ca="1" si="128"/>
        <v>-28809449.049001884</v>
      </c>
      <c r="L2335" s="455">
        <f t="shared" ca="1" si="129"/>
        <v>-6943077220.809453</v>
      </c>
      <c r="M2335" s="471">
        <f t="shared" si="131"/>
        <v>0.05</v>
      </c>
      <c r="N2335" s="475">
        <f t="shared" si="132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30"/>
        <v>-6943077220.809453</v>
      </c>
      <c r="J2336" s="455">
        <f t="array" ref="J2336">IFERROR(INDEX('Retirement Calculator'!K:K,MATCH('Lorri 401b'!N2336,'Retirement Calculator'!A:A,0),0),0)</f>
        <v>0</v>
      </c>
      <c r="K2336" s="455">
        <f t="shared" ca="1" si="128"/>
        <v>-28929488.420039389</v>
      </c>
      <c r="L2336" s="455">
        <f t="shared" ca="1" si="129"/>
        <v>-6972006709.2294922</v>
      </c>
      <c r="M2336" s="471">
        <f t="shared" si="131"/>
        <v>0.05</v>
      </c>
      <c r="N2336" s="475">
        <f t="shared" si="132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30"/>
        <v>-6972006709.2294922</v>
      </c>
      <c r="J2337" s="455">
        <f t="array" ref="J2337">IFERROR(INDEX('Retirement Calculator'!K:K,MATCH('Lorri 401b'!N2337,'Retirement Calculator'!A:A,0),0),0)</f>
        <v>0</v>
      </c>
      <c r="K2337" s="455">
        <f t="shared" ca="1" si="128"/>
        <v>-29050027.955122884</v>
      </c>
      <c r="L2337" s="455">
        <f t="shared" ca="1" si="129"/>
        <v>-7001056737.1846151</v>
      </c>
      <c r="M2337" s="471">
        <f t="shared" si="131"/>
        <v>0.05</v>
      </c>
      <c r="N2337" s="475">
        <f t="shared" si="132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30"/>
        <v>-7001056737.1846151</v>
      </c>
      <c r="J2338" s="455">
        <f t="array" ref="J2338">IFERROR(INDEX('Retirement Calculator'!K:K,MATCH('Lorri 401b'!N2338,'Retirement Calculator'!A:A,0),0),0)</f>
        <v>0</v>
      </c>
      <c r="K2338" s="455">
        <f t="shared" ca="1" si="128"/>
        <v>-29171069.738269228</v>
      </c>
      <c r="L2338" s="455">
        <f t="shared" ca="1" si="129"/>
        <v>-7030227806.922884</v>
      </c>
      <c r="M2338" s="471">
        <f t="shared" si="131"/>
        <v>0.05</v>
      </c>
      <c r="N2338" s="475">
        <f t="shared" si="132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30"/>
        <v>-7030227806.922884</v>
      </c>
      <c r="J2339" s="455">
        <f t="array" ref="J2339">IFERROR(INDEX('Retirement Calculator'!K:K,MATCH('Lorri 401b'!N2339,'Retirement Calculator'!A:A,0),0),0)</f>
        <v>0</v>
      </c>
      <c r="K2339" s="455">
        <f t="shared" ca="1" si="128"/>
        <v>-29292615.862178683</v>
      </c>
      <c r="L2339" s="455">
        <f t="shared" ca="1" si="129"/>
        <v>-7059520422.7850628</v>
      </c>
      <c r="M2339" s="471">
        <f t="shared" si="131"/>
        <v>0.05</v>
      </c>
      <c r="N2339" s="475">
        <f t="shared" si="132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30"/>
        <v>-7059520422.7850628</v>
      </c>
      <c r="J2340" s="455">
        <f t="array" ref="J2340">IFERROR(INDEX('Retirement Calculator'!K:K,MATCH('Lorri 401b'!N2340,'Retirement Calculator'!A:A,0),0),0)</f>
        <v>0</v>
      </c>
      <c r="K2340" s="455">
        <f t="shared" ca="1" si="128"/>
        <v>-29414668.428271096</v>
      </c>
      <c r="L2340" s="455">
        <f t="shared" ca="1" si="129"/>
        <v>-7088935091.2133341</v>
      </c>
      <c r="M2340" s="471">
        <f t="shared" si="131"/>
        <v>0.05</v>
      </c>
      <c r="N2340" s="475">
        <f t="shared" si="132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30"/>
        <v>-7088935091.2133341</v>
      </c>
      <c r="J2341" s="455">
        <f t="array" ref="J2341">IFERROR(INDEX('Retirement Calculator'!K:K,MATCH('Lorri 401b'!N2341,'Retirement Calculator'!A:A,0),0),0)</f>
        <v>0</v>
      </c>
      <c r="K2341" s="455">
        <f t="shared" ca="1" si="128"/>
        <v>-29537229.546722226</v>
      </c>
      <c r="L2341" s="455">
        <f t="shared" ca="1" si="129"/>
        <v>-7118472320.7600565</v>
      </c>
      <c r="M2341" s="471">
        <f t="shared" si="131"/>
        <v>0.05</v>
      </c>
      <c r="N2341" s="475">
        <f t="shared" si="132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30"/>
        <v>-7118472320.7600565</v>
      </c>
      <c r="J2342" s="455">
        <f t="array" ref="J2342">IFERROR(INDEX('Retirement Calculator'!K:K,MATCH('Lorri 401b'!N2342,'Retirement Calculator'!A:A,0),0),0)</f>
        <v>0</v>
      </c>
      <c r="K2342" s="455">
        <f t="shared" ca="1" si="128"/>
        <v>-29660301.336500235</v>
      </c>
      <c r="L2342" s="455">
        <f t="shared" ca="1" si="129"/>
        <v>-7148132622.0965567</v>
      </c>
      <c r="M2342" s="471">
        <f t="shared" si="131"/>
        <v>0.05</v>
      </c>
      <c r="N2342" s="475">
        <f t="shared" si="132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30"/>
        <v>-7148132622.0965567</v>
      </c>
      <c r="J2343" s="455">
        <f t="array" ref="J2343">IFERROR(INDEX('Retirement Calculator'!K:K,MATCH('Lorri 401b'!N2343,'Retirement Calculator'!A:A,0),0),0)</f>
        <v>0</v>
      </c>
      <c r="K2343" s="455">
        <f t="shared" ca="1" si="128"/>
        <v>-29783885.925402313</v>
      </c>
      <c r="L2343" s="455">
        <f t="shared" ca="1" si="129"/>
        <v>-7177916508.0219593</v>
      </c>
      <c r="M2343" s="471">
        <f t="shared" si="131"/>
        <v>0.05</v>
      </c>
      <c r="N2343" s="475">
        <f t="shared" si="132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30"/>
        <v>-7177916508.0219593</v>
      </c>
      <c r="J2344" s="455">
        <f t="array" ref="J2344">IFERROR(INDEX('Retirement Calculator'!K:K,MATCH('Lorri 401b'!N2344,'Retirement Calculator'!A:A,0),0),0)</f>
        <v>0</v>
      </c>
      <c r="K2344" s="455">
        <f t="shared" ca="1" si="128"/>
        <v>-29907985.450091496</v>
      </c>
      <c r="L2344" s="455">
        <f t="shared" ca="1" si="129"/>
        <v>-7207824493.4720507</v>
      </c>
      <c r="M2344" s="471">
        <f t="shared" si="131"/>
        <v>0.05</v>
      </c>
      <c r="N2344" s="475">
        <f t="shared" si="132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30"/>
        <v>-7207824493.4720507</v>
      </c>
      <c r="J2345" s="455">
        <f t="array" ref="J2345">IFERROR(INDEX('Retirement Calculator'!K:K,MATCH('Lorri 401b'!N2345,'Retirement Calculator'!A:A,0),0),0)</f>
        <v>0</v>
      </c>
      <c r="K2345" s="455">
        <f t="shared" ca="1" si="128"/>
        <v>-30032602.056133542</v>
      </c>
      <c r="L2345" s="455">
        <f t="shared" ca="1" si="129"/>
        <v>-7237857095.5281839</v>
      </c>
      <c r="M2345" s="471">
        <f t="shared" si="131"/>
        <v>0.05</v>
      </c>
      <c r="N2345" s="475">
        <f t="shared" si="132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30"/>
        <v>-7237857095.5281839</v>
      </c>
      <c r="J2346" s="455">
        <f t="array" ref="J2346">IFERROR(INDEX('Retirement Calculator'!K:K,MATCH('Lorri 401b'!N2346,'Retirement Calculator'!A:A,0),0),0)</f>
        <v>0</v>
      </c>
      <c r="K2346" s="455">
        <f t="shared" ca="1" si="128"/>
        <v>-30157737.898034096</v>
      </c>
      <c r="L2346" s="455">
        <f t="shared" ca="1" si="129"/>
        <v>-7268014833.426218</v>
      </c>
      <c r="M2346" s="471">
        <f t="shared" si="131"/>
        <v>0.05</v>
      </c>
      <c r="N2346" s="475">
        <f t="shared" si="132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30"/>
        <v>-7268014833.426218</v>
      </c>
      <c r="J2347" s="455">
        <f t="array" ref="J2347">IFERROR(INDEX('Retirement Calculator'!K:K,MATCH('Lorri 401b'!N2347,'Retirement Calculator'!A:A,0),0),0)</f>
        <v>0</v>
      </c>
      <c r="K2347" s="455">
        <f t="shared" ca="1" si="128"/>
        <v>-30283395.139275912</v>
      </c>
      <c r="L2347" s="455">
        <f t="shared" ca="1" si="129"/>
        <v>-7298298228.5654936</v>
      </c>
      <c r="M2347" s="471">
        <f t="shared" si="131"/>
        <v>0.05</v>
      </c>
      <c r="N2347" s="475">
        <f t="shared" si="132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30"/>
        <v>-7298298228.5654936</v>
      </c>
      <c r="J2348" s="455">
        <f t="array" ref="J2348">IFERROR(INDEX('Retirement Calculator'!K:K,MATCH('Lorri 401b'!N2348,'Retirement Calculator'!A:A,0),0),0)</f>
        <v>0</v>
      </c>
      <c r="K2348" s="455">
        <f t="shared" ca="1" si="128"/>
        <v>-30409575.952356219</v>
      </c>
      <c r="L2348" s="455">
        <f t="shared" ca="1" si="129"/>
        <v>-7328707804.5178499</v>
      </c>
      <c r="M2348" s="471">
        <f t="shared" si="131"/>
        <v>0.05</v>
      </c>
      <c r="N2348" s="475">
        <f t="shared" si="132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30"/>
        <v>-7328707804.5178499</v>
      </c>
      <c r="J2349" s="455">
        <f t="array" ref="J2349">IFERROR(INDEX('Retirement Calculator'!K:K,MATCH('Lorri 401b'!N2349,'Retirement Calculator'!A:A,0),0),0)</f>
        <v>0</v>
      </c>
      <c r="K2349" s="455">
        <f t="shared" ca="1" si="128"/>
        <v>-30536282.51882438</v>
      </c>
      <c r="L2349" s="455">
        <f t="shared" ca="1" si="129"/>
        <v>-7359244087.0366745</v>
      </c>
      <c r="M2349" s="471">
        <f t="shared" si="131"/>
        <v>0.05</v>
      </c>
      <c r="N2349" s="475">
        <f t="shared" si="132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30"/>
        <v>-7359244087.0366745</v>
      </c>
      <c r="J2350" s="455">
        <f t="array" ref="J2350">IFERROR(INDEX('Retirement Calculator'!K:K,MATCH('Lorri 401b'!N2350,'Retirement Calculator'!A:A,0),0),0)</f>
        <v>0</v>
      </c>
      <c r="K2350" s="455">
        <f t="shared" ca="1" si="128"/>
        <v>-30663517.029319473</v>
      </c>
      <c r="L2350" s="455">
        <f t="shared" ca="1" si="129"/>
        <v>-7389907604.0659943</v>
      </c>
      <c r="M2350" s="471">
        <f t="shared" si="131"/>
        <v>0.05</v>
      </c>
      <c r="N2350" s="475">
        <f t="shared" si="132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30"/>
        <v>-7389907604.0659943</v>
      </c>
      <c r="J2351" s="455">
        <f t="array" ref="J2351">IFERROR(INDEX('Retirement Calculator'!K:K,MATCH('Lorri 401b'!N2351,'Retirement Calculator'!A:A,0),0),0)</f>
        <v>0</v>
      </c>
      <c r="K2351" s="455">
        <f t="shared" ca="1" si="128"/>
        <v>-30791281.683608308</v>
      </c>
      <c r="L2351" s="455">
        <f t="shared" ca="1" si="129"/>
        <v>-7420698885.7496023</v>
      </c>
      <c r="M2351" s="471">
        <f t="shared" si="131"/>
        <v>0.05</v>
      </c>
      <c r="N2351" s="475">
        <f t="shared" si="132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30"/>
        <v>-7420698885.7496023</v>
      </c>
      <c r="J2352" s="455">
        <f t="array" ref="J2352">IFERROR(INDEX('Retirement Calculator'!K:K,MATCH('Lorri 401b'!N2352,'Retirement Calculator'!A:A,0),0),0)</f>
        <v>0</v>
      </c>
      <c r="K2352" s="455">
        <f t="shared" ca="1" si="128"/>
        <v>-30919578.690623339</v>
      </c>
      <c r="L2352" s="455">
        <f t="shared" ca="1" si="129"/>
        <v>-7451618464.4402256</v>
      </c>
      <c r="M2352" s="471">
        <f t="shared" si="131"/>
        <v>0.05</v>
      </c>
      <c r="N2352" s="475">
        <f t="shared" si="132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30"/>
        <v>-7451618464.4402256</v>
      </c>
      <c r="J2353" s="455">
        <f t="array" ref="J2353">IFERROR(INDEX('Retirement Calculator'!K:K,MATCH('Lorri 401b'!N2353,'Retirement Calculator'!A:A,0),0),0)</f>
        <v>0</v>
      </c>
      <c r="K2353" s="455">
        <f t="shared" ca="1" si="128"/>
        <v>-31048410.268500939</v>
      </c>
      <c r="L2353" s="455">
        <f t="shared" ca="1" si="129"/>
        <v>-7482666874.7087269</v>
      </c>
      <c r="M2353" s="471">
        <f t="shared" si="131"/>
        <v>0.05</v>
      </c>
      <c r="N2353" s="475">
        <f t="shared" si="132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30"/>
        <v>-7482666874.7087269</v>
      </c>
      <c r="J2354" s="455">
        <f t="array" ref="J2354">IFERROR(INDEX('Retirement Calculator'!K:K,MATCH('Lorri 401b'!N2354,'Retirement Calculator'!A:A,0),0),0)</f>
        <v>0</v>
      </c>
      <c r="K2354" s="455">
        <f t="shared" ca="1" si="128"/>
        <v>-31177778.6446197</v>
      </c>
      <c r="L2354" s="455">
        <f t="shared" ca="1" si="129"/>
        <v>-7513844653.3533468</v>
      </c>
      <c r="M2354" s="471">
        <f t="shared" si="131"/>
        <v>0.05</v>
      </c>
      <c r="N2354" s="475">
        <f t="shared" si="132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30"/>
        <v>-7513844653.3533468</v>
      </c>
      <c r="J2355" s="455">
        <f t="array" ref="J2355">IFERROR(INDEX('Retirement Calculator'!K:K,MATCH('Lorri 401b'!N2355,'Retirement Calculator'!A:A,0),0),0)</f>
        <v>0</v>
      </c>
      <c r="K2355" s="455">
        <f t="shared" ca="1" si="128"/>
        <v>-31307686.055638943</v>
      </c>
      <c r="L2355" s="455">
        <f t="shared" ca="1" si="129"/>
        <v>-7545152339.4089861</v>
      </c>
      <c r="M2355" s="471">
        <f t="shared" si="131"/>
        <v>0.05</v>
      </c>
      <c r="N2355" s="475">
        <f t="shared" si="132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30"/>
        <v>-7545152339.4089861</v>
      </c>
      <c r="J2356" s="455">
        <f t="array" ref="J2356">IFERROR(INDEX('Retirement Calculator'!K:K,MATCH('Lorri 401b'!N2356,'Retirement Calculator'!A:A,0),0),0)</f>
        <v>0</v>
      </c>
      <c r="K2356" s="455">
        <f t="shared" ca="1" si="128"/>
        <v>-31438134.747537442</v>
      </c>
      <c r="L2356" s="455">
        <f t="shared" ca="1" si="129"/>
        <v>-7576590474.1565237</v>
      </c>
      <c r="M2356" s="471">
        <f t="shared" si="131"/>
        <v>0.05</v>
      </c>
      <c r="N2356" s="475">
        <f t="shared" si="132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30"/>
        <v>-7576590474.1565237</v>
      </c>
      <c r="J2357" s="455">
        <f t="array" ref="J2357">IFERROR(INDEX('Retirement Calculator'!K:K,MATCH('Lorri 401b'!N2357,'Retirement Calculator'!A:A,0),0),0)</f>
        <v>0</v>
      </c>
      <c r="K2357" s="455">
        <f t="shared" ca="1" si="128"/>
        <v>-31569126.975652177</v>
      </c>
      <c r="L2357" s="455">
        <f t="shared" ca="1" si="129"/>
        <v>-7608159601.1321754</v>
      </c>
      <c r="M2357" s="471">
        <f t="shared" si="131"/>
        <v>0.05</v>
      </c>
      <c r="N2357" s="475">
        <f t="shared" si="132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30"/>
        <v>-7608159601.1321754</v>
      </c>
      <c r="J2358" s="455">
        <f t="array" ref="J2358">IFERROR(INDEX('Retirement Calculator'!K:K,MATCH('Lorri 401b'!N2358,'Retirement Calculator'!A:A,0),0),0)</f>
        <v>0</v>
      </c>
      <c r="K2358" s="455">
        <f t="shared" ca="1" si="128"/>
        <v>-31700665.004717398</v>
      </c>
      <c r="L2358" s="455">
        <f t="shared" ca="1" si="129"/>
        <v>-7639860266.1368933</v>
      </c>
      <c r="M2358" s="471">
        <f t="shared" si="131"/>
        <v>0.05</v>
      </c>
      <c r="N2358" s="475">
        <f t="shared" si="132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30"/>
        <v>-7639860266.1368933</v>
      </c>
      <c r="J2359" s="455">
        <f t="array" ref="J2359">IFERROR(INDEX('Retirement Calculator'!K:K,MATCH('Lorri 401b'!N2359,'Retirement Calculator'!A:A,0),0),0)</f>
        <v>0</v>
      </c>
      <c r="K2359" s="455">
        <f t="shared" ca="1" si="128"/>
        <v>-31832751.108903721</v>
      </c>
      <c r="L2359" s="455">
        <f t="shared" ca="1" si="129"/>
        <v>-7671693017.2457972</v>
      </c>
      <c r="M2359" s="471">
        <f t="shared" si="131"/>
        <v>0.05</v>
      </c>
      <c r="N2359" s="475">
        <f t="shared" si="132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30"/>
        <v>-7671693017.2457972</v>
      </c>
      <c r="J2360" s="455">
        <f t="array" ref="J2360">IFERROR(INDEX('Retirement Calculator'!K:K,MATCH('Lorri 401b'!N2360,'Retirement Calculator'!A:A,0),0),0)</f>
        <v>0</v>
      </c>
      <c r="K2360" s="455">
        <f t="shared" ca="1" si="128"/>
        <v>-31965387.571857486</v>
      </c>
      <c r="L2360" s="455">
        <f t="shared" ca="1" si="129"/>
        <v>-7703658404.8176546</v>
      </c>
      <c r="M2360" s="471">
        <f t="shared" si="131"/>
        <v>0.05</v>
      </c>
      <c r="N2360" s="475">
        <f t="shared" si="132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30"/>
        <v>-7703658404.8176546</v>
      </c>
      <c r="J2361" s="455">
        <f t="array" ref="J2361">IFERROR(INDEX('Retirement Calculator'!K:K,MATCH('Lorri 401b'!N2361,'Retirement Calculator'!A:A,0),0),0)</f>
        <v>0</v>
      </c>
      <c r="K2361" s="455">
        <f t="shared" ca="1" si="128"/>
        <v>-32098576.686740223</v>
      </c>
      <c r="L2361" s="455">
        <f t="shared" ca="1" si="129"/>
        <v>-7735756981.5043945</v>
      </c>
      <c r="M2361" s="471">
        <f t="shared" si="131"/>
        <v>0.05</v>
      </c>
      <c r="N2361" s="475">
        <f t="shared" si="132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30"/>
        <v>-7735756981.5043945</v>
      </c>
      <c r="J2362" s="455">
        <f t="array" ref="J2362">IFERROR(INDEX('Retirement Calculator'!K:K,MATCH('Lorri 401b'!N2362,'Retirement Calculator'!A:A,0),0),0)</f>
        <v>0</v>
      </c>
      <c r="K2362" s="455">
        <f t="shared" ca="1" si="128"/>
        <v>-32232320.756268311</v>
      </c>
      <c r="L2362" s="455">
        <f t="shared" ca="1" si="129"/>
        <v>-7767989302.260663</v>
      </c>
      <c r="M2362" s="471">
        <f t="shared" si="131"/>
        <v>0.05</v>
      </c>
      <c r="N2362" s="475">
        <f t="shared" si="132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30"/>
        <v>-7767989302.260663</v>
      </c>
      <c r="J2363" s="455">
        <f t="array" ref="J2363">IFERROR(INDEX('Retirement Calculator'!K:K,MATCH('Lorri 401b'!N2363,'Retirement Calculator'!A:A,0),0),0)</f>
        <v>0</v>
      </c>
      <c r="K2363" s="455">
        <f t="shared" ca="1" si="128"/>
        <v>-32366622.092752762</v>
      </c>
      <c r="L2363" s="455">
        <f t="shared" ca="1" si="129"/>
        <v>-7800355924.3534155</v>
      </c>
      <c r="M2363" s="471">
        <f t="shared" si="131"/>
        <v>0.05</v>
      </c>
      <c r="N2363" s="475">
        <f t="shared" si="132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30"/>
        <v>-7800355924.3534155</v>
      </c>
      <c r="J2364" s="455">
        <f t="array" ref="J2364">IFERROR(INDEX('Retirement Calculator'!K:K,MATCH('Lorri 401b'!N2364,'Retirement Calculator'!A:A,0),0),0)</f>
        <v>0</v>
      </c>
      <c r="K2364" s="455">
        <f t="shared" ca="1" si="128"/>
        <v>-32501483.018139232</v>
      </c>
      <c r="L2364" s="455">
        <f t="shared" ca="1" si="129"/>
        <v>-7832857407.3715544</v>
      </c>
      <c r="M2364" s="471">
        <f t="shared" si="131"/>
        <v>0.05</v>
      </c>
      <c r="N2364" s="475">
        <f t="shared" si="132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30"/>
        <v>-7832857407.3715544</v>
      </c>
      <c r="J2365" s="455">
        <f t="array" ref="J2365">IFERROR(INDEX('Retirement Calculator'!K:K,MATCH('Lorri 401b'!N2365,'Retirement Calculator'!A:A,0),0),0)</f>
        <v>0</v>
      </c>
      <c r="K2365" s="455">
        <f t="shared" ca="1" si="128"/>
        <v>-32636905.864048146</v>
      </c>
      <c r="L2365" s="455">
        <f t="shared" ca="1" si="129"/>
        <v>-7865494313.2356024</v>
      </c>
      <c r="M2365" s="471">
        <f t="shared" si="131"/>
        <v>0.05</v>
      </c>
      <c r="N2365" s="475">
        <f t="shared" si="132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30"/>
        <v>-7865494313.2356024</v>
      </c>
      <c r="J2366" s="455">
        <f t="array" ref="J2366">IFERROR(INDEX('Retirement Calculator'!K:K,MATCH('Lorri 401b'!N2366,'Retirement Calculator'!A:A,0),0),0)</f>
        <v>0</v>
      </c>
      <c r="K2366" s="455">
        <f t="shared" ca="1" si="128"/>
        <v>-32772892.971815009</v>
      </c>
      <c r="L2366" s="455">
        <f t="shared" ca="1" si="129"/>
        <v>-7898267206.2074175</v>
      </c>
      <c r="M2366" s="471">
        <f t="shared" si="131"/>
        <v>0.05</v>
      </c>
      <c r="N2366" s="475">
        <f t="shared" si="132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30"/>
        <v>-7898267206.2074175</v>
      </c>
      <c r="J2367" s="455">
        <f t="array" ref="J2367">IFERROR(INDEX('Retirement Calculator'!K:K,MATCH('Lorri 401b'!N2367,'Retirement Calculator'!A:A,0),0),0)</f>
        <v>0</v>
      </c>
      <c r="K2367" s="455">
        <f t="shared" ca="1" si="128"/>
        <v>-32909446.692530904</v>
      </c>
      <c r="L2367" s="455">
        <f t="shared" ca="1" si="129"/>
        <v>-7931176652.8999481</v>
      </c>
      <c r="M2367" s="471">
        <f t="shared" si="131"/>
        <v>0.05</v>
      </c>
      <c r="N2367" s="475">
        <f t="shared" si="132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30"/>
        <v>-7931176652.8999481</v>
      </c>
      <c r="J2368" s="455">
        <f t="array" ref="J2368">IFERROR(INDEX('Retirement Calculator'!K:K,MATCH('Lorri 401b'!N2368,'Retirement Calculator'!A:A,0),0),0)</f>
        <v>0</v>
      </c>
      <c r="K2368" s="455">
        <f t="shared" ca="1" si="128"/>
        <v>-33046569.387083117</v>
      </c>
      <c r="L2368" s="455">
        <f t="shared" ca="1" si="129"/>
        <v>-7964223222.2870312</v>
      </c>
      <c r="M2368" s="471">
        <f t="shared" si="131"/>
        <v>0.05</v>
      </c>
      <c r="N2368" s="475">
        <f t="shared" si="132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30"/>
        <v>-7964223222.2870312</v>
      </c>
      <c r="J2369" s="455">
        <f t="array" ref="J2369">IFERROR(INDEX('Retirement Calculator'!K:K,MATCH('Lorri 401b'!N2369,'Retirement Calculator'!A:A,0),0),0)</f>
        <v>0</v>
      </c>
      <c r="K2369" s="455">
        <f t="shared" ca="1" si="128"/>
        <v>-33184263.426195964</v>
      </c>
      <c r="L2369" s="455">
        <f t="shared" ca="1" si="129"/>
        <v>-7997407485.7132273</v>
      </c>
      <c r="M2369" s="471">
        <f t="shared" si="131"/>
        <v>0.05</v>
      </c>
      <c r="N2369" s="475">
        <f t="shared" si="132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30"/>
        <v>-7997407485.7132273</v>
      </c>
      <c r="J2370" s="455">
        <f t="array" ref="J2370">IFERROR(INDEX('Retirement Calculator'!K:K,MATCH('Lorri 401b'!N2370,'Retirement Calculator'!A:A,0),0),0)</f>
        <v>0</v>
      </c>
      <c r="K2370" s="455">
        <f t="shared" ca="1" si="128"/>
        <v>-33322531.19047178</v>
      </c>
      <c r="L2370" s="455">
        <f t="shared" ca="1" si="129"/>
        <v>-8030730016.9036989</v>
      </c>
      <c r="M2370" s="471">
        <f t="shared" si="131"/>
        <v>0.05</v>
      </c>
      <c r="N2370" s="475">
        <f t="shared" si="132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30"/>
        <v>-8030730016.9036989</v>
      </c>
      <c r="J2371" s="455">
        <f t="array" ref="J2371">IFERROR(INDEX('Retirement Calculator'!K:K,MATCH('Lorri 401b'!N2371,'Retirement Calculator'!A:A,0),0),0)</f>
        <v>0</v>
      </c>
      <c r="K2371" s="455">
        <f t="shared" ca="1" si="128"/>
        <v>-33461375.070432078</v>
      </c>
      <c r="L2371" s="455">
        <f t="shared" ca="1" si="129"/>
        <v>-8064191391.9741306</v>
      </c>
      <c r="M2371" s="471">
        <f t="shared" si="131"/>
        <v>0.05</v>
      </c>
      <c r="N2371" s="475">
        <f t="shared" si="132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30"/>
        <v>-8064191391.9741306</v>
      </c>
      <c r="J2372" s="455">
        <f t="array" ref="J2372">IFERROR(INDEX('Retirement Calculator'!K:K,MATCH('Lorri 401b'!N2372,'Retirement Calculator'!A:A,0),0),0)</f>
        <v>0</v>
      </c>
      <c r="K2372" s="455">
        <f t="shared" ca="1" si="128"/>
        <v>-33600797.466558874</v>
      </c>
      <c r="L2372" s="455">
        <f t="shared" ca="1" si="129"/>
        <v>-8097792189.4406891</v>
      </c>
      <c r="M2372" s="471">
        <f t="shared" si="131"/>
        <v>0.05</v>
      </c>
      <c r="N2372" s="475">
        <f t="shared" si="132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30"/>
        <v>-8097792189.4406891</v>
      </c>
      <c r="J2373" s="455">
        <f t="array" ref="J2373">IFERROR(INDEX('Retirement Calculator'!K:K,MATCH('Lorri 401b'!N2373,'Retirement Calculator'!A:A,0),0),0)</f>
        <v>0</v>
      </c>
      <c r="K2373" s="455">
        <f t="shared" ca="1" si="128"/>
        <v>-33740800.789336205</v>
      </c>
      <c r="L2373" s="455">
        <f t="shared" ca="1" si="129"/>
        <v>-8131532990.2300253</v>
      </c>
      <c r="M2373" s="471">
        <f t="shared" si="131"/>
        <v>0.05</v>
      </c>
      <c r="N2373" s="475">
        <f t="shared" si="132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30"/>
        <v>-8131532990.2300253</v>
      </c>
      <c r="J2374" s="455">
        <f t="array" ref="J2374">IFERROR(INDEX('Retirement Calculator'!K:K,MATCH('Lorri 401b'!N2374,'Retirement Calculator'!A:A,0),0),0)</f>
        <v>0</v>
      </c>
      <c r="K2374" s="455">
        <f t="shared" ca="1" si="128"/>
        <v>-33881387.459291779</v>
      </c>
      <c r="L2374" s="455">
        <f t="shared" ca="1" si="129"/>
        <v>-8165414377.6893167</v>
      </c>
      <c r="M2374" s="471">
        <f t="shared" si="131"/>
        <v>0.05</v>
      </c>
      <c r="N2374" s="475">
        <f t="shared" si="132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30"/>
        <v>-8165414377.6893167</v>
      </c>
      <c r="J2375" s="455">
        <f t="array" ref="J2375">IFERROR(INDEX('Retirement Calculator'!K:K,MATCH('Lorri 401b'!N2375,'Retirement Calculator'!A:A,0),0),0)</f>
        <v>0</v>
      </c>
      <c r="K2375" s="455">
        <f t="shared" ca="1" si="128"/>
        <v>-34022559.907038823</v>
      </c>
      <c r="L2375" s="455">
        <f t="shared" ca="1" si="129"/>
        <v>-8199436937.5963554</v>
      </c>
      <c r="M2375" s="471">
        <f t="shared" si="131"/>
        <v>0.05</v>
      </c>
      <c r="N2375" s="475">
        <f t="shared" si="132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30"/>
        <v>-8199436937.5963554</v>
      </c>
      <c r="J2376" s="455">
        <f t="array" ref="J2376">IFERROR(INDEX('Retirement Calculator'!K:K,MATCH('Lorri 401b'!N2376,'Retirement Calculator'!A:A,0),0),0)</f>
        <v>0</v>
      </c>
      <c r="K2376" s="455">
        <f t="shared" ca="1" si="128"/>
        <v>-34164320.573318146</v>
      </c>
      <c r="L2376" s="455">
        <f t="shared" ca="1" si="129"/>
        <v>-8233601258.1696739</v>
      </c>
      <c r="M2376" s="471">
        <f t="shared" si="131"/>
        <v>0.05</v>
      </c>
      <c r="N2376" s="475">
        <f t="shared" si="132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30"/>
        <v>-8233601258.1696739</v>
      </c>
      <c r="J2377" s="455">
        <f t="array" ref="J2377">IFERROR(INDEX('Retirement Calculator'!K:K,MATCH('Lorri 401b'!N2377,'Retirement Calculator'!A:A,0),0),0)</f>
        <v>0</v>
      </c>
      <c r="K2377" s="455">
        <f t="shared" ca="1" si="128"/>
        <v>-34306671.909040309</v>
      </c>
      <c r="L2377" s="455">
        <f t="shared" ca="1" si="129"/>
        <v>-8267907930.0787144</v>
      </c>
      <c r="M2377" s="471">
        <f t="shared" si="131"/>
        <v>0.05</v>
      </c>
      <c r="N2377" s="475">
        <f t="shared" si="132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30"/>
        <v>-8267907930.0787144</v>
      </c>
      <c r="J2378" s="455">
        <f t="array" ref="J2378">IFERROR(INDEX('Retirement Calculator'!K:K,MATCH('Lorri 401b'!N2378,'Retirement Calculator'!A:A,0),0),0)</f>
        <v>0</v>
      </c>
      <c r="K2378" s="455">
        <f t="shared" ca="1" si="128"/>
        <v>-34449616.375327982</v>
      </c>
      <c r="L2378" s="455">
        <f t="shared" ca="1" si="129"/>
        <v>-8302357546.4540424</v>
      </c>
      <c r="M2378" s="471">
        <f t="shared" si="131"/>
        <v>0.05</v>
      </c>
      <c r="N2378" s="475">
        <f t="shared" si="132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30"/>
        <v>-8302357546.4540424</v>
      </c>
      <c r="J2379" s="455">
        <f t="array" ref="J2379">IFERROR(INDEX('Retirement Calculator'!K:K,MATCH('Lorri 401b'!N2379,'Retirement Calculator'!A:A,0),0),0)</f>
        <v>0</v>
      </c>
      <c r="K2379" s="455">
        <f t="shared" ca="1" si="128"/>
        <v>-34593156.443558507</v>
      </c>
      <c r="L2379" s="455">
        <f t="shared" ca="1" si="129"/>
        <v>-8336950702.8976011</v>
      </c>
      <c r="M2379" s="471">
        <f t="shared" si="131"/>
        <v>0.05</v>
      </c>
      <c r="N2379" s="475">
        <f t="shared" si="132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30"/>
        <v>-8336950702.8976011</v>
      </c>
      <c r="J2380" s="455">
        <f t="array" ref="J2380">IFERROR(INDEX('Retirement Calculator'!K:K,MATCH('Lorri 401b'!N2380,'Retirement Calculator'!A:A,0),0),0)</f>
        <v>0</v>
      </c>
      <c r="K2380" s="455">
        <f t="shared" ca="1" si="128"/>
        <v>-34737294.595406674</v>
      </c>
      <c r="L2380" s="455">
        <f t="shared" ca="1" si="129"/>
        <v>-8371687997.4930077</v>
      </c>
      <c r="M2380" s="471">
        <f t="shared" si="131"/>
        <v>0.05</v>
      </c>
      <c r="N2380" s="475">
        <f t="shared" si="132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30"/>
        <v>-8371687997.4930077</v>
      </c>
      <c r="J2381" s="455">
        <f t="array" ref="J2381">IFERROR(INDEX('Retirement Calculator'!K:K,MATCH('Lorri 401b'!N2381,'Retirement Calculator'!A:A,0),0),0)</f>
        <v>0</v>
      </c>
      <c r="K2381" s="455">
        <f t="shared" ca="1" si="128"/>
        <v>-34882033.322887532</v>
      </c>
      <c r="L2381" s="455">
        <f t="shared" ca="1" si="129"/>
        <v>-8406570030.8158951</v>
      </c>
      <c r="M2381" s="471">
        <f t="shared" si="131"/>
        <v>0.05</v>
      </c>
      <c r="N2381" s="475">
        <f t="shared" si="132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30"/>
        <v>-8406570030.8158951</v>
      </c>
      <c r="J2382" s="455">
        <f t="array" ref="J2382">IFERROR(INDEX('Retirement Calculator'!K:K,MATCH('Lorri 401b'!N2382,'Retirement Calculator'!A:A,0),0),0)</f>
        <v>0</v>
      </c>
      <c r="K2382" s="455">
        <f t="shared" ca="1" si="128"/>
        <v>-35027375.128399558</v>
      </c>
      <c r="L2382" s="455">
        <f t="shared" ca="1" si="129"/>
        <v>-8441597405.9442949</v>
      </c>
      <c r="M2382" s="471">
        <f t="shared" si="131"/>
        <v>0.05</v>
      </c>
      <c r="N2382" s="475">
        <f t="shared" si="132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30"/>
        <v>-8441597405.9442949</v>
      </c>
      <c r="J2383" s="455">
        <f t="array" ref="J2383">IFERROR(INDEX('Retirement Calculator'!K:K,MATCH('Lorri 401b'!N2383,'Retirement Calculator'!A:A,0),0),0)</f>
        <v>0</v>
      </c>
      <c r="K2383" s="455">
        <f t="shared" ca="1" si="128"/>
        <v>-35173322.524767898</v>
      </c>
      <c r="L2383" s="455">
        <f t="shared" ca="1" si="129"/>
        <v>-8476770728.4690628</v>
      </c>
      <c r="M2383" s="471">
        <f t="shared" si="131"/>
        <v>0.05</v>
      </c>
      <c r="N2383" s="475">
        <f t="shared" si="132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30"/>
        <v>-8476770728.4690628</v>
      </c>
      <c r="J2384" s="455">
        <f t="array" ref="J2384">IFERROR(INDEX('Retirement Calculator'!K:K,MATCH('Lorri 401b'!N2384,'Retirement Calculator'!A:A,0),0),0)</f>
        <v>0</v>
      </c>
      <c r="K2384" s="455">
        <f t="shared" ca="1" si="128"/>
        <v>-35319878.03528776</v>
      </c>
      <c r="L2384" s="455">
        <f t="shared" ca="1" si="129"/>
        <v>-8512090606.5043507</v>
      </c>
      <c r="M2384" s="471">
        <f t="shared" si="131"/>
        <v>0.05</v>
      </c>
      <c r="N2384" s="475">
        <f t="shared" si="132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30"/>
        <v>-8512090606.5043507</v>
      </c>
      <c r="J2385" s="455">
        <f t="array" ref="J2385">IFERROR(INDEX('Retirement Calculator'!K:K,MATCH('Lorri 401b'!N2385,'Retirement Calculator'!A:A,0),0),0)</f>
        <v>0</v>
      </c>
      <c r="K2385" s="455">
        <f t="shared" ca="1" si="128"/>
        <v>-35467044.193768129</v>
      </c>
      <c r="L2385" s="455">
        <f t="shared" ca="1" si="129"/>
        <v>-8547557650.6981192</v>
      </c>
      <c r="M2385" s="471">
        <f t="shared" si="131"/>
        <v>0.05</v>
      </c>
      <c r="N2385" s="475">
        <f t="shared" si="132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30"/>
        <v>-8547557650.6981192</v>
      </c>
      <c r="J2386" s="455">
        <f t="array" ref="J2386">IFERROR(INDEX('Retirement Calculator'!K:K,MATCH('Lorri 401b'!N2386,'Retirement Calculator'!A:A,0),0),0)</f>
        <v>0</v>
      </c>
      <c r="K2386" s="455">
        <f t="shared" ca="1" si="128"/>
        <v>-35614823.544575498</v>
      </c>
      <c r="L2386" s="455">
        <f t="shared" ca="1" si="129"/>
        <v>-8583172474.2426949</v>
      </c>
      <c r="M2386" s="471">
        <f t="shared" si="131"/>
        <v>0.05</v>
      </c>
      <c r="N2386" s="475">
        <f t="shared" si="132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30"/>
        <v>-8583172474.2426949</v>
      </c>
      <c r="J2387" s="455">
        <f t="array" ref="J2387">IFERROR(INDEX('Retirement Calculator'!K:K,MATCH('Lorri 401b'!N2387,'Retirement Calculator'!A:A,0),0),0)</f>
        <v>0</v>
      </c>
      <c r="K2387" s="455">
        <f t="shared" ca="1" si="128"/>
        <v>-35763218.642677896</v>
      </c>
      <c r="L2387" s="455">
        <f t="shared" ca="1" si="129"/>
        <v>-8618935692.8853722</v>
      </c>
      <c r="M2387" s="471">
        <f t="shared" si="131"/>
        <v>0.05</v>
      </c>
      <c r="N2387" s="475">
        <f t="shared" si="132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30"/>
        <v>-8618935692.8853722</v>
      </c>
      <c r="J2388" s="455">
        <f t="array" ref="J2388">IFERROR(INDEX('Retirement Calculator'!K:K,MATCH('Lorri 401b'!N2388,'Retirement Calculator'!A:A,0),0),0)</f>
        <v>0</v>
      </c>
      <c r="K2388" s="455">
        <f t="shared" ca="1" si="128"/>
        <v>-35912232.053689048</v>
      </c>
      <c r="L2388" s="455">
        <f t="shared" ca="1" si="129"/>
        <v>-8654847924.9390621</v>
      </c>
      <c r="M2388" s="471">
        <f t="shared" si="131"/>
        <v>0.05</v>
      </c>
      <c r="N2388" s="475">
        <f t="shared" si="132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30"/>
        <v>-8654847924.9390621</v>
      </c>
      <c r="J2389" s="455">
        <f t="array" ref="J2389">IFERROR(INDEX('Retirement Calculator'!K:K,MATCH('Lorri 401b'!N2389,'Retirement Calculator'!A:A,0),0),0)</f>
        <v>0</v>
      </c>
      <c r="K2389" s="455">
        <f t="shared" ca="1" si="128"/>
        <v>-36061866.353912756</v>
      </c>
      <c r="L2389" s="455">
        <f t="shared" ca="1" si="129"/>
        <v>-8690909791.2929745</v>
      </c>
      <c r="M2389" s="471">
        <f t="shared" si="131"/>
        <v>0.05</v>
      </c>
      <c r="N2389" s="475">
        <f t="shared" si="132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30"/>
        <v>-8690909791.2929745</v>
      </c>
      <c r="J2390" s="455">
        <f t="array" ref="J2390">IFERROR(INDEX('Retirement Calculator'!K:K,MATCH('Lorri 401b'!N2390,'Retirement Calculator'!A:A,0),0),0)</f>
        <v>0</v>
      </c>
      <c r="K2390" s="455">
        <f t="shared" ca="1" si="128"/>
        <v>-36212124.130387396</v>
      </c>
      <c r="L2390" s="455">
        <f t="shared" ca="1" si="129"/>
        <v>-8727121915.4233627</v>
      </c>
      <c r="M2390" s="471">
        <f t="shared" si="131"/>
        <v>0.05</v>
      </c>
      <c r="N2390" s="475">
        <f t="shared" si="132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30"/>
        <v>-8727121915.4233627</v>
      </c>
      <c r="J2391" s="455">
        <f t="array" ref="J2391">IFERROR(INDEX('Retirement Calculator'!K:K,MATCH('Lorri 401b'!N2391,'Retirement Calculator'!A:A,0),0),0)</f>
        <v>0</v>
      </c>
      <c r="K2391" s="455">
        <f t="shared" ca="1" si="128"/>
        <v>-36363007.980930679</v>
      </c>
      <c r="L2391" s="455">
        <f t="shared" ca="1" si="129"/>
        <v>-8763484923.4042931</v>
      </c>
      <c r="M2391" s="471">
        <f t="shared" si="131"/>
        <v>0.05</v>
      </c>
      <c r="N2391" s="475">
        <f t="shared" si="132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30"/>
        <v>-8763484923.4042931</v>
      </c>
      <c r="J2392" s="455">
        <f t="array" ref="J2392">IFERROR(INDEX('Retirement Calculator'!K:K,MATCH('Lorri 401b'!N2392,'Retirement Calculator'!A:A,0),0),0)</f>
        <v>0</v>
      </c>
      <c r="K2392" s="455">
        <f t="shared" ca="1" si="128"/>
        <v>-36514520.514184557</v>
      </c>
      <c r="L2392" s="455">
        <f t="shared" ca="1" si="129"/>
        <v>-8799999443.918478</v>
      </c>
      <c r="M2392" s="471">
        <f t="shared" si="131"/>
        <v>0.05</v>
      </c>
      <c r="N2392" s="475">
        <f t="shared" si="132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30"/>
        <v>-8799999443.918478</v>
      </c>
      <c r="J2393" s="455">
        <f t="array" ref="J2393">IFERROR(INDEX('Retirement Calculator'!K:K,MATCH('Lorri 401b'!N2393,'Retirement Calculator'!A:A,0),0),0)</f>
        <v>0</v>
      </c>
      <c r="K2393" s="455">
        <f t="shared" ca="1" si="128"/>
        <v>-36666664.349660322</v>
      </c>
      <c r="L2393" s="455">
        <f t="shared" ca="1" si="129"/>
        <v>-8836666108.2681389</v>
      </c>
      <c r="M2393" s="471">
        <f t="shared" si="131"/>
        <v>0.05</v>
      </c>
      <c r="N2393" s="475">
        <f t="shared" si="132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30"/>
        <v>-8836666108.2681389</v>
      </c>
      <c r="J2394" s="455">
        <f t="array" ref="J2394">IFERROR(INDEX('Retirement Calculator'!K:K,MATCH('Lorri 401b'!N2394,'Retirement Calculator'!A:A,0),0),0)</f>
        <v>0</v>
      </c>
      <c r="K2394" s="455">
        <f t="shared" ca="1" si="128"/>
        <v>-36819442.117783912</v>
      </c>
      <c r="L2394" s="455">
        <f t="shared" ca="1" si="129"/>
        <v>-8873485550.3859234</v>
      </c>
      <c r="M2394" s="471">
        <f t="shared" si="131"/>
        <v>0.05</v>
      </c>
      <c r="N2394" s="475">
        <f t="shared" si="132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30"/>
        <v>-8873485550.3859234</v>
      </c>
      <c r="J2395" s="455">
        <f t="array" ref="J2395">IFERROR(INDEX('Retirement Calculator'!K:K,MATCH('Lorri 401b'!N2395,'Retirement Calculator'!A:A,0),0),0)</f>
        <v>0</v>
      </c>
      <c r="K2395" s="455">
        <f t="shared" ca="1" si="128"/>
        <v>-36972856.45994135</v>
      </c>
      <c r="L2395" s="455">
        <f t="shared" ca="1" si="129"/>
        <v>-8910458406.8458652</v>
      </c>
      <c r="M2395" s="471">
        <f t="shared" si="131"/>
        <v>0.05</v>
      </c>
      <c r="N2395" s="475">
        <f t="shared" si="132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30"/>
        <v>-8910458406.8458652</v>
      </c>
      <c r="J2396" s="455">
        <f t="array" ref="J2396">IFERROR(INDEX('Retirement Calculator'!K:K,MATCH('Lorri 401b'!N2396,'Retirement Calculator'!A:A,0),0),0)</f>
        <v>0</v>
      </c>
      <c r="K2396" s="455">
        <f t="shared" ca="1" si="128"/>
        <v>-37126910.028524436</v>
      </c>
      <c r="L2396" s="455">
        <f t="shared" ca="1" si="129"/>
        <v>-8947585316.8743896</v>
      </c>
      <c r="M2396" s="471">
        <f t="shared" si="131"/>
        <v>0.05</v>
      </c>
      <c r="N2396" s="475">
        <f t="shared" si="132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30"/>
        <v>-8947585316.8743896</v>
      </c>
      <c r="J2397" s="455">
        <f t="array" ref="J2397">IFERROR(INDEX('Retirement Calculator'!K:K,MATCH('Lorri 401b'!N2397,'Retirement Calculator'!A:A,0),0),0)</f>
        <v>0</v>
      </c>
      <c r="K2397" s="455">
        <f t="shared" ca="1" si="128"/>
        <v>-37281605.486976624</v>
      </c>
      <c r="L2397" s="455">
        <f t="shared" ca="1" si="129"/>
        <v>-8984866922.3613663</v>
      </c>
      <c r="M2397" s="471">
        <f t="shared" si="131"/>
        <v>0.05</v>
      </c>
      <c r="N2397" s="475">
        <f t="shared" si="132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30"/>
        <v>-8984866922.3613663</v>
      </c>
      <c r="J2398" s="455">
        <f t="array" ref="J2398">IFERROR(INDEX('Retirement Calculator'!K:K,MATCH('Lorri 401b'!N2398,'Retirement Calculator'!A:A,0),0),0)</f>
        <v>0</v>
      </c>
      <c r="K2398" s="455">
        <f t="shared" ca="1" si="128"/>
        <v>-37436945.509839028</v>
      </c>
      <c r="L2398" s="455">
        <f t="shared" ca="1" si="129"/>
        <v>-9022303867.8712044</v>
      </c>
      <c r="M2398" s="471">
        <f t="shared" si="131"/>
        <v>0.05</v>
      </c>
      <c r="N2398" s="475">
        <f t="shared" si="132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30"/>
        <v>-9022303867.8712044</v>
      </c>
      <c r="J2399" s="455">
        <f t="array" ref="J2399">IFERROR(INDEX('Retirement Calculator'!K:K,MATCH('Lorri 401b'!N2399,'Retirement Calculator'!A:A,0),0),0)</f>
        <v>0</v>
      </c>
      <c r="K2399" s="455">
        <f t="shared" ca="1" si="128"/>
        <v>-37592932.782796681</v>
      </c>
      <c r="L2399" s="455">
        <f t="shared" ca="1" si="129"/>
        <v>-9059896800.6540012</v>
      </c>
      <c r="M2399" s="471">
        <f t="shared" si="131"/>
        <v>0.05</v>
      </c>
      <c r="N2399" s="475">
        <f t="shared" si="132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30"/>
        <v>-9059896800.6540012</v>
      </c>
      <c r="J2400" s="455">
        <f t="array" ref="J2400">IFERROR(INDEX('Retirement Calculator'!K:K,MATCH('Lorri 401b'!N2400,'Retirement Calculator'!A:A,0),0),0)</f>
        <v>0</v>
      </c>
      <c r="K2400" s="455">
        <f t="shared" ca="1" si="128"/>
        <v>-37749570.002725005</v>
      </c>
      <c r="L2400" s="455">
        <f t="shared" ca="1" si="129"/>
        <v>-9097646370.6567268</v>
      </c>
      <c r="M2400" s="471">
        <f t="shared" si="131"/>
        <v>0.05</v>
      </c>
      <c r="N2400" s="475">
        <f t="shared" si="132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30"/>
        <v>-9097646370.6567268</v>
      </c>
      <c r="J2401" s="455">
        <f t="array" ref="J2401">IFERROR(INDEX('Retirement Calculator'!K:K,MATCH('Lorri 401b'!N2401,'Retirement Calculator'!A:A,0),0),0)</f>
        <v>0</v>
      </c>
      <c r="K2401" s="455">
        <f t="shared" ca="1" si="128"/>
        <v>-37906859.87773636</v>
      </c>
      <c r="L2401" s="455">
        <f t="shared" ca="1" si="129"/>
        <v>-9135553230.5344639</v>
      </c>
      <c r="M2401" s="471">
        <f t="shared" si="131"/>
        <v>0.05</v>
      </c>
      <c r="N2401" s="475">
        <f t="shared" si="132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30"/>
        <v>-9135553230.5344639</v>
      </c>
      <c r="J2402" s="455">
        <f t="array" ref="J2402">IFERROR(INDEX('Retirement Calculator'!K:K,MATCH('Lorri 401b'!N2402,'Retirement Calculator'!A:A,0),0),0)</f>
        <v>0</v>
      </c>
      <c r="K2402" s="455">
        <f t="shared" ca="1" si="128"/>
        <v>-38064805.127226934</v>
      </c>
      <c r="L2402" s="455">
        <f t="shared" ca="1" si="129"/>
        <v>-9173618035.6616917</v>
      </c>
      <c r="M2402" s="471">
        <f t="shared" si="131"/>
        <v>0.05</v>
      </c>
      <c r="N2402" s="475">
        <f t="shared" si="132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30"/>
        <v>-9173618035.6616917</v>
      </c>
      <c r="J2403" s="455">
        <f t="array" ref="J2403">IFERROR(INDEX('Retirement Calculator'!K:K,MATCH('Lorri 401b'!N2403,'Retirement Calculator'!A:A,0),0),0)</f>
        <v>0</v>
      </c>
      <c r="K2403" s="455">
        <f t="shared" ca="1" si="128"/>
        <v>-38223408.481923714</v>
      </c>
      <c r="L2403" s="455">
        <f t="shared" ca="1" si="129"/>
        <v>-9211841444.1436157</v>
      </c>
      <c r="M2403" s="471">
        <f t="shared" si="131"/>
        <v>0.05</v>
      </c>
      <c r="N2403" s="475">
        <f t="shared" si="132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30"/>
        <v>-9211841444.1436157</v>
      </c>
      <c r="J2404" s="455">
        <f t="array" ref="J2404">IFERROR(INDEX('Retirement Calculator'!K:K,MATCH('Lorri 401b'!N2404,'Retirement Calculator'!A:A,0),0),0)</f>
        <v>0</v>
      </c>
      <c r="K2404" s="455">
        <f t="shared" ca="1" si="128"/>
        <v>-38382672.683931731</v>
      </c>
      <c r="L2404" s="455">
        <f t="shared" ca="1" si="129"/>
        <v>-9250224116.8275471</v>
      </c>
      <c r="M2404" s="471">
        <f t="shared" si="131"/>
        <v>0.05</v>
      </c>
      <c r="N2404" s="475">
        <f t="shared" si="132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30"/>
        <v>-9250224116.8275471</v>
      </c>
      <c r="J2405" s="455">
        <f t="array" ref="J2405">IFERROR(INDEX('Retirement Calculator'!K:K,MATCH('Lorri 401b'!N2405,'Retirement Calculator'!A:A,0),0),0)</f>
        <v>0</v>
      </c>
      <c r="K2405" s="455">
        <f t="shared" ca="1" si="128"/>
        <v>-38542600.486781448</v>
      </c>
      <c r="L2405" s="455">
        <f t="shared" ca="1" si="129"/>
        <v>-9288766717.3143291</v>
      </c>
      <c r="M2405" s="471">
        <f t="shared" si="131"/>
        <v>0.05</v>
      </c>
      <c r="N2405" s="475">
        <f t="shared" si="132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30"/>
        <v>-9288766717.3143291</v>
      </c>
      <c r="J2406" s="455">
        <f t="array" ref="J2406">IFERROR(INDEX('Retirement Calculator'!K:K,MATCH('Lorri 401b'!N2406,'Retirement Calculator'!A:A,0),0),0)</f>
        <v>0</v>
      </c>
      <c r="K2406" s="455">
        <f t="shared" ca="1" si="128"/>
        <v>-38703194.655476369</v>
      </c>
      <c r="L2406" s="455">
        <f t="shared" ca="1" si="129"/>
        <v>-9327469911.9698048</v>
      </c>
      <c r="M2406" s="471">
        <f t="shared" si="131"/>
        <v>0.05</v>
      </c>
      <c r="N2406" s="475">
        <f t="shared" si="132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30"/>
        <v>-9327469911.9698048</v>
      </c>
      <c r="J2407" s="455">
        <f t="array" ref="J2407">IFERROR(INDEX('Retirement Calculator'!K:K,MATCH('Lorri 401b'!N2407,'Retirement Calculator'!A:A,0),0),0)</f>
        <v>0</v>
      </c>
      <c r="K2407" s="455">
        <f t="shared" ca="1" si="128"/>
        <v>-38864457.966540851</v>
      </c>
      <c r="L2407" s="455">
        <f t="shared" ca="1" si="129"/>
        <v>-9366334369.9363461</v>
      </c>
      <c r="M2407" s="471">
        <f t="shared" si="131"/>
        <v>0.05</v>
      </c>
      <c r="N2407" s="475">
        <f t="shared" si="132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30"/>
        <v>-9366334369.9363461</v>
      </c>
      <c r="J2408" s="455">
        <f t="array" ref="J2408">IFERROR(INDEX('Retirement Calculator'!K:K,MATCH('Lorri 401b'!N2408,'Retirement Calculator'!A:A,0),0),0)</f>
        <v>0</v>
      </c>
      <c r="K2408" s="455">
        <f t="shared" ca="1" si="128"/>
        <v>-39026393.20806811</v>
      </c>
      <c r="L2408" s="455">
        <f t="shared" ca="1" si="129"/>
        <v>-9405360763.1444149</v>
      </c>
      <c r="M2408" s="471">
        <f t="shared" si="131"/>
        <v>0.05</v>
      </c>
      <c r="N2408" s="475">
        <f t="shared" si="132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30"/>
        <v>-9405360763.1444149</v>
      </c>
      <c r="J2409" s="455">
        <f t="array" ref="J2409">IFERROR(INDEX('Retirement Calculator'!K:K,MATCH('Lorri 401b'!N2409,'Retirement Calculator'!A:A,0),0),0)</f>
        <v>0</v>
      </c>
      <c r="K2409" s="455">
        <f t="shared" ca="1" si="128"/>
        <v>-39189003.179768398</v>
      </c>
      <c r="L2409" s="455">
        <f t="shared" ca="1" si="129"/>
        <v>-9444549766.3241825</v>
      </c>
      <c r="M2409" s="471">
        <f t="shared" si="131"/>
        <v>0.05</v>
      </c>
      <c r="N2409" s="475">
        <f t="shared" si="132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30"/>
        <v>-9444549766.3241825</v>
      </c>
      <c r="J2410" s="455">
        <f t="array" ref="J2410">IFERROR(INDEX('Retirement Calculator'!K:K,MATCH('Lorri 401b'!N2410,'Retirement Calculator'!A:A,0),0),0)</f>
        <v>0</v>
      </c>
      <c r="K2410" s="455">
        <f t="shared" ca="1" si="128"/>
        <v>-39352290.693017423</v>
      </c>
      <c r="L2410" s="455">
        <f t="shared" ca="1" si="129"/>
        <v>-9483902057.0172005</v>
      </c>
      <c r="M2410" s="471">
        <f t="shared" si="131"/>
        <v>0.05</v>
      </c>
      <c r="N2410" s="475">
        <f t="shared" si="132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30"/>
        <v>-9483902057.0172005</v>
      </c>
      <c r="J2411" s="455">
        <f t="array" ref="J2411">IFERROR(INDEX('Retirement Calculator'!K:K,MATCH('Lorri 401b'!N2411,'Retirement Calculator'!A:A,0),0),0)</f>
        <v>0</v>
      </c>
      <c r="K2411" s="455">
        <f t="shared" ca="1" si="128"/>
        <v>-39516258.570905</v>
      </c>
      <c r="L2411" s="455">
        <f t="shared" ca="1" si="129"/>
        <v>-9523418315.5881062</v>
      </c>
      <c r="M2411" s="471">
        <f t="shared" si="131"/>
        <v>0.05</v>
      </c>
      <c r="N2411" s="475">
        <f t="shared" si="132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30"/>
        <v>-9523418315.5881062</v>
      </c>
      <c r="J2412" s="455">
        <f t="array" ref="J2412">IFERROR(INDEX('Retirement Calculator'!K:K,MATCH('Lorri 401b'!N2412,'Retirement Calculator'!A:A,0),0),0)</f>
        <v>0</v>
      </c>
      <c r="K2412" s="455">
        <f t="shared" ca="1" si="128"/>
        <v>-39680909.648283772</v>
      </c>
      <c r="L2412" s="455">
        <f t="shared" ca="1" si="129"/>
        <v>-9563099225.2363892</v>
      </c>
      <c r="M2412" s="471">
        <f t="shared" si="131"/>
        <v>0.05</v>
      </c>
      <c r="N2412" s="475">
        <f t="shared" si="132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30"/>
        <v>-9563099225.2363892</v>
      </c>
      <c r="J2413" s="455">
        <f t="array" ref="J2413">IFERROR(INDEX('Retirement Calculator'!K:K,MATCH('Lorri 401b'!N2413,'Retirement Calculator'!A:A,0),0),0)</f>
        <v>0</v>
      </c>
      <c r="K2413" s="455">
        <f t="shared" ca="1" si="128"/>
        <v>-39846246.771818288</v>
      </c>
      <c r="L2413" s="455">
        <f t="shared" ca="1" si="129"/>
        <v>-9602945472.0082073</v>
      </c>
      <c r="M2413" s="471">
        <f t="shared" si="131"/>
        <v>0.05</v>
      </c>
      <c r="N2413" s="475">
        <f t="shared" si="132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30"/>
        <v>-9602945472.0082073</v>
      </c>
      <c r="J2414" s="455">
        <f t="array" ref="J2414">IFERROR(INDEX('Retirement Calculator'!K:K,MATCH('Lorri 401b'!N2414,'Retirement Calculator'!A:A,0),0),0)</f>
        <v>0</v>
      </c>
      <c r="K2414" s="455">
        <f t="shared" ca="1" si="128"/>
        <v>-40012272.800034195</v>
      </c>
      <c r="L2414" s="455">
        <f t="shared" ca="1" si="129"/>
        <v>-9642957744.8082409</v>
      </c>
      <c r="M2414" s="471">
        <f t="shared" si="131"/>
        <v>0.05</v>
      </c>
      <c r="N2414" s="475">
        <f t="shared" si="132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30"/>
        <v>-9642957744.8082409</v>
      </c>
      <c r="J2415" s="455">
        <f t="array" ref="J2415">IFERROR(INDEX('Retirement Calculator'!K:K,MATCH('Lorri 401b'!N2415,'Retirement Calculator'!A:A,0),0),0)</f>
        <v>0</v>
      </c>
      <c r="K2415" s="455">
        <f t="shared" ca="1" si="128"/>
        <v>-40178990.603367671</v>
      </c>
      <c r="L2415" s="455">
        <f t="shared" ca="1" si="129"/>
        <v>-9683136735.4116077</v>
      </c>
      <c r="M2415" s="471">
        <f t="shared" si="131"/>
        <v>0.05</v>
      </c>
      <c r="N2415" s="475">
        <f t="shared" si="132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30"/>
        <v>-9683136735.4116077</v>
      </c>
      <c r="J2416" s="455">
        <f t="array" ref="J2416">IFERROR(INDEX('Retirement Calculator'!K:K,MATCH('Lorri 401b'!N2416,'Retirement Calculator'!A:A,0),0),0)</f>
        <v>0</v>
      </c>
      <c r="K2416" s="455">
        <f t="shared" ca="1" si="128"/>
        <v>-40346403.064215034</v>
      </c>
      <c r="L2416" s="455">
        <f t="shared" ca="1" si="129"/>
        <v>-9723483138.4758224</v>
      </c>
      <c r="M2416" s="471">
        <f t="shared" si="131"/>
        <v>0.05</v>
      </c>
      <c r="N2416" s="475">
        <f t="shared" si="132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30"/>
        <v>-9723483138.4758224</v>
      </c>
      <c r="J2417" s="455">
        <f t="array" ref="J2417">IFERROR(INDEX('Retirement Calculator'!K:K,MATCH('Lorri 401b'!N2417,'Retirement Calculator'!A:A,0),0),0)</f>
        <v>0</v>
      </c>
      <c r="K2417" s="455">
        <f t="shared" ca="1" si="128"/>
        <v>-40514513.076982595</v>
      </c>
      <c r="L2417" s="455">
        <f t="shared" ca="1" si="129"/>
        <v>-9763997651.5528049</v>
      </c>
      <c r="M2417" s="471">
        <f t="shared" si="131"/>
        <v>0.05</v>
      </c>
      <c r="N2417" s="475">
        <f t="shared" si="132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30"/>
        <v>-9763997651.5528049</v>
      </c>
      <c r="J2418" s="455">
        <f t="array" ref="J2418">IFERROR(INDEX('Retirement Calculator'!K:K,MATCH('Lorri 401b'!N2418,'Retirement Calculator'!A:A,0),0),0)</f>
        <v>0</v>
      </c>
      <c r="K2418" s="455">
        <f t="shared" ca="1" si="128"/>
        <v>-40683323.548136689</v>
      </c>
      <c r="L2418" s="455">
        <f t="shared" ca="1" si="129"/>
        <v>-9804680975.1009407</v>
      </c>
      <c r="M2418" s="471">
        <f t="shared" si="131"/>
        <v>0.05</v>
      </c>
      <c r="N2418" s="475">
        <f t="shared" si="132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30"/>
        <v>-9804680975.1009407</v>
      </c>
      <c r="J2419" s="455">
        <f t="array" ref="J2419">IFERROR(INDEX('Retirement Calculator'!K:K,MATCH('Lorri 401b'!N2419,'Retirement Calculator'!A:A,0),0),0)</f>
        <v>0</v>
      </c>
      <c r="K2419" s="455">
        <f t="shared" ca="1" si="128"/>
        <v>-40852837.396253921</v>
      </c>
      <c r="L2419" s="455">
        <f t="shared" ca="1" si="129"/>
        <v>-9845533812.4971943</v>
      </c>
      <c r="M2419" s="471">
        <f t="shared" si="131"/>
        <v>0.05</v>
      </c>
      <c r="N2419" s="475">
        <f t="shared" si="132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30"/>
        <v>-9845533812.4971943</v>
      </c>
      <c r="J2420" s="455">
        <f t="array" ref="J2420">IFERROR(INDEX('Retirement Calculator'!K:K,MATCH('Lorri 401b'!N2420,'Retirement Calculator'!A:A,0),0),0)</f>
        <v>0</v>
      </c>
      <c r="K2420" s="455">
        <f t="shared" ca="1" si="128"/>
        <v>-41023057.552071646</v>
      </c>
      <c r="L2420" s="455">
        <f t="shared" ca="1" si="129"/>
        <v>-9886556870.0492668</v>
      </c>
      <c r="M2420" s="471">
        <f t="shared" si="131"/>
        <v>0.05</v>
      </c>
      <c r="N2420" s="475">
        <f t="shared" si="132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30"/>
        <v>-9886556870.0492668</v>
      </c>
      <c r="J2421" s="455">
        <f t="array" ref="J2421">IFERROR(INDEX('Retirement Calculator'!K:K,MATCH('Lorri 401b'!N2421,'Retirement Calculator'!A:A,0),0),0)</f>
        <v>0</v>
      </c>
      <c r="K2421" s="455">
        <f t="shared" ca="1" si="128"/>
        <v>-41193986.958538614</v>
      </c>
      <c r="L2421" s="455">
        <f t="shared" ca="1" si="129"/>
        <v>-9927750857.0078049</v>
      </c>
      <c r="M2421" s="471">
        <f t="shared" si="131"/>
        <v>0.05</v>
      </c>
      <c r="N2421" s="475">
        <f t="shared" si="132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30"/>
        <v>-9927750857.0078049</v>
      </c>
      <c r="J2422" s="455">
        <f t="array" ref="J2422">IFERROR(INDEX('Retirement Calculator'!K:K,MATCH('Lorri 401b'!N2422,'Retirement Calculator'!A:A,0),0),0)</f>
        <v>0</v>
      </c>
      <c r="K2422" s="455">
        <f t="shared" ca="1" si="128"/>
        <v>-41365628.570865855</v>
      </c>
      <c r="L2422" s="455">
        <f t="shared" ca="1" si="129"/>
        <v>-9969116485.5786705</v>
      </c>
      <c r="M2422" s="471">
        <f t="shared" si="131"/>
        <v>0.05</v>
      </c>
      <c r="N2422" s="475">
        <f t="shared" si="132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30"/>
        <v>-9969116485.5786705</v>
      </c>
      <c r="J2423" s="455">
        <f t="array" ref="J2423">IFERROR(INDEX('Retirement Calculator'!K:K,MATCH('Lorri 401b'!N2423,'Retirement Calculator'!A:A,0),0),0)</f>
        <v>0</v>
      </c>
      <c r="K2423" s="455">
        <f t="shared" ca="1" si="128"/>
        <v>-41537985.356577791</v>
      </c>
      <c r="L2423" s="455">
        <f t="shared" ca="1" si="129"/>
        <v>-10010654470.935247</v>
      </c>
      <c r="M2423" s="471">
        <f t="shared" si="131"/>
        <v>0.05</v>
      </c>
      <c r="N2423" s="475">
        <f t="shared" si="132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30"/>
        <v>-10010654470.935247</v>
      </c>
      <c r="J2424" s="455">
        <f t="array" ref="J2424">IFERROR(INDEX('Retirement Calculator'!K:K,MATCH('Lorri 401b'!N2424,'Retirement Calculator'!A:A,0),0),0)</f>
        <v>0</v>
      </c>
      <c r="K2424" s="455">
        <f t="shared" ca="1" si="128"/>
        <v>-41711060.295563534</v>
      </c>
      <c r="L2424" s="455">
        <f t="shared" ca="1" si="129"/>
        <v>-10052365531.23081</v>
      </c>
      <c r="M2424" s="471">
        <f t="shared" si="131"/>
        <v>0.05</v>
      </c>
      <c r="N2424" s="475">
        <f t="shared" si="132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30"/>
        <v>-10052365531.23081</v>
      </c>
      <c r="J2425" s="455">
        <f t="array" ref="J2425">IFERROR(INDEX('Retirement Calculator'!K:K,MATCH('Lorri 401b'!N2425,'Retirement Calculator'!A:A,0),0),0)</f>
        <v>0</v>
      </c>
      <c r="K2425" s="455">
        <f t="shared" ca="1" si="128"/>
        <v>-41884856.380128376</v>
      </c>
      <c r="L2425" s="455">
        <f t="shared" ca="1" si="129"/>
        <v>-10094250387.610939</v>
      </c>
      <c r="M2425" s="471">
        <f t="shared" si="131"/>
        <v>0.05</v>
      </c>
      <c r="N2425" s="475">
        <f t="shared" si="132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30"/>
        <v>-10094250387.610939</v>
      </c>
      <c r="J2426" s="455">
        <f t="array" ref="J2426">IFERROR(INDEX('Retirement Calculator'!K:K,MATCH('Lorri 401b'!N2426,'Retirement Calculator'!A:A,0),0),0)</f>
        <v>0</v>
      </c>
      <c r="K2426" s="455">
        <f t="shared" ca="1" si="128"/>
        <v>-42059376.615045577</v>
      </c>
      <c r="L2426" s="455">
        <f t="shared" ca="1" si="129"/>
        <v>-10136309764.225985</v>
      </c>
      <c r="M2426" s="471">
        <f t="shared" si="131"/>
        <v>0.05</v>
      </c>
      <c r="N2426" s="475">
        <f t="shared" si="132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30"/>
        <v>-10136309764.225985</v>
      </c>
      <c r="J2427" s="455">
        <f t="array" ref="J2427">IFERROR(INDEX('Retirement Calculator'!K:K,MATCH('Lorri 401b'!N2427,'Retirement Calculator'!A:A,0),0),0)</f>
        <v>0</v>
      </c>
      <c r="K2427" s="455">
        <f t="shared" ca="1" si="128"/>
        <v>-42234624.01760827</v>
      </c>
      <c r="L2427" s="455">
        <f t="shared" ca="1" si="129"/>
        <v>-10178544388.243593</v>
      </c>
      <c r="M2427" s="471">
        <f t="shared" si="131"/>
        <v>0.05</v>
      </c>
      <c r="N2427" s="475">
        <f t="shared" si="132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30"/>
        <v>-10178544388.243593</v>
      </c>
      <c r="J2428" s="455">
        <f t="array" ref="J2428">IFERROR(INDEX('Retirement Calculator'!K:K,MATCH('Lorri 401b'!N2428,'Retirement Calculator'!A:A,0),0),0)</f>
        <v>0</v>
      </c>
      <c r="K2428" s="455">
        <f t="shared" ca="1" si="128"/>
        <v>-42410601.617681637</v>
      </c>
      <c r="L2428" s="455">
        <f t="shared" ca="1" si="129"/>
        <v>-10220954989.861275</v>
      </c>
      <c r="M2428" s="471">
        <f t="shared" si="131"/>
        <v>0.05</v>
      </c>
      <c r="N2428" s="475">
        <f t="shared" si="132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30"/>
        <v>-10220954989.861275</v>
      </c>
      <c r="J2429" s="455">
        <f t="array" ref="J2429">IFERROR(INDEX('Retirement Calculator'!K:K,MATCH('Lorri 401b'!N2429,'Retirement Calculator'!A:A,0),0),0)</f>
        <v>0</v>
      </c>
      <c r="K2429" s="455">
        <f t="shared" ca="1" si="128"/>
        <v>-42587312.457755312</v>
      </c>
      <c r="L2429" s="455">
        <f t="shared" ca="1" si="129"/>
        <v>-10263542302.319031</v>
      </c>
      <c r="M2429" s="471">
        <f t="shared" si="131"/>
        <v>0.05</v>
      </c>
      <c r="N2429" s="475">
        <f t="shared" si="132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30"/>
        <v>-10263542302.319031</v>
      </c>
      <c r="J2430" s="455">
        <f t="array" ref="J2430">IFERROR(INDEX('Retirement Calculator'!K:K,MATCH('Lorri 401b'!N2430,'Retirement Calculator'!A:A,0),0),0)</f>
        <v>0</v>
      </c>
      <c r="K2430" s="455">
        <f t="shared" ca="1" si="128"/>
        <v>-42764759.592995964</v>
      </c>
      <c r="L2430" s="455">
        <f t="shared" ca="1" si="129"/>
        <v>-10306307061.912027</v>
      </c>
      <c r="M2430" s="471">
        <f t="shared" si="131"/>
        <v>0.05</v>
      </c>
      <c r="N2430" s="475">
        <f t="shared" si="132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30"/>
        <v>-10306307061.912027</v>
      </c>
      <c r="J2431" s="455">
        <f t="array" ref="J2431">IFERROR(INDEX('Retirement Calculator'!K:K,MATCH('Lorri 401b'!N2431,'Retirement Calculator'!A:A,0),0),0)</f>
        <v>0</v>
      </c>
      <c r="K2431" s="455">
        <f t="shared" ca="1" si="128"/>
        <v>-42942946.091300115</v>
      </c>
      <c r="L2431" s="455">
        <f t="shared" ca="1" si="129"/>
        <v>-10349250008.003328</v>
      </c>
      <c r="M2431" s="471">
        <f t="shared" si="131"/>
        <v>0.05</v>
      </c>
      <c r="N2431" s="475">
        <f t="shared" si="132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30"/>
        <v>-10349250008.003328</v>
      </c>
      <c r="J2432" s="455">
        <f t="array" ref="J2432">IFERROR(INDEX('Retirement Calculator'!K:K,MATCH('Lorri 401b'!N2432,'Retirement Calculator'!A:A,0),0),0)</f>
        <v>0</v>
      </c>
      <c r="K2432" s="455">
        <f t="shared" ca="1" si="128"/>
        <v>-43121875.033347204</v>
      </c>
      <c r="L2432" s="455">
        <f t="shared" ca="1" si="129"/>
        <v>-10392371883.036676</v>
      </c>
      <c r="M2432" s="471">
        <f t="shared" si="131"/>
        <v>0.05</v>
      </c>
      <c r="N2432" s="475">
        <f t="shared" si="132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30"/>
        <v>-10392371883.036676</v>
      </c>
      <c r="J2433" s="455">
        <f t="array" ref="J2433">IFERROR(INDEX('Retirement Calculator'!K:K,MATCH('Lorri 401b'!N2433,'Retirement Calculator'!A:A,0),0),0)</f>
        <v>0</v>
      </c>
      <c r="K2433" s="455">
        <f t="shared" ca="1" si="128"/>
        <v>-43301549.512652814</v>
      </c>
      <c r="L2433" s="455">
        <f t="shared" ca="1" si="129"/>
        <v>-10435673432.54933</v>
      </c>
      <c r="M2433" s="471">
        <f t="shared" si="131"/>
        <v>0.05</v>
      </c>
      <c r="N2433" s="475">
        <f t="shared" si="132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30"/>
        <v>-10435673432.54933</v>
      </c>
      <c r="J2434" s="455">
        <f t="array" ref="J2434">IFERROR(INDEX('Retirement Calculator'!K:K,MATCH('Lorri 401b'!N2434,'Retirement Calculator'!A:A,0),0),0)</f>
        <v>0</v>
      </c>
      <c r="K2434" s="455">
        <f t="shared" ca="1" si="128"/>
        <v>-43481972.635622203</v>
      </c>
      <c r="L2434" s="455">
        <f t="shared" ca="1" si="129"/>
        <v>-10479155405.184952</v>
      </c>
      <c r="M2434" s="471">
        <f t="shared" si="131"/>
        <v>0.05</v>
      </c>
      <c r="N2434" s="475">
        <f t="shared" si="132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30"/>
        <v>-10479155405.184952</v>
      </c>
      <c r="J2435" s="455">
        <f t="array" ref="J2435">IFERROR(INDEX('Retirement Calculator'!K:K,MATCH('Lorri 401b'!N2435,'Retirement Calculator'!A:A,0),0),0)</f>
        <v>0</v>
      </c>
      <c r="K2435" s="455">
        <f t="shared" ca="1" si="128"/>
        <v>-43663147.521603964</v>
      </c>
      <c r="L2435" s="455">
        <f t="shared" ca="1" si="129"/>
        <v>-10522818552.706556</v>
      </c>
      <c r="M2435" s="471">
        <f t="shared" si="131"/>
        <v>0.05</v>
      </c>
      <c r="N2435" s="475">
        <f t="shared" si="132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30"/>
        <v>-10522818552.706556</v>
      </c>
      <c r="J2436" s="455">
        <f t="array" ref="J2436">IFERROR(INDEX('Retirement Calculator'!K:K,MATCH('Lorri 401b'!N2436,'Retirement Calculator'!A:A,0),0),0)</f>
        <v>0</v>
      </c>
      <c r="K2436" s="455">
        <f t="shared" ca="1" si="128"/>
        <v>-43845077.302943982</v>
      </c>
      <c r="L2436" s="455">
        <f t="shared" ca="1" si="129"/>
        <v>-10566663630.009501</v>
      </c>
      <c r="M2436" s="471">
        <f t="shared" si="131"/>
        <v>0.05</v>
      </c>
      <c r="N2436" s="475">
        <f t="shared" si="132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30"/>
        <v>-10566663630.009501</v>
      </c>
      <c r="J2437" s="455">
        <f t="array" ref="J2437">IFERROR(INDEX('Retirement Calculator'!K:K,MATCH('Lorri 401b'!N2437,'Retirement Calculator'!A:A,0),0),0)</f>
        <v>0</v>
      </c>
      <c r="K2437" s="455">
        <f t="shared" ca="1" si="128"/>
        <v>-44027765.125039585</v>
      </c>
      <c r="L2437" s="455">
        <f t="shared" ca="1" si="129"/>
        <v>-10610691395.134541</v>
      </c>
      <c r="M2437" s="471">
        <f t="shared" si="131"/>
        <v>0.05</v>
      </c>
      <c r="N2437" s="475">
        <f t="shared" si="132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30"/>
        <v>-10610691395.134541</v>
      </c>
      <c r="J2438" s="455">
        <f t="array" ref="J2438">IFERROR(INDEX('Retirement Calculator'!K:K,MATCH('Lorri 401b'!N2438,'Retirement Calculator'!A:A,0),0),0)</f>
        <v>0</v>
      </c>
      <c r="K2438" s="455">
        <f t="shared" ca="1" si="128"/>
        <v>-44211214.146393918</v>
      </c>
      <c r="L2438" s="455">
        <f t="shared" ca="1" si="129"/>
        <v>-10654902609.280935</v>
      </c>
      <c r="M2438" s="471">
        <f t="shared" si="131"/>
        <v>0.05</v>
      </c>
      <c r="N2438" s="475">
        <f t="shared" si="132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30"/>
        <v>-10654902609.280935</v>
      </c>
      <c r="J2439" s="455">
        <f t="array" ref="J2439">IFERROR(INDEX('Retirement Calculator'!K:K,MATCH('Lorri 401b'!N2439,'Retirement Calculator'!A:A,0),0),0)</f>
        <v>0</v>
      </c>
      <c r="K2439" s="455">
        <f t="shared" ca="1" si="128"/>
        <v>-44395427.538670562</v>
      </c>
      <c r="L2439" s="455">
        <f t="shared" ca="1" si="129"/>
        <v>-10699298036.819607</v>
      </c>
      <c r="M2439" s="471">
        <f t="shared" si="131"/>
        <v>0.05</v>
      </c>
      <c r="N2439" s="475">
        <f t="shared" si="132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30"/>
        <v>-10699298036.819607</v>
      </c>
      <c r="J2440" s="455">
        <f t="array" ref="J2440">IFERROR(INDEX('Retirement Calculator'!K:K,MATCH('Lorri 401b'!N2440,'Retirement Calculator'!A:A,0),0),0)</f>
        <v>0</v>
      </c>
      <c r="K2440" s="455">
        <f t="shared" ca="1" si="128"/>
        <v>-44580408.48674836</v>
      </c>
      <c r="L2440" s="455">
        <f t="shared" ca="1" si="129"/>
        <v>-10743878445.306355</v>
      </c>
      <c r="M2440" s="471">
        <f t="shared" si="131"/>
        <v>0.05</v>
      </c>
      <c r="N2440" s="475">
        <f t="shared" si="132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30"/>
        <v>-10743878445.306355</v>
      </c>
      <c r="J2441" s="455">
        <f t="array" ref="J2441">IFERROR(INDEX('Retirement Calculator'!K:K,MATCH('Lorri 401b'!N2441,'Retirement Calculator'!A:A,0),0),0)</f>
        <v>0</v>
      </c>
      <c r="K2441" s="455">
        <f t="shared" ca="1" si="128"/>
        <v>-44766160.188776478</v>
      </c>
      <c r="L2441" s="455">
        <f t="shared" ca="1" si="129"/>
        <v>-10788644605.495131</v>
      </c>
      <c r="M2441" s="471">
        <f t="shared" si="131"/>
        <v>0.05</v>
      </c>
      <c r="N2441" s="475">
        <f t="shared" si="132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30"/>
        <v>-10788644605.495131</v>
      </c>
      <c r="J2442" s="455">
        <f t="array" ref="J2442">IFERROR(INDEX('Retirement Calculator'!K:K,MATCH('Lorri 401b'!N2442,'Retirement Calculator'!A:A,0),0),0)</f>
        <v>0</v>
      </c>
      <c r="K2442" s="455">
        <f t="shared" ca="1" si="128"/>
        <v>-44952685.856229708</v>
      </c>
      <c r="L2442" s="455">
        <f t="shared" ca="1" si="129"/>
        <v>-10833597291.35136</v>
      </c>
      <c r="M2442" s="471">
        <f t="shared" si="131"/>
        <v>0.05</v>
      </c>
      <c r="N2442" s="475">
        <f t="shared" si="132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30"/>
        <v>-10833597291.35136</v>
      </c>
      <c r="J2443" s="455">
        <f t="array" ref="J2443">IFERROR(INDEX('Retirement Calculator'!K:K,MATCH('Lorri 401b'!N2443,'Retirement Calculator'!A:A,0),0),0)</f>
        <v>0</v>
      </c>
      <c r="K2443" s="455">
        <f t="shared" ca="1" si="128"/>
        <v>-45139988.713964</v>
      </c>
      <c r="L2443" s="455">
        <f t="shared" ca="1" si="129"/>
        <v>-10878737280.065325</v>
      </c>
      <c r="M2443" s="471">
        <f t="shared" si="131"/>
        <v>0.05</v>
      </c>
      <c r="N2443" s="475">
        <f t="shared" si="132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30"/>
        <v>-10878737280.065325</v>
      </c>
      <c r="J2444" s="455">
        <f t="array" ref="J2444">IFERROR(INDEX('Retirement Calculator'!K:K,MATCH('Lorri 401b'!N2444,'Retirement Calculator'!A:A,0),0),0)</f>
        <v>0</v>
      </c>
      <c r="K2444" s="455">
        <f t="shared" ca="1" si="128"/>
        <v>-45328072.000272185</v>
      </c>
      <c r="L2444" s="455">
        <f t="shared" ca="1" si="129"/>
        <v>-10924065352.065598</v>
      </c>
      <c r="M2444" s="471">
        <f t="shared" si="131"/>
        <v>0.05</v>
      </c>
      <c r="N2444" s="475">
        <f t="shared" si="132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30"/>
        <v>-10924065352.065598</v>
      </c>
      <c r="J2445" s="455">
        <f t="array" ref="J2445">IFERROR(INDEX('Retirement Calculator'!K:K,MATCH('Lorri 401b'!N2445,'Retirement Calculator'!A:A,0),0),0)</f>
        <v>0</v>
      </c>
      <c r="K2445" s="455">
        <f t="shared" ca="1" si="128"/>
        <v>-45516938.966939986</v>
      </c>
      <c r="L2445" s="455">
        <f t="shared" ca="1" si="129"/>
        <v>-10969582291.032537</v>
      </c>
      <c r="M2445" s="471">
        <f t="shared" si="131"/>
        <v>0.05</v>
      </c>
      <c r="N2445" s="475">
        <f t="shared" si="132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30"/>
        <v>-10969582291.032537</v>
      </c>
      <c r="J2446" s="455">
        <f t="array" ref="J2446">IFERROR(INDEX('Retirement Calculator'!K:K,MATCH('Lorri 401b'!N2446,'Retirement Calculator'!A:A,0),0),0)</f>
        <v>0</v>
      </c>
      <c r="K2446" s="455">
        <f t="shared" ca="1" si="128"/>
        <v>-45706592.879302241</v>
      </c>
      <c r="L2446" s="455">
        <f t="shared" ca="1" si="129"/>
        <v>-11015288883.91184</v>
      </c>
      <c r="M2446" s="471">
        <f t="shared" si="131"/>
        <v>0.05</v>
      </c>
      <c r="N2446" s="475">
        <f t="shared" si="132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30"/>
        <v>-11015288883.91184</v>
      </c>
      <c r="J2447" s="455">
        <f t="array" ref="J2447">IFERROR(INDEX('Retirement Calculator'!K:K,MATCH('Lorri 401b'!N2447,'Retirement Calculator'!A:A,0),0),0)</f>
        <v>0</v>
      </c>
      <c r="K2447" s="455">
        <f t="shared" ca="1" si="128"/>
        <v>-45897037.016299337</v>
      </c>
      <c r="L2447" s="455">
        <f t="shared" ca="1" si="129"/>
        <v>-11061185920.928141</v>
      </c>
      <c r="M2447" s="471">
        <f t="shared" si="131"/>
        <v>0.05</v>
      </c>
      <c r="N2447" s="475">
        <f t="shared" si="132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30"/>
        <v>-11061185920.928141</v>
      </c>
      <c r="J2448" s="455">
        <f t="array" ref="J2448">IFERROR(INDEX('Retirement Calculator'!K:K,MATCH('Lorri 401b'!N2448,'Retirement Calculator'!A:A,0),0),0)</f>
        <v>0</v>
      </c>
      <c r="K2448" s="455">
        <f t="shared" ca="1" si="128"/>
        <v>-46088274.670533918</v>
      </c>
      <c r="L2448" s="455">
        <f t="shared" ca="1" si="129"/>
        <v>-11107274195.598675</v>
      </c>
      <c r="M2448" s="471">
        <f t="shared" si="131"/>
        <v>0.05</v>
      </c>
      <c r="N2448" s="475">
        <f t="shared" si="132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30"/>
        <v>-11107274195.598675</v>
      </c>
      <c r="J2449" s="455">
        <f t="array" ref="J2449">IFERROR(INDEX('Retirement Calculator'!K:K,MATCH('Lorri 401b'!N2449,'Retirement Calculator'!A:A,0),0),0)</f>
        <v>0</v>
      </c>
      <c r="K2449" s="455">
        <f t="shared" ca="1" si="128"/>
        <v>-46280309.148327813</v>
      </c>
      <c r="L2449" s="455">
        <f t="shared" ca="1" si="129"/>
        <v>-11153554504.747002</v>
      </c>
      <c r="M2449" s="471">
        <f t="shared" si="131"/>
        <v>0.05</v>
      </c>
      <c r="N2449" s="475">
        <f t="shared" si="132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30"/>
        <v>-11153554504.747002</v>
      </c>
      <c r="J2450" s="455">
        <f t="array" ref="J2450">IFERROR(INDEX('Retirement Calculator'!K:K,MATCH('Lorri 401b'!N2450,'Retirement Calculator'!A:A,0),0),0)</f>
        <v>0</v>
      </c>
      <c r="K2450" s="455">
        <f t="shared" ca="1" si="128"/>
        <v>-46473143.769779176</v>
      </c>
      <c r="L2450" s="455">
        <f t="shared" ca="1" si="129"/>
        <v>-11200027648.516781</v>
      </c>
      <c r="M2450" s="471">
        <f t="shared" si="131"/>
        <v>0.05</v>
      </c>
      <c r="N2450" s="475">
        <f t="shared" si="132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30"/>
        <v>-11200027648.516781</v>
      </c>
      <c r="J2451" s="455">
        <f t="array" ref="J2451">IFERROR(INDEX('Retirement Calculator'!K:K,MATCH('Lorri 401b'!N2451,'Retirement Calculator'!A:A,0),0),0)</f>
        <v>0</v>
      </c>
      <c r="K2451" s="455">
        <f t="shared" ca="1" si="128"/>
        <v>-46666781.868819922</v>
      </c>
      <c r="L2451" s="455">
        <f t="shared" ca="1" si="129"/>
        <v>-11246694430.385601</v>
      </c>
      <c r="M2451" s="471">
        <f t="shared" si="131"/>
        <v>0.05</v>
      </c>
      <c r="N2451" s="475">
        <f t="shared" si="132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30"/>
        <v>-11246694430.385601</v>
      </c>
      <c r="J2452" s="455">
        <f t="array" ref="J2452">IFERROR(INDEX('Retirement Calculator'!K:K,MATCH('Lorri 401b'!N2452,'Retirement Calculator'!A:A,0),0),0)</f>
        <v>0</v>
      </c>
      <c r="K2452" s="455">
        <f t="shared" ca="1" si="128"/>
        <v>-46861226.793273337</v>
      </c>
      <c r="L2452" s="455">
        <f t="shared" ca="1" si="129"/>
        <v>-11293555657.178875</v>
      </c>
      <c r="M2452" s="471">
        <f t="shared" si="131"/>
        <v>0.05</v>
      </c>
      <c r="N2452" s="475">
        <f t="shared" si="132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30"/>
        <v>-11293555657.178875</v>
      </c>
      <c r="J2453" s="455">
        <f t="array" ref="J2453">IFERROR(INDEX('Retirement Calculator'!K:K,MATCH('Lorri 401b'!N2453,'Retirement Calculator'!A:A,0),0),0)</f>
        <v>0</v>
      </c>
      <c r="K2453" s="455">
        <f t="shared" ca="1" si="128"/>
        <v>-47056481.90491198</v>
      </c>
      <c r="L2453" s="455">
        <f t="shared" ca="1" si="129"/>
        <v>-11340612139.083786</v>
      </c>
      <c r="M2453" s="471">
        <f t="shared" si="131"/>
        <v>0.05</v>
      </c>
      <c r="N2453" s="475">
        <f t="shared" si="132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30"/>
        <v>-11340612139.083786</v>
      </c>
      <c r="J2454" s="455">
        <f t="array" ref="J2454">IFERROR(INDEX('Retirement Calculator'!K:K,MATCH('Lorri 401b'!N2454,'Retirement Calculator'!A:A,0),0),0)</f>
        <v>0</v>
      </c>
      <c r="K2454" s="455">
        <f t="shared" ca="1" si="128"/>
        <v>-47252550.579515778</v>
      </c>
      <c r="L2454" s="455">
        <f t="shared" ca="1" si="129"/>
        <v>-11387864689.663301</v>
      </c>
      <c r="M2454" s="471">
        <f t="shared" si="131"/>
        <v>0.05</v>
      </c>
      <c r="N2454" s="475">
        <f t="shared" si="132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30"/>
        <v>-11387864689.663301</v>
      </c>
      <c r="J2455" s="455">
        <f t="array" ref="J2455">IFERROR(INDEX('Retirement Calculator'!K:K,MATCH('Lorri 401b'!N2455,'Retirement Calculator'!A:A,0),0),0)</f>
        <v>0</v>
      </c>
      <c r="K2455" s="455">
        <f t="shared" ca="1" si="128"/>
        <v>-47449436.206930421</v>
      </c>
      <c r="L2455" s="455">
        <f t="shared" ca="1" si="129"/>
        <v>-11435314125.870232</v>
      </c>
      <c r="M2455" s="471">
        <f t="shared" si="131"/>
        <v>0.05</v>
      </c>
      <c r="N2455" s="475">
        <f t="shared" si="132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30"/>
        <v>-11435314125.870232</v>
      </c>
      <c r="J2456" s="455">
        <f t="array" ref="J2456">IFERROR(INDEX('Retirement Calculator'!K:K,MATCH('Lorri 401b'!N2456,'Retirement Calculator'!A:A,0),0),0)</f>
        <v>0</v>
      </c>
      <c r="K2456" s="455">
        <f t="shared" ca="1" si="128"/>
        <v>-47647142.191125967</v>
      </c>
      <c r="L2456" s="455">
        <f t="shared" ca="1" si="129"/>
        <v>-11482961268.061357</v>
      </c>
      <c r="M2456" s="471">
        <f t="shared" si="131"/>
        <v>0.05</v>
      </c>
      <c r="N2456" s="475">
        <f t="shared" si="132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30"/>
        <v>-11482961268.061357</v>
      </c>
      <c r="J2457" s="455">
        <f t="array" ref="J2457">IFERROR(INDEX('Retirement Calculator'!K:K,MATCH('Lorri 401b'!N2457,'Retirement Calculator'!A:A,0),0),0)</f>
        <v>0</v>
      </c>
      <c r="K2457" s="455">
        <f t="shared" ca="1" si="128"/>
        <v>-47845671.950255655</v>
      </c>
      <c r="L2457" s="455">
        <f t="shared" ca="1" si="129"/>
        <v>-11530806940.011614</v>
      </c>
      <c r="M2457" s="471">
        <f t="shared" si="131"/>
        <v>0.05</v>
      </c>
      <c r="N2457" s="475">
        <f t="shared" si="132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30"/>
        <v>-11530806940.011614</v>
      </c>
      <c r="J2458" s="455">
        <f t="array" ref="J2458">IFERROR(INDEX('Retirement Calculator'!K:K,MATCH('Lorri 401b'!N2458,'Retirement Calculator'!A:A,0),0),0)</f>
        <v>0</v>
      </c>
      <c r="K2458" s="455">
        <f t="shared" ca="1" si="128"/>
        <v>-48045028.916715056</v>
      </c>
      <c r="L2458" s="455">
        <f t="shared" ca="1" si="129"/>
        <v>-11578851968.928329</v>
      </c>
      <c r="M2458" s="471">
        <f t="shared" si="131"/>
        <v>0.05</v>
      </c>
      <c r="N2458" s="475">
        <f t="shared" si="132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30"/>
        <v>-11578851968.928329</v>
      </c>
      <c r="J2459" s="455">
        <f t="array" ref="J2459">IFERROR(INDEX('Retirement Calculator'!K:K,MATCH('Lorri 401b'!N2459,'Retirement Calculator'!A:A,0),0),0)</f>
        <v>0</v>
      </c>
      <c r="K2459" s="455">
        <f t="shared" ca="1" si="128"/>
        <v>-48245216.537201375</v>
      </c>
      <c r="L2459" s="455">
        <f t="shared" ca="1" si="129"/>
        <v>-11627097185.46553</v>
      </c>
      <c r="M2459" s="471">
        <f t="shared" si="131"/>
        <v>0.05</v>
      </c>
      <c r="N2459" s="475">
        <f t="shared" si="132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30"/>
        <v>-11627097185.46553</v>
      </c>
      <c r="J2460" s="455">
        <f t="array" ref="J2460">IFERROR(INDEX('Retirement Calculator'!K:K,MATCH('Lorri 401b'!N2460,'Retirement Calculator'!A:A,0),0),0)</f>
        <v>0</v>
      </c>
      <c r="K2460" s="455">
        <f t="shared" ca="1" si="128"/>
        <v>-48446238.272773042</v>
      </c>
      <c r="L2460" s="455">
        <f t="shared" ca="1" si="129"/>
        <v>-11675543423.738304</v>
      </c>
      <c r="M2460" s="471">
        <f t="shared" si="131"/>
        <v>0.05</v>
      </c>
      <c r="N2460" s="475">
        <f t="shared" si="132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30"/>
        <v>-11675543423.738304</v>
      </c>
      <c r="J2461" s="455">
        <f t="array" ref="J2461">IFERROR(INDEX('Retirement Calculator'!K:K,MATCH('Lorri 401b'!N2461,'Retirement Calculator'!A:A,0),0),0)</f>
        <v>0</v>
      </c>
      <c r="K2461" s="455">
        <f t="shared" ca="1" si="128"/>
        <v>-48648097.598909602</v>
      </c>
      <c r="L2461" s="455">
        <f t="shared" ca="1" si="129"/>
        <v>-11724191521.337214</v>
      </c>
      <c r="M2461" s="471">
        <f t="shared" si="131"/>
        <v>0.05</v>
      </c>
      <c r="N2461" s="475">
        <f t="shared" si="132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30"/>
        <v>-11724191521.337214</v>
      </c>
      <c r="J2462" s="455">
        <f t="array" ref="J2462">IFERROR(INDEX('Retirement Calculator'!K:K,MATCH('Lorri 401b'!N2462,'Retirement Calculator'!A:A,0),0),0)</f>
        <v>0</v>
      </c>
      <c r="K2462" s="455">
        <f t="shared" ca="1" si="128"/>
        <v>-48850798.005571723</v>
      </c>
      <c r="L2462" s="455">
        <f t="shared" ca="1" si="129"/>
        <v>-11773042319.342785</v>
      </c>
      <c r="M2462" s="471">
        <f t="shared" si="131"/>
        <v>0.05</v>
      </c>
      <c r="N2462" s="475">
        <f t="shared" si="132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30"/>
        <v>-11773042319.342785</v>
      </c>
      <c r="J2463" s="455">
        <f t="array" ref="J2463">IFERROR(INDEX('Retirement Calculator'!K:K,MATCH('Lorri 401b'!N2463,'Retirement Calculator'!A:A,0),0),0)</f>
        <v>0</v>
      </c>
      <c r="K2463" s="455">
        <f t="shared" ca="1" si="128"/>
        <v>-49054342.997261606</v>
      </c>
      <c r="L2463" s="455">
        <f t="shared" ca="1" si="129"/>
        <v>-11822096662.340046</v>
      </c>
      <c r="M2463" s="471">
        <f t="shared" si="131"/>
        <v>0.05</v>
      </c>
      <c r="N2463" s="475">
        <f t="shared" si="132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30"/>
        <v>-11822096662.340046</v>
      </c>
      <c r="J2464" s="455">
        <f t="array" ref="J2464">IFERROR(INDEX('Retirement Calculator'!K:K,MATCH('Lorri 401b'!N2464,'Retirement Calculator'!A:A,0),0),0)</f>
        <v>0</v>
      </c>
      <c r="K2464" s="455">
        <f t="shared" ca="1" si="128"/>
        <v>-49258736.093083523</v>
      </c>
      <c r="L2464" s="455">
        <f t="shared" ca="1" si="129"/>
        <v>-11871355398.43313</v>
      </c>
      <c r="M2464" s="471">
        <f t="shared" si="131"/>
        <v>0.05</v>
      </c>
      <c r="N2464" s="475">
        <f t="shared" si="132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30"/>
        <v>-11871355398.43313</v>
      </c>
      <c r="J2465" s="455">
        <f t="array" ref="J2465">IFERROR(INDEX('Retirement Calculator'!K:K,MATCH('Lorri 401b'!N2465,'Retirement Calculator'!A:A,0),0),0)</f>
        <v>0</v>
      </c>
      <c r="K2465" s="455">
        <f t="shared" ca="1" si="128"/>
        <v>-49463980.826804712</v>
      </c>
      <c r="L2465" s="455">
        <f t="shared" ca="1" si="129"/>
        <v>-11920819379.259935</v>
      </c>
      <c r="M2465" s="471">
        <f t="shared" si="131"/>
        <v>0.05</v>
      </c>
      <c r="N2465" s="475">
        <f t="shared" si="132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30"/>
        <v>-11920819379.259935</v>
      </c>
      <c r="J2466" s="455">
        <f t="array" ref="J2466">IFERROR(INDEX('Retirement Calculator'!K:K,MATCH('Lorri 401b'!N2466,'Retirement Calculator'!A:A,0),0),0)</f>
        <v>0</v>
      </c>
      <c r="K2466" s="455">
        <f t="shared" ca="1" si="128"/>
        <v>-49670080.746916398</v>
      </c>
      <c r="L2466" s="455">
        <f t="shared" ca="1" si="129"/>
        <v>-11970489460.006851</v>
      </c>
      <c r="M2466" s="471">
        <f t="shared" si="131"/>
        <v>0.05</v>
      </c>
      <c r="N2466" s="475">
        <f t="shared" si="132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30"/>
        <v>-11970489460.006851</v>
      </c>
      <c r="J2467" s="455">
        <f t="array" ref="J2467">IFERROR(INDEX('Retirement Calculator'!K:K,MATCH('Lorri 401b'!N2467,'Retirement Calculator'!A:A,0),0),0)</f>
        <v>0</v>
      </c>
      <c r="K2467" s="455">
        <f t="shared" ca="1" si="128"/>
        <v>-49877039.416695215</v>
      </c>
      <c r="L2467" s="455">
        <f t="shared" ca="1" si="129"/>
        <v>-12020366499.423546</v>
      </c>
      <c r="M2467" s="471">
        <f t="shared" si="131"/>
        <v>0.05</v>
      </c>
      <c r="N2467" s="475">
        <f t="shared" si="132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30"/>
        <v>-12020366499.423546</v>
      </c>
      <c r="J2468" s="455">
        <f t="array" ref="J2468">IFERROR(INDEX('Retirement Calculator'!K:K,MATCH('Lorri 401b'!N2468,'Retirement Calculator'!A:A,0),0),0)</f>
        <v>0</v>
      </c>
      <c r="K2468" s="455">
        <f t="shared" ca="1" si="128"/>
        <v>-50084860.414264776</v>
      </c>
      <c r="L2468" s="455">
        <f t="shared" ca="1" si="129"/>
        <v>-12070451359.837811</v>
      </c>
      <c r="M2468" s="471">
        <f t="shared" si="131"/>
        <v>0.05</v>
      </c>
      <c r="N2468" s="475">
        <f t="shared" si="132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30"/>
        <v>-12070451359.837811</v>
      </c>
      <c r="J2469" s="455">
        <f t="array" ref="J2469">IFERROR(INDEX('Retirement Calculator'!K:K,MATCH('Lorri 401b'!N2469,'Retirement Calculator'!A:A,0),0),0)</f>
        <v>0</v>
      </c>
      <c r="K2469" s="455">
        <f t="shared" ca="1" si="128"/>
        <v>-50293547.332657546</v>
      </c>
      <c r="L2469" s="455">
        <f t="shared" ca="1" si="129"/>
        <v>-12120744907.170467</v>
      </c>
      <c r="M2469" s="471">
        <f t="shared" si="131"/>
        <v>0.05</v>
      </c>
      <c r="N2469" s="475">
        <f t="shared" si="132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30"/>
        <v>-12120744907.170467</v>
      </c>
      <c r="J2470" s="455">
        <f t="array" ref="J2470">IFERROR(INDEX('Retirement Calculator'!K:K,MATCH('Lorri 401b'!N2470,'Retirement Calculator'!A:A,0),0),0)</f>
        <v>0</v>
      </c>
      <c r="K2470" s="455">
        <f t="shared" ca="1" si="128"/>
        <v>-50503103.779876947</v>
      </c>
      <c r="L2470" s="455">
        <f t="shared" ca="1" si="129"/>
        <v>-12171248010.950344</v>
      </c>
      <c r="M2470" s="471">
        <f t="shared" si="131"/>
        <v>0.05</v>
      </c>
      <c r="N2470" s="475">
        <f t="shared" si="132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30"/>
        <v>-12171248010.950344</v>
      </c>
      <c r="J2471" s="455">
        <f t="array" ref="J2471">IFERROR(INDEX('Retirement Calculator'!K:K,MATCH('Lorri 401b'!N2471,'Retirement Calculator'!A:A,0),0),0)</f>
        <v>0</v>
      </c>
      <c r="K2471" s="455">
        <f t="shared" ca="1" si="128"/>
        <v>-50713533.378959768</v>
      </c>
      <c r="L2471" s="455">
        <f t="shared" ca="1" si="129"/>
        <v>-12221961544.329304</v>
      </c>
      <c r="M2471" s="471">
        <f t="shared" si="131"/>
        <v>0.05</v>
      </c>
      <c r="N2471" s="475">
        <f t="shared" si="132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30"/>
        <v>-12221961544.329304</v>
      </c>
      <c r="J2472" s="455">
        <f t="array" ref="J2472">IFERROR(INDEX('Retirement Calculator'!K:K,MATCH('Lorri 401b'!N2472,'Retirement Calculator'!A:A,0),0),0)</f>
        <v>0</v>
      </c>
      <c r="K2472" s="455">
        <f t="shared" ca="1" si="128"/>
        <v>-50924839.768038765</v>
      </c>
      <c r="L2472" s="455">
        <f t="shared" ca="1" si="129"/>
        <v>-12272886384.097343</v>
      </c>
      <c r="M2472" s="471">
        <f t="shared" si="131"/>
        <v>0.05</v>
      </c>
      <c r="N2472" s="475">
        <f t="shared" si="132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30"/>
        <v>-12272886384.097343</v>
      </c>
      <c r="J2473" s="455">
        <f t="array" ref="J2473">IFERROR(INDEX('Retirement Calculator'!K:K,MATCH('Lorri 401b'!N2473,'Retirement Calculator'!A:A,0),0),0)</f>
        <v>0</v>
      </c>
      <c r="K2473" s="455">
        <f t="shared" ca="1" si="128"/>
        <v>-51137026.600405596</v>
      </c>
      <c r="L2473" s="455">
        <f t="shared" ca="1" si="129"/>
        <v>-12324023410.697748</v>
      </c>
      <c r="M2473" s="471">
        <f t="shared" si="131"/>
        <v>0.05</v>
      </c>
      <c r="N2473" s="475">
        <f t="shared" si="132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30"/>
        <v>-12324023410.697748</v>
      </c>
      <c r="J2474" s="455">
        <f t="array" ref="J2474">IFERROR(INDEX('Retirement Calculator'!K:K,MATCH('Lorri 401b'!N2474,'Retirement Calculator'!A:A,0),0),0)</f>
        <v>0</v>
      </c>
      <c r="K2474" s="455">
        <f t="shared" ca="1" si="128"/>
        <v>-51350097.544573948</v>
      </c>
      <c r="L2474" s="455">
        <f t="shared" ca="1" si="129"/>
        <v>-12375373508.242323</v>
      </c>
      <c r="M2474" s="471">
        <f t="shared" si="131"/>
        <v>0.05</v>
      </c>
      <c r="N2474" s="475">
        <f t="shared" si="132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30"/>
        <v>-12375373508.242323</v>
      </c>
      <c r="J2475" s="455">
        <f t="array" ref="J2475">IFERROR(INDEX('Retirement Calculator'!K:K,MATCH('Lorri 401b'!N2475,'Retirement Calculator'!A:A,0),0),0)</f>
        <v>0</v>
      </c>
      <c r="K2475" s="455">
        <f t="shared" ca="1" si="128"/>
        <v>-51564056.284343012</v>
      </c>
      <c r="L2475" s="455">
        <f t="shared" ca="1" si="129"/>
        <v>-12426937564.526667</v>
      </c>
      <c r="M2475" s="471">
        <f t="shared" si="131"/>
        <v>0.05</v>
      </c>
      <c r="N2475" s="475">
        <f t="shared" si="132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30"/>
        <v>-12426937564.526667</v>
      </c>
      <c r="J2476" s="455">
        <f t="array" ref="J2476">IFERROR(INDEX('Retirement Calculator'!K:K,MATCH('Lorri 401b'!N2476,'Retirement Calculator'!A:A,0),0),0)</f>
        <v>0</v>
      </c>
      <c r="K2476" s="455">
        <f t="shared" ca="1" si="128"/>
        <v>-51778906.518861108</v>
      </c>
      <c r="L2476" s="455">
        <f t="shared" ca="1" si="129"/>
        <v>-12478716471.045528</v>
      </c>
      <c r="M2476" s="471">
        <f t="shared" si="131"/>
        <v>0.05</v>
      </c>
      <c r="N2476" s="475">
        <f t="shared" si="132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30"/>
        <v>-12478716471.045528</v>
      </c>
      <c r="J2477" s="455">
        <f t="array" ref="J2477">IFERROR(INDEX('Retirement Calculator'!K:K,MATCH('Lorri 401b'!N2477,'Retirement Calculator'!A:A,0),0),0)</f>
        <v>0</v>
      </c>
      <c r="K2477" s="455">
        <f t="shared" ca="1" si="128"/>
        <v>-51994651.962689698</v>
      </c>
      <c r="L2477" s="455">
        <f t="shared" ca="1" si="129"/>
        <v>-12530711123.008219</v>
      </c>
      <c r="M2477" s="471">
        <f t="shared" si="131"/>
        <v>0.05</v>
      </c>
      <c r="N2477" s="475">
        <f t="shared" si="132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30"/>
        <v>-12530711123.008219</v>
      </c>
      <c r="J2478" s="455">
        <f t="array" ref="J2478">IFERROR(INDEX('Retirement Calculator'!K:K,MATCH('Lorri 401b'!N2478,'Retirement Calculator'!A:A,0),0),0)</f>
        <v>0</v>
      </c>
      <c r="K2478" s="455">
        <f t="shared" ca="1" si="128"/>
        <v>-52211296.345867574</v>
      </c>
      <c r="L2478" s="455">
        <f t="shared" ca="1" si="129"/>
        <v>-12582922419.354086</v>
      </c>
      <c r="M2478" s="471">
        <f t="shared" si="131"/>
        <v>0.05</v>
      </c>
      <c r="N2478" s="475">
        <f t="shared" si="132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30"/>
        <v>-12582922419.354086</v>
      </c>
      <c r="J2479" s="455">
        <f t="array" ref="J2479">IFERROR(INDEX('Retirement Calculator'!K:K,MATCH('Lorri 401b'!N2479,'Retirement Calculator'!A:A,0),0),0)</f>
        <v>0</v>
      </c>
      <c r="K2479" s="455">
        <f t="shared" ca="1" si="128"/>
        <v>-52428843.413975358</v>
      </c>
      <c r="L2479" s="455">
        <f t="shared" ca="1" si="129"/>
        <v>-12635351262.768061</v>
      </c>
      <c r="M2479" s="471">
        <f t="shared" si="131"/>
        <v>0.05</v>
      </c>
      <c r="N2479" s="475">
        <f t="shared" si="132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30"/>
        <v>-12635351262.768061</v>
      </c>
      <c r="J2480" s="455">
        <f t="array" ref="J2480">IFERROR(INDEX('Retirement Calculator'!K:K,MATCH('Lorri 401b'!N2480,'Retirement Calculator'!A:A,0),0),0)</f>
        <v>0</v>
      </c>
      <c r="K2480" s="455">
        <f t="shared" ca="1" si="128"/>
        <v>-52647296.928200252</v>
      </c>
      <c r="L2480" s="455">
        <f t="shared" ca="1" si="129"/>
        <v>-12687998559.69626</v>
      </c>
      <c r="M2480" s="471">
        <f t="shared" si="131"/>
        <v>0.05</v>
      </c>
      <c r="N2480" s="475">
        <f t="shared" si="132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30"/>
        <v>-12687998559.69626</v>
      </c>
      <c r="J2481" s="455">
        <f t="array" ref="J2481">IFERROR(INDEX('Retirement Calculator'!K:K,MATCH('Lorri 401b'!N2481,'Retirement Calculator'!A:A,0),0),0)</f>
        <v>0</v>
      </c>
      <c r="K2481" s="455">
        <f t="shared" ca="1" si="128"/>
        <v>-52866660.665401086</v>
      </c>
      <c r="L2481" s="455">
        <f t="shared" ca="1" si="129"/>
        <v>-12740865220.361662</v>
      </c>
      <c r="M2481" s="471">
        <f t="shared" si="131"/>
        <v>0.05</v>
      </c>
      <c r="N2481" s="475">
        <f t="shared" si="132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30"/>
        <v>-12740865220.361662</v>
      </c>
      <c r="J2482" s="455">
        <f t="array" ref="J2482">IFERROR(INDEX('Retirement Calculator'!K:K,MATCH('Lorri 401b'!N2482,'Retirement Calculator'!A:A,0),0),0)</f>
        <v>0</v>
      </c>
      <c r="K2482" s="455">
        <f t="shared" ca="1" si="128"/>
        <v>-53086938.418173589</v>
      </c>
      <c r="L2482" s="455">
        <f t="shared" ca="1" si="129"/>
        <v>-12793952158.779835</v>
      </c>
      <c r="M2482" s="471">
        <f t="shared" si="131"/>
        <v>0.05</v>
      </c>
      <c r="N2482" s="475">
        <f t="shared" si="132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30"/>
        <v>-12793952158.779835</v>
      </c>
      <c r="J2483" s="455">
        <f t="array" ref="J2483">IFERROR(INDEX('Retirement Calculator'!K:K,MATCH('Lorri 401b'!N2483,'Retirement Calculator'!A:A,0),0),0)</f>
        <v>0</v>
      </c>
      <c r="K2483" s="455">
        <f t="shared" ca="1" si="128"/>
        <v>-53308133.994915977</v>
      </c>
      <c r="L2483" s="455">
        <f t="shared" ca="1" si="129"/>
        <v>-12847260292.774752</v>
      </c>
      <c r="M2483" s="471">
        <f t="shared" si="131"/>
        <v>0.05</v>
      </c>
      <c r="N2483" s="475">
        <f t="shared" si="132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30"/>
        <v>-12847260292.774752</v>
      </c>
      <c r="J2484" s="455">
        <f t="array" ref="J2484">IFERROR(INDEX('Retirement Calculator'!K:K,MATCH('Lorri 401b'!N2484,'Retirement Calculator'!A:A,0),0),0)</f>
        <v>0</v>
      </c>
      <c r="K2484" s="455">
        <f t="shared" ca="1" si="128"/>
        <v>-53530251.219894797</v>
      </c>
      <c r="L2484" s="455">
        <f t="shared" ca="1" si="129"/>
        <v>-12900790543.994646</v>
      </c>
      <c r="M2484" s="471">
        <f t="shared" si="131"/>
        <v>0.05</v>
      </c>
      <c r="N2484" s="475">
        <f t="shared" si="132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30"/>
        <v>-12900790543.994646</v>
      </c>
      <c r="J2485" s="455">
        <f t="array" ref="J2485">IFERROR(INDEX('Retirement Calculator'!K:K,MATCH('Lorri 401b'!N2485,'Retirement Calculator'!A:A,0),0),0)</f>
        <v>0</v>
      </c>
      <c r="K2485" s="455">
        <f t="shared" ca="1" si="128"/>
        <v>-53753293.933311023</v>
      </c>
      <c r="L2485" s="455">
        <f t="shared" ca="1" si="129"/>
        <v>-12954543837.927958</v>
      </c>
      <c r="M2485" s="471">
        <f t="shared" si="131"/>
        <v>0.05</v>
      </c>
      <c r="N2485" s="475">
        <f t="shared" si="132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30"/>
        <v>-12954543837.927958</v>
      </c>
      <c r="J2486" s="455">
        <f t="array" ref="J2486">IFERROR(INDEX('Retirement Calculator'!K:K,MATCH('Lorri 401b'!N2486,'Retirement Calculator'!A:A,0),0),0)</f>
        <v>0</v>
      </c>
      <c r="K2486" s="455">
        <f t="shared" ca="1" si="128"/>
        <v>-53977265.991366491</v>
      </c>
      <c r="L2486" s="455">
        <f t="shared" ca="1" si="129"/>
        <v>-13008521103.919325</v>
      </c>
      <c r="M2486" s="471">
        <f t="shared" si="131"/>
        <v>0.05</v>
      </c>
      <c r="N2486" s="475">
        <f t="shared" si="132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30"/>
        <v>-13008521103.919325</v>
      </c>
      <c r="J2487" s="455">
        <f t="array" ref="J2487">IFERROR(INDEX('Retirement Calculator'!K:K,MATCH('Lorri 401b'!N2487,'Retirement Calculator'!A:A,0),0),0)</f>
        <v>0</v>
      </c>
      <c r="K2487" s="455">
        <f t="shared" ca="1" si="128"/>
        <v>-54202171.266330518</v>
      </c>
      <c r="L2487" s="455">
        <f t="shared" ca="1" si="129"/>
        <v>-13062723275.185656</v>
      </c>
      <c r="M2487" s="471">
        <f t="shared" si="131"/>
        <v>0.05</v>
      </c>
      <c r="N2487" s="475">
        <f t="shared" si="132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30"/>
        <v>-13062723275.185656</v>
      </c>
      <c r="J2488" s="455">
        <f t="array" ref="J2488">IFERROR(INDEX('Retirement Calculator'!K:K,MATCH('Lorri 401b'!N2488,'Retirement Calculator'!A:A,0),0),0)</f>
        <v>0</v>
      </c>
      <c r="K2488" s="455">
        <f t="shared" ca="1" si="128"/>
        <v>-54428013.6466069</v>
      </c>
      <c r="L2488" s="455">
        <f t="shared" ca="1" si="129"/>
        <v>-13117151288.832262</v>
      </c>
      <c r="M2488" s="471">
        <f t="shared" si="131"/>
        <v>0.05</v>
      </c>
      <c r="N2488" s="475">
        <f t="shared" si="132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30"/>
        <v>-13117151288.832262</v>
      </c>
      <c r="J2489" s="455">
        <f t="array" ref="J2489">IFERROR(INDEX('Retirement Calculator'!K:K,MATCH('Lorri 401b'!N2489,'Retirement Calculator'!A:A,0),0),0)</f>
        <v>0</v>
      </c>
      <c r="K2489" s="455">
        <f t="shared" ca="1" si="128"/>
        <v>-54654797.036801092</v>
      </c>
      <c r="L2489" s="455">
        <f t="shared" ca="1" si="129"/>
        <v>-13171806085.869062</v>
      </c>
      <c r="M2489" s="471">
        <f t="shared" si="131"/>
        <v>0.05</v>
      </c>
      <c r="N2489" s="475">
        <f t="shared" si="132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30"/>
        <v>-13171806085.869062</v>
      </c>
      <c r="J2490" s="455">
        <f t="array" ref="J2490">IFERROR(INDEX('Retirement Calculator'!K:K,MATCH('Lorri 401b'!N2490,'Retirement Calculator'!A:A,0),0),0)</f>
        <v>0</v>
      </c>
      <c r="K2490" s="455">
        <f t="shared" ca="1" si="128"/>
        <v>-54882525.357787758</v>
      </c>
      <c r="L2490" s="455">
        <f t="shared" ca="1" si="129"/>
        <v>-13226688611.226851</v>
      </c>
      <c r="M2490" s="471">
        <f t="shared" si="131"/>
        <v>0.05</v>
      </c>
      <c r="N2490" s="475">
        <f t="shared" si="132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30"/>
        <v>-13226688611.226851</v>
      </c>
      <c r="J2491" s="455">
        <f t="array" ref="J2491">IFERROR(INDEX('Retirement Calculator'!K:K,MATCH('Lorri 401b'!N2491,'Retirement Calculator'!A:A,0),0),0)</f>
        <v>0</v>
      </c>
      <c r="K2491" s="455">
        <f t="shared" ca="1" si="128"/>
        <v>-55111202.546778545</v>
      </c>
      <c r="L2491" s="455">
        <f t="shared" ca="1" si="129"/>
        <v>-13281799813.773628</v>
      </c>
      <c r="M2491" s="471">
        <f t="shared" si="131"/>
        <v>0.05</v>
      </c>
      <c r="N2491" s="475">
        <f t="shared" si="132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30"/>
        <v>-13281799813.773628</v>
      </c>
      <c r="J2492" s="455">
        <f t="array" ref="J2492">IFERROR(INDEX('Retirement Calculator'!K:K,MATCH('Lorri 401b'!N2492,'Retirement Calculator'!A:A,0),0),0)</f>
        <v>0</v>
      </c>
      <c r="K2492" s="455">
        <f t="shared" ca="1" si="128"/>
        <v>-55340832.557390116</v>
      </c>
      <c r="L2492" s="455">
        <f t="shared" ca="1" si="129"/>
        <v>-13337140646.331018</v>
      </c>
      <c r="M2492" s="471">
        <f t="shared" si="131"/>
        <v>0.05</v>
      </c>
      <c r="N2492" s="475">
        <f t="shared" si="132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30"/>
        <v>-13337140646.331018</v>
      </c>
      <c r="J2493" s="455">
        <f t="array" ref="J2493">IFERROR(INDEX('Retirement Calculator'!K:K,MATCH('Lorri 401b'!N2493,'Retirement Calculator'!A:A,0),0),0)</f>
        <v>0</v>
      </c>
      <c r="K2493" s="455">
        <f t="shared" ca="1" si="128"/>
        <v>-55571419.359712578</v>
      </c>
      <c r="L2493" s="455">
        <f t="shared" ca="1" si="129"/>
        <v>-13392712065.690731</v>
      </c>
      <c r="M2493" s="471">
        <f t="shared" si="131"/>
        <v>0.05</v>
      </c>
      <c r="N2493" s="475">
        <f t="shared" si="132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30"/>
        <v>-13392712065.690731</v>
      </c>
      <c r="J2494" s="455">
        <f t="array" ref="J2494">IFERROR(INDEX('Retirement Calculator'!K:K,MATCH('Lorri 401b'!N2494,'Retirement Calculator'!A:A,0),0),0)</f>
        <v>0</v>
      </c>
      <c r="K2494" s="455">
        <f t="shared" ca="1" si="128"/>
        <v>-55802966.940378048</v>
      </c>
      <c r="L2494" s="455">
        <f t="shared" ca="1" si="129"/>
        <v>-13448515032.631109</v>
      </c>
      <c r="M2494" s="471">
        <f t="shared" si="131"/>
        <v>0.05</v>
      </c>
      <c r="N2494" s="475">
        <f t="shared" si="132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30"/>
        <v>-13448515032.631109</v>
      </c>
      <c r="J2495" s="455">
        <f t="array" ref="J2495">IFERROR(INDEX('Retirement Calculator'!K:K,MATCH('Lorri 401b'!N2495,'Retirement Calculator'!A:A,0),0),0)</f>
        <v>0</v>
      </c>
      <c r="K2495" s="455">
        <f t="shared" ca="1" si="128"/>
        <v>-56035479.30262962</v>
      </c>
      <c r="L2495" s="455">
        <f t="shared" ca="1" si="129"/>
        <v>-13504550511.933739</v>
      </c>
      <c r="M2495" s="471">
        <f t="shared" si="131"/>
        <v>0.05</v>
      </c>
      <c r="N2495" s="475">
        <f t="shared" si="132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30"/>
        <v>-13504550511.933739</v>
      </c>
      <c r="J2496" s="455">
        <f t="array" ref="J2496">IFERROR(INDEX('Retirement Calculator'!K:K,MATCH('Lorri 401b'!N2496,'Retirement Calculator'!A:A,0),0),0)</f>
        <v>0</v>
      </c>
      <c r="K2496" s="455">
        <f t="shared" ca="1" si="128"/>
        <v>-56268960.46639058</v>
      </c>
      <c r="L2496" s="455">
        <f t="shared" ca="1" si="129"/>
        <v>-13560819472.400129</v>
      </c>
      <c r="M2496" s="471">
        <f t="shared" si="131"/>
        <v>0.05</v>
      </c>
      <c r="N2496" s="475">
        <f t="shared" si="132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30"/>
        <v>-13560819472.400129</v>
      </c>
      <c r="J2497" s="455">
        <f t="array" ref="J2497">IFERROR(INDEX('Retirement Calculator'!K:K,MATCH('Lorri 401b'!N2497,'Retirement Calculator'!A:A,0),0),0)</f>
        <v>0</v>
      </c>
      <c r="K2497" s="455">
        <f t="shared" ca="1" si="128"/>
        <v>-56503414.468333878</v>
      </c>
      <c r="L2497" s="455">
        <f t="shared" ca="1" si="129"/>
        <v>-13617322886.868464</v>
      </c>
      <c r="M2497" s="471">
        <f t="shared" si="131"/>
        <v>0.05</v>
      </c>
      <c r="N2497" s="475">
        <f t="shared" si="132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30"/>
        <v>-13617322886.868464</v>
      </c>
      <c r="J2498" s="455">
        <f t="array" ref="J2498">IFERROR(INDEX('Retirement Calculator'!K:K,MATCH('Lorri 401b'!N2498,'Retirement Calculator'!A:A,0),0),0)</f>
        <v>0</v>
      </c>
      <c r="K2498" s="455">
        <f t="shared" ca="1" si="128"/>
        <v>-56738845.361951925</v>
      </c>
      <c r="L2498" s="455">
        <f t="shared" ca="1" si="129"/>
        <v>-13674061732.230415</v>
      </c>
      <c r="M2498" s="471">
        <f t="shared" si="131"/>
        <v>0.05</v>
      </c>
      <c r="N2498" s="475">
        <f t="shared" si="132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30"/>
        <v>-13674061732.230415</v>
      </c>
      <c r="J2499" s="455">
        <f t="array" ref="J2499">IFERROR(INDEX('Retirement Calculator'!K:K,MATCH('Lorri 401b'!N2499,'Retirement Calculator'!A:A,0),0),0)</f>
        <v>0</v>
      </c>
      <c r="K2499" s="455">
        <f t="shared" ca="1" si="128"/>
        <v>-56975257.217626728</v>
      </c>
      <c r="L2499" s="455">
        <f t="shared" ca="1" si="129"/>
        <v>-13731036989.448042</v>
      </c>
      <c r="M2499" s="471">
        <f t="shared" si="131"/>
        <v>0.05</v>
      </c>
      <c r="N2499" s="475">
        <f t="shared" si="132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30"/>
        <v>-13731036989.448042</v>
      </c>
      <c r="J2500" s="455">
        <f t="array" ref="J2500">IFERROR(INDEX('Retirement Calculator'!K:K,MATCH('Lorri 401b'!N2500,'Retirement Calculator'!A:A,0),0),0)</f>
        <v>0</v>
      </c>
      <c r="K2500" s="455">
        <f t="shared" ca="1" si="128"/>
        <v>-57212654.122700177</v>
      </c>
      <c r="L2500" s="455">
        <f t="shared" ca="1" si="129"/>
        <v>-13788249643.570742</v>
      </c>
      <c r="M2500" s="471">
        <f t="shared" si="131"/>
        <v>0.05</v>
      </c>
      <c r="N2500" s="475">
        <f t="shared" si="132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30"/>
        <v>-13788249643.570742</v>
      </c>
      <c r="J2501" s="455">
        <f t="array" ref="J2501">IFERROR(INDEX('Retirement Calculator'!K:K,MATCH('Lorri 401b'!N2501,'Retirement Calculator'!A:A,0),0),0)</f>
        <v>0</v>
      </c>
      <c r="K2501" s="455">
        <f t="shared" ca="1" si="128"/>
        <v>-57451040.181544758</v>
      </c>
      <c r="L2501" s="455">
        <f t="shared" ca="1" si="129"/>
        <v>-13845700683.752287</v>
      </c>
      <c r="M2501" s="471">
        <f t="shared" si="131"/>
        <v>0.05</v>
      </c>
      <c r="N2501" s="475">
        <f t="shared" si="132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30"/>
        <v>-13845700683.752287</v>
      </c>
      <c r="J2502" s="455">
        <f t="array" ref="J2502">IFERROR(INDEX('Retirement Calculator'!K:K,MATCH('Lorri 401b'!N2502,'Retirement Calculator'!A:A,0),0),0)</f>
        <v>0</v>
      </c>
      <c r="K2502" s="455">
        <f t="shared" ca="1" si="128"/>
        <v>-57690419.515634529</v>
      </c>
      <c r="L2502" s="455">
        <f t="shared" ca="1" si="129"/>
        <v>-13903391103.267921</v>
      </c>
      <c r="M2502" s="471">
        <f t="shared" si="131"/>
        <v>0.05</v>
      </c>
      <c r="N2502" s="475">
        <f t="shared" si="132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30"/>
        <v>-13903391103.267921</v>
      </c>
      <c r="J2503" s="455">
        <f t="array" ref="J2503">IFERROR(INDEX('Retirement Calculator'!K:K,MATCH('Lorri 401b'!N2503,'Retirement Calculator'!A:A,0),0),0)</f>
        <v>0</v>
      </c>
      <c r="K2503" s="455">
        <f t="shared" ca="1" si="128"/>
        <v>-57930796.263616338</v>
      </c>
      <c r="L2503" s="455">
        <f t="shared" ca="1" si="129"/>
        <v>-13961321899.531538</v>
      </c>
      <c r="M2503" s="471">
        <f t="shared" si="131"/>
        <v>0.05</v>
      </c>
      <c r="N2503" s="475">
        <f t="shared" si="132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30"/>
        <v>-13961321899.531538</v>
      </c>
      <c r="J2504" s="455">
        <f t="array" ref="J2504">IFERROR(INDEX('Retirement Calculator'!K:K,MATCH('Lorri 401b'!N2504,'Retirement Calculator'!A:A,0),0),0)</f>
        <v>0</v>
      </c>
      <c r="K2504" s="455">
        <f t="shared" ca="1" si="128"/>
        <v>-58172174.58138141</v>
      </c>
      <c r="L2504" s="455">
        <f t="shared" ca="1" si="129"/>
        <v>-14019494074.112919</v>
      </c>
      <c r="M2504" s="471">
        <f t="shared" si="131"/>
        <v>0.05</v>
      </c>
      <c r="N2504" s="475">
        <f t="shared" si="132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30"/>
        <v>-14019494074.112919</v>
      </c>
      <c r="J2505" s="455">
        <f t="array" ref="J2505">IFERROR(INDEX('Retirement Calculator'!K:K,MATCH('Lorri 401b'!N2505,'Retirement Calculator'!A:A,0),0),0)</f>
        <v>0</v>
      </c>
      <c r="K2505" s="455">
        <f t="shared" ca="1" si="128"/>
        <v>-58414558.64213717</v>
      </c>
      <c r="L2505" s="455">
        <f t="shared" ca="1" si="129"/>
        <v>-14077908632.755056</v>
      </c>
      <c r="M2505" s="471">
        <f t="shared" si="131"/>
        <v>0.05</v>
      </c>
      <c r="N2505" s="475">
        <f t="shared" si="132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30"/>
        <v>-14077908632.755056</v>
      </c>
      <c r="J2506" s="455">
        <f t="array" ref="J2506">IFERROR(INDEX('Retirement Calculator'!K:K,MATCH('Lorri 401b'!N2506,'Retirement Calculator'!A:A,0),0),0)</f>
        <v>0</v>
      </c>
      <c r="K2506" s="455">
        <f t="shared" ca="1" si="128"/>
        <v>-58657952.6364794</v>
      </c>
      <c r="L2506" s="455">
        <f t="shared" ca="1" si="129"/>
        <v>-14136566585.391537</v>
      </c>
      <c r="M2506" s="471">
        <f t="shared" si="131"/>
        <v>0.05</v>
      </c>
      <c r="N2506" s="475">
        <f t="shared" si="132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30"/>
        <v>-14136566585.391537</v>
      </c>
      <c r="J2507" s="455">
        <f t="array" ref="J2507">IFERROR(INDEX('Retirement Calculator'!K:K,MATCH('Lorri 401b'!N2507,'Retirement Calculator'!A:A,0),0),0)</f>
        <v>0</v>
      </c>
      <c r="K2507" s="455">
        <f t="shared" ca="1" si="128"/>
        <v>-58902360.772464737</v>
      </c>
      <c r="L2507" s="455">
        <f t="shared" ca="1" si="129"/>
        <v>-14195468946.164001</v>
      </c>
      <c r="M2507" s="471">
        <f t="shared" si="131"/>
        <v>0.05</v>
      </c>
      <c r="N2507" s="475">
        <f t="shared" si="132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30"/>
        <v>-14195468946.164001</v>
      </c>
      <c r="J2508" s="455">
        <f t="array" ref="J2508">IFERROR(INDEX('Retirement Calculator'!K:K,MATCH('Lorri 401b'!N2508,'Retirement Calculator'!A:A,0),0),0)</f>
        <v>0</v>
      </c>
      <c r="K2508" s="455">
        <f t="shared" ca="1" si="128"/>
        <v>-59147787.275683336</v>
      </c>
      <c r="L2508" s="455">
        <f t="shared" ca="1" si="129"/>
        <v>-14254616733.439684</v>
      </c>
      <c r="M2508" s="471">
        <f t="shared" si="131"/>
        <v>0.05</v>
      </c>
      <c r="N2508" s="475">
        <f t="shared" si="132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30"/>
        <v>-14254616733.439684</v>
      </c>
      <c r="J2509" s="455">
        <f t="array" ref="J2509">IFERROR(INDEX('Retirement Calculator'!K:K,MATCH('Lorri 401b'!N2509,'Retirement Calculator'!A:A,0),0),0)</f>
        <v>0</v>
      </c>
      <c r="K2509" s="455">
        <f t="shared" ca="1" si="128"/>
        <v>-59394236.389332026</v>
      </c>
      <c r="L2509" s="455">
        <f t="shared" ca="1" si="129"/>
        <v>-14314010969.829016</v>
      </c>
      <c r="M2509" s="471">
        <f t="shared" si="131"/>
        <v>0.05</v>
      </c>
      <c r="N2509" s="475">
        <f t="shared" si="132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30"/>
        <v>-14314010969.829016</v>
      </c>
      <c r="J2510" s="455">
        <f t="array" ref="J2510">IFERROR(INDEX('Retirement Calculator'!K:K,MATCH('Lorri 401b'!N2510,'Retirement Calculator'!A:A,0),0),0)</f>
        <v>0</v>
      </c>
      <c r="K2510" s="455">
        <f t="shared" ca="1" si="128"/>
        <v>-59641712.374287568</v>
      </c>
      <c r="L2510" s="455">
        <f t="shared" ca="1" si="129"/>
        <v>-14373652682.203302</v>
      </c>
      <c r="M2510" s="471">
        <f t="shared" si="131"/>
        <v>0.05</v>
      </c>
      <c r="N2510" s="475">
        <f t="shared" si="132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30"/>
        <v>-14373652682.203302</v>
      </c>
      <c r="J2511" s="455">
        <f t="array" ref="J2511">IFERROR(INDEX('Retirement Calculator'!K:K,MATCH('Lorri 401b'!N2511,'Retirement Calculator'!A:A,0),0),0)</f>
        <v>0</v>
      </c>
      <c r="K2511" s="455">
        <f t="shared" ca="1" si="128"/>
        <v>-59890219.509180427</v>
      </c>
      <c r="L2511" s="455">
        <f t="shared" ca="1" si="129"/>
        <v>-14433542901.712482</v>
      </c>
      <c r="M2511" s="471">
        <f t="shared" si="131"/>
        <v>0.05</v>
      </c>
      <c r="N2511" s="475">
        <f t="shared" si="132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30"/>
        <v>-14433542901.712482</v>
      </c>
      <c r="J2512" s="455">
        <f t="array" ref="J2512">IFERROR(INDEX('Retirement Calculator'!K:K,MATCH('Lorri 401b'!N2512,'Retirement Calculator'!A:A,0),0),0)</f>
        <v>0</v>
      </c>
      <c r="K2512" s="455">
        <f t="shared" ca="1" si="128"/>
        <v>-60139762.090468675</v>
      </c>
      <c r="L2512" s="455">
        <f t="shared" ca="1" si="129"/>
        <v>-14493682663.802952</v>
      </c>
      <c r="M2512" s="471">
        <f t="shared" si="131"/>
        <v>0.05</v>
      </c>
      <c r="N2512" s="475">
        <f t="shared" si="132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30"/>
        <v>-14493682663.802952</v>
      </c>
      <c r="J2513" s="455">
        <f t="array" ref="J2513">IFERROR(INDEX('Retirement Calculator'!K:K,MATCH('Lorri 401b'!N2513,'Retirement Calculator'!A:A,0),0),0)</f>
        <v>0</v>
      </c>
      <c r="K2513" s="455">
        <f t="shared" ca="1" si="128"/>
        <v>-60390344.432512291</v>
      </c>
      <c r="L2513" s="455">
        <f t="shared" ca="1" si="129"/>
        <v>-14554073008.235464</v>
      </c>
      <c r="M2513" s="471">
        <f t="shared" si="131"/>
        <v>0.05</v>
      </c>
      <c r="N2513" s="475">
        <f t="shared" si="132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30"/>
        <v>-14554073008.235464</v>
      </c>
      <c r="J2514" s="455">
        <f t="array" ref="J2514">IFERROR(INDEX('Retirement Calculator'!K:K,MATCH('Lorri 401b'!N2514,'Retirement Calculator'!A:A,0),0),0)</f>
        <v>0</v>
      </c>
      <c r="K2514" s="455">
        <f t="shared" ca="1" si="128"/>
        <v>-60641970.86764776</v>
      </c>
      <c r="L2514" s="455">
        <f t="shared" ca="1" si="129"/>
        <v>-14614714979.103111</v>
      </c>
      <c r="M2514" s="471">
        <f t="shared" si="131"/>
        <v>0.05</v>
      </c>
      <c r="N2514" s="475">
        <f t="shared" si="132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30"/>
        <v>-14614714979.103111</v>
      </c>
      <c r="J2515" s="455">
        <f t="array" ref="J2515">IFERROR(INDEX('Retirement Calculator'!K:K,MATCH('Lorri 401b'!N2515,'Retirement Calculator'!A:A,0),0),0)</f>
        <v>0</v>
      </c>
      <c r="K2515" s="455">
        <f t="shared" ca="1" si="128"/>
        <v>-60894645.74626296</v>
      </c>
      <c r="L2515" s="455">
        <f t="shared" ca="1" si="129"/>
        <v>-14675609624.849375</v>
      </c>
      <c r="M2515" s="471">
        <f t="shared" si="131"/>
        <v>0.05</v>
      </c>
      <c r="N2515" s="475">
        <f t="shared" si="132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30"/>
        <v>-14675609624.849375</v>
      </c>
      <c r="J2516" s="455">
        <f t="array" ref="J2516">IFERROR(INDEX('Retirement Calculator'!K:K,MATCH('Lorri 401b'!N2516,'Retirement Calculator'!A:A,0),0),0)</f>
        <v>0</v>
      </c>
      <c r="K2516" s="455">
        <f t="shared" ca="1" si="128"/>
        <v>-61148373.436872393</v>
      </c>
      <c r="L2516" s="455">
        <f t="shared" ca="1" si="129"/>
        <v>-14736757998.286247</v>
      </c>
      <c r="M2516" s="471">
        <f t="shared" si="131"/>
        <v>0.05</v>
      </c>
      <c r="N2516" s="475">
        <f t="shared" si="132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30"/>
        <v>-14736757998.286247</v>
      </c>
      <c r="J2517" s="455">
        <f t="array" ref="J2517">IFERROR(INDEX('Retirement Calculator'!K:K,MATCH('Lorri 401b'!N2517,'Retirement Calculator'!A:A,0),0),0)</f>
        <v>0</v>
      </c>
      <c r="K2517" s="455">
        <f t="shared" ca="1" si="128"/>
        <v>-61403158.326192684</v>
      </c>
      <c r="L2517" s="455">
        <f t="shared" ca="1" si="129"/>
        <v>-14798161156.61244</v>
      </c>
      <c r="M2517" s="471">
        <f t="shared" si="131"/>
        <v>0.05</v>
      </c>
      <c r="N2517" s="475">
        <f t="shared" si="132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30"/>
        <v>-14798161156.61244</v>
      </c>
      <c r="J2518" s="455">
        <f t="array" ref="J2518">IFERROR(INDEX('Retirement Calculator'!K:K,MATCH('Lorri 401b'!N2518,'Retirement Calculator'!A:A,0),0),0)</f>
        <v>0</v>
      </c>
      <c r="K2518" s="455">
        <f t="shared" ca="1" si="128"/>
        <v>-61659004.819218501</v>
      </c>
      <c r="L2518" s="455">
        <f t="shared" ca="1" si="129"/>
        <v>-14859820161.431658</v>
      </c>
      <c r="M2518" s="471">
        <f t="shared" si="131"/>
        <v>0.05</v>
      </c>
      <c r="N2518" s="475">
        <f t="shared" si="132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30"/>
        <v>-14859820161.431658</v>
      </c>
      <c r="J2519" s="455">
        <f t="array" ref="J2519">IFERROR(INDEX('Retirement Calculator'!K:K,MATCH('Lorri 401b'!N2519,'Retirement Calculator'!A:A,0),0),0)</f>
        <v>0</v>
      </c>
      <c r="K2519" s="455">
        <f t="shared" ca="1" si="128"/>
        <v>-61915917.339298584</v>
      </c>
      <c r="L2519" s="455">
        <f t="shared" ca="1" si="129"/>
        <v>-14921736078.770956</v>
      </c>
      <c r="M2519" s="471">
        <f t="shared" si="131"/>
        <v>0.05</v>
      </c>
      <c r="N2519" s="475">
        <f t="shared" si="132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30"/>
        <v>-14921736078.770956</v>
      </c>
      <c r="J2520" s="455">
        <f t="array" ref="J2520">IFERROR(INDEX('Retirement Calculator'!K:K,MATCH('Lorri 401b'!N2520,'Retirement Calculator'!A:A,0),0),0)</f>
        <v>0</v>
      </c>
      <c r="K2520" s="455">
        <f t="shared" ca="1" si="128"/>
        <v>-62173900.328212313</v>
      </c>
      <c r="L2520" s="455">
        <f t="shared" ca="1" si="129"/>
        <v>-14983909979.099169</v>
      </c>
      <c r="M2520" s="471">
        <f t="shared" si="131"/>
        <v>0.05</v>
      </c>
      <c r="N2520" s="475">
        <f t="shared" si="132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30"/>
        <v>-14983909979.099169</v>
      </c>
      <c r="J2521" s="455">
        <f t="array" ref="J2521">IFERROR(INDEX('Retirement Calculator'!K:K,MATCH('Lorri 401b'!N2521,'Retirement Calculator'!A:A,0),0),0)</f>
        <v>0</v>
      </c>
      <c r="K2521" s="455">
        <f t="shared" ca="1" si="128"/>
        <v>-62432958.246246539</v>
      </c>
      <c r="L2521" s="455">
        <f t="shared" ca="1" si="129"/>
        <v>-15046342937.345415</v>
      </c>
      <c r="M2521" s="471">
        <f t="shared" si="131"/>
        <v>0.05</v>
      </c>
      <c r="N2521" s="475">
        <f t="shared" si="132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30"/>
        <v>-15046342937.345415</v>
      </c>
      <c r="J2522" s="455">
        <f t="array" ref="J2522">IFERROR(INDEX('Retirement Calculator'!K:K,MATCH('Lorri 401b'!N2522,'Retirement Calculator'!A:A,0),0),0)</f>
        <v>0</v>
      </c>
      <c r="K2522" s="455">
        <f t="shared" ca="1" si="128"/>
        <v>-62693095.572272561</v>
      </c>
      <c r="L2522" s="455">
        <f t="shared" ca="1" si="129"/>
        <v>-15109036032.917688</v>
      </c>
      <c r="M2522" s="471">
        <f t="shared" si="131"/>
        <v>0.05</v>
      </c>
      <c r="N2522" s="475">
        <f t="shared" si="132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30"/>
        <v>-15109036032.917688</v>
      </c>
      <c r="J2523" s="455">
        <f t="array" ref="J2523">IFERROR(INDEX('Retirement Calculator'!K:K,MATCH('Lorri 401b'!N2523,'Retirement Calculator'!A:A,0),0),0)</f>
        <v>0</v>
      </c>
      <c r="K2523" s="455">
        <f t="shared" ca="1" si="128"/>
        <v>-62954316.803823702</v>
      </c>
      <c r="L2523" s="455">
        <f t="shared" ca="1" si="129"/>
        <v>-15171990349.721512</v>
      </c>
      <c r="M2523" s="471">
        <f t="shared" si="131"/>
        <v>0.05</v>
      </c>
      <c r="N2523" s="475">
        <f t="shared" si="132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30"/>
        <v>-15171990349.721512</v>
      </c>
      <c r="J2524" s="455">
        <f t="array" ref="J2524">IFERROR(INDEX('Retirement Calculator'!K:K,MATCH('Lorri 401b'!N2524,'Retirement Calculator'!A:A,0),0),0)</f>
        <v>0</v>
      </c>
      <c r="K2524" s="455">
        <f t="shared" ca="1" si="128"/>
        <v>-63216626.457172967</v>
      </c>
      <c r="L2524" s="455">
        <f t="shared" ca="1" si="129"/>
        <v>-15235206976.178684</v>
      </c>
      <c r="M2524" s="471">
        <f t="shared" si="131"/>
        <v>0.05</v>
      </c>
      <c r="N2524" s="475">
        <f t="shared" si="132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30"/>
        <v>-15235206976.178684</v>
      </c>
      <c r="J2525" s="455">
        <f t="array" ref="J2525">IFERROR(INDEX('Retirement Calculator'!K:K,MATCH('Lorri 401b'!N2525,'Retirement Calculator'!A:A,0),0),0)</f>
        <v>0</v>
      </c>
      <c r="K2525" s="455">
        <f t="shared" ca="1" si="128"/>
        <v>-63480029.067411184</v>
      </c>
      <c r="L2525" s="455">
        <f t="shared" ca="1" si="129"/>
        <v>-15298687005.246096</v>
      </c>
      <c r="M2525" s="471">
        <f t="shared" si="131"/>
        <v>0.05</v>
      </c>
      <c r="N2525" s="475">
        <f t="shared" si="132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30"/>
        <v>-15298687005.246096</v>
      </c>
      <c r="J2526" s="455">
        <f t="array" ref="J2526">IFERROR(INDEX('Retirement Calculator'!K:K,MATCH('Lorri 401b'!N2526,'Retirement Calculator'!A:A,0),0),0)</f>
        <v>0</v>
      </c>
      <c r="K2526" s="455">
        <f t="shared" ca="1" si="128"/>
        <v>-63744529.188525386</v>
      </c>
      <c r="L2526" s="455">
        <f t="shared" ca="1" si="129"/>
        <v>-15362431534.434622</v>
      </c>
      <c r="M2526" s="471">
        <f t="shared" si="131"/>
        <v>0.05</v>
      </c>
      <c r="N2526" s="475">
        <f t="shared" si="132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30"/>
        <v>-15362431534.434622</v>
      </c>
      <c r="J2527" s="455">
        <f t="array" ref="J2527">IFERROR(INDEX('Retirement Calculator'!K:K,MATCH('Lorri 401b'!N2527,'Retirement Calculator'!A:A,0),0),0)</f>
        <v>0</v>
      </c>
      <c r="K2527" s="455">
        <f t="shared" ca="1" si="128"/>
        <v>-64010131.393477589</v>
      </c>
      <c r="L2527" s="455">
        <f t="shared" ca="1" si="129"/>
        <v>-15426441665.8281</v>
      </c>
      <c r="M2527" s="471">
        <f t="shared" si="131"/>
        <v>0.05</v>
      </c>
      <c r="N2527" s="475">
        <f t="shared" si="132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30"/>
        <v>-15426441665.8281</v>
      </c>
      <c r="J2528" s="455">
        <f t="array" ref="J2528">IFERROR(INDEX('Retirement Calculator'!K:K,MATCH('Lorri 401b'!N2528,'Retirement Calculator'!A:A,0),0),0)</f>
        <v>0</v>
      </c>
      <c r="K2528" s="455">
        <f t="shared" ca="1" si="128"/>
        <v>-64276840.274283752</v>
      </c>
      <c r="L2528" s="455">
        <f t="shared" ca="1" si="129"/>
        <v>-15490718506.102385</v>
      </c>
      <c r="M2528" s="471">
        <f t="shared" si="131"/>
        <v>0.05</v>
      </c>
      <c r="N2528" s="475">
        <f t="shared" si="132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30"/>
        <v>-15490718506.102385</v>
      </c>
      <c r="J2529" s="455">
        <f t="array" ref="J2529">IFERROR(INDEX('Retirement Calculator'!K:K,MATCH('Lorri 401b'!N2529,'Retirement Calculator'!A:A,0),0),0)</f>
        <v>0</v>
      </c>
      <c r="K2529" s="455">
        <f t="shared" ca="1" si="128"/>
        <v>-64544660.442093261</v>
      </c>
      <c r="L2529" s="455">
        <f t="shared" ca="1" si="129"/>
        <v>-15555263166.544477</v>
      </c>
      <c r="M2529" s="471">
        <f t="shared" si="131"/>
        <v>0.05</v>
      </c>
      <c r="N2529" s="475">
        <f t="shared" si="132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30"/>
        <v>-15555263166.544477</v>
      </c>
      <c r="J2530" s="455">
        <f t="array" ref="J2530">IFERROR(INDEX('Retirement Calculator'!K:K,MATCH('Lorri 401b'!N2530,'Retirement Calculator'!A:A,0),0),0)</f>
        <v>0</v>
      </c>
      <c r="K2530" s="455">
        <f t="shared" ca="1" si="128"/>
        <v>-64813596.527268648</v>
      </c>
      <c r="L2530" s="455">
        <f t="shared" ca="1" si="129"/>
        <v>-15620076763.071747</v>
      </c>
      <c r="M2530" s="471">
        <f t="shared" si="131"/>
        <v>0.05</v>
      </c>
      <c r="N2530" s="475">
        <f t="shared" si="132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30"/>
        <v>-15620076763.071747</v>
      </c>
      <c r="J2531" s="455">
        <f t="array" ref="J2531">IFERROR(INDEX('Retirement Calculator'!K:K,MATCH('Lorri 401b'!N2531,'Retirement Calculator'!A:A,0),0),0)</f>
        <v>0</v>
      </c>
      <c r="K2531" s="455">
        <f t="shared" ca="1" si="128"/>
        <v>-65083653.179465614</v>
      </c>
      <c r="L2531" s="455">
        <f t="shared" ca="1" si="129"/>
        <v>-15685160416.251213</v>
      </c>
      <c r="M2531" s="471">
        <f t="shared" si="131"/>
        <v>0.05</v>
      </c>
      <c r="N2531" s="475">
        <f t="shared" si="132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30"/>
        <v>-15685160416.251213</v>
      </c>
      <c r="J2532" s="455">
        <f t="array" ref="J2532">IFERROR(INDEX('Retirement Calculator'!K:K,MATCH('Lorri 401b'!N2532,'Retirement Calculator'!A:A,0),0),0)</f>
        <v>0</v>
      </c>
      <c r="K2532" s="455">
        <f t="shared" ca="1" si="128"/>
        <v>-65354835.067713387</v>
      </c>
      <c r="L2532" s="455">
        <f t="shared" ca="1" si="129"/>
        <v>-15750515251.318926</v>
      </c>
      <c r="M2532" s="471">
        <f t="shared" si="131"/>
        <v>0.05</v>
      </c>
      <c r="N2532" s="475">
        <f t="shared" si="132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30"/>
        <v>-15750515251.318926</v>
      </c>
      <c r="J2533" s="455">
        <f t="array" ref="J2533">IFERROR(INDEX('Retirement Calculator'!K:K,MATCH('Lorri 401b'!N2533,'Retirement Calculator'!A:A,0),0),0)</f>
        <v>0</v>
      </c>
      <c r="K2533" s="455">
        <f t="shared" ca="1" si="128"/>
        <v>-65627146.880495526</v>
      </c>
      <c r="L2533" s="455">
        <f t="shared" ca="1" si="129"/>
        <v>-15816142398.199421</v>
      </c>
      <c r="M2533" s="471">
        <f t="shared" si="131"/>
        <v>0.05</v>
      </c>
      <c r="N2533" s="475">
        <f t="shared" si="132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30"/>
        <v>-15816142398.199421</v>
      </c>
      <c r="J2534" s="455">
        <f t="array" ref="J2534">IFERROR(INDEX('Retirement Calculator'!K:K,MATCH('Lorri 401b'!N2534,'Retirement Calculator'!A:A,0),0),0)</f>
        <v>0</v>
      </c>
      <c r="K2534" s="455">
        <f t="shared" ca="1" si="128"/>
        <v>-65900593.325830922</v>
      </c>
      <c r="L2534" s="455">
        <f t="shared" ca="1" si="129"/>
        <v>-15882042991.525251</v>
      </c>
      <c r="M2534" s="471">
        <f t="shared" si="131"/>
        <v>0.05</v>
      </c>
      <c r="N2534" s="475">
        <f t="shared" si="132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30"/>
        <v>-15882042991.525251</v>
      </c>
      <c r="J2535" s="455">
        <f t="array" ref="J2535">IFERROR(INDEX('Retirement Calculator'!K:K,MATCH('Lorri 401b'!N2535,'Retirement Calculator'!A:A,0),0),0)</f>
        <v>0</v>
      </c>
      <c r="K2535" s="455">
        <f t="shared" ca="1" si="128"/>
        <v>-66175179.131355204</v>
      </c>
      <c r="L2535" s="455">
        <f t="shared" ca="1" si="129"/>
        <v>-15948218170.656607</v>
      </c>
      <c r="M2535" s="471">
        <f t="shared" si="131"/>
        <v>0.05</v>
      </c>
      <c r="N2535" s="475">
        <f t="shared" si="132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30"/>
        <v>-15948218170.656607</v>
      </c>
      <c r="J2536" s="455">
        <f t="array" ref="J2536">IFERROR(INDEX('Retirement Calculator'!K:K,MATCH('Lorri 401b'!N2536,'Retirement Calculator'!A:A,0),0),0)</f>
        <v>0</v>
      </c>
      <c r="K2536" s="455">
        <f t="shared" ca="1" si="128"/>
        <v>-66450909.044402517</v>
      </c>
      <c r="L2536" s="455">
        <f t="shared" ca="1" si="129"/>
        <v>-16014669079.70101</v>
      </c>
      <c r="M2536" s="471">
        <f t="shared" si="131"/>
        <v>0.05</v>
      </c>
      <c r="N2536" s="475">
        <f t="shared" si="132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30"/>
        <v>-16014669079.70101</v>
      </c>
      <c r="J2537" s="455">
        <f t="array" ref="J2537">IFERROR(INDEX('Retirement Calculator'!K:K,MATCH('Lorri 401b'!N2537,'Retirement Calculator'!A:A,0),0),0)</f>
        <v>0</v>
      </c>
      <c r="K2537" s="455">
        <f t="shared" ca="1" si="128"/>
        <v>-66727787.832087539</v>
      </c>
      <c r="L2537" s="455">
        <f t="shared" ca="1" si="129"/>
        <v>-16081396867.533098</v>
      </c>
      <c r="M2537" s="471">
        <f t="shared" si="131"/>
        <v>0.05</v>
      </c>
      <c r="N2537" s="475">
        <f t="shared" si="132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30"/>
        <v>-16081396867.533098</v>
      </c>
      <c r="J2538" s="455">
        <f t="array" ref="J2538">IFERROR(INDEX('Retirement Calculator'!K:K,MATCH('Lorri 401b'!N2538,'Retirement Calculator'!A:A,0),0),0)</f>
        <v>0</v>
      </c>
      <c r="K2538" s="455">
        <f t="shared" ca="1" si="128"/>
        <v>-67005820.28138791</v>
      </c>
      <c r="L2538" s="455">
        <f t="shared" ca="1" si="129"/>
        <v>-16148402687.814486</v>
      </c>
      <c r="M2538" s="471">
        <f t="shared" si="131"/>
        <v>0.05</v>
      </c>
      <c r="N2538" s="475">
        <f t="shared" si="132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30"/>
        <v>-16148402687.814486</v>
      </c>
      <c r="J2539" s="455">
        <f t="array" ref="J2539">IFERROR(INDEX('Retirement Calculator'!K:K,MATCH('Lorri 401b'!N2539,'Retirement Calculator'!A:A,0),0),0)</f>
        <v>0</v>
      </c>
      <c r="K2539" s="455">
        <f t="shared" ca="1" si="128"/>
        <v>-67285011.19922702</v>
      </c>
      <c r="L2539" s="455">
        <f t="shared" ca="1" si="129"/>
        <v>-16215687699.013712</v>
      </c>
      <c r="M2539" s="471">
        <f t="shared" si="131"/>
        <v>0.05</v>
      </c>
      <c r="N2539" s="475">
        <f t="shared" si="132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30"/>
        <v>-16215687699.013712</v>
      </c>
      <c r="J2540" s="455">
        <f t="array" ref="J2540">IFERROR(INDEX('Retirement Calculator'!K:K,MATCH('Lorri 401b'!N2540,'Retirement Calculator'!A:A,0),0),0)</f>
        <v>0</v>
      </c>
      <c r="K2540" s="455">
        <f t="shared" ca="1" si="128"/>
        <v>-67565365.41255714</v>
      </c>
      <c r="L2540" s="455">
        <f t="shared" ca="1" si="129"/>
        <v>-16283253064.42627</v>
      </c>
      <c r="M2540" s="471">
        <f t="shared" si="131"/>
        <v>0.05</v>
      </c>
      <c r="N2540" s="475">
        <f t="shared" si="132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30"/>
        <v>-16283253064.42627</v>
      </c>
      <c r="J2541" s="455">
        <f t="array" ref="J2541">IFERROR(INDEX('Retirement Calculator'!K:K,MATCH('Lorri 401b'!N2541,'Retirement Calculator'!A:A,0),0),0)</f>
        <v>0</v>
      </c>
      <c r="K2541" s="455">
        <f t="shared" ca="1" si="128"/>
        <v>-67846887.768442795</v>
      </c>
      <c r="L2541" s="455">
        <f t="shared" ca="1" si="129"/>
        <v>-16351099952.194712</v>
      </c>
      <c r="M2541" s="471">
        <f t="shared" si="131"/>
        <v>0.05</v>
      </c>
      <c r="N2541" s="475">
        <f t="shared" si="132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30"/>
        <v>-16351099952.194712</v>
      </c>
      <c r="J2542" s="455">
        <f t="array" ref="J2542">IFERROR(INDEX('Retirement Calculator'!K:K,MATCH('Lorri 401b'!N2542,'Retirement Calculator'!A:A,0),0),0)</f>
        <v>0</v>
      </c>
      <c r="K2542" s="455">
        <f t="shared" ca="1" si="128"/>
        <v>-68129583.134144634</v>
      </c>
      <c r="L2542" s="455">
        <f t="shared" ca="1" si="129"/>
        <v>-16419229535.328856</v>
      </c>
      <c r="M2542" s="471">
        <f t="shared" si="131"/>
        <v>0.05</v>
      </c>
      <c r="N2542" s="475">
        <f t="shared" si="132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30"/>
        <v>-16419229535.328856</v>
      </c>
      <c r="J2543" s="455">
        <f t="array" ref="J2543">IFERROR(INDEX('Retirement Calculator'!K:K,MATCH('Lorri 401b'!N2543,'Retirement Calculator'!A:A,0),0),0)</f>
        <v>0</v>
      </c>
      <c r="K2543" s="455">
        <f t="shared" ca="1" si="128"/>
        <v>-68413456.39720355</v>
      </c>
      <c r="L2543" s="455">
        <f t="shared" ca="1" si="129"/>
        <v>-16487642991.726059</v>
      </c>
      <c r="M2543" s="471">
        <f t="shared" si="131"/>
        <v>0.05</v>
      </c>
      <c r="N2543" s="475">
        <f t="shared" si="132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30"/>
        <v>-16487642991.726059</v>
      </c>
      <c r="J2544" s="455">
        <f t="array" ref="J2544">IFERROR(INDEX('Retirement Calculator'!K:K,MATCH('Lorri 401b'!N2544,'Retirement Calculator'!A:A,0),0),0)</f>
        <v>0</v>
      </c>
      <c r="K2544" s="455">
        <f t="shared" ca="1" si="128"/>
        <v>-68698512.46552524</v>
      </c>
      <c r="L2544" s="455">
        <f t="shared" ca="1" si="129"/>
        <v>-16556341504.191584</v>
      </c>
      <c r="M2544" s="471">
        <f t="shared" si="131"/>
        <v>0.05</v>
      </c>
      <c r="N2544" s="475">
        <f t="shared" si="132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30"/>
        <v>-16556341504.191584</v>
      </c>
      <c r="J2545" s="455">
        <f t="array" ref="J2545">IFERROR(INDEX('Retirement Calculator'!K:K,MATCH('Lorri 401b'!N2545,'Retirement Calculator'!A:A,0),0),0)</f>
        <v>0</v>
      </c>
      <c r="K2545" s="455">
        <f t="shared" ca="1" si="128"/>
        <v>-68984756.267464936</v>
      </c>
      <c r="L2545" s="455">
        <f t="shared" ca="1" si="129"/>
        <v>-16625326260.459049</v>
      </c>
      <c r="M2545" s="471">
        <f t="shared" si="131"/>
        <v>0.05</v>
      </c>
      <c r="N2545" s="475">
        <f t="shared" si="132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30"/>
        <v>-16625326260.459049</v>
      </c>
      <c r="J2546" s="455">
        <f t="array" ref="J2546">IFERROR(INDEX('Retirement Calculator'!K:K,MATCH('Lorri 401b'!N2546,'Retirement Calculator'!A:A,0),0),0)</f>
        <v>0</v>
      </c>
      <c r="K2546" s="455">
        <f t="shared" ca="1" si="128"/>
        <v>-69272192.751912698</v>
      </c>
      <c r="L2546" s="455">
        <f t="shared" ca="1" si="129"/>
        <v>-16694598453.210962</v>
      </c>
      <c r="M2546" s="471">
        <f t="shared" si="131"/>
        <v>0.05</v>
      </c>
      <c r="N2546" s="475">
        <f t="shared" si="132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30"/>
        <v>-16694598453.210962</v>
      </c>
      <c r="J2547" s="455">
        <f t="array" ref="J2547">IFERROR(INDEX('Retirement Calculator'!K:K,MATCH('Lorri 401b'!N2547,'Retirement Calculator'!A:A,0),0),0)</f>
        <v>0</v>
      </c>
      <c r="K2547" s="455">
        <f t="shared" ca="1" si="128"/>
        <v>-69560826.888379008</v>
      </c>
      <c r="L2547" s="455">
        <f t="shared" ca="1" si="129"/>
        <v>-16764159280.09934</v>
      </c>
      <c r="M2547" s="471">
        <f t="shared" si="131"/>
        <v>0.05</v>
      </c>
      <c r="N2547" s="475">
        <f t="shared" si="132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30"/>
        <v>-16764159280.09934</v>
      </c>
      <c r="J2548" s="455">
        <f t="array" ref="J2548">IFERROR(INDEX('Retirement Calculator'!K:K,MATCH('Lorri 401b'!N2548,'Retirement Calculator'!A:A,0),0),0)</f>
        <v>0</v>
      </c>
      <c r="K2548" s="455">
        <f t="shared" ca="1" si="128"/>
        <v>-69850663.667080581</v>
      </c>
      <c r="L2548" s="455">
        <f t="shared" ca="1" si="129"/>
        <v>-16834009943.76642</v>
      </c>
      <c r="M2548" s="471">
        <f t="shared" si="131"/>
        <v>0.05</v>
      </c>
      <c r="N2548" s="475">
        <f t="shared" si="132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30"/>
        <v>-16834009943.76642</v>
      </c>
      <c r="J2549" s="455">
        <f t="array" ref="J2549">IFERROR(INDEX('Retirement Calculator'!K:K,MATCH('Lorri 401b'!N2549,'Retirement Calculator'!A:A,0),0),0)</f>
        <v>0</v>
      </c>
      <c r="K2549" s="455">
        <f t="shared" ca="1" si="128"/>
        <v>-70141708.099026754</v>
      </c>
      <c r="L2549" s="455">
        <f t="shared" ca="1" si="129"/>
        <v>-16904151651.865448</v>
      </c>
      <c r="M2549" s="471">
        <f t="shared" si="131"/>
        <v>0.05</v>
      </c>
      <c r="N2549" s="475">
        <f t="shared" si="132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30"/>
        <v>-16904151651.865448</v>
      </c>
      <c r="J2550" s="455">
        <f t="array" ref="J2550">IFERROR(INDEX('Retirement Calculator'!K:K,MATCH('Lorri 401b'!N2550,'Retirement Calculator'!A:A,0),0),0)</f>
        <v>0</v>
      </c>
      <c r="K2550" s="455">
        <f t="shared" ca="1" si="128"/>
        <v>-70433965.216106027</v>
      </c>
      <c r="L2550" s="455">
        <f t="shared" ca="1" si="129"/>
        <v>-16974585617.081554</v>
      </c>
      <c r="M2550" s="471">
        <f t="shared" si="131"/>
        <v>0.05</v>
      </c>
      <c r="N2550" s="475">
        <f t="shared" si="132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30"/>
        <v>-16974585617.081554</v>
      </c>
      <c r="J2551" s="455">
        <f t="array" ref="J2551">IFERROR(INDEX('Retirement Calculator'!K:K,MATCH('Lorri 401b'!N2551,'Retirement Calculator'!A:A,0),0),0)</f>
        <v>0</v>
      </c>
      <c r="K2551" s="455">
        <f t="shared" ca="1" si="128"/>
        <v>-70727440.071173146</v>
      </c>
      <c r="L2551" s="455">
        <f t="shared" ca="1" si="129"/>
        <v>-17045313057.152727</v>
      </c>
      <c r="M2551" s="471">
        <f t="shared" si="131"/>
        <v>0.05</v>
      </c>
      <c r="N2551" s="475">
        <f t="shared" si="132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30"/>
        <v>-17045313057.152727</v>
      </c>
      <c r="J2552" s="455">
        <f t="array" ref="J2552">IFERROR(INDEX('Retirement Calculator'!K:K,MATCH('Lorri 401b'!N2552,'Retirement Calculator'!A:A,0),0),0)</f>
        <v>0</v>
      </c>
      <c r="K2552" s="455">
        <f t="shared" ca="1" si="128"/>
        <v>-71022137.738136351</v>
      </c>
      <c r="L2552" s="455">
        <f t="shared" ca="1" si="129"/>
        <v>-17116335194.890863</v>
      </c>
      <c r="M2552" s="471">
        <f t="shared" si="131"/>
        <v>0.05</v>
      </c>
      <c r="N2552" s="475">
        <f t="shared" si="132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30"/>
        <v>-17116335194.890863</v>
      </c>
      <c r="J2553" s="455">
        <f t="array" ref="J2553">IFERROR(INDEX('Retirement Calculator'!K:K,MATCH('Lorri 401b'!N2553,'Retirement Calculator'!A:A,0),0),0)</f>
        <v>0</v>
      </c>
      <c r="K2553" s="455">
        <f t="shared" ca="1" si="128"/>
        <v>-71318063.312045261</v>
      </c>
      <c r="L2553" s="455">
        <f t="shared" ca="1" si="129"/>
        <v>-17187653258.202908</v>
      </c>
      <c r="M2553" s="471">
        <f t="shared" si="131"/>
        <v>0.05</v>
      </c>
      <c r="N2553" s="475">
        <f t="shared" si="132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30"/>
        <v>-17187653258.202908</v>
      </c>
      <c r="J2554" s="455">
        <f t="array" ref="J2554">IFERROR(INDEX('Retirement Calculator'!K:K,MATCH('Lorri 401b'!N2554,'Retirement Calculator'!A:A,0),0),0)</f>
        <v>0</v>
      </c>
      <c r="K2554" s="455">
        <f t="shared" ca="1" si="128"/>
        <v>-71615221.909178779</v>
      </c>
      <c r="L2554" s="455">
        <f t="shared" ca="1" si="129"/>
        <v>-17259268480.112087</v>
      </c>
      <c r="M2554" s="471">
        <f t="shared" si="131"/>
        <v>0.05</v>
      </c>
      <c r="N2554" s="475">
        <f t="shared" si="132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30"/>
        <v>-17259268480.112087</v>
      </c>
      <c r="J2555" s="455">
        <f t="array" ref="J2555">IFERROR(INDEX('Retirement Calculator'!K:K,MATCH('Lorri 401b'!N2555,'Retirement Calculator'!A:A,0),0),0)</f>
        <v>0</v>
      </c>
      <c r="K2555" s="455">
        <f t="shared" ca="1" si="128"/>
        <v>-71913618.667133689</v>
      </c>
      <c r="L2555" s="455">
        <f t="shared" ca="1" si="129"/>
        <v>-17331182098.779221</v>
      </c>
      <c r="M2555" s="471">
        <f t="shared" si="131"/>
        <v>0.05</v>
      </c>
      <c r="N2555" s="475">
        <f t="shared" si="132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30"/>
        <v>-17331182098.779221</v>
      </c>
      <c r="J2556" s="455">
        <f t="array" ref="J2556">IFERROR(INDEX('Retirement Calculator'!K:K,MATCH('Lorri 401b'!N2556,'Retirement Calculator'!A:A,0),0),0)</f>
        <v>0</v>
      </c>
      <c r="K2556" s="455">
        <f t="shared" ca="1" si="128"/>
        <v>-72213258.744913414</v>
      </c>
      <c r="L2556" s="455">
        <f t="shared" ca="1" si="129"/>
        <v>-17403395357.524136</v>
      </c>
      <c r="M2556" s="471">
        <f t="shared" si="131"/>
        <v>0.05</v>
      </c>
      <c r="N2556" s="475">
        <f t="shared" si="132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30"/>
        <v>-17403395357.524136</v>
      </c>
      <c r="J2557" s="455">
        <f t="array" ref="J2557">IFERROR(INDEX('Retirement Calculator'!K:K,MATCH('Lorri 401b'!N2557,'Retirement Calculator'!A:A,0),0),0)</f>
        <v>0</v>
      </c>
      <c r="K2557" s="455">
        <f t="shared" ca="1" si="128"/>
        <v>-72514147.323017225</v>
      </c>
      <c r="L2557" s="455">
        <f t="shared" ca="1" si="129"/>
        <v>-17475909504.847153</v>
      </c>
      <c r="M2557" s="471">
        <f t="shared" si="131"/>
        <v>0.05</v>
      </c>
      <c r="N2557" s="475">
        <f t="shared" si="132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30"/>
        <v>-17475909504.847153</v>
      </c>
      <c r="J2558" s="455">
        <f t="array" ref="J2558">IFERROR(INDEX('Retirement Calculator'!K:K,MATCH('Lorri 401b'!N2558,'Retirement Calculator'!A:A,0),0),0)</f>
        <v>0</v>
      </c>
      <c r="K2558" s="455">
        <f t="shared" ref="K2558:K2812" ca="1" si="133">IPMT(M2558/12,1,12,-I2558+J2558,,0)</f>
        <v>-72816289.603529796</v>
      </c>
      <c r="L2558" s="455">
        <f t="shared" ref="L2558:L2812" ca="1" si="134">I2558-J2558+K2558</f>
        <v>-17548725794.450684</v>
      </c>
      <c r="M2558" s="471">
        <f t="shared" si="131"/>
        <v>0.05</v>
      </c>
      <c r="N2558" s="475">
        <f t="shared" si="132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35">L2558</f>
        <v>-17548725794.450684</v>
      </c>
      <c r="J2559" s="455">
        <f t="array" ref="J2559">IFERROR(INDEX('Retirement Calculator'!K:K,MATCH('Lorri 401b'!N2559,'Retirement Calculator'!A:A,0),0),0)</f>
        <v>0</v>
      </c>
      <c r="K2559" s="455">
        <f t="shared" ca="1" si="133"/>
        <v>-73119690.810211182</v>
      </c>
      <c r="L2559" s="455">
        <f t="shared" ca="1" si="134"/>
        <v>-17621845485.260895</v>
      </c>
      <c r="M2559" s="471">
        <f t="shared" ref="M2559:M2813" si="136">M2558</f>
        <v>0.05</v>
      </c>
      <c r="N2559" s="475">
        <f t="shared" ref="N2559:N2813" si="137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35"/>
        <v>-17621845485.260895</v>
      </c>
      <c r="J2560" s="455">
        <f t="array" ref="J2560">IFERROR(INDEX('Retirement Calculator'!K:K,MATCH('Lorri 401b'!N2560,'Retirement Calculator'!A:A,0),0),0)</f>
        <v>0</v>
      </c>
      <c r="K2560" s="455">
        <f t="shared" ca="1" si="133"/>
        <v>-73424356.188587055</v>
      </c>
      <c r="L2560" s="455">
        <f t="shared" ca="1" si="134"/>
        <v>-17695269841.449482</v>
      </c>
      <c r="M2560" s="471">
        <f t="shared" si="136"/>
        <v>0.05</v>
      </c>
      <c r="N2560" s="475">
        <f t="shared" si="137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35"/>
        <v>-17695269841.449482</v>
      </c>
      <c r="J2561" s="455">
        <f t="array" ref="J2561">IFERROR(INDEX('Retirement Calculator'!K:K,MATCH('Lorri 401b'!N2561,'Retirement Calculator'!A:A,0),0),0)</f>
        <v>0</v>
      </c>
      <c r="K2561" s="455">
        <f t="shared" ca="1" si="133"/>
        <v>-73730291.0060395</v>
      </c>
      <c r="L2561" s="455">
        <f t="shared" ca="1" si="134"/>
        <v>-17769000132.455521</v>
      </c>
      <c r="M2561" s="471">
        <f t="shared" si="136"/>
        <v>0.05</v>
      </c>
      <c r="N2561" s="475">
        <f t="shared" si="137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35"/>
        <v>-17769000132.455521</v>
      </c>
      <c r="J2562" s="455">
        <f t="array" ref="J2562">IFERROR(INDEX('Retirement Calculator'!K:K,MATCH('Lorri 401b'!N2562,'Retirement Calculator'!A:A,0),0),0)</f>
        <v>0</v>
      </c>
      <c r="K2562" s="455">
        <f t="shared" ca="1" si="133"/>
        <v>-74037500.551898003</v>
      </c>
      <c r="L2562" s="455">
        <f t="shared" ca="1" si="134"/>
        <v>-17843037633.00742</v>
      </c>
      <c r="M2562" s="471">
        <f t="shared" si="136"/>
        <v>0.05</v>
      </c>
      <c r="N2562" s="475">
        <f t="shared" si="137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35"/>
        <v>-17843037633.00742</v>
      </c>
      <c r="J2563" s="455">
        <f t="array" ref="J2563">IFERROR(INDEX('Retirement Calculator'!K:K,MATCH('Lorri 401b'!N2563,'Retirement Calculator'!A:A,0),0),0)</f>
        <v>0</v>
      </c>
      <c r="K2563" s="455">
        <f t="shared" ca="1" si="133"/>
        <v>-74345990.137530908</v>
      </c>
      <c r="L2563" s="455">
        <f t="shared" ca="1" si="134"/>
        <v>-17917383623.144951</v>
      </c>
      <c r="M2563" s="471">
        <f t="shared" si="136"/>
        <v>0.05</v>
      </c>
      <c r="N2563" s="475">
        <f t="shared" si="137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35"/>
        <v>-17917383623.144951</v>
      </c>
      <c r="J2564" s="455">
        <f t="array" ref="J2564">IFERROR(INDEX('Retirement Calculator'!K:K,MATCH('Lorri 401b'!N2564,'Retirement Calculator'!A:A,0),0),0)</f>
        <v>0</v>
      </c>
      <c r="K2564" s="455">
        <f t="shared" ca="1" si="133"/>
        <v>-74655765.09643729</v>
      </c>
      <c r="L2564" s="455">
        <f t="shared" ca="1" si="134"/>
        <v>-17992039388.241386</v>
      </c>
      <c r="M2564" s="471">
        <f t="shared" si="136"/>
        <v>0.05</v>
      </c>
      <c r="N2564" s="475">
        <f t="shared" si="137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35"/>
        <v>-17992039388.241386</v>
      </c>
      <c r="J2565" s="455">
        <f t="array" ref="J2565">IFERROR(INDEX('Retirement Calculator'!K:K,MATCH('Lorri 401b'!N2565,'Retirement Calculator'!A:A,0),0),0)</f>
        <v>0</v>
      </c>
      <c r="K2565" s="455">
        <f t="shared" ca="1" si="133"/>
        <v>-74966830.784339115</v>
      </c>
      <c r="L2565" s="455">
        <f t="shared" ca="1" si="134"/>
        <v>-18067006219.025726</v>
      </c>
      <c r="M2565" s="471">
        <f t="shared" si="136"/>
        <v>0.05</v>
      </c>
      <c r="N2565" s="475">
        <f t="shared" si="137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35"/>
        <v>-18067006219.025726</v>
      </c>
      <c r="J2566" s="455">
        <f t="array" ref="J2566">IFERROR(INDEX('Retirement Calculator'!K:K,MATCH('Lorri 401b'!N2566,'Retirement Calculator'!A:A,0),0),0)</f>
        <v>0</v>
      </c>
      <c r="K2566" s="455">
        <f t="shared" ca="1" si="133"/>
        <v>-75279192.579273865</v>
      </c>
      <c r="L2566" s="455">
        <f t="shared" ca="1" si="134"/>
        <v>-18142285411.605</v>
      </c>
      <c r="M2566" s="471">
        <f t="shared" si="136"/>
        <v>0.05</v>
      </c>
      <c r="N2566" s="475">
        <f t="shared" si="137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35"/>
        <v>-18142285411.605</v>
      </c>
      <c r="J2567" s="455">
        <f t="array" ref="J2567">IFERROR(INDEX('Retirement Calculator'!K:K,MATCH('Lorri 401b'!N2567,'Retirement Calculator'!A:A,0),0),0)</f>
        <v>0</v>
      </c>
      <c r="K2567" s="455">
        <f t="shared" ca="1" si="133"/>
        <v>-75592855.881687492</v>
      </c>
      <c r="L2567" s="455">
        <f t="shared" ca="1" si="134"/>
        <v>-18217878267.486687</v>
      </c>
      <c r="M2567" s="471">
        <f t="shared" si="136"/>
        <v>0.05</v>
      </c>
      <c r="N2567" s="475">
        <f t="shared" si="137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35"/>
        <v>-18217878267.486687</v>
      </c>
      <c r="J2568" s="455">
        <f t="array" ref="J2568">IFERROR(INDEX('Retirement Calculator'!K:K,MATCH('Lorri 401b'!N2568,'Retirement Calculator'!A:A,0),0),0)</f>
        <v>0</v>
      </c>
      <c r="K2568" s="455">
        <f t="shared" ca="1" si="133"/>
        <v>-75907826.114527866</v>
      </c>
      <c r="L2568" s="455">
        <f t="shared" ca="1" si="134"/>
        <v>-18293786093.601215</v>
      </c>
      <c r="M2568" s="471">
        <f t="shared" si="136"/>
        <v>0.05</v>
      </c>
      <c r="N2568" s="475">
        <f t="shared" si="137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35"/>
        <v>-18293786093.601215</v>
      </c>
      <c r="J2569" s="455">
        <f t="array" ref="J2569">IFERROR(INDEX('Retirement Calculator'!K:K,MATCH('Lorri 401b'!N2569,'Retirement Calculator'!A:A,0),0),0)</f>
        <v>0</v>
      </c>
      <c r="K2569" s="455">
        <f t="shared" ca="1" si="133"/>
        <v>-76224108.723338395</v>
      </c>
      <c r="L2569" s="455">
        <f t="shared" ca="1" si="134"/>
        <v>-18370010202.324554</v>
      </c>
      <c r="M2569" s="471">
        <f t="shared" si="136"/>
        <v>0.05</v>
      </c>
      <c r="N2569" s="475">
        <f t="shared" si="137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35"/>
        <v>-18370010202.324554</v>
      </c>
      <c r="J2570" s="455">
        <f t="array" ref="J2570">IFERROR(INDEX('Retirement Calculator'!K:K,MATCH('Lorri 401b'!N2570,'Retirement Calculator'!A:A,0),0),0)</f>
        <v>0</v>
      </c>
      <c r="K2570" s="455">
        <f t="shared" ca="1" si="133"/>
        <v>-76541709.176352307</v>
      </c>
      <c r="L2570" s="455">
        <f t="shared" ca="1" si="134"/>
        <v>-18446551911.500908</v>
      </c>
      <c r="M2570" s="471">
        <f t="shared" si="136"/>
        <v>0.05</v>
      </c>
      <c r="N2570" s="475">
        <f t="shared" si="137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35"/>
        <v>-18446551911.500908</v>
      </c>
      <c r="J2571" s="455">
        <f t="array" ref="J2571">IFERROR(INDEX('Retirement Calculator'!K:K,MATCH('Lorri 401b'!N2571,'Retirement Calculator'!A:A,0),0),0)</f>
        <v>0</v>
      </c>
      <c r="K2571" s="455">
        <f t="shared" ca="1" si="133"/>
        <v>-76860632.964587122</v>
      </c>
      <c r="L2571" s="455">
        <f t="shared" ca="1" si="134"/>
        <v>-18523412544.465496</v>
      </c>
      <c r="M2571" s="471">
        <f t="shared" si="136"/>
        <v>0.05</v>
      </c>
      <c r="N2571" s="475">
        <f t="shared" si="137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35"/>
        <v>-18523412544.465496</v>
      </c>
      <c r="J2572" s="455">
        <f t="array" ref="J2572">IFERROR(INDEX('Retirement Calculator'!K:K,MATCH('Lorri 401b'!N2572,'Retirement Calculator'!A:A,0),0),0)</f>
        <v>0</v>
      </c>
      <c r="K2572" s="455">
        <f t="shared" ca="1" si="133"/>
        <v>-77180885.601939559</v>
      </c>
      <c r="L2572" s="455">
        <f t="shared" ca="1" si="134"/>
        <v>-18600593430.067436</v>
      </c>
      <c r="M2572" s="471">
        <f t="shared" si="136"/>
        <v>0.05</v>
      </c>
      <c r="N2572" s="475">
        <f t="shared" si="137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35"/>
        <v>-18600593430.067436</v>
      </c>
      <c r="J2573" s="455">
        <f t="array" ref="J2573">IFERROR(INDEX('Retirement Calculator'!K:K,MATCH('Lorri 401b'!N2573,'Retirement Calculator'!A:A,0),0),0)</f>
        <v>0</v>
      </c>
      <c r="K2573" s="455">
        <f t="shared" ca="1" si="133"/>
        <v>-77502472.625280976</v>
      </c>
      <c r="L2573" s="455">
        <f t="shared" ca="1" si="134"/>
        <v>-18678095902.692719</v>
      </c>
      <c r="M2573" s="471">
        <f t="shared" si="136"/>
        <v>0.05</v>
      </c>
      <c r="N2573" s="475">
        <f t="shared" si="137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35"/>
        <v>-18678095902.692719</v>
      </c>
      <c r="J2574" s="455">
        <f t="array" ref="J2574">IFERROR(INDEX('Retirement Calculator'!K:K,MATCH('Lorri 401b'!N2574,'Retirement Calculator'!A:A,0),0),0)</f>
        <v>0</v>
      </c>
      <c r="K2574" s="455">
        <f t="shared" ca="1" si="133"/>
        <v>-77825399.594552994</v>
      </c>
      <c r="L2574" s="455">
        <f t="shared" ca="1" si="134"/>
        <v>-18755921302.28727</v>
      </c>
      <c r="M2574" s="471">
        <f t="shared" si="136"/>
        <v>0.05</v>
      </c>
      <c r="N2574" s="475">
        <f t="shared" si="137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35"/>
        <v>-18755921302.28727</v>
      </c>
      <c r="J2575" s="455">
        <f t="array" ref="J2575">IFERROR(INDEX('Retirement Calculator'!K:K,MATCH('Lorri 401b'!N2575,'Retirement Calculator'!A:A,0),0),0)</f>
        <v>0</v>
      </c>
      <c r="K2575" s="455">
        <f t="shared" ca="1" si="133"/>
        <v>-78149672.092863619</v>
      </c>
      <c r="L2575" s="455">
        <f t="shared" ca="1" si="134"/>
        <v>-18834070974.380135</v>
      </c>
      <c r="M2575" s="471">
        <f t="shared" si="136"/>
        <v>0.05</v>
      </c>
      <c r="N2575" s="475">
        <f t="shared" si="137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35"/>
        <v>-18834070974.380135</v>
      </c>
      <c r="J2576" s="455">
        <f t="array" ref="J2576">IFERROR(INDEX('Retirement Calculator'!K:K,MATCH('Lorri 401b'!N2576,'Retirement Calculator'!A:A,0),0),0)</f>
        <v>0</v>
      </c>
      <c r="K2576" s="455">
        <f t="shared" ca="1" si="133"/>
        <v>-78475295.726583898</v>
      </c>
      <c r="L2576" s="455">
        <f t="shared" ca="1" si="134"/>
        <v>-18912546270.10672</v>
      </c>
      <c r="M2576" s="471">
        <f t="shared" si="136"/>
        <v>0.05</v>
      </c>
      <c r="N2576" s="475">
        <f t="shared" si="137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35"/>
        <v>-18912546270.10672</v>
      </c>
      <c r="J2577" s="455">
        <f t="array" ref="J2577">IFERROR(INDEX('Retirement Calculator'!K:K,MATCH('Lorri 401b'!N2577,'Retirement Calculator'!A:A,0),0),0)</f>
        <v>0</v>
      </c>
      <c r="K2577" s="455">
        <f t="shared" ca="1" si="133"/>
        <v>-78802276.125444666</v>
      </c>
      <c r="L2577" s="455">
        <f t="shared" ca="1" si="134"/>
        <v>-18991348546.232166</v>
      </c>
      <c r="M2577" s="471">
        <f t="shared" si="136"/>
        <v>0.05</v>
      </c>
      <c r="N2577" s="475">
        <f t="shared" si="137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35"/>
        <v>-18991348546.232166</v>
      </c>
      <c r="J2578" s="455">
        <f t="array" ref="J2578">IFERROR(INDEX('Retirement Calculator'!K:K,MATCH('Lorri 401b'!N2578,'Retirement Calculator'!A:A,0),0),0)</f>
        <v>0</v>
      </c>
      <c r="K2578" s="455">
        <f t="shared" ca="1" si="133"/>
        <v>-79130618.942634031</v>
      </c>
      <c r="L2578" s="455">
        <f t="shared" ca="1" si="134"/>
        <v>-19070479165.174801</v>
      </c>
      <c r="M2578" s="471">
        <f t="shared" si="136"/>
        <v>0.05</v>
      </c>
      <c r="N2578" s="475">
        <f t="shared" si="137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35"/>
        <v>-19070479165.174801</v>
      </c>
      <c r="J2579" s="455">
        <f t="array" ref="J2579">IFERROR(INDEX('Retirement Calculator'!K:K,MATCH('Lorri 401b'!N2579,'Retirement Calculator'!A:A,0),0),0)</f>
        <v>0</v>
      </c>
      <c r="K2579" s="455">
        <f t="shared" ca="1" si="133"/>
        <v>-79460329.854894996</v>
      </c>
      <c r="L2579" s="455">
        <f t="shared" ca="1" si="134"/>
        <v>-19149939495.029697</v>
      </c>
      <c r="M2579" s="471">
        <f t="shared" si="136"/>
        <v>0.05</v>
      </c>
      <c r="N2579" s="475">
        <f t="shared" si="137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35"/>
        <v>-19149939495.029697</v>
      </c>
      <c r="J2580" s="455">
        <f t="array" ref="J2580">IFERROR(INDEX('Retirement Calculator'!K:K,MATCH('Lorri 401b'!N2580,'Retirement Calculator'!A:A,0),0),0)</f>
        <v>0</v>
      </c>
      <c r="K2580" s="455">
        <f t="shared" ca="1" si="133"/>
        <v>-79791414.562623739</v>
      </c>
      <c r="L2580" s="455">
        <f t="shared" ca="1" si="134"/>
        <v>-19229730909.592319</v>
      </c>
      <c r="M2580" s="471">
        <f t="shared" si="136"/>
        <v>0.05</v>
      </c>
      <c r="N2580" s="475">
        <f t="shared" si="137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35"/>
        <v>-19229730909.592319</v>
      </c>
      <c r="J2581" s="455">
        <f t="array" ref="J2581">IFERROR(INDEX('Retirement Calculator'!K:K,MATCH('Lorri 401b'!N2581,'Retirement Calculator'!A:A,0),0),0)</f>
        <v>0</v>
      </c>
      <c r="K2581" s="455">
        <f t="shared" ca="1" si="133"/>
        <v>-80123878.789967999</v>
      </c>
      <c r="L2581" s="455">
        <f t="shared" ca="1" si="134"/>
        <v>-19309854788.382286</v>
      </c>
      <c r="M2581" s="471">
        <f t="shared" si="136"/>
        <v>0.05</v>
      </c>
      <c r="N2581" s="475">
        <f t="shared" si="137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35"/>
        <v>-19309854788.382286</v>
      </c>
      <c r="J2582" s="455">
        <f t="array" ref="J2582">IFERROR(INDEX('Retirement Calculator'!K:K,MATCH('Lorri 401b'!N2582,'Retirement Calculator'!A:A,0),0),0)</f>
        <v>0</v>
      </c>
      <c r="K2582" s="455">
        <f t="shared" ca="1" si="133"/>
        <v>-80457728.284926191</v>
      </c>
      <c r="L2582" s="455">
        <f t="shared" ca="1" si="134"/>
        <v>-19390312516.667213</v>
      </c>
      <c r="M2582" s="471">
        <f t="shared" si="136"/>
        <v>0.05</v>
      </c>
      <c r="N2582" s="475">
        <f t="shared" si="137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35"/>
        <v>-19390312516.667213</v>
      </c>
      <c r="J2583" s="455">
        <f t="array" ref="J2583">IFERROR(INDEX('Retirement Calculator'!K:K,MATCH('Lorri 401b'!N2583,'Retirement Calculator'!A:A,0),0),0)</f>
        <v>0</v>
      </c>
      <c r="K2583" s="455">
        <f t="shared" ca="1" si="133"/>
        <v>-80792968.819446728</v>
      </c>
      <c r="L2583" s="455">
        <f t="shared" ca="1" si="134"/>
        <v>-19471105485.48666</v>
      </c>
      <c r="M2583" s="471">
        <f t="shared" si="136"/>
        <v>0.05</v>
      </c>
      <c r="N2583" s="475">
        <f t="shared" si="137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35"/>
        <v>-19471105485.48666</v>
      </c>
      <c r="J2584" s="455">
        <f t="array" ref="J2584">IFERROR(INDEX('Retirement Calculator'!K:K,MATCH('Lorri 401b'!N2584,'Retirement Calculator'!A:A,0),0),0)</f>
        <v>0</v>
      </c>
      <c r="K2584" s="455">
        <f t="shared" ca="1" si="133"/>
        <v>-81129606.18952775</v>
      </c>
      <c r="L2584" s="455">
        <f t="shared" ca="1" si="134"/>
        <v>-19552235091.676189</v>
      </c>
      <c r="M2584" s="471">
        <f t="shared" si="136"/>
        <v>0.05</v>
      </c>
      <c r="N2584" s="475">
        <f t="shared" si="137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35"/>
        <v>-19552235091.676189</v>
      </c>
      <c r="J2585" s="455">
        <f t="array" ref="J2585">IFERROR(INDEX('Retirement Calculator'!K:K,MATCH('Lorri 401b'!N2585,'Retirement Calculator'!A:A,0),0),0)</f>
        <v>0</v>
      </c>
      <c r="K2585" s="455">
        <f t="shared" ca="1" si="133"/>
        <v>-81467646.215317458</v>
      </c>
      <c r="L2585" s="455">
        <f t="shared" ca="1" si="134"/>
        <v>-19633702737.891506</v>
      </c>
      <c r="M2585" s="471">
        <f t="shared" si="136"/>
        <v>0.05</v>
      </c>
      <c r="N2585" s="475">
        <f t="shared" si="137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35"/>
        <v>-19633702737.891506</v>
      </c>
      <c r="J2586" s="455">
        <f t="array" ref="J2586">IFERROR(INDEX('Retirement Calculator'!K:K,MATCH('Lorri 401b'!N2586,'Retirement Calculator'!A:A,0),0),0)</f>
        <v>0</v>
      </c>
      <c r="K2586" s="455">
        <f t="shared" ca="1" si="133"/>
        <v>-81807094.741214603</v>
      </c>
      <c r="L2586" s="455">
        <f t="shared" ca="1" si="134"/>
        <v>-19715509832.632721</v>
      </c>
      <c r="M2586" s="471">
        <f t="shared" si="136"/>
        <v>0.05</v>
      </c>
      <c r="N2586" s="475">
        <f t="shared" si="137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35"/>
        <v>-19715509832.632721</v>
      </c>
      <c r="J2587" s="455">
        <f t="array" ref="J2587">IFERROR(INDEX('Retirement Calculator'!K:K,MATCH('Lorri 401b'!N2587,'Retirement Calculator'!A:A,0),0),0)</f>
        <v>0</v>
      </c>
      <c r="K2587" s="455">
        <f t="shared" ca="1" si="133"/>
        <v>-82147957.635969669</v>
      </c>
      <c r="L2587" s="455">
        <f t="shared" ca="1" si="134"/>
        <v>-19797657790.268692</v>
      </c>
      <c r="M2587" s="471">
        <f t="shared" si="136"/>
        <v>0.05</v>
      </c>
      <c r="N2587" s="475">
        <f t="shared" si="137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35"/>
        <v>-19797657790.268692</v>
      </c>
      <c r="J2588" s="455">
        <f t="array" ref="J2588">IFERROR(INDEX('Retirement Calculator'!K:K,MATCH('Lorri 401b'!N2588,'Retirement Calculator'!A:A,0),0),0)</f>
        <v>0</v>
      </c>
      <c r="K2588" s="455">
        <f t="shared" ca="1" si="133"/>
        <v>-82490240.792786211</v>
      </c>
      <c r="L2588" s="455">
        <f t="shared" ca="1" si="134"/>
        <v>-19880148031.061478</v>
      </c>
      <c r="M2588" s="471">
        <f t="shared" si="136"/>
        <v>0.05</v>
      </c>
      <c r="N2588" s="475">
        <f t="shared" si="137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35"/>
        <v>-19880148031.061478</v>
      </c>
      <c r="J2589" s="455">
        <f t="array" ref="J2589">IFERROR(INDEX('Retirement Calculator'!K:K,MATCH('Lorri 401b'!N2589,'Retirement Calculator'!A:A,0),0),0)</f>
        <v>0</v>
      </c>
      <c r="K2589" s="455">
        <f t="shared" ca="1" si="133"/>
        <v>-82833950.129422829</v>
      </c>
      <c r="L2589" s="455">
        <f t="shared" ca="1" si="134"/>
        <v>-19962981981.190899</v>
      </c>
      <c r="M2589" s="471">
        <f t="shared" si="136"/>
        <v>0.05</v>
      </c>
      <c r="N2589" s="475">
        <f t="shared" si="137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35"/>
        <v>-19962981981.190899</v>
      </c>
      <c r="J2590" s="455">
        <f t="array" ref="J2590">IFERROR(INDEX('Retirement Calculator'!K:K,MATCH('Lorri 401b'!N2590,'Retirement Calculator'!A:A,0),0),0)</f>
        <v>0</v>
      </c>
      <c r="K2590" s="455">
        <f t="shared" ca="1" si="133"/>
        <v>-83179091.588295415</v>
      </c>
      <c r="L2590" s="455">
        <f t="shared" ca="1" si="134"/>
        <v>-20046161072.779194</v>
      </c>
      <c r="M2590" s="471">
        <f t="shared" si="136"/>
        <v>0.05</v>
      </c>
      <c r="N2590" s="475">
        <f t="shared" si="137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35"/>
        <v>-20046161072.779194</v>
      </c>
      <c r="J2591" s="455">
        <f t="array" ref="J2591">IFERROR(INDEX('Retirement Calculator'!K:K,MATCH('Lorri 401b'!N2591,'Retirement Calculator'!A:A,0),0),0)</f>
        <v>0</v>
      </c>
      <c r="K2591" s="455">
        <f t="shared" ca="1" si="133"/>
        <v>-83525671.136579975</v>
      </c>
      <c r="L2591" s="455">
        <f t="shared" ca="1" si="134"/>
        <v>-20129686743.915775</v>
      </c>
      <c r="M2591" s="471">
        <f t="shared" si="136"/>
        <v>0.05</v>
      </c>
      <c r="N2591" s="475">
        <f t="shared" si="137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35"/>
        <v>-20129686743.915775</v>
      </c>
      <c r="J2592" s="455">
        <f t="array" ref="J2592">IFERROR(INDEX('Retirement Calculator'!K:K,MATCH('Lorri 401b'!N2592,'Retirement Calculator'!A:A,0),0),0)</f>
        <v>0</v>
      </c>
      <c r="K2592" s="455">
        <f t="shared" ca="1" si="133"/>
        <v>-83873694.766315728</v>
      </c>
      <c r="L2592" s="455">
        <f t="shared" ca="1" si="134"/>
        <v>-20213560438.682091</v>
      </c>
      <c r="M2592" s="471">
        <f t="shared" si="136"/>
        <v>0.05</v>
      </c>
      <c r="N2592" s="475">
        <f t="shared" si="137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35"/>
        <v>-20213560438.682091</v>
      </c>
      <c r="J2593" s="455">
        <f t="array" ref="J2593">IFERROR(INDEX('Retirement Calculator'!K:K,MATCH('Lorri 401b'!N2593,'Retirement Calculator'!A:A,0),0),0)</f>
        <v>0</v>
      </c>
      <c r="K2593" s="455">
        <f t="shared" ca="1" si="133"/>
        <v>-84223168.494508713</v>
      </c>
      <c r="L2593" s="455">
        <f t="shared" ca="1" si="134"/>
        <v>-20297783607.176598</v>
      </c>
      <c r="M2593" s="471">
        <f t="shared" si="136"/>
        <v>0.05</v>
      </c>
      <c r="N2593" s="475">
        <f t="shared" si="137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35"/>
        <v>-20297783607.176598</v>
      </c>
      <c r="J2594" s="455">
        <f t="array" ref="J2594">IFERROR(INDEX('Retirement Calculator'!K:K,MATCH('Lorri 401b'!N2594,'Retirement Calculator'!A:A,0),0),0)</f>
        <v>0</v>
      </c>
      <c r="K2594" s="455">
        <f t="shared" ca="1" si="133"/>
        <v>-84574098.363235816</v>
      </c>
      <c r="L2594" s="455">
        <f t="shared" ca="1" si="134"/>
        <v>-20382357705.539833</v>
      </c>
      <c r="M2594" s="471">
        <f t="shared" si="136"/>
        <v>0.05</v>
      </c>
      <c r="N2594" s="475">
        <f t="shared" si="137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35"/>
        <v>-20382357705.539833</v>
      </c>
      <c r="J2595" s="455">
        <f t="array" ref="J2595">IFERROR(INDEX('Retirement Calculator'!K:K,MATCH('Lorri 401b'!N2595,'Retirement Calculator'!A:A,0),0),0)</f>
        <v>0</v>
      </c>
      <c r="K2595" s="455">
        <f t="shared" ca="1" si="133"/>
        <v>-84926490.4397493</v>
      </c>
      <c r="L2595" s="455">
        <f t="shared" ca="1" si="134"/>
        <v>-20467284195.979584</v>
      </c>
      <c r="M2595" s="471">
        <f t="shared" si="136"/>
        <v>0.05</v>
      </c>
      <c r="N2595" s="475">
        <f t="shared" si="137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35"/>
        <v>-20467284195.979584</v>
      </c>
      <c r="J2596" s="455">
        <f t="array" ref="J2596">IFERROR(INDEX('Retirement Calculator'!K:K,MATCH('Lorri 401b'!N2596,'Retirement Calculator'!A:A,0),0),0)</f>
        <v>0</v>
      </c>
      <c r="K2596" s="455">
        <f t="shared" ca="1" si="133"/>
        <v>-85280350.816581592</v>
      </c>
      <c r="L2596" s="455">
        <f t="shared" ca="1" si="134"/>
        <v>-20552564546.796165</v>
      </c>
      <c r="M2596" s="471">
        <f t="shared" si="136"/>
        <v>0.05</v>
      </c>
      <c r="N2596" s="475">
        <f t="shared" si="137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35"/>
        <v>-20552564546.796165</v>
      </c>
      <c r="J2597" s="455">
        <f t="array" ref="J2597">IFERROR(INDEX('Retirement Calculator'!K:K,MATCH('Lorri 401b'!N2597,'Retirement Calculator'!A:A,0),0),0)</f>
        <v>0</v>
      </c>
      <c r="K2597" s="455">
        <f t="shared" ca="1" si="133"/>
        <v>-85635685.61165069</v>
      </c>
      <c r="L2597" s="455">
        <f t="shared" ca="1" si="134"/>
        <v>-20638200232.407818</v>
      </c>
      <c r="M2597" s="471">
        <f t="shared" si="136"/>
        <v>0.05</v>
      </c>
      <c r="N2597" s="475">
        <f t="shared" si="137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35"/>
        <v>-20638200232.407818</v>
      </c>
      <c r="J2598" s="455">
        <f t="array" ref="J2598">IFERROR(INDEX('Retirement Calculator'!K:K,MATCH('Lorri 401b'!N2598,'Retirement Calculator'!A:A,0),0),0)</f>
        <v>0</v>
      </c>
      <c r="K2598" s="455">
        <f t="shared" ca="1" si="133"/>
        <v>-85992500.968365908</v>
      </c>
      <c r="L2598" s="455">
        <f t="shared" ca="1" si="134"/>
        <v>-20724192733.376183</v>
      </c>
      <c r="M2598" s="471">
        <f t="shared" si="136"/>
        <v>0.05</v>
      </c>
      <c r="N2598" s="475">
        <f t="shared" si="137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35"/>
        <v>-20724192733.376183</v>
      </c>
      <c r="J2599" s="455">
        <f t="array" ref="J2599">IFERROR(INDEX('Retirement Calculator'!K:K,MATCH('Lorri 401b'!N2599,'Retirement Calculator'!A:A,0),0),0)</f>
        <v>0</v>
      </c>
      <c r="K2599" s="455">
        <f t="shared" ca="1" si="133"/>
        <v>-86350803.055734098</v>
      </c>
      <c r="L2599" s="455">
        <f t="shared" ca="1" si="134"/>
        <v>-20810543536.431915</v>
      </c>
      <c r="M2599" s="471">
        <f t="shared" si="136"/>
        <v>0.05</v>
      </c>
      <c r="N2599" s="475">
        <f t="shared" si="137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35"/>
        <v>-20810543536.431915</v>
      </c>
      <c r="J2600" s="455">
        <f t="array" ref="J2600">IFERROR(INDEX('Retirement Calculator'!K:K,MATCH('Lorri 401b'!N2600,'Retirement Calculator'!A:A,0),0),0)</f>
        <v>0</v>
      </c>
      <c r="K2600" s="455">
        <f t="shared" ca="1" si="133"/>
        <v>-86710598.068466306</v>
      </c>
      <c r="L2600" s="455">
        <f t="shared" ca="1" si="134"/>
        <v>-20897254134.500381</v>
      </c>
      <c r="M2600" s="471">
        <f t="shared" si="136"/>
        <v>0.05</v>
      </c>
      <c r="N2600" s="475">
        <f t="shared" si="137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35"/>
        <v>-20897254134.500381</v>
      </c>
      <c r="J2601" s="455">
        <f t="array" ref="J2601">IFERROR(INDEX('Retirement Calculator'!K:K,MATCH('Lorri 401b'!N2601,'Retirement Calculator'!A:A,0),0),0)</f>
        <v>0</v>
      </c>
      <c r="K2601" s="455">
        <f t="shared" ca="1" si="133"/>
        <v>-87071892.22708492</v>
      </c>
      <c r="L2601" s="455">
        <f t="shared" ca="1" si="134"/>
        <v>-20984326026.727467</v>
      </c>
      <c r="M2601" s="471">
        <f t="shared" si="136"/>
        <v>0.05</v>
      </c>
      <c r="N2601" s="475">
        <f t="shared" si="137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35"/>
        <v>-20984326026.727467</v>
      </c>
      <c r="J2602" s="455">
        <f t="array" ref="J2602">IFERROR(INDEX('Retirement Calculator'!K:K,MATCH('Lorri 401b'!N2602,'Retirement Calculator'!A:A,0),0),0)</f>
        <v>0</v>
      </c>
      <c r="K2602" s="455">
        <f t="shared" ca="1" si="133"/>
        <v>-87434691.778031111</v>
      </c>
      <c r="L2602" s="455">
        <f t="shared" ca="1" si="134"/>
        <v>-21071760718.505497</v>
      </c>
      <c r="M2602" s="471">
        <f t="shared" si="136"/>
        <v>0.05</v>
      </c>
      <c r="N2602" s="475">
        <f t="shared" si="137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35"/>
        <v>-21071760718.505497</v>
      </c>
      <c r="J2603" s="455">
        <f t="array" ref="J2603">IFERROR(INDEX('Retirement Calculator'!K:K,MATCH('Lorri 401b'!N2603,'Retirement Calculator'!A:A,0),0),0)</f>
        <v>0</v>
      </c>
      <c r="K2603" s="455">
        <f t="shared" ca="1" si="133"/>
        <v>-87799002.993772909</v>
      </c>
      <c r="L2603" s="455">
        <f t="shared" ca="1" si="134"/>
        <v>-21159559721.499271</v>
      </c>
      <c r="M2603" s="471">
        <f t="shared" si="136"/>
        <v>0.05</v>
      </c>
      <c r="N2603" s="475">
        <f t="shared" si="137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35"/>
        <v>-21159559721.499271</v>
      </c>
      <c r="J2604" s="455">
        <f t="array" ref="J2604">IFERROR(INDEX('Retirement Calculator'!K:K,MATCH('Lorri 401b'!N2604,'Retirement Calculator'!A:A,0),0),0)</f>
        <v>0</v>
      </c>
      <c r="K2604" s="455">
        <f t="shared" ca="1" si="133"/>
        <v>-88164832.172913626</v>
      </c>
      <c r="L2604" s="455">
        <f t="shared" ca="1" si="134"/>
        <v>-21247724553.672184</v>
      </c>
      <c r="M2604" s="471">
        <f t="shared" si="136"/>
        <v>0.05</v>
      </c>
      <c r="N2604" s="475">
        <f t="shared" si="137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35"/>
        <v>-21247724553.672184</v>
      </c>
      <c r="J2605" s="455">
        <f t="array" ref="J2605">IFERROR(INDEX('Retirement Calculator'!K:K,MATCH('Lorri 401b'!N2605,'Retirement Calculator'!A:A,0),0),0)</f>
        <v>0</v>
      </c>
      <c r="K2605" s="455">
        <f t="shared" ca="1" si="133"/>
        <v>-88532185.640300766</v>
      </c>
      <c r="L2605" s="455">
        <f t="shared" ca="1" si="134"/>
        <v>-21336256739.312485</v>
      </c>
      <c r="M2605" s="471">
        <f t="shared" si="136"/>
        <v>0.05</v>
      </c>
      <c r="N2605" s="475">
        <f t="shared" si="137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35"/>
        <v>-21336256739.312485</v>
      </c>
      <c r="J2606" s="455">
        <f t="array" ref="J2606">IFERROR(INDEX('Retirement Calculator'!K:K,MATCH('Lorri 401b'!N2606,'Retirement Calculator'!A:A,0),0),0)</f>
        <v>0</v>
      </c>
      <c r="K2606" s="455">
        <f t="shared" ca="1" si="133"/>
        <v>-88901069.747135356</v>
      </c>
      <c r="L2606" s="455">
        <f t="shared" ca="1" si="134"/>
        <v>-21425157809.05962</v>
      </c>
      <c r="M2606" s="471">
        <f t="shared" si="136"/>
        <v>0.05</v>
      </c>
      <c r="N2606" s="475">
        <f t="shared" si="137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35"/>
        <v>-21425157809.05962</v>
      </c>
      <c r="J2607" s="455">
        <f t="array" ref="J2607">IFERROR(INDEX('Retirement Calculator'!K:K,MATCH('Lorri 401b'!N2607,'Retirement Calculator'!A:A,0),0),0)</f>
        <v>0</v>
      </c>
      <c r="K2607" s="455">
        <f t="shared" ca="1" si="133"/>
        <v>-89271490.871081755</v>
      </c>
      <c r="L2607" s="455">
        <f t="shared" ca="1" si="134"/>
        <v>-21514429299.930702</v>
      </c>
      <c r="M2607" s="471">
        <f t="shared" si="136"/>
        <v>0.05</v>
      </c>
      <c r="N2607" s="475">
        <f t="shared" si="137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35"/>
        <v>-21514429299.930702</v>
      </c>
      <c r="J2608" s="455">
        <f t="array" ref="J2608">IFERROR(INDEX('Retirement Calculator'!K:K,MATCH('Lorri 401b'!N2608,'Retirement Calculator'!A:A,0),0),0)</f>
        <v>0</v>
      </c>
      <c r="K2608" s="455">
        <f t="shared" ca="1" si="133"/>
        <v>-89643455.416377932</v>
      </c>
      <c r="L2608" s="455">
        <f t="shared" ca="1" si="134"/>
        <v>-21604072755.34708</v>
      </c>
      <c r="M2608" s="471">
        <f t="shared" si="136"/>
        <v>0.05</v>
      </c>
      <c r="N2608" s="475">
        <f t="shared" si="137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35"/>
        <v>-21604072755.34708</v>
      </c>
      <c r="J2609" s="455">
        <f t="array" ref="J2609">IFERROR(INDEX('Retirement Calculator'!K:K,MATCH('Lorri 401b'!N2609,'Retirement Calculator'!A:A,0),0),0)</f>
        <v>0</v>
      </c>
      <c r="K2609" s="455">
        <f t="shared" ca="1" si="133"/>
        <v>-90016969.813946173</v>
      </c>
      <c r="L2609" s="455">
        <f t="shared" ca="1" si="134"/>
        <v>-21694089725.161026</v>
      </c>
      <c r="M2609" s="471">
        <f t="shared" si="136"/>
        <v>0.05</v>
      </c>
      <c r="N2609" s="475">
        <f t="shared" si="137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35"/>
        <v>-21694089725.161026</v>
      </c>
      <c r="J2610" s="455">
        <f t="array" ref="J2610">IFERROR(INDEX('Retirement Calculator'!K:K,MATCH('Lorri 401b'!N2610,'Retirement Calculator'!A:A,0),0),0)</f>
        <v>0</v>
      </c>
      <c r="K2610" s="455">
        <f t="shared" ca="1" si="133"/>
        <v>-90392040.521504268</v>
      </c>
      <c r="L2610" s="455">
        <f t="shared" ca="1" si="134"/>
        <v>-21784481765.682529</v>
      </c>
      <c r="M2610" s="471">
        <f t="shared" si="136"/>
        <v>0.05</v>
      </c>
      <c r="N2610" s="475">
        <f t="shared" si="137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35"/>
        <v>-21784481765.682529</v>
      </c>
      <c r="J2611" s="455">
        <f t="array" ref="J2611">IFERROR(INDEX('Retirement Calculator'!K:K,MATCH('Lorri 401b'!N2611,'Retirement Calculator'!A:A,0),0),0)</f>
        <v>0</v>
      </c>
      <c r="K2611" s="455">
        <f t="shared" ca="1" si="133"/>
        <v>-90768674.0236772</v>
      </c>
      <c r="L2611" s="455">
        <f t="shared" ca="1" si="134"/>
        <v>-21875250439.706207</v>
      </c>
      <c r="M2611" s="471">
        <f t="shared" si="136"/>
        <v>0.05</v>
      </c>
      <c r="N2611" s="475">
        <f t="shared" si="137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35"/>
        <v>-21875250439.706207</v>
      </c>
      <c r="J2612" s="455">
        <f t="array" ref="J2612">IFERROR(INDEX('Retirement Calculator'!K:K,MATCH('Lorri 401b'!N2612,'Retirement Calculator'!A:A,0),0),0)</f>
        <v>0</v>
      </c>
      <c r="K2612" s="455">
        <f t="shared" ca="1" si="133"/>
        <v>-91146876.832109198</v>
      </c>
      <c r="L2612" s="455">
        <f t="shared" ca="1" si="134"/>
        <v>-21966397316.538315</v>
      </c>
      <c r="M2612" s="471">
        <f t="shared" si="136"/>
        <v>0.05</v>
      </c>
      <c r="N2612" s="475">
        <f t="shared" si="137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35"/>
        <v>-21966397316.538315</v>
      </c>
      <c r="J2613" s="455">
        <f t="array" ref="J2613">IFERROR(INDEX('Retirement Calculator'!K:K,MATCH('Lorri 401b'!N2613,'Retirement Calculator'!A:A,0),0),0)</f>
        <v>0</v>
      </c>
      <c r="K2613" s="455">
        <f t="shared" ca="1" si="133"/>
        <v>-91526655.485576317</v>
      </c>
      <c r="L2613" s="455">
        <f t="shared" ca="1" si="134"/>
        <v>-22057923972.023891</v>
      </c>
      <c r="M2613" s="471">
        <f t="shared" si="136"/>
        <v>0.05</v>
      </c>
      <c r="N2613" s="475">
        <f t="shared" si="137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35"/>
        <v>-22057923972.023891</v>
      </c>
      <c r="J2614" s="455">
        <f t="array" ref="J2614">IFERROR(INDEX('Retirement Calculator'!K:K,MATCH('Lorri 401b'!N2614,'Retirement Calculator'!A:A,0),0),0)</f>
        <v>0</v>
      </c>
      <c r="K2614" s="455">
        <f t="shared" ca="1" si="133"/>
        <v>-91908016.550099552</v>
      </c>
      <c r="L2614" s="455">
        <f t="shared" ca="1" si="134"/>
        <v>-22149831988.57399</v>
      </c>
      <c r="M2614" s="471">
        <f t="shared" si="136"/>
        <v>0.05</v>
      </c>
      <c r="N2614" s="475">
        <f t="shared" si="137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35"/>
        <v>-22149831988.57399</v>
      </c>
      <c r="J2615" s="455">
        <f t="array" ref="J2615">IFERROR(INDEX('Retirement Calculator'!K:K,MATCH('Lorri 401b'!N2615,'Retirement Calculator'!A:A,0),0),0)</f>
        <v>0</v>
      </c>
      <c r="K2615" s="455">
        <f t="shared" ca="1" si="133"/>
        <v>-92290966.619058296</v>
      </c>
      <c r="L2615" s="455">
        <f t="shared" ca="1" si="134"/>
        <v>-22242122955.193047</v>
      </c>
      <c r="M2615" s="471">
        <f t="shared" si="136"/>
        <v>0.05</v>
      </c>
      <c r="N2615" s="475">
        <f t="shared" si="137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35"/>
        <v>-22242122955.193047</v>
      </c>
      <c r="J2616" s="455">
        <f t="array" ref="J2616">IFERROR(INDEX('Retirement Calculator'!K:K,MATCH('Lorri 401b'!N2616,'Retirement Calculator'!A:A,0),0),0)</f>
        <v>0</v>
      </c>
      <c r="K2616" s="455">
        <f t="shared" ca="1" si="133"/>
        <v>-92675512.313304365</v>
      </c>
      <c r="L2616" s="455">
        <f t="shared" ca="1" si="134"/>
        <v>-22334798467.506351</v>
      </c>
      <c r="M2616" s="471">
        <f t="shared" si="136"/>
        <v>0.05</v>
      </c>
      <c r="N2616" s="475">
        <f t="shared" si="137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35"/>
        <v>-22334798467.506351</v>
      </c>
      <c r="J2617" s="455">
        <f t="array" ref="J2617">IFERROR(INDEX('Retirement Calculator'!K:K,MATCH('Lorri 401b'!N2617,'Retirement Calculator'!A:A,0),0),0)</f>
        <v>0</v>
      </c>
      <c r="K2617" s="455">
        <f t="shared" ca="1" si="133"/>
        <v>-93061660.281276464</v>
      </c>
      <c r="L2617" s="455">
        <f t="shared" ca="1" si="134"/>
        <v>-22427860127.787628</v>
      </c>
      <c r="M2617" s="471">
        <f t="shared" si="136"/>
        <v>0.05</v>
      </c>
      <c r="N2617" s="475">
        <f t="shared" si="137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35"/>
        <v>-22427860127.787628</v>
      </c>
      <c r="J2618" s="455">
        <f t="array" ref="J2618">IFERROR(INDEX('Retirement Calculator'!K:K,MATCH('Lorri 401b'!N2618,'Retirement Calculator'!A:A,0),0),0)</f>
        <v>0</v>
      </c>
      <c r="K2618" s="455">
        <f t="shared" ca="1" si="133"/>
        <v>-93449417.199115112</v>
      </c>
      <c r="L2618" s="455">
        <f t="shared" ca="1" si="134"/>
        <v>-22521309544.986744</v>
      </c>
      <c r="M2618" s="471">
        <f t="shared" si="136"/>
        <v>0.05</v>
      </c>
      <c r="N2618" s="475">
        <f t="shared" si="137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35"/>
        <v>-22521309544.986744</v>
      </c>
      <c r="J2619" s="455">
        <f t="array" ref="J2619">IFERROR(INDEX('Retirement Calculator'!K:K,MATCH('Lorri 401b'!N2619,'Retirement Calculator'!A:A,0),0),0)</f>
        <v>0</v>
      </c>
      <c r="K2619" s="455">
        <f t="shared" ca="1" si="133"/>
        <v>-93838789.770778105</v>
      </c>
      <c r="L2619" s="455">
        <f t="shared" ca="1" si="134"/>
        <v>-22615148334.757523</v>
      </c>
      <c r="M2619" s="471">
        <f t="shared" si="136"/>
        <v>0.05</v>
      </c>
      <c r="N2619" s="475">
        <f t="shared" si="137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35"/>
        <v>-22615148334.757523</v>
      </c>
      <c r="J2620" s="455">
        <f t="array" ref="J2620">IFERROR(INDEX('Retirement Calculator'!K:K,MATCH('Lorri 401b'!N2620,'Retirement Calculator'!A:A,0),0),0)</f>
        <v>0</v>
      </c>
      <c r="K2620" s="455">
        <f t="shared" ca="1" si="133"/>
        <v>-94229784.728156343</v>
      </c>
      <c r="L2620" s="455">
        <f t="shared" ca="1" si="134"/>
        <v>-22709378119.48568</v>
      </c>
      <c r="M2620" s="471">
        <f t="shared" si="136"/>
        <v>0.05</v>
      </c>
      <c r="N2620" s="475">
        <f t="shared" si="137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35"/>
        <v>-22709378119.48568</v>
      </c>
      <c r="J2621" s="455">
        <f t="array" ref="J2621">IFERROR(INDEX('Retirement Calculator'!K:K,MATCH('Lorri 401b'!N2621,'Retirement Calculator'!A:A,0),0),0)</f>
        <v>0</v>
      </c>
      <c r="K2621" s="455">
        <f t="shared" ca="1" si="133"/>
        <v>-94622408.831190333</v>
      </c>
      <c r="L2621" s="455">
        <f t="shared" ca="1" si="134"/>
        <v>-22804000528.316872</v>
      </c>
      <c r="M2621" s="471">
        <f t="shared" si="136"/>
        <v>0.05</v>
      </c>
      <c r="N2621" s="475">
        <f t="shared" si="137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35"/>
        <v>-22804000528.316872</v>
      </c>
      <c r="J2622" s="455">
        <f t="array" ref="J2622">IFERROR(INDEX('Retirement Calculator'!K:K,MATCH('Lorri 401b'!N2622,'Retirement Calculator'!A:A,0),0),0)</f>
        <v>0</v>
      </c>
      <c r="K2622" s="455">
        <f t="shared" ca="1" si="133"/>
        <v>-95016668.867986962</v>
      </c>
      <c r="L2622" s="455">
        <f t="shared" ca="1" si="134"/>
        <v>-22899017197.18486</v>
      </c>
      <c r="M2622" s="471">
        <f t="shared" si="136"/>
        <v>0.05</v>
      </c>
      <c r="N2622" s="475">
        <f t="shared" si="137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35"/>
        <v>-22899017197.18486</v>
      </c>
      <c r="J2623" s="455">
        <f t="array" ref="J2623">IFERROR(INDEX('Retirement Calculator'!K:K,MATCH('Lorri 401b'!N2623,'Retirement Calculator'!A:A,0),0),0)</f>
        <v>0</v>
      </c>
      <c r="K2623" s="455">
        <f t="shared" ca="1" si="133"/>
        <v>-95412571.65493691</v>
      </c>
      <c r="L2623" s="455">
        <f t="shared" ca="1" si="134"/>
        <v>-22994429768.839798</v>
      </c>
      <c r="M2623" s="471">
        <f t="shared" si="136"/>
        <v>0.05</v>
      </c>
      <c r="N2623" s="475">
        <f t="shared" si="137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35"/>
        <v>-22994429768.839798</v>
      </c>
      <c r="J2624" s="455">
        <f t="array" ref="J2624">IFERROR(INDEX('Retirement Calculator'!K:K,MATCH('Lorri 401b'!N2624,'Retirement Calculator'!A:A,0),0),0)</f>
        <v>0</v>
      </c>
      <c r="K2624" s="455">
        <f t="shared" ca="1" si="133"/>
        <v>-95810124.036832497</v>
      </c>
      <c r="L2624" s="455">
        <f t="shared" ca="1" si="134"/>
        <v>-23090239892.876629</v>
      </c>
      <c r="M2624" s="471">
        <f t="shared" si="136"/>
        <v>0.05</v>
      </c>
      <c r="N2624" s="475">
        <f t="shared" si="137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35"/>
        <v>-23090239892.876629</v>
      </c>
      <c r="J2625" s="455">
        <f t="array" ref="J2625">IFERROR(INDEX('Retirement Calculator'!K:K,MATCH('Lorri 401b'!N2625,'Retirement Calculator'!A:A,0),0),0)</f>
        <v>0</v>
      </c>
      <c r="K2625" s="455">
        <f t="shared" ca="1" si="133"/>
        <v>-96209332.886985958</v>
      </c>
      <c r="L2625" s="455">
        <f t="shared" ca="1" si="134"/>
        <v>-23186449225.763615</v>
      </c>
      <c r="M2625" s="471">
        <f t="shared" si="136"/>
        <v>0.05</v>
      </c>
      <c r="N2625" s="475">
        <f t="shared" si="137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35"/>
        <v>-23186449225.763615</v>
      </c>
      <c r="J2626" s="455">
        <f t="array" ref="J2626">IFERROR(INDEX('Retirement Calculator'!K:K,MATCH('Lorri 401b'!N2626,'Retirement Calculator'!A:A,0),0),0)</f>
        <v>0</v>
      </c>
      <c r="K2626" s="455">
        <f t="shared" ca="1" si="133"/>
        <v>-96610205.107348397</v>
      </c>
      <c r="L2626" s="455">
        <f t="shared" ca="1" si="134"/>
        <v>-23283059430.870964</v>
      </c>
      <c r="M2626" s="471">
        <f t="shared" si="136"/>
        <v>0.05</v>
      </c>
      <c r="N2626" s="475">
        <f t="shared" si="137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35"/>
        <v>-23283059430.870964</v>
      </c>
      <c r="J2627" s="455">
        <f t="array" ref="J2627">IFERROR(INDEX('Retirement Calculator'!K:K,MATCH('Lorri 401b'!N2627,'Retirement Calculator'!A:A,0),0),0)</f>
        <v>0</v>
      </c>
      <c r="K2627" s="455">
        <f t="shared" ca="1" si="133"/>
        <v>-97012747.628629014</v>
      </c>
      <c r="L2627" s="455">
        <f t="shared" ca="1" si="134"/>
        <v>-23380072178.499592</v>
      </c>
      <c r="M2627" s="471">
        <f t="shared" si="136"/>
        <v>0.05</v>
      </c>
      <c r="N2627" s="475">
        <f t="shared" si="137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35"/>
        <v>-23380072178.499592</v>
      </c>
      <c r="J2628" s="455">
        <f t="array" ref="J2628">IFERROR(INDEX('Retirement Calculator'!K:K,MATCH('Lorri 401b'!N2628,'Retirement Calculator'!A:A,0),0),0)</f>
        <v>0</v>
      </c>
      <c r="K2628" s="455">
        <f t="shared" ca="1" si="133"/>
        <v>-97416967.410414964</v>
      </c>
      <c r="L2628" s="455">
        <f t="shared" ca="1" si="134"/>
        <v>-23477489145.910007</v>
      </c>
      <c r="M2628" s="471">
        <f t="shared" si="136"/>
        <v>0.05</v>
      </c>
      <c r="N2628" s="475">
        <f t="shared" si="137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35"/>
        <v>-23477489145.910007</v>
      </c>
      <c r="J2629" s="455">
        <f t="array" ref="J2629">IFERROR(INDEX('Retirement Calculator'!K:K,MATCH('Lorri 401b'!N2629,'Retirement Calculator'!A:A,0),0),0)</f>
        <v>0</v>
      </c>
      <c r="K2629" s="455">
        <f t="shared" ca="1" si="133"/>
        <v>-97822871.44129169</v>
      </c>
      <c r="L2629" s="455">
        <f t="shared" ca="1" si="134"/>
        <v>-23575312017.351299</v>
      </c>
      <c r="M2629" s="471">
        <f t="shared" si="136"/>
        <v>0.05</v>
      </c>
      <c r="N2629" s="475">
        <f t="shared" si="137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35"/>
        <v>-23575312017.351299</v>
      </c>
      <c r="J2630" s="455">
        <f t="array" ref="J2630">IFERROR(INDEX('Retirement Calculator'!K:K,MATCH('Lorri 401b'!N2630,'Retirement Calculator'!A:A,0),0),0)</f>
        <v>0</v>
      </c>
      <c r="K2630" s="455">
        <f t="shared" ca="1" si="133"/>
        <v>-98230466.738963753</v>
      </c>
      <c r="L2630" s="455">
        <f t="shared" ca="1" si="134"/>
        <v>-23673542484.090263</v>
      </c>
      <c r="M2630" s="471">
        <f t="shared" si="136"/>
        <v>0.05</v>
      </c>
      <c r="N2630" s="475">
        <f t="shared" si="137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35"/>
        <v>-23673542484.090263</v>
      </c>
      <c r="J2631" s="455">
        <f t="array" ref="J2631">IFERROR(INDEX('Retirement Calculator'!K:K,MATCH('Lorri 401b'!N2631,'Retirement Calculator'!A:A,0),0),0)</f>
        <v>0</v>
      </c>
      <c r="K2631" s="455">
        <f t="shared" ca="1" si="133"/>
        <v>-98639760.350376099</v>
      </c>
      <c r="L2631" s="455">
        <f t="shared" ca="1" si="134"/>
        <v>-23772182244.440639</v>
      </c>
      <c r="M2631" s="471">
        <f t="shared" si="136"/>
        <v>0.05</v>
      </c>
      <c r="N2631" s="475">
        <f t="shared" si="137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35"/>
        <v>-23772182244.440639</v>
      </c>
      <c r="J2632" s="455">
        <f t="array" ref="J2632">IFERROR(INDEX('Retirement Calculator'!K:K,MATCH('Lorri 401b'!N2632,'Retirement Calculator'!A:A,0),0),0)</f>
        <v>0</v>
      </c>
      <c r="K2632" s="455">
        <f t="shared" ca="1" si="133"/>
        <v>-99050759.351835996</v>
      </c>
      <c r="L2632" s="455">
        <f t="shared" ca="1" si="134"/>
        <v>-23871233003.792477</v>
      </c>
      <c r="M2632" s="471">
        <f t="shared" si="136"/>
        <v>0.05</v>
      </c>
      <c r="N2632" s="475">
        <f t="shared" si="137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35"/>
        <v>-23871233003.792477</v>
      </c>
      <c r="J2633" s="455">
        <f t="array" ref="J2633">IFERROR(INDEX('Retirement Calculator'!K:K,MATCH('Lorri 401b'!N2633,'Retirement Calculator'!A:A,0),0),0)</f>
        <v>0</v>
      </c>
      <c r="K2633" s="455">
        <f t="shared" ca="1" si="133"/>
        <v>-99463470.849135324</v>
      </c>
      <c r="L2633" s="455">
        <f t="shared" ca="1" si="134"/>
        <v>-23970696474.641613</v>
      </c>
      <c r="M2633" s="471">
        <f t="shared" si="136"/>
        <v>0.05</v>
      </c>
      <c r="N2633" s="475">
        <f t="shared" si="137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35"/>
        <v>-23970696474.641613</v>
      </c>
      <c r="J2634" s="455">
        <f t="array" ref="J2634">IFERROR(INDEX('Retirement Calculator'!K:K,MATCH('Lorri 401b'!N2634,'Retirement Calculator'!A:A,0),0),0)</f>
        <v>0</v>
      </c>
      <c r="K2634" s="455">
        <f t="shared" ca="1" si="133"/>
        <v>-99877901.977673382</v>
      </c>
      <c r="L2634" s="455">
        <f t="shared" ca="1" si="134"/>
        <v>-24070574376.619286</v>
      </c>
      <c r="M2634" s="471">
        <f t="shared" si="136"/>
        <v>0.05</v>
      </c>
      <c r="N2634" s="475">
        <f t="shared" si="137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35"/>
        <v>-24070574376.619286</v>
      </c>
      <c r="J2635" s="455">
        <f t="array" ref="J2635">IFERROR(INDEX('Retirement Calculator'!K:K,MATCH('Lorri 401b'!N2635,'Retirement Calculator'!A:A,0),0),0)</f>
        <v>0</v>
      </c>
      <c r="K2635" s="455">
        <f t="shared" ca="1" si="133"/>
        <v>-100294059.90258035</v>
      </c>
      <c r="L2635" s="455">
        <f t="shared" ca="1" si="134"/>
        <v>-24170868436.521866</v>
      </c>
      <c r="M2635" s="471">
        <f t="shared" si="136"/>
        <v>0.05</v>
      </c>
      <c r="N2635" s="475">
        <f t="shared" si="137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35"/>
        <v>-24170868436.521866</v>
      </c>
      <c r="J2636" s="455">
        <f t="array" ref="J2636">IFERROR(INDEX('Retirement Calculator'!K:K,MATCH('Lorri 401b'!N2636,'Retirement Calculator'!A:A,0),0),0)</f>
        <v>0</v>
      </c>
      <c r="K2636" s="455">
        <f t="shared" ca="1" si="133"/>
        <v>-100711951.8188411</v>
      </c>
      <c r="L2636" s="455">
        <f t="shared" ca="1" si="134"/>
        <v>-24271580388.340706</v>
      </c>
      <c r="M2636" s="471">
        <f t="shared" si="136"/>
        <v>0.05</v>
      </c>
      <c r="N2636" s="475">
        <f t="shared" si="137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35"/>
        <v>-24271580388.340706</v>
      </c>
      <c r="J2637" s="455">
        <f t="array" ref="J2637">IFERROR(INDEX('Retirement Calculator'!K:K,MATCH('Lorri 401b'!N2637,'Retirement Calculator'!A:A,0),0),0)</f>
        <v>0</v>
      </c>
      <c r="K2637" s="455">
        <f t="shared" ca="1" si="133"/>
        <v>-101131584.95141961</v>
      </c>
      <c r="L2637" s="455">
        <f t="shared" ca="1" si="134"/>
        <v>-24372711973.292126</v>
      </c>
      <c r="M2637" s="471">
        <f t="shared" si="136"/>
        <v>0.05</v>
      </c>
      <c r="N2637" s="475">
        <f t="shared" si="137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35"/>
        <v>-24372711973.292126</v>
      </c>
      <c r="J2638" s="455">
        <f t="array" ref="J2638">IFERROR(INDEX('Retirement Calculator'!K:K,MATCH('Lorri 401b'!N2638,'Retirement Calculator'!A:A,0),0),0)</f>
        <v>0</v>
      </c>
      <c r="K2638" s="455">
        <f t="shared" ca="1" si="133"/>
        <v>-101552966.55538386</v>
      </c>
      <c r="L2638" s="455">
        <f t="shared" ca="1" si="134"/>
        <v>-24474264939.847511</v>
      </c>
      <c r="M2638" s="471">
        <f t="shared" si="136"/>
        <v>0.05</v>
      </c>
      <c r="N2638" s="475">
        <f t="shared" si="137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35"/>
        <v>-24474264939.847511</v>
      </c>
      <c r="J2639" s="455">
        <f t="array" ref="J2639">IFERROR(INDEX('Retirement Calculator'!K:K,MATCH('Lorri 401b'!N2639,'Retirement Calculator'!A:A,0),0),0)</f>
        <v>0</v>
      </c>
      <c r="K2639" s="455">
        <f t="shared" ca="1" si="133"/>
        <v>-101976103.9160313</v>
      </c>
      <c r="L2639" s="455">
        <f t="shared" ca="1" si="134"/>
        <v>-24576241043.763542</v>
      </c>
      <c r="M2639" s="471">
        <f t="shared" si="136"/>
        <v>0.05</v>
      </c>
      <c r="N2639" s="475">
        <f t="shared" si="137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35"/>
        <v>-24576241043.763542</v>
      </c>
      <c r="J2640" s="455">
        <f t="array" ref="J2640">IFERROR(INDEX('Retirement Calculator'!K:K,MATCH('Lorri 401b'!N2640,'Retirement Calculator'!A:A,0),0),0)</f>
        <v>0</v>
      </c>
      <c r="K2640" s="455">
        <f t="shared" ca="1" si="133"/>
        <v>-102401004.34901476</v>
      </c>
      <c r="L2640" s="455">
        <f t="shared" ca="1" si="134"/>
        <v>-24678642048.112556</v>
      </c>
      <c r="M2640" s="471">
        <f t="shared" si="136"/>
        <v>0.05</v>
      </c>
      <c r="N2640" s="475">
        <f t="shared" si="137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35"/>
        <v>-24678642048.112556</v>
      </c>
      <c r="J2641" s="455">
        <f t="array" ref="J2641">IFERROR(INDEX('Retirement Calculator'!K:K,MATCH('Lorri 401b'!N2641,'Retirement Calculator'!A:A,0),0),0)</f>
        <v>0</v>
      </c>
      <c r="K2641" s="455">
        <f t="shared" ca="1" si="133"/>
        <v>-102827675.20046899</v>
      </c>
      <c r="L2641" s="455">
        <f t="shared" ca="1" si="134"/>
        <v>-24781469723.313026</v>
      </c>
      <c r="M2641" s="471">
        <f t="shared" si="136"/>
        <v>0.05</v>
      </c>
      <c r="N2641" s="475">
        <f t="shared" si="137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35"/>
        <v>-24781469723.313026</v>
      </c>
      <c r="J2642" s="455">
        <f t="array" ref="J2642">IFERROR(INDEX('Retirement Calculator'!K:K,MATCH('Lorri 401b'!N2642,'Retirement Calculator'!A:A,0),0),0)</f>
        <v>0</v>
      </c>
      <c r="K2642" s="455">
        <f t="shared" ca="1" si="133"/>
        <v>-103256123.84713762</v>
      </c>
      <c r="L2642" s="455">
        <f t="shared" ca="1" si="134"/>
        <v>-24884725847.160164</v>
      </c>
      <c r="M2642" s="471">
        <f t="shared" si="136"/>
        <v>0.05</v>
      </c>
      <c r="N2642" s="475">
        <f t="shared" si="137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35"/>
        <v>-24884725847.160164</v>
      </c>
      <c r="J2643" s="455">
        <f t="array" ref="J2643">IFERROR(INDEX('Retirement Calculator'!K:K,MATCH('Lorri 401b'!N2643,'Retirement Calculator'!A:A,0),0),0)</f>
        <v>0</v>
      </c>
      <c r="K2643" s="455">
        <f t="shared" ca="1" si="133"/>
        <v>-103686357.69650069</v>
      </c>
      <c r="L2643" s="455">
        <f t="shared" ca="1" si="134"/>
        <v>-24988412204.856663</v>
      </c>
      <c r="M2643" s="471">
        <f t="shared" si="136"/>
        <v>0.05</v>
      </c>
      <c r="N2643" s="475">
        <f t="shared" si="137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35"/>
        <v>-24988412204.856663</v>
      </c>
      <c r="J2644" s="455">
        <f t="array" ref="J2644">IFERROR(INDEX('Retirement Calculator'!K:K,MATCH('Lorri 401b'!N2644,'Retirement Calculator'!A:A,0),0),0)</f>
        <v>0</v>
      </c>
      <c r="K2644" s="455">
        <f t="shared" ca="1" si="133"/>
        <v>-104118384.18690276</v>
      </c>
      <c r="L2644" s="455">
        <f t="shared" ca="1" si="134"/>
        <v>-25092530589.043564</v>
      </c>
      <c r="M2644" s="471">
        <f t="shared" si="136"/>
        <v>0.05</v>
      </c>
      <c r="N2644" s="475">
        <f t="shared" si="137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35"/>
        <v>-25092530589.043564</v>
      </c>
      <c r="J2645" s="455">
        <f t="array" ref="J2645">IFERROR(INDEX('Retirement Calculator'!K:K,MATCH('Lorri 401b'!N2645,'Retirement Calculator'!A:A,0),0),0)</f>
        <v>0</v>
      </c>
      <c r="K2645" s="455">
        <f t="shared" ca="1" si="133"/>
        <v>-104552210.78768152</v>
      </c>
      <c r="L2645" s="455">
        <f t="shared" ca="1" si="134"/>
        <v>-25197082799.831245</v>
      </c>
      <c r="M2645" s="471">
        <f t="shared" si="136"/>
        <v>0.05</v>
      </c>
      <c r="N2645" s="475">
        <f t="shared" si="137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35"/>
        <v>-25197082799.831245</v>
      </c>
      <c r="J2646" s="455">
        <f t="array" ref="J2646">IFERROR(INDEX('Retirement Calculator'!K:K,MATCH('Lorri 401b'!N2646,'Retirement Calculator'!A:A,0),0),0)</f>
        <v>0</v>
      </c>
      <c r="K2646" s="455">
        <f t="shared" ca="1" si="133"/>
        <v>-104987844.99929686</v>
      </c>
      <c r="L2646" s="455">
        <f t="shared" ca="1" si="134"/>
        <v>-25302070644.830544</v>
      </c>
      <c r="M2646" s="471">
        <f t="shared" si="136"/>
        <v>0.05</v>
      </c>
      <c r="N2646" s="475">
        <f t="shared" si="137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35"/>
        <v>-25302070644.830544</v>
      </c>
      <c r="J2647" s="455">
        <f t="array" ref="J2647">IFERROR(INDEX('Retirement Calculator'!K:K,MATCH('Lorri 401b'!N2647,'Retirement Calculator'!A:A,0),0),0)</f>
        <v>0</v>
      </c>
      <c r="K2647" s="455">
        <f t="shared" ca="1" si="133"/>
        <v>-105425294.3534606</v>
      </c>
      <c r="L2647" s="455">
        <f t="shared" ca="1" si="134"/>
        <v>-25407495939.184006</v>
      </c>
      <c r="M2647" s="471">
        <f t="shared" si="136"/>
        <v>0.05</v>
      </c>
      <c r="N2647" s="475">
        <f t="shared" si="137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35"/>
        <v>-25407495939.184006</v>
      </c>
      <c r="J2648" s="455">
        <f t="array" ref="J2648">IFERROR(INDEX('Retirement Calculator'!K:K,MATCH('Lorri 401b'!N2648,'Retirement Calculator'!A:A,0),0),0)</f>
        <v>0</v>
      </c>
      <c r="K2648" s="455">
        <f t="shared" ca="1" si="133"/>
        <v>-105864566.41326669</v>
      </c>
      <c r="L2648" s="455">
        <f t="shared" ca="1" si="134"/>
        <v>-25513360505.597271</v>
      </c>
      <c r="M2648" s="471">
        <f t="shared" si="136"/>
        <v>0.05</v>
      </c>
      <c r="N2648" s="475">
        <f t="shared" si="137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35"/>
        <v>-25513360505.597271</v>
      </c>
      <c r="J2649" s="455">
        <f t="array" ref="J2649">IFERROR(INDEX('Retirement Calculator'!K:K,MATCH('Lorri 401b'!N2649,'Retirement Calculator'!A:A,0),0),0)</f>
        <v>0</v>
      </c>
      <c r="K2649" s="455">
        <f t="shared" ca="1" si="133"/>
        <v>-106305668.77332196</v>
      </c>
      <c r="L2649" s="455">
        <f t="shared" ca="1" si="134"/>
        <v>-25619666174.370594</v>
      </c>
      <c r="M2649" s="471">
        <f t="shared" si="136"/>
        <v>0.05</v>
      </c>
      <c r="N2649" s="475">
        <f t="shared" si="137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35"/>
        <v>-25619666174.370594</v>
      </c>
      <c r="J2650" s="455">
        <f t="array" ref="J2650">IFERROR(INDEX('Retirement Calculator'!K:K,MATCH('Lorri 401b'!N2650,'Retirement Calculator'!A:A,0),0),0)</f>
        <v>0</v>
      </c>
      <c r="K2650" s="455">
        <f t="shared" ca="1" si="133"/>
        <v>-106748609.05987747</v>
      </c>
      <c r="L2650" s="455">
        <f t="shared" ca="1" si="134"/>
        <v>-25726414783.430473</v>
      </c>
      <c r="M2650" s="471">
        <f t="shared" si="136"/>
        <v>0.05</v>
      </c>
      <c r="N2650" s="475">
        <f t="shared" si="137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35"/>
        <v>-25726414783.430473</v>
      </c>
      <c r="J2651" s="455">
        <f t="array" ref="J2651">IFERROR(INDEX('Retirement Calculator'!K:K,MATCH('Lorri 401b'!N2651,'Retirement Calculator'!A:A,0),0),0)</f>
        <v>0</v>
      </c>
      <c r="K2651" s="455">
        <f t="shared" ca="1" si="133"/>
        <v>-107193394.9309603</v>
      </c>
      <c r="L2651" s="455">
        <f t="shared" ca="1" si="134"/>
        <v>-25833608178.361435</v>
      </c>
      <c r="M2651" s="471">
        <f t="shared" si="136"/>
        <v>0.05</v>
      </c>
      <c r="N2651" s="475">
        <f t="shared" si="137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35"/>
        <v>-25833608178.361435</v>
      </c>
      <c r="J2652" s="455">
        <f t="array" ref="J2652">IFERROR(INDEX('Retirement Calculator'!K:K,MATCH('Lorri 401b'!N2652,'Retirement Calculator'!A:A,0),0),0)</f>
        <v>0</v>
      </c>
      <c r="K2652" s="455">
        <f t="shared" ca="1" si="133"/>
        <v>-107640034.07650597</v>
      </c>
      <c r="L2652" s="455">
        <f t="shared" ca="1" si="134"/>
        <v>-25941248212.437943</v>
      </c>
      <c r="M2652" s="471">
        <f t="shared" si="136"/>
        <v>0.05</v>
      </c>
      <c r="N2652" s="475">
        <f t="shared" si="137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35"/>
        <v>-25941248212.437943</v>
      </c>
      <c r="J2653" s="455">
        <f t="array" ref="J2653">IFERROR(INDEX('Retirement Calculator'!K:K,MATCH('Lorri 401b'!N2653,'Retirement Calculator'!A:A,0),0),0)</f>
        <v>0</v>
      </c>
      <c r="K2653" s="455">
        <f t="shared" ca="1" si="133"/>
        <v>-108088534.21849142</v>
      </c>
      <c r="L2653" s="455">
        <f t="shared" ca="1" si="134"/>
        <v>-26049336746.656433</v>
      </c>
      <c r="M2653" s="471">
        <f t="shared" si="136"/>
        <v>0.05</v>
      </c>
      <c r="N2653" s="475">
        <f t="shared" si="137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35"/>
        <v>-26049336746.656433</v>
      </c>
      <c r="J2654" s="455">
        <f t="array" ref="J2654">IFERROR(INDEX('Retirement Calculator'!K:K,MATCH('Lorri 401b'!N2654,'Retirement Calculator'!A:A,0),0),0)</f>
        <v>0</v>
      </c>
      <c r="K2654" s="455">
        <f t="shared" ca="1" si="133"/>
        <v>-108538903.11106847</v>
      </c>
      <c r="L2654" s="455">
        <f t="shared" ca="1" si="134"/>
        <v>-26157875649.767502</v>
      </c>
      <c r="M2654" s="471">
        <f t="shared" si="136"/>
        <v>0.05</v>
      </c>
      <c r="N2654" s="475">
        <f t="shared" si="137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35"/>
        <v>-26157875649.767502</v>
      </c>
      <c r="J2655" s="455">
        <f t="array" ref="J2655">IFERROR(INDEX('Retirement Calculator'!K:K,MATCH('Lorri 401b'!N2655,'Retirement Calculator'!A:A,0),0),0)</f>
        <v>0</v>
      </c>
      <c r="K2655" s="455">
        <f t="shared" ca="1" si="133"/>
        <v>-108991148.54069792</v>
      </c>
      <c r="L2655" s="455">
        <f t="shared" ca="1" si="134"/>
        <v>-26266866798.308201</v>
      </c>
      <c r="M2655" s="471">
        <f t="shared" si="136"/>
        <v>0.05</v>
      </c>
      <c r="N2655" s="475">
        <f t="shared" si="137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35"/>
        <v>-26266866798.308201</v>
      </c>
      <c r="J2656" s="455">
        <f t="array" ref="J2656">IFERROR(INDEX('Retirement Calculator'!K:K,MATCH('Lorri 401b'!N2656,'Retirement Calculator'!A:A,0),0),0)</f>
        <v>0</v>
      </c>
      <c r="K2656" s="455">
        <f t="shared" ca="1" si="133"/>
        <v>-109445278.32628417</v>
      </c>
      <c r="L2656" s="455">
        <f t="shared" ca="1" si="134"/>
        <v>-26376312076.634483</v>
      </c>
      <c r="M2656" s="471">
        <f t="shared" si="136"/>
        <v>0.05</v>
      </c>
      <c r="N2656" s="475">
        <f t="shared" si="137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35"/>
        <v>-26376312076.634483</v>
      </c>
      <c r="J2657" s="455">
        <f t="array" ref="J2657">IFERROR(INDEX('Retirement Calculator'!K:K,MATCH('Lorri 401b'!N2657,'Retirement Calculator'!A:A,0),0),0)</f>
        <v>0</v>
      </c>
      <c r="K2657" s="455">
        <f t="shared" ca="1" si="133"/>
        <v>-109901300.31931035</v>
      </c>
      <c r="L2657" s="455">
        <f t="shared" ca="1" si="134"/>
        <v>-26486213376.953793</v>
      </c>
      <c r="M2657" s="471">
        <f t="shared" si="136"/>
        <v>0.05</v>
      </c>
      <c r="N2657" s="475">
        <f t="shared" si="137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35"/>
        <v>-26486213376.953793</v>
      </c>
      <c r="J2658" s="455">
        <f t="array" ref="J2658">IFERROR(INDEX('Retirement Calculator'!K:K,MATCH('Lorri 401b'!N2658,'Retirement Calculator'!A:A,0),0),0)</f>
        <v>0</v>
      </c>
      <c r="K2658" s="455">
        <f t="shared" ca="1" si="133"/>
        <v>-110359222.40397413</v>
      </c>
      <c r="L2658" s="455">
        <f t="shared" ca="1" si="134"/>
        <v>-26596572599.357765</v>
      </c>
      <c r="M2658" s="471">
        <f t="shared" si="136"/>
        <v>0.05</v>
      </c>
      <c r="N2658" s="475">
        <f t="shared" si="137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35"/>
        <v>-26596572599.357765</v>
      </c>
      <c r="J2659" s="455">
        <f t="array" ref="J2659">IFERROR(INDEX('Retirement Calculator'!K:K,MATCH('Lorri 401b'!N2659,'Retirement Calculator'!A:A,0),0),0)</f>
        <v>0</v>
      </c>
      <c r="K2659" s="455">
        <f t="shared" ca="1" si="133"/>
        <v>-110819052.49732402</v>
      </c>
      <c r="L2659" s="455">
        <f t="shared" ca="1" si="134"/>
        <v>-26707391651.855091</v>
      </c>
      <c r="M2659" s="471">
        <f t="shared" si="136"/>
        <v>0.05</v>
      </c>
      <c r="N2659" s="475">
        <f t="shared" si="137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35"/>
        <v>-26707391651.855091</v>
      </c>
      <c r="J2660" s="455">
        <f t="array" ref="J2660">IFERROR(INDEX('Retirement Calculator'!K:K,MATCH('Lorri 401b'!N2660,'Retirement Calculator'!A:A,0),0),0)</f>
        <v>0</v>
      </c>
      <c r="K2660" s="455">
        <f t="shared" ca="1" si="133"/>
        <v>-111280798.54939622</v>
      </c>
      <c r="L2660" s="455">
        <f t="shared" ca="1" si="134"/>
        <v>-26818672450.404488</v>
      </c>
      <c r="M2660" s="471">
        <f t="shared" si="136"/>
        <v>0.05</v>
      </c>
      <c r="N2660" s="475">
        <f t="shared" si="137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35"/>
        <v>-26818672450.404488</v>
      </c>
      <c r="J2661" s="455">
        <f t="array" ref="J2661">IFERROR(INDEX('Retirement Calculator'!K:K,MATCH('Lorri 401b'!N2661,'Retirement Calculator'!A:A,0),0),0)</f>
        <v>0</v>
      </c>
      <c r="K2661" s="455">
        <f t="shared" ca="1" si="133"/>
        <v>-111744468.54335202</v>
      </c>
      <c r="L2661" s="455">
        <f t="shared" ca="1" si="134"/>
        <v>-26930416918.947838</v>
      </c>
      <c r="M2661" s="471">
        <f t="shared" si="136"/>
        <v>0.05</v>
      </c>
      <c r="N2661" s="475">
        <f t="shared" si="137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35"/>
        <v>-26930416918.947838</v>
      </c>
      <c r="J2662" s="455">
        <f t="array" ref="J2662">IFERROR(INDEX('Retirement Calculator'!K:K,MATCH('Lorri 401b'!N2662,'Retirement Calculator'!A:A,0),0),0)</f>
        <v>0</v>
      </c>
      <c r="K2662" s="455">
        <f t="shared" ca="1" si="133"/>
        <v>-112210070.495616</v>
      </c>
      <c r="L2662" s="455">
        <f t="shared" ca="1" si="134"/>
        <v>-27042626989.443455</v>
      </c>
      <c r="M2662" s="471">
        <f t="shared" si="136"/>
        <v>0.05</v>
      </c>
      <c r="N2662" s="475">
        <f t="shared" si="137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35"/>
        <v>-27042626989.443455</v>
      </c>
      <c r="J2663" s="455">
        <f t="array" ref="J2663">IFERROR(INDEX('Retirement Calculator'!K:K,MATCH('Lorri 401b'!N2663,'Retirement Calculator'!A:A,0),0),0)</f>
        <v>0</v>
      </c>
      <c r="K2663" s="455">
        <f t="shared" ca="1" si="133"/>
        <v>-112677612.45601439</v>
      </c>
      <c r="L2663" s="455">
        <f t="shared" ca="1" si="134"/>
        <v>-27155304601.899467</v>
      </c>
      <c r="M2663" s="471">
        <f t="shared" si="136"/>
        <v>0.05</v>
      </c>
      <c r="N2663" s="475">
        <f t="shared" si="137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35"/>
        <v>-27155304601.899467</v>
      </c>
      <c r="J2664" s="455">
        <f t="array" ref="J2664">IFERROR(INDEX('Retirement Calculator'!K:K,MATCH('Lorri 401b'!N2664,'Retirement Calculator'!A:A,0),0),0)</f>
        <v>0</v>
      </c>
      <c r="K2664" s="455">
        <f t="shared" ca="1" si="133"/>
        <v>-113147102.50791444</v>
      </c>
      <c r="L2664" s="455">
        <f t="shared" ca="1" si="134"/>
        <v>-27268451704.407383</v>
      </c>
      <c r="M2664" s="471">
        <f t="shared" si="136"/>
        <v>0.05</v>
      </c>
      <c r="N2664" s="475">
        <f t="shared" si="137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35"/>
        <v>-27268451704.407383</v>
      </c>
      <c r="J2665" s="455">
        <f t="array" ref="J2665">IFERROR(INDEX('Retirement Calculator'!K:K,MATCH('Lorri 401b'!N2665,'Retirement Calculator'!A:A,0),0),0)</f>
        <v>0</v>
      </c>
      <c r="K2665" s="455">
        <f t="shared" ca="1" si="133"/>
        <v>-113618548.76836409</v>
      </c>
      <c r="L2665" s="455">
        <f t="shared" ca="1" si="134"/>
        <v>-27382070253.175747</v>
      </c>
      <c r="M2665" s="471">
        <f t="shared" si="136"/>
        <v>0.05</v>
      </c>
      <c r="N2665" s="475">
        <f t="shared" si="137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35"/>
        <v>-27382070253.175747</v>
      </c>
      <c r="J2666" s="455">
        <f t="array" ref="J2666">IFERROR(INDEX('Retirement Calculator'!K:K,MATCH('Lorri 401b'!N2666,'Retirement Calculator'!A:A,0),0),0)</f>
        <v>0</v>
      </c>
      <c r="K2666" s="455">
        <f t="shared" ca="1" si="133"/>
        <v>-114091959.38823228</v>
      </c>
      <c r="L2666" s="455">
        <f t="shared" ca="1" si="134"/>
        <v>-27496162212.56398</v>
      </c>
      <c r="M2666" s="471">
        <f t="shared" si="136"/>
        <v>0.05</v>
      </c>
      <c r="N2666" s="475">
        <f t="shared" si="137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35"/>
        <v>-27496162212.56398</v>
      </c>
      <c r="J2667" s="455">
        <f t="array" ref="J2667">IFERROR(INDEX('Retirement Calculator'!K:K,MATCH('Lorri 401b'!N2667,'Retirement Calculator'!A:A,0),0),0)</f>
        <v>0</v>
      </c>
      <c r="K2667" s="455">
        <f t="shared" ca="1" si="133"/>
        <v>-114567342.55234993</v>
      </c>
      <c r="L2667" s="455">
        <f t="shared" ca="1" si="134"/>
        <v>-27610729555.116329</v>
      </c>
      <c r="M2667" s="471">
        <f t="shared" si="136"/>
        <v>0.05</v>
      </c>
      <c r="N2667" s="475">
        <f t="shared" si="137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35"/>
        <v>-27610729555.116329</v>
      </c>
      <c r="J2668" s="455">
        <f t="array" ref="J2668">IFERROR(INDEX('Retirement Calculator'!K:K,MATCH('Lorri 401b'!N2668,'Retirement Calculator'!A:A,0),0),0)</f>
        <v>0</v>
      </c>
      <c r="K2668" s="455">
        <f t="shared" ca="1" si="133"/>
        <v>-115044706.47965138</v>
      </c>
      <c r="L2668" s="455">
        <f t="shared" ca="1" si="134"/>
        <v>-27725774261.595982</v>
      </c>
      <c r="M2668" s="471">
        <f t="shared" si="136"/>
        <v>0.05</v>
      </c>
      <c r="N2668" s="475">
        <f t="shared" si="137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35"/>
        <v>-27725774261.595982</v>
      </c>
      <c r="J2669" s="455">
        <f t="array" ref="J2669">IFERROR(INDEX('Retirement Calculator'!K:K,MATCH('Lorri 401b'!N2669,'Retirement Calculator'!A:A,0),0),0)</f>
        <v>0</v>
      </c>
      <c r="K2669" s="455">
        <f t="shared" ca="1" si="133"/>
        <v>-115524059.42331658</v>
      </c>
      <c r="L2669" s="455">
        <f t="shared" ca="1" si="134"/>
        <v>-27841298321.019299</v>
      </c>
      <c r="M2669" s="471">
        <f t="shared" si="136"/>
        <v>0.05</v>
      </c>
      <c r="N2669" s="475">
        <f t="shared" si="137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35"/>
        <v>-27841298321.019299</v>
      </c>
      <c r="J2670" s="455">
        <f t="array" ref="J2670">IFERROR(INDEX('Retirement Calculator'!K:K,MATCH('Lorri 401b'!N2670,'Retirement Calculator'!A:A,0),0),0)</f>
        <v>0</v>
      </c>
      <c r="K2670" s="455">
        <f t="shared" ca="1" si="133"/>
        <v>-116005409.67091374</v>
      </c>
      <c r="L2670" s="455">
        <f t="shared" ca="1" si="134"/>
        <v>-27957303730.690212</v>
      </c>
      <c r="M2670" s="471">
        <f t="shared" si="136"/>
        <v>0.05</v>
      </c>
      <c r="N2670" s="475">
        <f t="shared" si="137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35"/>
        <v>-27957303730.690212</v>
      </c>
      <c r="J2671" s="455">
        <f t="array" ref="J2671">IFERROR(INDEX('Retirement Calculator'!K:K,MATCH('Lorri 401b'!N2671,'Retirement Calculator'!A:A,0),0),0)</f>
        <v>0</v>
      </c>
      <c r="K2671" s="455">
        <f t="shared" ca="1" si="133"/>
        <v>-116488765.54454255</v>
      </c>
      <c r="L2671" s="455">
        <f t="shared" ca="1" si="134"/>
        <v>-28073792496.234756</v>
      </c>
      <c r="M2671" s="471">
        <f t="shared" si="136"/>
        <v>0.05</v>
      </c>
      <c r="N2671" s="475">
        <f t="shared" si="137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35"/>
        <v>-28073792496.234756</v>
      </c>
      <c r="J2672" s="455">
        <f t="array" ref="J2672">IFERROR(INDEX('Retirement Calculator'!K:K,MATCH('Lorri 401b'!N2672,'Retirement Calculator'!A:A,0),0),0)</f>
        <v>0</v>
      </c>
      <c r="K2672" s="455">
        <f t="shared" ca="1" si="133"/>
        <v>-116974135.40097813</v>
      </c>
      <c r="L2672" s="455">
        <f t="shared" ca="1" si="134"/>
        <v>-28190766631.635735</v>
      </c>
      <c r="M2672" s="471">
        <f t="shared" si="136"/>
        <v>0.05</v>
      </c>
      <c r="N2672" s="475">
        <f t="shared" si="137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35"/>
        <v>-28190766631.635735</v>
      </c>
      <c r="J2673" s="455">
        <f t="array" ref="J2673">IFERROR(INDEX('Retirement Calculator'!K:K,MATCH('Lorri 401b'!N2673,'Retirement Calculator'!A:A,0),0),0)</f>
        <v>0</v>
      </c>
      <c r="K2673" s="455">
        <f t="shared" ca="1" si="133"/>
        <v>-117461527.63181554</v>
      </c>
      <c r="L2673" s="455">
        <f t="shared" ca="1" si="134"/>
        <v>-28308228159.267551</v>
      </c>
      <c r="M2673" s="471">
        <f t="shared" si="136"/>
        <v>0.05</v>
      </c>
      <c r="N2673" s="475">
        <f t="shared" si="137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35"/>
        <v>-28308228159.267551</v>
      </c>
      <c r="J2674" s="455">
        <f t="array" ref="J2674">IFERROR(INDEX('Retirement Calculator'!K:K,MATCH('Lorri 401b'!N2674,'Retirement Calculator'!A:A,0),0),0)</f>
        <v>0</v>
      </c>
      <c r="K2674" s="455">
        <f t="shared" ca="1" si="133"/>
        <v>-117950950.66361479</v>
      </c>
      <c r="L2674" s="455">
        <f t="shared" ca="1" si="134"/>
        <v>-28426179109.931168</v>
      </c>
      <c r="M2674" s="471">
        <f t="shared" si="136"/>
        <v>0.05</v>
      </c>
      <c r="N2674" s="475">
        <f t="shared" si="137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35"/>
        <v>-28426179109.931168</v>
      </c>
      <c r="J2675" s="455">
        <f t="array" ref="J2675">IFERROR(INDEX('Retirement Calculator'!K:K,MATCH('Lorri 401b'!N2675,'Retirement Calculator'!A:A,0),0),0)</f>
        <v>0</v>
      </c>
      <c r="K2675" s="455">
        <f t="shared" ca="1" si="133"/>
        <v>-118442412.95804653</v>
      </c>
      <c r="L2675" s="455">
        <f t="shared" ca="1" si="134"/>
        <v>-28544621522.889214</v>
      </c>
      <c r="M2675" s="471">
        <f t="shared" si="136"/>
        <v>0.05</v>
      </c>
      <c r="N2675" s="475">
        <f t="shared" si="137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35"/>
        <v>-28544621522.889214</v>
      </c>
      <c r="J2676" s="455">
        <f t="array" ref="J2676">IFERROR(INDEX('Retirement Calculator'!K:K,MATCH('Lorri 401b'!N2676,'Retirement Calculator'!A:A,0),0),0)</f>
        <v>0</v>
      </c>
      <c r="K2676" s="455">
        <f t="shared" ca="1" si="133"/>
        <v>-118935923.01203839</v>
      </c>
      <c r="L2676" s="455">
        <f t="shared" ca="1" si="134"/>
        <v>-28663557445.901253</v>
      </c>
      <c r="M2676" s="471">
        <f t="shared" si="136"/>
        <v>0.05</v>
      </c>
      <c r="N2676" s="475">
        <f t="shared" si="137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35"/>
        <v>-28663557445.901253</v>
      </c>
      <c r="J2677" s="455">
        <f t="array" ref="J2677">IFERROR(INDEX('Retirement Calculator'!K:K,MATCH('Lorri 401b'!N2677,'Retirement Calculator'!A:A,0),0),0)</f>
        <v>0</v>
      </c>
      <c r="K2677" s="455">
        <f t="shared" ca="1" si="133"/>
        <v>-119431489.35792188</v>
      </c>
      <c r="L2677" s="455">
        <f t="shared" ca="1" si="134"/>
        <v>-28782988935.259174</v>
      </c>
      <c r="M2677" s="471">
        <f t="shared" si="136"/>
        <v>0.05</v>
      </c>
      <c r="N2677" s="475">
        <f t="shared" si="137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35"/>
        <v>-28782988935.259174</v>
      </c>
      <c r="J2678" s="455">
        <f t="array" ref="J2678">IFERROR(INDEX('Retirement Calculator'!K:K,MATCH('Lorri 401b'!N2678,'Retirement Calculator'!A:A,0),0),0)</f>
        <v>0</v>
      </c>
      <c r="K2678" s="455">
        <f t="shared" ca="1" si="133"/>
        <v>-119929120.56357989</v>
      </c>
      <c r="L2678" s="455">
        <f t="shared" ca="1" si="134"/>
        <v>-28902918055.822754</v>
      </c>
      <c r="M2678" s="471">
        <f t="shared" si="136"/>
        <v>0.05</v>
      </c>
      <c r="N2678" s="475">
        <f t="shared" si="137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35"/>
        <v>-28902918055.822754</v>
      </c>
      <c r="J2679" s="455">
        <f t="array" ref="J2679">IFERROR(INDEX('Retirement Calculator'!K:K,MATCH('Lorri 401b'!N2679,'Retirement Calculator'!A:A,0),0),0)</f>
        <v>0</v>
      </c>
      <c r="K2679" s="455">
        <f t="shared" ca="1" si="133"/>
        <v>-120428825.23259479</v>
      </c>
      <c r="L2679" s="455">
        <f t="shared" ca="1" si="134"/>
        <v>-29023346881.055347</v>
      </c>
      <c r="M2679" s="471">
        <f t="shared" si="136"/>
        <v>0.05</v>
      </c>
      <c r="N2679" s="475">
        <f t="shared" si="137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35"/>
        <v>-29023346881.055347</v>
      </c>
      <c r="J2680" s="455">
        <f t="array" ref="J2680">IFERROR(INDEX('Retirement Calculator'!K:K,MATCH('Lorri 401b'!N2680,'Retirement Calculator'!A:A,0),0),0)</f>
        <v>0</v>
      </c>
      <c r="K2680" s="455">
        <f t="shared" ca="1" si="133"/>
        <v>-120930612.00439727</v>
      </c>
      <c r="L2680" s="455">
        <f t="shared" ca="1" si="134"/>
        <v>-29144277493.059746</v>
      </c>
      <c r="M2680" s="471">
        <f t="shared" si="136"/>
        <v>0.05</v>
      </c>
      <c r="N2680" s="475">
        <f t="shared" si="137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35"/>
        <v>-29144277493.059746</v>
      </c>
      <c r="J2681" s="455">
        <f t="array" ref="J2681">IFERROR(INDEX('Retirement Calculator'!K:K,MATCH('Lorri 401b'!N2681,'Retirement Calculator'!A:A,0),0),0)</f>
        <v>0</v>
      </c>
      <c r="K2681" s="455">
        <f t="shared" ca="1" si="133"/>
        <v>-121434489.55441558</v>
      </c>
      <c r="L2681" s="455">
        <f t="shared" ca="1" si="134"/>
        <v>-29265711982.614162</v>
      </c>
      <c r="M2681" s="471">
        <f t="shared" si="136"/>
        <v>0.05</v>
      </c>
      <c r="N2681" s="475">
        <f t="shared" si="137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35"/>
        <v>-29265711982.614162</v>
      </c>
      <c r="J2682" s="455">
        <f t="array" ref="J2682">IFERROR(INDEX('Retirement Calculator'!K:K,MATCH('Lorri 401b'!N2682,'Retirement Calculator'!A:A,0),0),0)</f>
        <v>0</v>
      </c>
      <c r="K2682" s="455">
        <f t="shared" ca="1" si="133"/>
        <v>-121940466.59422567</v>
      </c>
      <c r="L2682" s="455">
        <f t="shared" ca="1" si="134"/>
        <v>-29387652449.208389</v>
      </c>
      <c r="M2682" s="471">
        <f t="shared" si="136"/>
        <v>0.05</v>
      </c>
      <c r="N2682" s="475">
        <f t="shared" si="137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35"/>
        <v>-29387652449.208389</v>
      </c>
      <c r="J2683" s="455">
        <f t="array" ref="J2683">IFERROR(INDEX('Retirement Calculator'!K:K,MATCH('Lorri 401b'!N2683,'Retirement Calculator'!A:A,0),0),0)</f>
        <v>0</v>
      </c>
      <c r="K2683" s="455">
        <f t="shared" ca="1" si="133"/>
        <v>-122448551.8717016</v>
      </c>
      <c r="L2683" s="455">
        <f t="shared" ca="1" si="134"/>
        <v>-29510101001.08009</v>
      </c>
      <c r="M2683" s="471">
        <f t="shared" si="136"/>
        <v>0.05</v>
      </c>
      <c r="N2683" s="475">
        <f t="shared" si="137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35"/>
        <v>-29510101001.08009</v>
      </c>
      <c r="J2684" s="455">
        <f t="array" ref="J2684">IFERROR(INDEX('Retirement Calculator'!K:K,MATCH('Lorri 401b'!N2684,'Retirement Calculator'!A:A,0),0),0)</f>
        <v>0</v>
      </c>
      <c r="K2684" s="455">
        <f t="shared" ca="1" si="133"/>
        <v>-122958754.17116703</v>
      </c>
      <c r="L2684" s="455">
        <f t="shared" ca="1" si="134"/>
        <v>-29633059755.251255</v>
      </c>
      <c r="M2684" s="471">
        <f t="shared" si="136"/>
        <v>0.05</v>
      </c>
      <c r="N2684" s="475">
        <f t="shared" si="137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35"/>
        <v>-29633059755.251255</v>
      </c>
      <c r="J2685" s="455">
        <f t="array" ref="J2685">IFERROR(INDEX('Retirement Calculator'!K:K,MATCH('Lorri 401b'!N2685,'Retirement Calculator'!A:A,0),0),0)</f>
        <v>0</v>
      </c>
      <c r="K2685" s="455">
        <f t="shared" ca="1" si="133"/>
        <v>-123471082.3135469</v>
      </c>
      <c r="L2685" s="455">
        <f t="shared" ca="1" si="134"/>
        <v>-29756530837.5648</v>
      </c>
      <c r="M2685" s="471">
        <f t="shared" si="136"/>
        <v>0.05</v>
      </c>
      <c r="N2685" s="475">
        <f t="shared" si="137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35"/>
        <v>-29756530837.5648</v>
      </c>
      <c r="J2686" s="455">
        <f t="array" ref="J2686">IFERROR(INDEX('Retirement Calculator'!K:K,MATCH('Lorri 401b'!N2686,'Retirement Calculator'!A:A,0),0),0)</f>
        <v>0</v>
      </c>
      <c r="K2686" s="455">
        <f t="shared" ca="1" si="133"/>
        <v>-123985545.15651999</v>
      </c>
      <c r="L2686" s="455">
        <f t="shared" ca="1" si="134"/>
        <v>-29880516382.721321</v>
      </c>
      <c r="M2686" s="471">
        <f t="shared" si="136"/>
        <v>0.05</v>
      </c>
      <c r="N2686" s="475">
        <f t="shared" si="137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35"/>
        <v>-29880516382.721321</v>
      </c>
      <c r="J2687" s="455">
        <f t="array" ref="J2687">IFERROR(INDEX('Retirement Calculator'!K:K,MATCH('Lorri 401b'!N2687,'Retirement Calculator'!A:A,0),0),0)</f>
        <v>0</v>
      </c>
      <c r="K2687" s="455">
        <f t="shared" ca="1" si="133"/>
        <v>-124502151.59467217</v>
      </c>
      <c r="L2687" s="455">
        <f t="shared" ca="1" si="134"/>
        <v>-30005018534.315994</v>
      </c>
      <c r="M2687" s="471">
        <f t="shared" si="136"/>
        <v>0.05</v>
      </c>
      <c r="N2687" s="475">
        <f t="shared" si="137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35"/>
        <v>-30005018534.315994</v>
      </c>
      <c r="J2688" s="455">
        <f t="array" ref="J2688">IFERROR(INDEX('Retirement Calculator'!K:K,MATCH('Lorri 401b'!N2688,'Retirement Calculator'!A:A,0),0),0)</f>
        <v>0</v>
      </c>
      <c r="K2688" s="455">
        <f t="shared" ca="1" si="133"/>
        <v>-125020910.55964997</v>
      </c>
      <c r="L2688" s="455">
        <f t="shared" ca="1" si="134"/>
        <v>-30130039444.875645</v>
      </c>
      <c r="M2688" s="471">
        <f t="shared" si="136"/>
        <v>0.05</v>
      </c>
      <c r="N2688" s="475">
        <f t="shared" si="137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35"/>
        <v>-30130039444.875645</v>
      </c>
      <c r="J2689" s="455">
        <f t="array" ref="J2689">IFERROR(INDEX('Retirement Calculator'!K:K,MATCH('Lorri 401b'!N2689,'Retirement Calculator'!A:A,0),0),0)</f>
        <v>0</v>
      </c>
      <c r="K2689" s="455">
        <f t="shared" ca="1" si="133"/>
        <v>-125541831.02031517</v>
      </c>
      <c r="L2689" s="455">
        <f t="shared" ca="1" si="134"/>
        <v>-30255581275.895958</v>
      </c>
      <c r="M2689" s="471">
        <f t="shared" si="136"/>
        <v>0.05</v>
      </c>
      <c r="N2689" s="475">
        <f t="shared" si="137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35"/>
        <v>-30255581275.895958</v>
      </c>
      <c r="J2690" s="455">
        <f t="array" ref="J2690">IFERROR(INDEX('Retirement Calculator'!K:K,MATCH('Lorri 401b'!N2690,'Retirement Calculator'!A:A,0),0),0)</f>
        <v>0</v>
      </c>
      <c r="K2690" s="455">
        <f t="shared" ca="1" si="133"/>
        <v>-126064921.98289983</v>
      </c>
      <c r="L2690" s="455">
        <f t="shared" ca="1" si="134"/>
        <v>-30381646197.878857</v>
      </c>
      <c r="M2690" s="471">
        <f t="shared" si="136"/>
        <v>0.05</v>
      </c>
      <c r="N2690" s="475">
        <f t="shared" si="137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35"/>
        <v>-30381646197.878857</v>
      </c>
      <c r="J2691" s="455">
        <f t="array" ref="J2691">IFERROR(INDEX('Retirement Calculator'!K:K,MATCH('Lorri 401b'!N2691,'Retirement Calculator'!A:A,0),0),0)</f>
        <v>0</v>
      </c>
      <c r="K2691" s="455">
        <f t="shared" ca="1" si="133"/>
        <v>-126590192.49116191</v>
      </c>
      <c r="L2691" s="455">
        <f t="shared" ca="1" si="134"/>
        <v>-30508236390.370018</v>
      </c>
      <c r="M2691" s="471">
        <f t="shared" si="136"/>
        <v>0.05</v>
      </c>
      <c r="N2691" s="475">
        <f t="shared" si="137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35"/>
        <v>-30508236390.370018</v>
      </c>
      <c r="J2692" s="455">
        <f t="array" ref="J2692">IFERROR(INDEX('Retirement Calculator'!K:K,MATCH('Lorri 401b'!N2692,'Retirement Calculator'!A:A,0),0),0)</f>
        <v>0</v>
      </c>
      <c r="K2692" s="455">
        <f t="shared" ca="1" si="133"/>
        <v>-127117651.62654173</v>
      </c>
      <c r="L2692" s="455">
        <f t="shared" ca="1" si="134"/>
        <v>-30635354041.996559</v>
      </c>
      <c r="M2692" s="471">
        <f t="shared" si="136"/>
        <v>0.05</v>
      </c>
      <c r="N2692" s="475">
        <f t="shared" si="137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35"/>
        <v>-30635354041.996559</v>
      </c>
      <c r="J2693" s="455">
        <f t="array" ref="J2693">IFERROR(INDEX('Retirement Calculator'!K:K,MATCH('Lorri 401b'!N2693,'Retirement Calculator'!A:A,0),0),0)</f>
        <v>0</v>
      </c>
      <c r="K2693" s="455">
        <f t="shared" ca="1" si="133"/>
        <v>-127647308.50831901</v>
      </c>
      <c r="L2693" s="455">
        <f t="shared" ca="1" si="134"/>
        <v>-30763001350.504879</v>
      </c>
      <c r="M2693" s="471">
        <f t="shared" si="136"/>
        <v>0.05</v>
      </c>
      <c r="N2693" s="475">
        <f t="shared" si="137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35"/>
        <v>-30763001350.504879</v>
      </c>
      <c r="J2694" s="455">
        <f t="array" ref="J2694">IFERROR(INDEX('Retirement Calculator'!K:K,MATCH('Lorri 401b'!N2694,'Retirement Calculator'!A:A,0),0),0)</f>
        <v>0</v>
      </c>
      <c r="K2694" s="455">
        <f t="shared" ca="1" si="133"/>
        <v>-128179172.29377033</v>
      </c>
      <c r="L2694" s="455">
        <f t="shared" ca="1" si="134"/>
        <v>-30891180522.798649</v>
      </c>
      <c r="M2694" s="471">
        <f t="shared" si="136"/>
        <v>0.05</v>
      </c>
      <c r="N2694" s="475">
        <f t="shared" si="137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35"/>
        <v>-30891180522.798649</v>
      </c>
      <c r="J2695" s="455">
        <f t="array" ref="J2695">IFERROR(INDEX('Retirement Calculator'!K:K,MATCH('Lorri 401b'!N2695,'Retirement Calculator'!A:A,0),0),0)</f>
        <v>0</v>
      </c>
      <c r="K2695" s="455">
        <f t="shared" ca="1" si="133"/>
        <v>-128713252.17832769</v>
      </c>
      <c r="L2695" s="455">
        <f t="shared" ca="1" si="134"/>
        <v>-31019893774.976978</v>
      </c>
      <c r="M2695" s="471">
        <f t="shared" si="136"/>
        <v>0.05</v>
      </c>
      <c r="N2695" s="475">
        <f t="shared" si="137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35"/>
        <v>-31019893774.976978</v>
      </c>
      <c r="J2696" s="455">
        <f t="array" ref="J2696">IFERROR(INDEX('Retirement Calculator'!K:K,MATCH('Lorri 401b'!N2696,'Retirement Calculator'!A:A,0),0),0)</f>
        <v>0</v>
      </c>
      <c r="K2696" s="455">
        <f t="shared" ca="1" si="133"/>
        <v>-129249557.39573741</v>
      </c>
      <c r="L2696" s="455">
        <f t="shared" ca="1" si="134"/>
        <v>-31149143332.372715</v>
      </c>
      <c r="M2696" s="471">
        <f t="shared" si="136"/>
        <v>0.05</v>
      </c>
      <c r="N2696" s="475">
        <f t="shared" si="137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35"/>
        <v>-31149143332.372715</v>
      </c>
      <c r="J2697" s="455">
        <f t="array" ref="J2697">IFERROR(INDEX('Retirement Calculator'!K:K,MATCH('Lorri 401b'!N2697,'Retirement Calculator'!A:A,0),0),0)</f>
        <v>0</v>
      </c>
      <c r="K2697" s="455">
        <f t="shared" ca="1" si="133"/>
        <v>-129788097.21821964</v>
      </c>
      <c r="L2697" s="455">
        <f t="shared" ca="1" si="134"/>
        <v>-31278931429.590935</v>
      </c>
      <c r="M2697" s="471">
        <f t="shared" si="136"/>
        <v>0.05</v>
      </c>
      <c r="N2697" s="475">
        <f t="shared" si="137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35"/>
        <v>-31278931429.590935</v>
      </c>
      <c r="J2698" s="455">
        <f t="array" ref="J2698">IFERROR(INDEX('Retirement Calculator'!K:K,MATCH('Lorri 401b'!N2698,'Retirement Calculator'!A:A,0),0),0)</f>
        <v>0</v>
      </c>
      <c r="K2698" s="455">
        <f t="shared" ca="1" si="133"/>
        <v>-130328880.9566289</v>
      </c>
      <c r="L2698" s="455">
        <f t="shared" ca="1" si="134"/>
        <v>-31409260310.547565</v>
      </c>
      <c r="M2698" s="471">
        <f t="shared" si="136"/>
        <v>0.05</v>
      </c>
      <c r="N2698" s="475">
        <f t="shared" si="137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35"/>
        <v>-31409260310.547565</v>
      </c>
      <c r="J2699" s="455">
        <f t="array" ref="J2699">IFERROR(INDEX('Retirement Calculator'!K:K,MATCH('Lorri 401b'!N2699,'Retirement Calculator'!A:A,0),0),0)</f>
        <v>0</v>
      </c>
      <c r="K2699" s="455">
        <f t="shared" ca="1" si="133"/>
        <v>-130871917.96061486</v>
      </c>
      <c r="L2699" s="455">
        <f t="shared" ca="1" si="134"/>
        <v>-31540132228.508179</v>
      </c>
      <c r="M2699" s="471">
        <f t="shared" si="136"/>
        <v>0.05</v>
      </c>
      <c r="N2699" s="475">
        <f t="shared" si="137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35"/>
        <v>-31540132228.508179</v>
      </c>
      <c r="J2700" s="455">
        <f t="array" ref="J2700">IFERROR(INDEX('Retirement Calculator'!K:K,MATCH('Lorri 401b'!N2700,'Retirement Calculator'!A:A,0),0),0)</f>
        <v>0</v>
      </c>
      <c r="K2700" s="455">
        <f t="shared" ca="1" si="133"/>
        <v>-131417217.61878408</v>
      </c>
      <c r="L2700" s="455">
        <f t="shared" ca="1" si="134"/>
        <v>-31671549446.126965</v>
      </c>
      <c r="M2700" s="471">
        <f t="shared" si="136"/>
        <v>0.05</v>
      </c>
      <c r="N2700" s="475">
        <f t="shared" si="137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35"/>
        <v>-31671549446.126965</v>
      </c>
      <c r="J2701" s="455">
        <f t="array" ref="J2701">IFERROR(INDEX('Retirement Calculator'!K:K,MATCH('Lorri 401b'!N2701,'Retirement Calculator'!A:A,0),0),0)</f>
        <v>0</v>
      </c>
      <c r="K2701" s="455">
        <f t="shared" ca="1" si="133"/>
        <v>-131964789.35886234</v>
      </c>
      <c r="L2701" s="455">
        <f t="shared" ca="1" si="134"/>
        <v>-31803514235.485828</v>
      </c>
      <c r="M2701" s="471">
        <f t="shared" si="136"/>
        <v>0.05</v>
      </c>
      <c r="N2701" s="475">
        <f t="shared" si="137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35"/>
        <v>-31803514235.485828</v>
      </c>
      <c r="J2702" s="455">
        <f t="array" ref="J2702">IFERROR(INDEX('Retirement Calculator'!K:K,MATCH('Lorri 401b'!N2702,'Retirement Calculator'!A:A,0),0),0)</f>
        <v>0</v>
      </c>
      <c r="K2702" s="455">
        <f t="shared" ca="1" si="133"/>
        <v>-132514642.64785764</v>
      </c>
      <c r="L2702" s="455">
        <f t="shared" ca="1" si="134"/>
        <v>-31936028878.133686</v>
      </c>
      <c r="M2702" s="471">
        <f t="shared" si="136"/>
        <v>0.05</v>
      </c>
      <c r="N2702" s="475">
        <f t="shared" si="137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35"/>
        <v>-31936028878.133686</v>
      </c>
      <c r="J2703" s="455">
        <f t="array" ref="J2703">IFERROR(INDEX('Retirement Calculator'!K:K,MATCH('Lorri 401b'!N2703,'Retirement Calculator'!A:A,0),0),0)</f>
        <v>0</v>
      </c>
      <c r="K2703" s="455">
        <f t="shared" ca="1" si="133"/>
        <v>-133066786.99222368</v>
      </c>
      <c r="L2703" s="455">
        <f t="shared" ca="1" si="134"/>
        <v>-32069095665.125908</v>
      </c>
      <c r="M2703" s="471">
        <f t="shared" si="136"/>
        <v>0.05</v>
      </c>
      <c r="N2703" s="475">
        <f t="shared" si="137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35"/>
        <v>-32069095665.125908</v>
      </c>
      <c r="J2704" s="455">
        <f t="array" ref="J2704">IFERROR(INDEX('Retirement Calculator'!K:K,MATCH('Lorri 401b'!N2704,'Retirement Calculator'!A:A,0),0),0)</f>
        <v>0</v>
      </c>
      <c r="K2704" s="455">
        <f t="shared" ca="1" si="133"/>
        <v>-133621231.93802461</v>
      </c>
      <c r="L2704" s="455">
        <f t="shared" ca="1" si="134"/>
        <v>-32202716897.063934</v>
      </c>
      <c r="M2704" s="471">
        <f t="shared" si="136"/>
        <v>0.05</v>
      </c>
      <c r="N2704" s="475">
        <f t="shared" si="137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35"/>
        <v>-32202716897.063934</v>
      </c>
      <c r="J2705" s="455">
        <f t="array" ref="J2705">IFERROR(INDEX('Retirement Calculator'!K:K,MATCH('Lorri 401b'!N2705,'Retirement Calculator'!A:A,0),0),0)</f>
        <v>0</v>
      </c>
      <c r="K2705" s="455">
        <f t="shared" ca="1" si="133"/>
        <v>-134177987.07109973</v>
      </c>
      <c r="L2705" s="455">
        <f t="shared" ca="1" si="134"/>
        <v>-32336894884.135033</v>
      </c>
      <c r="M2705" s="471">
        <f t="shared" si="136"/>
        <v>0.05</v>
      </c>
      <c r="N2705" s="475">
        <f t="shared" si="137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35"/>
        <v>-32336894884.135033</v>
      </c>
      <c r="J2706" s="455">
        <f t="array" ref="J2706">IFERROR(INDEX('Retirement Calculator'!K:K,MATCH('Lorri 401b'!N2706,'Retirement Calculator'!A:A,0),0),0)</f>
        <v>0</v>
      </c>
      <c r="K2706" s="455">
        <f t="shared" ca="1" si="133"/>
        <v>-134737062.01722929</v>
      </c>
      <c r="L2706" s="455">
        <f t="shared" ca="1" si="134"/>
        <v>-32471631946.152264</v>
      </c>
      <c r="M2706" s="471">
        <f t="shared" si="136"/>
        <v>0.05</v>
      </c>
      <c r="N2706" s="475">
        <f t="shared" si="137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35"/>
        <v>-32471631946.152264</v>
      </c>
      <c r="J2707" s="455">
        <f t="array" ref="J2707">IFERROR(INDEX('Retirement Calculator'!K:K,MATCH('Lorri 401b'!N2707,'Retirement Calculator'!A:A,0),0),0)</f>
        <v>0</v>
      </c>
      <c r="K2707" s="455">
        <f t="shared" ca="1" si="133"/>
        <v>-135298466.44230109</v>
      </c>
      <c r="L2707" s="455">
        <f t="shared" ca="1" si="134"/>
        <v>-32606930412.594566</v>
      </c>
      <c r="M2707" s="471">
        <f t="shared" si="136"/>
        <v>0.05</v>
      </c>
      <c r="N2707" s="475">
        <f t="shared" si="137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35"/>
        <v>-32606930412.594566</v>
      </c>
      <c r="J2708" s="455">
        <f t="array" ref="J2708">IFERROR(INDEX('Retirement Calculator'!K:K,MATCH('Lorri 401b'!N2708,'Retirement Calculator'!A:A,0),0),0)</f>
        <v>0</v>
      </c>
      <c r="K2708" s="455">
        <f t="shared" ca="1" si="133"/>
        <v>-135862210.05247733</v>
      </c>
      <c r="L2708" s="455">
        <f t="shared" ca="1" si="134"/>
        <v>-32742792622.647045</v>
      </c>
      <c r="M2708" s="471">
        <f t="shared" si="136"/>
        <v>0.05</v>
      </c>
      <c r="N2708" s="475">
        <f t="shared" si="137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35"/>
        <v>-32742792622.647045</v>
      </c>
      <c r="J2709" s="455">
        <f t="array" ref="J2709">IFERROR(INDEX('Retirement Calculator'!K:K,MATCH('Lorri 401b'!N2709,'Retirement Calculator'!A:A,0),0),0)</f>
        <v>0</v>
      </c>
      <c r="K2709" s="455">
        <f t="shared" ca="1" si="133"/>
        <v>-136428302.59436268</v>
      </c>
      <c r="L2709" s="455">
        <f t="shared" ca="1" si="134"/>
        <v>-32879220925.241409</v>
      </c>
      <c r="M2709" s="471">
        <f t="shared" si="136"/>
        <v>0.05</v>
      </c>
      <c r="N2709" s="475">
        <f t="shared" si="137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35"/>
        <v>-32879220925.241409</v>
      </c>
      <c r="J2710" s="455">
        <f t="array" ref="J2710">IFERROR(INDEX('Retirement Calculator'!K:K,MATCH('Lorri 401b'!N2710,'Retirement Calculator'!A:A,0),0),0)</f>
        <v>0</v>
      </c>
      <c r="K2710" s="455">
        <f t="shared" ca="1" si="133"/>
        <v>-136996753.85517254</v>
      </c>
      <c r="L2710" s="455">
        <f t="shared" ca="1" si="134"/>
        <v>-33016217679.096581</v>
      </c>
      <c r="M2710" s="471">
        <f t="shared" si="136"/>
        <v>0.05</v>
      </c>
      <c r="N2710" s="475">
        <f t="shared" si="137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35"/>
        <v>-33016217679.096581</v>
      </c>
      <c r="J2711" s="455">
        <f t="array" ref="J2711">IFERROR(INDEX('Retirement Calculator'!K:K,MATCH('Lorri 401b'!N2711,'Retirement Calculator'!A:A,0),0),0)</f>
        <v>0</v>
      </c>
      <c r="K2711" s="455">
        <f t="shared" ca="1" si="133"/>
        <v>-137567573.66290241</v>
      </c>
      <c r="L2711" s="455">
        <f t="shared" ca="1" si="134"/>
        <v>-33153785252.759483</v>
      </c>
      <c r="M2711" s="471">
        <f t="shared" si="136"/>
        <v>0.05</v>
      </c>
      <c r="N2711" s="475">
        <f t="shared" si="137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35"/>
        <v>-33153785252.759483</v>
      </c>
      <c r="J2712" s="455">
        <f t="array" ref="J2712">IFERROR(INDEX('Retirement Calculator'!K:K,MATCH('Lorri 401b'!N2712,'Retirement Calculator'!A:A,0),0),0)</f>
        <v>0</v>
      </c>
      <c r="K2712" s="455">
        <f t="shared" ca="1" si="133"/>
        <v>-138140771.88649786</v>
      </c>
      <c r="L2712" s="455">
        <f t="shared" ca="1" si="134"/>
        <v>-33291926024.645981</v>
      </c>
      <c r="M2712" s="471">
        <f t="shared" si="136"/>
        <v>0.05</v>
      </c>
      <c r="N2712" s="475">
        <f t="shared" si="137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35"/>
        <v>-33291926024.645981</v>
      </c>
      <c r="J2713" s="455">
        <f t="array" ref="J2713">IFERROR(INDEX('Retirement Calculator'!K:K,MATCH('Lorri 401b'!N2713,'Retirement Calculator'!A:A,0),0),0)</f>
        <v>0</v>
      </c>
      <c r="K2713" s="455">
        <f t="shared" ca="1" si="133"/>
        <v>-138716358.4360249</v>
      </c>
      <c r="L2713" s="455">
        <f t="shared" ca="1" si="134"/>
        <v>-33430642383.082005</v>
      </c>
      <c r="M2713" s="471">
        <f t="shared" si="136"/>
        <v>0.05</v>
      </c>
      <c r="N2713" s="475">
        <f t="shared" si="137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35"/>
        <v>-33430642383.082005</v>
      </c>
      <c r="J2714" s="455">
        <f t="array" ref="J2714">IFERROR(INDEX('Retirement Calculator'!K:K,MATCH('Lorri 401b'!N2714,'Retirement Calculator'!A:A,0),0),0)</f>
        <v>0</v>
      </c>
      <c r="K2714" s="455">
        <f t="shared" ca="1" si="133"/>
        <v>-139294343.26284167</v>
      </c>
      <c r="L2714" s="455">
        <f t="shared" ca="1" si="134"/>
        <v>-33569936726.344845</v>
      </c>
      <c r="M2714" s="471">
        <f t="shared" si="136"/>
        <v>0.05</v>
      </c>
      <c r="N2714" s="475">
        <f t="shared" si="137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35"/>
        <v>-33569936726.344845</v>
      </c>
      <c r="J2715" s="455">
        <f t="array" ref="J2715">IFERROR(INDEX('Retirement Calculator'!K:K,MATCH('Lorri 401b'!N2715,'Retirement Calculator'!A:A,0),0),0)</f>
        <v>0</v>
      </c>
      <c r="K2715" s="455">
        <f t="shared" ca="1" si="133"/>
        <v>-139874736.35977018</v>
      </c>
      <c r="L2715" s="455">
        <f t="shared" ca="1" si="134"/>
        <v>-33709811462.704617</v>
      </c>
      <c r="M2715" s="471">
        <f t="shared" si="136"/>
        <v>0.05</v>
      </c>
      <c r="N2715" s="475">
        <f t="shared" si="137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35"/>
        <v>-33709811462.704617</v>
      </c>
      <c r="J2716" s="455">
        <f t="array" ref="J2716">IFERROR(INDEX('Retirement Calculator'!K:K,MATCH('Lorri 401b'!N2716,'Retirement Calculator'!A:A,0),0),0)</f>
        <v>0</v>
      </c>
      <c r="K2716" s="455">
        <f t="shared" ca="1" si="133"/>
        <v>-140457547.76126924</v>
      </c>
      <c r="L2716" s="455">
        <f t="shared" ca="1" si="134"/>
        <v>-33850269010.465885</v>
      </c>
      <c r="M2716" s="471">
        <f t="shared" si="136"/>
        <v>0.05</v>
      </c>
      <c r="N2716" s="475">
        <f t="shared" si="137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35"/>
        <v>-33850269010.465885</v>
      </c>
      <c r="J2717" s="455">
        <f t="array" ref="J2717">IFERROR(INDEX('Retirement Calculator'!K:K,MATCH('Lorri 401b'!N2717,'Retirement Calculator'!A:A,0),0),0)</f>
        <v>0</v>
      </c>
      <c r="K2717" s="455">
        <f t="shared" ca="1" si="133"/>
        <v>-141042787.54360786</v>
      </c>
      <c r="L2717" s="455">
        <f t="shared" ca="1" si="134"/>
        <v>-33991311798.009495</v>
      </c>
      <c r="M2717" s="471">
        <f t="shared" si="136"/>
        <v>0.05</v>
      </c>
      <c r="N2717" s="475">
        <f t="shared" si="137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35"/>
        <v>-33991311798.009495</v>
      </c>
      <c r="J2718" s="455">
        <f t="array" ref="J2718">IFERROR(INDEX('Retirement Calculator'!K:K,MATCH('Lorri 401b'!N2718,'Retirement Calculator'!A:A,0),0),0)</f>
        <v>0</v>
      </c>
      <c r="K2718" s="455">
        <f t="shared" ca="1" si="133"/>
        <v>-141630465.82503957</v>
      </c>
      <c r="L2718" s="455">
        <f t="shared" ca="1" si="134"/>
        <v>-34132942263.834534</v>
      </c>
      <c r="M2718" s="471">
        <f t="shared" si="136"/>
        <v>0.05</v>
      </c>
      <c r="N2718" s="475">
        <f t="shared" si="137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35"/>
        <v>-34132942263.834534</v>
      </c>
      <c r="J2719" s="455">
        <f t="array" ref="J2719">IFERROR(INDEX('Retirement Calculator'!K:K,MATCH('Lorri 401b'!N2719,'Retirement Calculator'!A:A,0),0),0)</f>
        <v>0</v>
      </c>
      <c r="K2719" s="455">
        <f t="shared" ca="1" si="133"/>
        <v>-142220592.76597723</v>
      </c>
      <c r="L2719" s="455">
        <f t="shared" ca="1" si="134"/>
        <v>-34275162856.60051</v>
      </c>
      <c r="M2719" s="471">
        <f t="shared" si="136"/>
        <v>0.05</v>
      </c>
      <c r="N2719" s="475">
        <f t="shared" si="137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35"/>
        <v>-34275162856.60051</v>
      </c>
      <c r="J2720" s="455">
        <f t="array" ref="J2720">IFERROR(INDEX('Retirement Calculator'!K:K,MATCH('Lorri 401b'!N2720,'Retirement Calculator'!A:A,0),0),0)</f>
        <v>0</v>
      </c>
      <c r="K2720" s="455">
        <f t="shared" ca="1" si="133"/>
        <v>-142813178.56916878</v>
      </c>
      <c r="L2720" s="455">
        <f t="shared" ca="1" si="134"/>
        <v>-34417976035.169678</v>
      </c>
      <c r="M2720" s="471">
        <f t="shared" si="136"/>
        <v>0.05</v>
      </c>
      <c r="N2720" s="475">
        <f t="shared" si="137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35"/>
        <v>-34417976035.169678</v>
      </c>
      <c r="J2721" s="455">
        <f t="array" ref="J2721">IFERROR(INDEX('Retirement Calculator'!K:K,MATCH('Lorri 401b'!N2721,'Retirement Calculator'!A:A,0),0),0)</f>
        <v>0</v>
      </c>
      <c r="K2721" s="455">
        <f t="shared" ca="1" si="133"/>
        <v>-143408233.47987366</v>
      </c>
      <c r="L2721" s="455">
        <f t="shared" ca="1" si="134"/>
        <v>-34561384268.649551</v>
      </c>
      <c r="M2721" s="471">
        <f t="shared" si="136"/>
        <v>0.05</v>
      </c>
      <c r="N2721" s="475">
        <f t="shared" si="137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35"/>
        <v>-34561384268.649551</v>
      </c>
      <c r="J2722" s="455">
        <f t="array" ref="J2722">IFERROR(INDEX('Retirement Calculator'!K:K,MATCH('Lorri 401b'!N2722,'Retirement Calculator'!A:A,0),0),0)</f>
        <v>0</v>
      </c>
      <c r="K2722" s="455">
        <f t="shared" ca="1" si="133"/>
        <v>-144005767.7860398</v>
      </c>
      <c r="L2722" s="455">
        <f t="shared" ca="1" si="134"/>
        <v>-34705390036.435593</v>
      </c>
      <c r="M2722" s="471">
        <f t="shared" si="136"/>
        <v>0.05</v>
      </c>
      <c r="N2722" s="475">
        <f t="shared" si="137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35"/>
        <v>-34705390036.435593</v>
      </c>
      <c r="J2723" s="455">
        <f t="array" ref="J2723">IFERROR(INDEX('Retirement Calculator'!K:K,MATCH('Lorri 401b'!N2723,'Retirement Calculator'!A:A,0),0),0)</f>
        <v>0</v>
      </c>
      <c r="K2723" s="455">
        <f t="shared" ca="1" si="133"/>
        <v>-144605791.81848162</v>
      </c>
      <c r="L2723" s="455">
        <f t="shared" ca="1" si="134"/>
        <v>-34849995828.254074</v>
      </c>
      <c r="M2723" s="471">
        <f t="shared" si="136"/>
        <v>0.05</v>
      </c>
      <c r="N2723" s="475">
        <f t="shared" si="137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35"/>
        <v>-34849995828.254074</v>
      </c>
      <c r="J2724" s="455">
        <f t="array" ref="J2724">IFERROR(INDEX('Retirement Calculator'!K:K,MATCH('Lorri 401b'!N2724,'Retirement Calculator'!A:A,0),0),0)</f>
        <v>0</v>
      </c>
      <c r="K2724" s="455">
        <f t="shared" ca="1" si="133"/>
        <v>-145208315.95105863</v>
      </c>
      <c r="L2724" s="455">
        <f t="shared" ca="1" si="134"/>
        <v>-34995204144.205132</v>
      </c>
      <c r="M2724" s="471">
        <f t="shared" si="136"/>
        <v>0.05</v>
      </c>
      <c r="N2724" s="475">
        <f t="shared" si="137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35"/>
        <v>-34995204144.205132</v>
      </c>
      <c r="J2725" s="455">
        <f t="array" ref="J2725">IFERROR(INDEX('Retirement Calculator'!K:K,MATCH('Lorri 401b'!N2725,'Retirement Calculator'!A:A,0),0),0)</f>
        <v>0</v>
      </c>
      <c r="K2725" s="455">
        <f t="shared" ca="1" si="133"/>
        <v>-145813350.60085472</v>
      </c>
      <c r="L2725" s="455">
        <f t="shared" ca="1" si="134"/>
        <v>-35141017494.805984</v>
      </c>
      <c r="M2725" s="471">
        <f t="shared" si="136"/>
        <v>0.05</v>
      </c>
      <c r="N2725" s="475">
        <f t="shared" si="137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35"/>
        <v>-35141017494.805984</v>
      </c>
      <c r="J2726" s="455">
        <f t="array" ref="J2726">IFERROR(INDEX('Retirement Calculator'!K:K,MATCH('Lorri 401b'!N2726,'Retirement Calculator'!A:A,0),0),0)</f>
        <v>0</v>
      </c>
      <c r="K2726" s="455">
        <f t="shared" ca="1" si="133"/>
        <v>-146420906.22835827</v>
      </c>
      <c r="L2726" s="455">
        <f t="shared" ca="1" si="134"/>
        <v>-35287438401.03434</v>
      </c>
      <c r="M2726" s="471">
        <f t="shared" si="136"/>
        <v>0.05</v>
      </c>
      <c r="N2726" s="475">
        <f t="shared" si="137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35"/>
        <v>-35287438401.03434</v>
      </c>
      <c r="J2727" s="455">
        <f t="array" ref="J2727">IFERROR(INDEX('Retirement Calculator'!K:K,MATCH('Lorri 401b'!N2727,'Retirement Calculator'!A:A,0),0),0)</f>
        <v>0</v>
      </c>
      <c r="K2727" s="455">
        <f t="shared" ca="1" si="133"/>
        <v>-147030993.33764309</v>
      </c>
      <c r="L2727" s="455">
        <f t="shared" ca="1" si="134"/>
        <v>-35434469394.371986</v>
      </c>
      <c r="M2727" s="471">
        <f t="shared" si="136"/>
        <v>0.05</v>
      </c>
      <c r="N2727" s="475">
        <f t="shared" si="137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35"/>
        <v>-35434469394.371986</v>
      </c>
      <c r="J2728" s="455">
        <f t="array" ref="J2728">IFERROR(INDEX('Retirement Calculator'!K:K,MATCH('Lorri 401b'!N2728,'Retirement Calculator'!A:A,0),0),0)</f>
        <v>0</v>
      </c>
      <c r="K2728" s="455">
        <f t="shared" ca="1" si="133"/>
        <v>-147643622.47654995</v>
      </c>
      <c r="L2728" s="455">
        <f t="shared" ca="1" si="134"/>
        <v>-35582113016.848534</v>
      </c>
      <c r="M2728" s="471">
        <f t="shared" si="136"/>
        <v>0.05</v>
      </c>
      <c r="N2728" s="475">
        <f t="shared" si="137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35"/>
        <v>-35582113016.848534</v>
      </c>
      <c r="J2729" s="455">
        <f t="array" ref="J2729">IFERROR(INDEX('Retirement Calculator'!K:K,MATCH('Lorri 401b'!N2729,'Retirement Calculator'!A:A,0),0),0)</f>
        <v>0</v>
      </c>
      <c r="K2729" s="455">
        <f t="shared" ca="1" si="133"/>
        <v>-148258804.23686889</v>
      </c>
      <c r="L2729" s="455">
        <f t="shared" ca="1" si="134"/>
        <v>-35730371821.085403</v>
      </c>
      <c r="M2729" s="471">
        <f t="shared" si="136"/>
        <v>0.05</v>
      </c>
      <c r="N2729" s="475">
        <f t="shared" si="137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35"/>
        <v>-35730371821.085403</v>
      </c>
      <c r="J2730" s="455">
        <f t="array" ref="J2730">IFERROR(INDEX('Retirement Calculator'!K:K,MATCH('Lorri 401b'!N2730,'Retirement Calculator'!A:A,0),0),0)</f>
        <v>0</v>
      </c>
      <c r="K2730" s="455">
        <f t="shared" ca="1" si="133"/>
        <v>-148876549.2545225</v>
      </c>
      <c r="L2730" s="455">
        <f t="shared" ca="1" si="134"/>
        <v>-35879248370.339928</v>
      </c>
      <c r="M2730" s="471">
        <f t="shared" si="136"/>
        <v>0.05</v>
      </c>
      <c r="N2730" s="475">
        <f t="shared" si="137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35"/>
        <v>-35879248370.339928</v>
      </c>
      <c r="J2731" s="455">
        <f t="array" ref="J2731">IFERROR(INDEX('Retirement Calculator'!K:K,MATCH('Lorri 401b'!N2731,'Retirement Calculator'!A:A,0),0),0)</f>
        <v>0</v>
      </c>
      <c r="K2731" s="455">
        <f t="shared" ca="1" si="133"/>
        <v>-149496868.2097497</v>
      </c>
      <c r="L2731" s="455">
        <f t="shared" ca="1" si="134"/>
        <v>-36028745238.549675</v>
      </c>
      <c r="M2731" s="471">
        <f t="shared" si="136"/>
        <v>0.05</v>
      </c>
      <c r="N2731" s="475">
        <f t="shared" si="137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35"/>
        <v>-36028745238.549675</v>
      </c>
      <c r="J2732" s="455">
        <f t="array" ref="J2732">IFERROR(INDEX('Retirement Calculator'!K:K,MATCH('Lorri 401b'!N2732,'Retirement Calculator'!A:A,0),0),0)</f>
        <v>0</v>
      </c>
      <c r="K2732" s="455">
        <f t="shared" ca="1" si="133"/>
        <v>-150119771.8272903</v>
      </c>
      <c r="L2732" s="455">
        <f t="shared" ca="1" si="134"/>
        <v>-36178865010.376968</v>
      </c>
      <c r="M2732" s="471">
        <f t="shared" si="136"/>
        <v>0.05</v>
      </c>
      <c r="N2732" s="475">
        <f t="shared" si="137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35"/>
        <v>-36178865010.376968</v>
      </c>
      <c r="J2733" s="455">
        <f t="array" ref="J2733">IFERROR(INDEX('Retirement Calculator'!K:K,MATCH('Lorri 401b'!N2733,'Retirement Calculator'!A:A,0),0),0)</f>
        <v>0</v>
      </c>
      <c r="K2733" s="455">
        <f t="shared" ca="1" si="133"/>
        <v>-150745270.8765707</v>
      </c>
      <c r="L2733" s="455">
        <f t="shared" ca="1" si="134"/>
        <v>-36329610281.25354</v>
      </c>
      <c r="M2733" s="471">
        <f t="shared" si="136"/>
        <v>0.05</v>
      </c>
      <c r="N2733" s="475">
        <f t="shared" si="137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35"/>
        <v>-36329610281.25354</v>
      </c>
      <c r="J2734" s="455">
        <f t="array" ref="J2734">IFERROR(INDEX('Retirement Calculator'!K:K,MATCH('Lorri 401b'!N2734,'Retirement Calculator'!A:A,0),0),0)</f>
        <v>0</v>
      </c>
      <c r="K2734" s="455">
        <f t="shared" ca="1" si="133"/>
        <v>-151373376.17188975</v>
      </c>
      <c r="L2734" s="455">
        <f t="shared" ca="1" si="134"/>
        <v>-36480983657.42543</v>
      </c>
      <c r="M2734" s="471">
        <f t="shared" si="136"/>
        <v>0.05</v>
      </c>
      <c r="N2734" s="475">
        <f t="shared" si="137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35"/>
        <v>-36480983657.42543</v>
      </c>
      <c r="J2735" s="455">
        <f t="array" ref="J2735">IFERROR(INDEX('Retirement Calculator'!K:K,MATCH('Lorri 401b'!N2735,'Retirement Calculator'!A:A,0),0),0)</f>
        <v>0</v>
      </c>
      <c r="K2735" s="455">
        <f t="shared" ca="1" si="133"/>
        <v>-152004098.57260597</v>
      </c>
      <c r="L2735" s="455">
        <f t="shared" ca="1" si="134"/>
        <v>-36632987755.998039</v>
      </c>
      <c r="M2735" s="471">
        <f t="shared" si="136"/>
        <v>0.05</v>
      </c>
      <c r="N2735" s="475">
        <f t="shared" si="137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35"/>
        <v>-36632987755.998039</v>
      </c>
      <c r="J2736" s="455">
        <f t="array" ref="J2736">IFERROR(INDEX('Retirement Calculator'!K:K,MATCH('Lorri 401b'!N2736,'Retirement Calculator'!A:A,0),0),0)</f>
        <v>0</v>
      </c>
      <c r="K2736" s="455">
        <f t="shared" ca="1" si="133"/>
        <v>-152637448.98332515</v>
      </c>
      <c r="L2736" s="455">
        <f t="shared" ca="1" si="134"/>
        <v>-36785625204.981361</v>
      </c>
      <c r="M2736" s="471">
        <f t="shared" si="136"/>
        <v>0.05</v>
      </c>
      <c r="N2736" s="475">
        <f t="shared" si="137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35"/>
        <v>-36785625204.981361</v>
      </c>
      <c r="J2737" s="455">
        <f t="array" ref="J2737">IFERROR(INDEX('Retirement Calculator'!K:K,MATCH('Lorri 401b'!N2737,'Retirement Calculator'!A:A,0),0),0)</f>
        <v>0</v>
      </c>
      <c r="K2737" s="455">
        <f t="shared" ca="1" si="133"/>
        <v>-153273438.35408899</v>
      </c>
      <c r="L2737" s="455">
        <f t="shared" ca="1" si="134"/>
        <v>-36938898643.335449</v>
      </c>
      <c r="M2737" s="471">
        <f t="shared" si="136"/>
        <v>0.05</v>
      </c>
      <c r="N2737" s="475">
        <f t="shared" si="137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35"/>
        <v>-36938898643.335449</v>
      </c>
      <c r="J2738" s="455">
        <f t="array" ref="J2738">IFERROR(INDEX('Retirement Calculator'!K:K,MATCH('Lorri 401b'!N2738,'Retirement Calculator'!A:A,0),0),0)</f>
        <v>0</v>
      </c>
      <c r="K2738" s="455">
        <f t="shared" ca="1" si="133"/>
        <v>-153912077.68056437</v>
      </c>
      <c r="L2738" s="455">
        <f t="shared" ca="1" si="134"/>
        <v>-37092810721.016014</v>
      </c>
      <c r="M2738" s="471">
        <f t="shared" si="136"/>
        <v>0.05</v>
      </c>
      <c r="N2738" s="475">
        <f t="shared" si="137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35"/>
        <v>-37092810721.016014</v>
      </c>
      <c r="J2739" s="455">
        <f t="array" ref="J2739">IFERROR(INDEX('Retirement Calculator'!K:K,MATCH('Lorri 401b'!N2739,'Retirement Calculator'!A:A,0),0),0)</f>
        <v>0</v>
      </c>
      <c r="K2739" s="455">
        <f t="shared" ca="1" si="133"/>
        <v>-154553378.00423339</v>
      </c>
      <c r="L2739" s="455">
        <f t="shared" ca="1" si="134"/>
        <v>-37247364099.020248</v>
      </c>
      <c r="M2739" s="471">
        <f t="shared" si="136"/>
        <v>0.05</v>
      </c>
      <c r="N2739" s="475">
        <f t="shared" si="137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35"/>
        <v>-37247364099.020248</v>
      </c>
      <c r="J2740" s="455">
        <f t="array" ref="J2740">IFERROR(INDEX('Retirement Calculator'!K:K,MATCH('Lorri 401b'!N2740,'Retirement Calculator'!A:A,0),0),0)</f>
        <v>0</v>
      </c>
      <c r="K2740" s="455">
        <f t="shared" ca="1" si="133"/>
        <v>-155197350.41258436</v>
      </c>
      <c r="L2740" s="455">
        <f t="shared" ca="1" si="134"/>
        <v>-37402561449.432831</v>
      </c>
      <c r="M2740" s="471">
        <f t="shared" si="136"/>
        <v>0.05</v>
      </c>
      <c r="N2740" s="475">
        <f t="shared" si="137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35"/>
        <v>-37402561449.432831</v>
      </c>
      <c r="J2741" s="455">
        <f t="array" ref="J2741">IFERROR(INDEX('Retirement Calculator'!K:K,MATCH('Lorri 401b'!N2741,'Retirement Calculator'!A:A,0),0),0)</f>
        <v>0</v>
      </c>
      <c r="K2741" s="455">
        <f t="shared" ca="1" si="133"/>
        <v>-155844006.03930345</v>
      </c>
      <c r="L2741" s="455">
        <f t="shared" ca="1" si="134"/>
        <v>-37558405455.472137</v>
      </c>
      <c r="M2741" s="471">
        <f t="shared" si="136"/>
        <v>0.05</v>
      </c>
      <c r="N2741" s="475">
        <f t="shared" si="137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35"/>
        <v>-37558405455.472137</v>
      </c>
      <c r="J2742" s="455">
        <f t="array" ref="J2742">IFERROR(INDEX('Retirement Calculator'!K:K,MATCH('Lorri 401b'!N2742,'Retirement Calculator'!A:A,0),0),0)</f>
        <v>0</v>
      </c>
      <c r="K2742" s="455">
        <f t="shared" ca="1" si="133"/>
        <v>-156493356.06446725</v>
      </c>
      <c r="L2742" s="455">
        <f t="shared" ca="1" si="134"/>
        <v>-37714898811.536606</v>
      </c>
      <c r="M2742" s="471">
        <f t="shared" si="136"/>
        <v>0.05</v>
      </c>
      <c r="N2742" s="475">
        <f t="shared" si="137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35"/>
        <v>-37714898811.536606</v>
      </c>
      <c r="J2743" s="455">
        <f t="array" ref="J2743">IFERROR(INDEX('Retirement Calculator'!K:K,MATCH('Lorri 401b'!N2743,'Retirement Calculator'!A:A,0),0),0)</f>
        <v>0</v>
      </c>
      <c r="K2743" s="455">
        <f t="shared" ca="1" si="133"/>
        <v>-157145411.71473587</v>
      </c>
      <c r="L2743" s="455">
        <f t="shared" ca="1" si="134"/>
        <v>-37872044223.251343</v>
      </c>
      <c r="M2743" s="471">
        <f t="shared" si="136"/>
        <v>0.05</v>
      </c>
      <c r="N2743" s="475">
        <f t="shared" si="137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35"/>
        <v>-37872044223.251343</v>
      </c>
      <c r="J2744" s="455">
        <f t="array" ref="J2744">IFERROR(INDEX('Retirement Calculator'!K:K,MATCH('Lorri 401b'!N2744,'Retirement Calculator'!A:A,0),0),0)</f>
        <v>0</v>
      </c>
      <c r="K2744" s="455">
        <f t="shared" ca="1" si="133"/>
        <v>-157800184.26354727</v>
      </c>
      <c r="L2744" s="455">
        <f t="shared" ca="1" si="134"/>
        <v>-38029844407.514893</v>
      </c>
      <c r="M2744" s="471">
        <f t="shared" si="136"/>
        <v>0.05</v>
      </c>
      <c r="N2744" s="475">
        <f t="shared" si="137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35"/>
        <v>-38029844407.514893</v>
      </c>
      <c r="J2745" s="455">
        <f t="array" ref="J2745">IFERROR(INDEX('Retirement Calculator'!K:K,MATCH('Lorri 401b'!N2745,'Retirement Calculator'!A:A,0),0),0)</f>
        <v>0</v>
      </c>
      <c r="K2745" s="455">
        <f t="shared" ca="1" si="133"/>
        <v>-158457685.03131205</v>
      </c>
      <c r="L2745" s="455">
        <f t="shared" ca="1" si="134"/>
        <v>-38188302092.546204</v>
      </c>
      <c r="M2745" s="471">
        <f t="shared" si="136"/>
        <v>0.05</v>
      </c>
      <c r="N2745" s="475">
        <f t="shared" si="137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35"/>
        <v>-38188302092.546204</v>
      </c>
      <c r="J2746" s="455">
        <f t="array" ref="J2746">IFERROR(INDEX('Retirement Calculator'!K:K,MATCH('Lorri 401b'!N2746,'Retirement Calculator'!A:A,0),0),0)</f>
        <v>0</v>
      </c>
      <c r="K2746" s="455">
        <f t="shared" ca="1" si="133"/>
        <v>-159117925.38560918</v>
      </c>
      <c r="L2746" s="455">
        <f t="shared" ca="1" si="134"/>
        <v>-38347420017.931816</v>
      </c>
      <c r="M2746" s="471">
        <f t="shared" si="136"/>
        <v>0.05</v>
      </c>
      <c r="N2746" s="475">
        <f t="shared" si="137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35"/>
        <v>-38347420017.931816</v>
      </c>
      <c r="J2747" s="455">
        <f t="array" ref="J2747">IFERROR(INDEX('Retirement Calculator'!K:K,MATCH('Lorri 401b'!N2747,'Retirement Calculator'!A:A,0),0),0)</f>
        <v>0</v>
      </c>
      <c r="K2747" s="455">
        <f t="shared" ca="1" si="133"/>
        <v>-159780916.74138257</v>
      </c>
      <c r="L2747" s="455">
        <f t="shared" ca="1" si="134"/>
        <v>-38507200934.673195</v>
      </c>
      <c r="M2747" s="471">
        <f t="shared" si="136"/>
        <v>0.05</v>
      </c>
      <c r="N2747" s="475">
        <f t="shared" si="137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35"/>
        <v>-38507200934.673195</v>
      </c>
      <c r="J2748" s="455">
        <f t="array" ref="J2748">IFERROR(INDEX('Retirement Calculator'!K:K,MATCH('Lorri 401b'!N2748,'Retirement Calculator'!A:A,0),0),0)</f>
        <v>0</v>
      </c>
      <c r="K2748" s="455">
        <f t="shared" ca="1" si="133"/>
        <v>-160446670.5611383</v>
      </c>
      <c r="L2748" s="455">
        <f t="shared" ca="1" si="134"/>
        <v>-38667647605.234337</v>
      </c>
      <c r="M2748" s="471">
        <f t="shared" si="136"/>
        <v>0.05</v>
      </c>
      <c r="N2748" s="475">
        <f t="shared" si="137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35"/>
        <v>-38667647605.234337</v>
      </c>
      <c r="J2749" s="455">
        <f t="array" ref="J2749">IFERROR(INDEX('Retirement Calculator'!K:K,MATCH('Lorri 401b'!N2749,'Retirement Calculator'!A:A,0),0),0)</f>
        <v>0</v>
      </c>
      <c r="K2749" s="455">
        <f t="shared" ca="1" si="133"/>
        <v>-161115198.35514307</v>
      </c>
      <c r="L2749" s="455">
        <f t="shared" ca="1" si="134"/>
        <v>-38828762803.589478</v>
      </c>
      <c r="M2749" s="471">
        <f t="shared" si="136"/>
        <v>0.05</v>
      </c>
      <c r="N2749" s="475">
        <f t="shared" si="137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35"/>
        <v>-38828762803.589478</v>
      </c>
      <c r="J2750" s="455">
        <f t="array" ref="J2750">IFERROR(INDEX('Retirement Calculator'!K:K,MATCH('Lorri 401b'!N2750,'Retirement Calculator'!A:A,0),0),0)</f>
        <v>0</v>
      </c>
      <c r="K2750" s="455">
        <f t="shared" ca="1" si="133"/>
        <v>-161786511.68162283</v>
      </c>
      <c r="L2750" s="455">
        <f t="shared" ca="1" si="134"/>
        <v>-38990549315.271103</v>
      </c>
      <c r="M2750" s="471">
        <f t="shared" si="136"/>
        <v>0.05</v>
      </c>
      <c r="N2750" s="475">
        <f t="shared" si="137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35"/>
        <v>-38990549315.271103</v>
      </c>
      <c r="J2751" s="455">
        <f t="array" ref="J2751">IFERROR(INDEX('Retirement Calculator'!K:K,MATCH('Lorri 401b'!N2751,'Retirement Calculator'!A:A,0),0),0)</f>
        <v>0</v>
      </c>
      <c r="K2751" s="455">
        <f t="shared" ca="1" si="133"/>
        <v>-162460622.14696294</v>
      </c>
      <c r="L2751" s="455">
        <f t="shared" ca="1" si="134"/>
        <v>-39153009937.418068</v>
      </c>
      <c r="M2751" s="471">
        <f t="shared" si="136"/>
        <v>0.05</v>
      </c>
      <c r="N2751" s="475">
        <f t="shared" si="137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35"/>
        <v>-39153009937.418068</v>
      </c>
      <c r="J2752" s="455">
        <f t="array" ref="J2752">IFERROR(INDEX('Retirement Calculator'!K:K,MATCH('Lorri 401b'!N2752,'Retirement Calculator'!A:A,0),0),0)</f>
        <v>0</v>
      </c>
      <c r="K2752" s="455">
        <f t="shared" ca="1" si="133"/>
        <v>-163137541.40590861</v>
      </c>
      <c r="L2752" s="455">
        <f t="shared" ca="1" si="134"/>
        <v>-39316147478.823975</v>
      </c>
      <c r="M2752" s="471">
        <f t="shared" si="136"/>
        <v>0.05</v>
      </c>
      <c r="N2752" s="475">
        <f t="shared" si="137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35"/>
        <v>-39316147478.823975</v>
      </c>
      <c r="J2753" s="455">
        <f t="array" ref="J2753">IFERROR(INDEX('Retirement Calculator'!K:K,MATCH('Lorri 401b'!N2753,'Retirement Calculator'!A:A,0),0),0)</f>
        <v>0</v>
      </c>
      <c r="K2753" s="455">
        <f t="shared" ca="1" si="133"/>
        <v>-163817281.16176656</v>
      </c>
      <c r="L2753" s="455">
        <f t="shared" ca="1" si="134"/>
        <v>-39479964759.985741</v>
      </c>
      <c r="M2753" s="471">
        <f t="shared" si="136"/>
        <v>0.05</v>
      </c>
      <c r="N2753" s="475">
        <f t="shared" si="137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35"/>
        <v>-39479964759.985741</v>
      </c>
      <c r="J2754" s="455">
        <f t="array" ref="J2754">IFERROR(INDEX('Retirement Calculator'!K:K,MATCH('Lorri 401b'!N2754,'Retirement Calculator'!A:A,0),0),0)</f>
        <v>0</v>
      </c>
      <c r="K2754" s="455">
        <f t="shared" ca="1" si="133"/>
        <v>-164499853.16660726</v>
      </c>
      <c r="L2754" s="455">
        <f t="shared" ca="1" si="134"/>
        <v>-39644464613.152351</v>
      </c>
      <c r="M2754" s="471">
        <f t="shared" si="136"/>
        <v>0.05</v>
      </c>
      <c r="N2754" s="475">
        <f t="shared" si="137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35"/>
        <v>-39644464613.152351</v>
      </c>
      <c r="J2755" s="455">
        <f t="array" ref="J2755">IFERROR(INDEX('Retirement Calculator'!K:K,MATCH('Lorri 401b'!N2755,'Retirement Calculator'!A:A,0),0),0)</f>
        <v>0</v>
      </c>
      <c r="K2755" s="455">
        <f t="shared" ca="1" si="133"/>
        <v>-165185269.22146812</v>
      </c>
      <c r="L2755" s="455">
        <f t="shared" ca="1" si="134"/>
        <v>-39809649882.373817</v>
      </c>
      <c r="M2755" s="471">
        <f t="shared" si="136"/>
        <v>0.05</v>
      </c>
      <c r="N2755" s="475">
        <f t="shared" si="137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35"/>
        <v>-39809649882.373817</v>
      </c>
      <c r="J2756" s="455">
        <f t="array" ref="J2756">IFERROR(INDEX('Retirement Calculator'!K:K,MATCH('Lorri 401b'!N2756,'Retirement Calculator'!A:A,0),0),0)</f>
        <v>0</v>
      </c>
      <c r="K2756" s="455">
        <f t="shared" ca="1" si="133"/>
        <v>-165873541.17655757</v>
      </c>
      <c r="L2756" s="455">
        <f t="shared" ca="1" si="134"/>
        <v>-39975523423.550377</v>
      </c>
      <c r="M2756" s="471">
        <f t="shared" si="136"/>
        <v>0.05</v>
      </c>
      <c r="N2756" s="475">
        <f t="shared" si="137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35"/>
        <v>-39975523423.550377</v>
      </c>
      <c r="J2757" s="455">
        <f t="array" ref="J2757">IFERROR(INDEX('Retirement Calculator'!K:K,MATCH('Lorri 401b'!N2757,'Retirement Calculator'!A:A,0),0),0)</f>
        <v>0</v>
      </c>
      <c r="K2757" s="455">
        <f t="shared" ca="1" si="133"/>
        <v>-166564680.9314599</v>
      </c>
      <c r="L2757" s="455">
        <f t="shared" ca="1" si="134"/>
        <v>-40142088104.481834</v>
      </c>
      <c r="M2757" s="471">
        <f t="shared" si="136"/>
        <v>0.05</v>
      </c>
      <c r="N2757" s="475">
        <f t="shared" si="137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35"/>
        <v>-40142088104.481834</v>
      </c>
      <c r="J2758" s="455">
        <f t="array" ref="J2758">IFERROR(INDEX('Retirement Calculator'!K:K,MATCH('Lorri 401b'!N2758,'Retirement Calculator'!A:A,0),0),0)</f>
        <v>0</v>
      </c>
      <c r="K2758" s="455">
        <f t="shared" ca="1" si="133"/>
        <v>-167258700.43534097</v>
      </c>
      <c r="L2758" s="455">
        <f t="shared" ca="1" si="134"/>
        <v>-40309346804.917175</v>
      </c>
      <c r="M2758" s="471">
        <f t="shared" si="136"/>
        <v>0.05</v>
      </c>
      <c r="N2758" s="475">
        <f t="shared" si="137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35"/>
        <v>-40309346804.917175</v>
      </c>
      <c r="J2759" s="455">
        <f t="array" ref="J2759">IFERROR(INDEX('Retirement Calculator'!K:K,MATCH('Lorri 401b'!N2759,'Retirement Calculator'!A:A,0),0),0)</f>
        <v>0</v>
      </c>
      <c r="K2759" s="455">
        <f t="shared" ca="1" si="133"/>
        <v>-167955611.68715489</v>
      </c>
      <c r="L2759" s="455">
        <f t="shared" ca="1" si="134"/>
        <v>-40477302416.604332</v>
      </c>
      <c r="M2759" s="471">
        <f t="shared" si="136"/>
        <v>0.05</v>
      </c>
      <c r="N2759" s="475">
        <f t="shared" si="137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35"/>
        <v>-40477302416.604332</v>
      </c>
      <c r="J2760" s="455">
        <f t="array" ref="J2760">IFERROR(INDEX('Retirement Calculator'!K:K,MATCH('Lorri 401b'!N2760,'Retirement Calculator'!A:A,0),0),0)</f>
        <v>0</v>
      </c>
      <c r="K2760" s="455">
        <f t="shared" ca="1" si="133"/>
        <v>-168655426.73585138</v>
      </c>
      <c r="L2760" s="455">
        <f t="shared" ca="1" si="134"/>
        <v>-40645957843.340187</v>
      </c>
      <c r="M2760" s="471">
        <f t="shared" si="136"/>
        <v>0.05</v>
      </c>
      <c r="N2760" s="475">
        <f t="shared" si="137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35"/>
        <v>-40645957843.340187</v>
      </c>
      <c r="J2761" s="455">
        <f t="array" ref="J2761">IFERROR(INDEX('Retirement Calculator'!K:K,MATCH('Lorri 401b'!N2761,'Retirement Calculator'!A:A,0),0),0)</f>
        <v>0</v>
      </c>
      <c r="K2761" s="455">
        <f t="shared" ca="1" si="133"/>
        <v>-169358157.6805841</v>
      </c>
      <c r="L2761" s="455">
        <f t="shared" ca="1" si="134"/>
        <v>-40815316001.020775</v>
      </c>
      <c r="M2761" s="471">
        <f t="shared" si="136"/>
        <v>0.05</v>
      </c>
      <c r="N2761" s="475">
        <f t="shared" si="137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35"/>
        <v>-40815316001.020775</v>
      </c>
      <c r="J2762" s="455">
        <f t="array" ref="J2762">IFERROR(INDEX('Retirement Calculator'!K:K,MATCH('Lorri 401b'!N2762,'Retirement Calculator'!A:A,0),0),0)</f>
        <v>0</v>
      </c>
      <c r="K2762" s="455">
        <f t="shared" ca="1" si="133"/>
        <v>-170063816.6709199</v>
      </c>
      <c r="L2762" s="455">
        <f t="shared" ca="1" si="134"/>
        <v>-40985379817.691696</v>
      </c>
      <c r="M2762" s="471">
        <f t="shared" si="136"/>
        <v>0.05</v>
      </c>
      <c r="N2762" s="475">
        <f t="shared" si="137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35"/>
        <v>-40985379817.691696</v>
      </c>
      <c r="J2763" s="455">
        <f t="array" ref="J2763">IFERROR(INDEX('Retirement Calculator'!K:K,MATCH('Lorri 401b'!N2763,'Retirement Calculator'!A:A,0),0),0)</f>
        <v>0</v>
      </c>
      <c r="K2763" s="455">
        <f t="shared" ca="1" si="133"/>
        <v>-170772415.90704873</v>
      </c>
      <c r="L2763" s="455">
        <f t="shared" ca="1" si="134"/>
        <v>-41156152233.598747</v>
      </c>
      <c r="M2763" s="471">
        <f t="shared" si="136"/>
        <v>0.05</v>
      </c>
      <c r="N2763" s="475">
        <f t="shared" si="137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35"/>
        <v>-41156152233.598747</v>
      </c>
      <c r="J2764" s="455">
        <f t="array" ref="J2764">IFERROR(INDEX('Retirement Calculator'!K:K,MATCH('Lorri 401b'!N2764,'Retirement Calculator'!A:A,0),0),0)</f>
        <v>0</v>
      </c>
      <c r="K2764" s="455">
        <f t="shared" ca="1" si="133"/>
        <v>-171483967.63999477</v>
      </c>
      <c r="L2764" s="455">
        <f t="shared" ca="1" si="134"/>
        <v>-41327636201.238739</v>
      </c>
      <c r="M2764" s="471">
        <f t="shared" si="136"/>
        <v>0.05</v>
      </c>
      <c r="N2764" s="475">
        <f t="shared" si="137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35"/>
        <v>-41327636201.238739</v>
      </c>
      <c r="J2765" s="455">
        <f t="array" ref="J2765">IFERROR(INDEX('Retirement Calculator'!K:K,MATCH('Lorri 401b'!N2765,'Retirement Calculator'!A:A,0),0),0)</f>
        <v>0</v>
      </c>
      <c r="K2765" s="455">
        <f t="shared" ca="1" si="133"/>
        <v>-172198484.17182809</v>
      </c>
      <c r="L2765" s="455">
        <f t="shared" ca="1" si="134"/>
        <v>-41499834685.410568</v>
      </c>
      <c r="M2765" s="471">
        <f t="shared" si="136"/>
        <v>0.05</v>
      </c>
      <c r="N2765" s="475">
        <f t="shared" si="137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35"/>
        <v>-41499834685.410568</v>
      </c>
      <c r="J2766" s="455">
        <f t="array" ref="J2766">IFERROR(INDEX('Retirement Calculator'!K:K,MATCH('Lorri 401b'!N2766,'Retirement Calculator'!A:A,0),0),0)</f>
        <v>0</v>
      </c>
      <c r="K2766" s="455">
        <f t="shared" ca="1" si="133"/>
        <v>-172915977.85587737</v>
      </c>
      <c r="L2766" s="455">
        <f t="shared" ca="1" si="134"/>
        <v>-41672750663.266449</v>
      </c>
      <c r="M2766" s="471">
        <f t="shared" si="136"/>
        <v>0.05</v>
      </c>
      <c r="N2766" s="475">
        <f t="shared" si="137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35"/>
        <v>-41672750663.266449</v>
      </c>
      <c r="J2767" s="455">
        <f t="array" ref="J2767">IFERROR(INDEX('Retirement Calculator'!K:K,MATCH('Lorri 401b'!N2767,'Retirement Calculator'!A:A,0),0),0)</f>
        <v>0</v>
      </c>
      <c r="K2767" s="455">
        <f t="shared" ca="1" si="133"/>
        <v>-173636461.09694353</v>
      </c>
      <c r="L2767" s="455">
        <f t="shared" ca="1" si="134"/>
        <v>-41846387124.363396</v>
      </c>
      <c r="M2767" s="471">
        <f t="shared" si="136"/>
        <v>0.05</v>
      </c>
      <c r="N2767" s="475">
        <f t="shared" si="137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35"/>
        <v>-41846387124.363396</v>
      </c>
      <c r="J2768" s="455">
        <f t="array" ref="J2768">IFERROR(INDEX('Retirement Calculator'!K:K,MATCH('Lorri 401b'!N2768,'Retirement Calculator'!A:A,0),0),0)</f>
        <v>0</v>
      </c>
      <c r="K2768" s="455">
        <f t="shared" ca="1" si="133"/>
        <v>-174359946.35151416</v>
      </c>
      <c r="L2768" s="455">
        <f t="shared" ca="1" si="134"/>
        <v>-42020747070.714912</v>
      </c>
      <c r="M2768" s="471">
        <f t="shared" si="136"/>
        <v>0.05</v>
      </c>
      <c r="N2768" s="475">
        <f t="shared" si="137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35"/>
        <v>-42020747070.714912</v>
      </c>
      <c r="J2769" s="455">
        <f t="array" ref="J2769">IFERROR(INDEX('Retirement Calculator'!K:K,MATCH('Lorri 401b'!N2769,'Retirement Calculator'!A:A,0),0),0)</f>
        <v>0</v>
      </c>
      <c r="K2769" s="455">
        <f t="shared" ca="1" si="133"/>
        <v>-175086446.1279788</v>
      </c>
      <c r="L2769" s="455">
        <f t="shared" ca="1" si="134"/>
        <v>-42195833516.842888</v>
      </c>
      <c r="M2769" s="471">
        <f t="shared" si="136"/>
        <v>0.05</v>
      </c>
      <c r="N2769" s="475">
        <f t="shared" si="137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35"/>
        <v>-42195833516.842888</v>
      </c>
      <c r="J2770" s="455">
        <f t="array" ref="J2770">IFERROR(INDEX('Retirement Calculator'!K:K,MATCH('Lorri 401b'!N2770,'Retirement Calculator'!A:A,0),0),0)</f>
        <v>0</v>
      </c>
      <c r="K2770" s="455">
        <f t="shared" ca="1" si="133"/>
        <v>-175815972.98684537</v>
      </c>
      <c r="L2770" s="455">
        <f t="shared" ca="1" si="134"/>
        <v>-42371649489.829735</v>
      </c>
      <c r="M2770" s="471">
        <f t="shared" si="136"/>
        <v>0.05</v>
      </c>
      <c r="N2770" s="475">
        <f t="shared" si="137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35"/>
        <v>-42371649489.829735</v>
      </c>
      <c r="J2771" s="455">
        <f t="array" ref="J2771">IFERROR(INDEX('Retirement Calculator'!K:K,MATCH('Lorri 401b'!N2771,'Retirement Calculator'!A:A,0),0),0)</f>
        <v>0</v>
      </c>
      <c r="K2771" s="455">
        <f t="shared" ca="1" si="133"/>
        <v>-176548539.54095721</v>
      </c>
      <c r="L2771" s="455">
        <f t="shared" ca="1" si="134"/>
        <v>-42548198029.370689</v>
      </c>
      <c r="M2771" s="471">
        <f t="shared" si="136"/>
        <v>0.05</v>
      </c>
      <c r="N2771" s="475">
        <f t="shared" si="137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35"/>
        <v>-42548198029.370689</v>
      </c>
      <c r="J2772" s="455">
        <f t="array" ref="J2772">IFERROR(INDEX('Retirement Calculator'!K:K,MATCH('Lorri 401b'!N2772,'Retirement Calculator'!A:A,0),0),0)</f>
        <v>0</v>
      </c>
      <c r="K2772" s="455">
        <f t="shared" ca="1" si="133"/>
        <v>-177284158.45571122</v>
      </c>
      <c r="L2772" s="455">
        <f t="shared" ca="1" si="134"/>
        <v>-42725482187.826401</v>
      </c>
      <c r="M2772" s="471">
        <f t="shared" si="136"/>
        <v>0.05</v>
      </c>
      <c r="N2772" s="475">
        <f t="shared" si="137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35"/>
        <v>-42725482187.826401</v>
      </c>
      <c r="J2773" s="455">
        <f t="array" ref="J2773">IFERROR(INDEX('Retirement Calculator'!K:K,MATCH('Lorri 401b'!N2773,'Retirement Calculator'!A:A,0),0),0)</f>
        <v>0</v>
      </c>
      <c r="K2773" s="455">
        <f t="shared" ca="1" si="133"/>
        <v>-178022842.44927666</v>
      </c>
      <c r="L2773" s="455">
        <f t="shared" ca="1" si="134"/>
        <v>-42903505030.275681</v>
      </c>
      <c r="M2773" s="471">
        <f t="shared" si="136"/>
        <v>0.05</v>
      </c>
      <c r="N2773" s="475">
        <f t="shared" si="137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35"/>
        <v>-42903505030.275681</v>
      </c>
      <c r="J2774" s="455">
        <f t="array" ref="J2774">IFERROR(INDEX('Retirement Calculator'!K:K,MATCH('Lorri 401b'!N2774,'Retirement Calculator'!A:A,0),0),0)</f>
        <v>0</v>
      </c>
      <c r="K2774" s="455">
        <f t="shared" ca="1" si="133"/>
        <v>-178764604.29281533</v>
      </c>
      <c r="L2774" s="455">
        <f t="shared" ca="1" si="134"/>
        <v>-43082269634.568497</v>
      </c>
      <c r="M2774" s="471">
        <f t="shared" si="136"/>
        <v>0.05</v>
      </c>
      <c r="N2774" s="475">
        <f t="shared" si="137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35"/>
        <v>-43082269634.568497</v>
      </c>
      <c r="J2775" s="455">
        <f t="array" ref="J2775">IFERROR(INDEX('Retirement Calculator'!K:K,MATCH('Lorri 401b'!N2775,'Retirement Calculator'!A:A,0),0),0)</f>
        <v>0</v>
      </c>
      <c r="K2775" s="455">
        <f t="shared" ca="1" si="133"/>
        <v>-179509456.81070206</v>
      </c>
      <c r="L2775" s="455">
        <f t="shared" ca="1" si="134"/>
        <v>-43261779091.379196</v>
      </c>
      <c r="M2775" s="471">
        <f t="shared" si="136"/>
        <v>0.05</v>
      </c>
      <c r="N2775" s="475">
        <f t="shared" si="137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35"/>
        <v>-43261779091.379196</v>
      </c>
      <c r="J2776" s="455">
        <f t="array" ref="J2776">IFERROR(INDEX('Retirement Calculator'!K:K,MATCH('Lorri 401b'!N2776,'Retirement Calculator'!A:A,0),0),0)</f>
        <v>0</v>
      </c>
      <c r="K2776" s="455">
        <f t="shared" ca="1" si="133"/>
        <v>-180257412.88074666</v>
      </c>
      <c r="L2776" s="455">
        <f t="shared" ca="1" si="134"/>
        <v>-43442036504.259941</v>
      </c>
      <c r="M2776" s="471">
        <f t="shared" si="136"/>
        <v>0.05</v>
      </c>
      <c r="N2776" s="475">
        <f t="shared" si="137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35"/>
        <v>-43442036504.259941</v>
      </c>
      <c r="J2777" s="455">
        <f t="array" ref="J2777">IFERROR(INDEX('Retirement Calculator'!K:K,MATCH('Lorri 401b'!N2777,'Retirement Calculator'!A:A,0),0),0)</f>
        <v>0</v>
      </c>
      <c r="K2777" s="455">
        <f t="shared" ca="1" si="133"/>
        <v>-181008485.43441641</v>
      </c>
      <c r="L2777" s="455">
        <f t="shared" ca="1" si="134"/>
        <v>-43623044989.694359</v>
      </c>
      <c r="M2777" s="471">
        <f t="shared" si="136"/>
        <v>0.05</v>
      </c>
      <c r="N2777" s="475">
        <f t="shared" si="137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35"/>
        <v>-43623044989.694359</v>
      </c>
      <c r="J2778" s="455">
        <f t="array" ref="J2778">IFERROR(INDEX('Retirement Calculator'!K:K,MATCH('Lorri 401b'!N2778,'Retirement Calculator'!A:A,0),0),0)</f>
        <v>0</v>
      </c>
      <c r="K2778" s="455">
        <f t="shared" ca="1" si="133"/>
        <v>-181762687.45705983</v>
      </c>
      <c r="L2778" s="455">
        <f t="shared" ca="1" si="134"/>
        <v>-43804807677.151421</v>
      </c>
      <c r="M2778" s="471">
        <f t="shared" si="136"/>
        <v>0.05</v>
      </c>
      <c r="N2778" s="475">
        <f t="shared" si="137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35"/>
        <v>-43804807677.151421</v>
      </c>
      <c r="J2779" s="455">
        <f t="array" ref="J2779">IFERROR(INDEX('Retirement Calculator'!K:K,MATCH('Lorri 401b'!N2779,'Retirement Calculator'!A:A,0),0),0)</f>
        <v>0</v>
      </c>
      <c r="K2779" s="455">
        <f t="shared" ca="1" si="133"/>
        <v>-182520031.98813093</v>
      </c>
      <c r="L2779" s="455">
        <f t="shared" ca="1" si="134"/>
        <v>-43987327709.139549</v>
      </c>
      <c r="M2779" s="471">
        <f t="shared" si="136"/>
        <v>0.05</v>
      </c>
      <c r="N2779" s="475">
        <f t="shared" si="137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35"/>
        <v>-43987327709.139549</v>
      </c>
      <c r="J2780" s="455">
        <f t="array" ref="J2780">IFERROR(INDEX('Retirement Calculator'!K:K,MATCH('Lorri 401b'!N2780,'Retirement Calculator'!A:A,0),0),0)</f>
        <v>0</v>
      </c>
      <c r="K2780" s="455">
        <f t="shared" ca="1" si="133"/>
        <v>-183280532.12141478</v>
      </c>
      <c r="L2780" s="455">
        <f t="shared" ca="1" si="134"/>
        <v>-44170608241.260963</v>
      </c>
      <c r="M2780" s="471">
        <f t="shared" si="136"/>
        <v>0.05</v>
      </c>
      <c r="N2780" s="475">
        <f t="shared" si="137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35"/>
        <v>-44170608241.260963</v>
      </c>
      <c r="J2781" s="455">
        <f t="array" ref="J2781">IFERROR(INDEX('Retirement Calculator'!K:K,MATCH('Lorri 401b'!N2781,'Retirement Calculator'!A:A,0),0),0)</f>
        <v>0</v>
      </c>
      <c r="K2781" s="455">
        <f t="shared" ca="1" si="133"/>
        <v>-184044201.005254</v>
      </c>
      <c r="L2781" s="455">
        <f t="shared" ca="1" si="134"/>
        <v>-44354652442.26622</v>
      </c>
      <c r="M2781" s="471">
        <f t="shared" si="136"/>
        <v>0.05</v>
      </c>
      <c r="N2781" s="475">
        <f t="shared" si="137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35"/>
        <v>-44354652442.26622</v>
      </c>
      <c r="J2782" s="455">
        <f t="array" ref="J2782">IFERROR(INDEX('Retirement Calculator'!K:K,MATCH('Lorri 401b'!N2782,'Retirement Calculator'!A:A,0),0),0)</f>
        <v>0</v>
      </c>
      <c r="K2782" s="455">
        <f t="shared" ca="1" si="133"/>
        <v>-184811051.84277591</v>
      </c>
      <c r="L2782" s="455">
        <f t="shared" ca="1" si="134"/>
        <v>-44539463494.108994</v>
      </c>
      <c r="M2782" s="471">
        <f t="shared" si="136"/>
        <v>0.05</v>
      </c>
      <c r="N2782" s="475">
        <f t="shared" si="137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35"/>
        <v>-44539463494.108994</v>
      </c>
      <c r="J2783" s="455">
        <f t="array" ref="J2783">IFERROR(INDEX('Retirement Calculator'!K:K,MATCH('Lorri 401b'!N2783,'Retirement Calculator'!A:A,0),0),0)</f>
        <v>0</v>
      </c>
      <c r="K2783" s="455">
        <f t="shared" ca="1" si="133"/>
        <v>-185581097.89212081</v>
      </c>
      <c r="L2783" s="455">
        <f t="shared" ca="1" si="134"/>
        <v>-44725044592.001114</v>
      </c>
      <c r="M2783" s="471">
        <f t="shared" si="136"/>
        <v>0.05</v>
      </c>
      <c r="N2783" s="475">
        <f t="shared" si="137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35"/>
        <v>-44725044592.001114</v>
      </c>
      <c r="J2784" s="455">
        <f t="array" ref="J2784">IFERROR(INDEX('Retirement Calculator'!K:K,MATCH('Lorri 401b'!N2784,'Retirement Calculator'!A:A,0),0),0)</f>
        <v>0</v>
      </c>
      <c r="K2784" s="455">
        <f t="shared" ca="1" si="133"/>
        <v>-186354352.46667132</v>
      </c>
      <c r="L2784" s="455">
        <f t="shared" ca="1" si="134"/>
        <v>-44911398944.467789</v>
      </c>
      <c r="M2784" s="471">
        <f t="shared" si="136"/>
        <v>0.05</v>
      </c>
      <c r="N2784" s="475">
        <f t="shared" si="137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35"/>
        <v>-44911398944.467789</v>
      </c>
      <c r="J2785" s="455">
        <f t="array" ref="J2785">IFERROR(INDEX('Retirement Calculator'!K:K,MATCH('Lorri 401b'!N2785,'Retirement Calculator'!A:A,0),0),0)</f>
        <v>0</v>
      </c>
      <c r="K2785" s="455">
        <f t="shared" ca="1" si="133"/>
        <v>-187130828.93528244</v>
      </c>
      <c r="L2785" s="455">
        <f t="shared" ca="1" si="134"/>
        <v>-45098529773.403069</v>
      </c>
      <c r="M2785" s="471">
        <f t="shared" si="136"/>
        <v>0.05</v>
      </c>
      <c r="N2785" s="475">
        <f t="shared" si="137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35"/>
        <v>-45098529773.403069</v>
      </c>
      <c r="J2786" s="455">
        <f t="array" ref="J2786">IFERROR(INDEX('Retirement Calculator'!K:K,MATCH('Lorri 401b'!N2786,'Retirement Calculator'!A:A,0),0),0)</f>
        <v>0</v>
      </c>
      <c r="K2786" s="455">
        <f t="shared" ca="1" si="133"/>
        <v>-187910540.72251278</v>
      </c>
      <c r="L2786" s="455">
        <f t="shared" ca="1" si="134"/>
        <v>-45286440314.12558</v>
      </c>
      <c r="M2786" s="471">
        <f t="shared" si="136"/>
        <v>0.05</v>
      </c>
      <c r="N2786" s="475">
        <f t="shared" si="137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35"/>
        <v>-45286440314.12558</v>
      </c>
      <c r="J2787" s="455">
        <f t="array" ref="J2787">IFERROR(INDEX('Retirement Calculator'!K:K,MATCH('Lorri 401b'!N2787,'Retirement Calculator'!A:A,0),0),0)</f>
        <v>0</v>
      </c>
      <c r="K2787" s="455">
        <f t="shared" ca="1" si="133"/>
        <v>-188693501.30885658</v>
      </c>
      <c r="L2787" s="455">
        <f t="shared" ca="1" si="134"/>
        <v>-45475133815.434433</v>
      </c>
      <c r="M2787" s="471">
        <f t="shared" si="136"/>
        <v>0.05</v>
      </c>
      <c r="N2787" s="475">
        <f t="shared" si="137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35"/>
        <v>-45475133815.434433</v>
      </c>
      <c r="J2788" s="455">
        <f t="array" ref="J2788">IFERROR(INDEX('Retirement Calculator'!K:K,MATCH('Lorri 401b'!N2788,'Retirement Calculator'!A:A,0),0),0)</f>
        <v>0</v>
      </c>
      <c r="K2788" s="455">
        <f t="shared" ca="1" si="133"/>
        <v>-189479724.23097679</v>
      </c>
      <c r="L2788" s="455">
        <f t="shared" ca="1" si="134"/>
        <v>-45664613539.665413</v>
      </c>
      <c r="M2788" s="471">
        <f t="shared" si="136"/>
        <v>0.05</v>
      </c>
      <c r="N2788" s="475">
        <f t="shared" si="137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35"/>
        <v>-45664613539.665413</v>
      </c>
      <c r="J2789" s="455">
        <f t="array" ref="J2789">IFERROR(INDEX('Retirement Calculator'!K:K,MATCH('Lorri 401b'!N2789,'Retirement Calculator'!A:A,0),0),0)</f>
        <v>0</v>
      </c>
      <c r="K2789" s="455">
        <f t="shared" ca="1" si="133"/>
        <v>-190269223.08193922</v>
      </c>
      <c r="L2789" s="455">
        <f t="shared" ca="1" si="134"/>
        <v>-45854882762.747353</v>
      </c>
      <c r="M2789" s="471">
        <f t="shared" si="136"/>
        <v>0.05</v>
      </c>
      <c r="N2789" s="475">
        <f t="shared" si="137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35"/>
        <v>-45854882762.747353</v>
      </c>
      <c r="J2790" s="455">
        <f t="array" ref="J2790">IFERROR(INDEX('Retirement Calculator'!K:K,MATCH('Lorri 401b'!N2790,'Retirement Calculator'!A:A,0),0),0)</f>
        <v>0</v>
      </c>
      <c r="K2790" s="455">
        <f t="shared" ca="1" si="133"/>
        <v>-191062011.51144731</v>
      </c>
      <c r="L2790" s="455">
        <f t="shared" ca="1" si="134"/>
        <v>-46045944774.258797</v>
      </c>
      <c r="M2790" s="471">
        <f t="shared" si="136"/>
        <v>0.05</v>
      </c>
      <c r="N2790" s="475">
        <f t="shared" si="137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35"/>
        <v>-46045944774.258797</v>
      </c>
      <c r="J2791" s="455">
        <f t="array" ref="J2791">IFERROR(INDEX('Retirement Calculator'!K:K,MATCH('Lorri 401b'!N2791,'Retirement Calculator'!A:A,0),0),0)</f>
        <v>0</v>
      </c>
      <c r="K2791" s="455">
        <f t="shared" ca="1" si="133"/>
        <v>-191858103.22607833</v>
      </c>
      <c r="L2791" s="455">
        <f t="shared" ca="1" si="134"/>
        <v>-46237802877.484879</v>
      </c>
      <c r="M2791" s="471">
        <f t="shared" si="136"/>
        <v>0.05</v>
      </c>
      <c r="N2791" s="475">
        <f t="shared" si="137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35"/>
        <v>-46237802877.484879</v>
      </c>
      <c r="J2792" s="455">
        <f t="array" ref="J2792">IFERROR(INDEX('Retirement Calculator'!K:K,MATCH('Lorri 401b'!N2792,'Retirement Calculator'!A:A,0),0),0)</f>
        <v>0</v>
      </c>
      <c r="K2792" s="455">
        <f t="shared" ca="1" si="133"/>
        <v>-192657511.98952031</v>
      </c>
      <c r="L2792" s="455">
        <f t="shared" ca="1" si="134"/>
        <v>-46430460389.474396</v>
      </c>
      <c r="M2792" s="471">
        <f t="shared" si="136"/>
        <v>0.05</v>
      </c>
      <c r="N2792" s="475">
        <f t="shared" si="137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35"/>
        <v>-46430460389.474396</v>
      </c>
      <c r="J2793" s="455">
        <f t="array" ref="J2793">IFERROR(INDEX('Retirement Calculator'!K:K,MATCH('Lorri 401b'!N2793,'Retirement Calculator'!A:A,0),0),0)</f>
        <v>0</v>
      </c>
      <c r="K2793" s="455">
        <f t="shared" ca="1" si="133"/>
        <v>-193460251.62280998</v>
      </c>
      <c r="L2793" s="455">
        <f t="shared" ca="1" si="134"/>
        <v>-46623920641.097206</v>
      </c>
      <c r="M2793" s="471">
        <f t="shared" si="136"/>
        <v>0.05</v>
      </c>
      <c r="N2793" s="475">
        <f t="shared" si="137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35"/>
        <v>-46623920641.097206</v>
      </c>
      <c r="J2794" s="455">
        <f t="array" ref="J2794">IFERROR(INDEX('Retirement Calculator'!K:K,MATCH('Lorri 401b'!N2794,'Retirement Calculator'!A:A,0),0),0)</f>
        <v>0</v>
      </c>
      <c r="K2794" s="455">
        <f t="shared" ca="1" si="133"/>
        <v>-194266336.00457168</v>
      </c>
      <c r="L2794" s="455">
        <f t="shared" ca="1" si="134"/>
        <v>-46818186977.101776</v>
      </c>
      <c r="M2794" s="471">
        <f t="shared" si="136"/>
        <v>0.05</v>
      </c>
      <c r="N2794" s="475">
        <f t="shared" si="137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35"/>
        <v>-46818186977.101776</v>
      </c>
      <c r="J2795" s="455">
        <f t="array" ref="J2795">IFERROR(INDEX('Retirement Calculator'!K:K,MATCH('Lorri 401b'!N2795,'Retirement Calculator'!A:A,0),0),0)</f>
        <v>0</v>
      </c>
      <c r="K2795" s="455">
        <f t="shared" ca="1" si="133"/>
        <v>-195075779.07125741</v>
      </c>
      <c r="L2795" s="455">
        <f t="shared" ca="1" si="134"/>
        <v>-47013262756.173035</v>
      </c>
      <c r="M2795" s="471">
        <f t="shared" si="136"/>
        <v>0.05</v>
      </c>
      <c r="N2795" s="475">
        <f t="shared" si="137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35"/>
        <v>-47013262756.173035</v>
      </c>
      <c r="J2796" s="455">
        <f t="array" ref="J2796">IFERROR(INDEX('Retirement Calculator'!K:K,MATCH('Lorri 401b'!N2796,'Retirement Calculator'!A:A,0),0),0)</f>
        <v>0</v>
      </c>
      <c r="K2796" s="455">
        <f t="shared" ca="1" si="133"/>
        <v>-195888594.81738764</v>
      </c>
      <c r="L2796" s="455">
        <f t="shared" ca="1" si="134"/>
        <v>-47209151350.990425</v>
      </c>
      <c r="M2796" s="471">
        <f t="shared" si="136"/>
        <v>0.05</v>
      </c>
      <c r="N2796" s="475">
        <f t="shared" si="137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35"/>
        <v>-47209151350.990425</v>
      </c>
      <c r="J2797" s="455">
        <f t="array" ref="J2797">IFERROR(INDEX('Retirement Calculator'!K:K,MATCH('Lorri 401b'!N2797,'Retirement Calculator'!A:A,0),0),0)</f>
        <v>0</v>
      </c>
      <c r="K2797" s="455">
        <f t="shared" ca="1" si="133"/>
        <v>-196704797.29579344</v>
      </c>
      <c r="L2797" s="455">
        <f t="shared" ca="1" si="134"/>
        <v>-47405856148.286217</v>
      </c>
      <c r="M2797" s="471">
        <f t="shared" si="136"/>
        <v>0.05</v>
      </c>
      <c r="N2797" s="475">
        <f t="shared" si="137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35"/>
        <v>-47405856148.286217</v>
      </c>
      <c r="J2798" s="455">
        <f t="array" ref="J2798">IFERROR(INDEX('Retirement Calculator'!K:K,MATCH('Lorri 401b'!N2798,'Retirement Calculator'!A:A,0),0),0)</f>
        <v>0</v>
      </c>
      <c r="K2798" s="455">
        <f t="shared" ca="1" si="133"/>
        <v>-197524400.61785924</v>
      </c>
      <c r="L2798" s="455">
        <f t="shared" ca="1" si="134"/>
        <v>-47603380548.904076</v>
      </c>
      <c r="M2798" s="471">
        <f t="shared" si="136"/>
        <v>0.05</v>
      </c>
      <c r="N2798" s="475">
        <f t="shared" si="137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35"/>
        <v>-47603380548.904076</v>
      </c>
      <c r="J2799" s="455">
        <f t="array" ref="J2799">IFERROR(INDEX('Retirement Calculator'!K:K,MATCH('Lorri 401b'!N2799,'Retirement Calculator'!A:A,0),0),0)</f>
        <v>0</v>
      </c>
      <c r="K2799" s="455">
        <f t="shared" ca="1" si="133"/>
        <v>-198347418.95376697</v>
      </c>
      <c r="L2799" s="455">
        <f t="shared" ca="1" si="134"/>
        <v>-47801727967.857841</v>
      </c>
      <c r="M2799" s="471">
        <f t="shared" si="136"/>
        <v>0.05</v>
      </c>
      <c r="N2799" s="475">
        <f t="shared" si="137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35"/>
        <v>-47801727967.857841</v>
      </c>
      <c r="J2800" s="455">
        <f t="array" ref="J2800">IFERROR(INDEX('Retirement Calculator'!K:K,MATCH('Lorri 401b'!N2800,'Retirement Calculator'!A:A,0),0),0)</f>
        <v>0</v>
      </c>
      <c r="K2800" s="455">
        <f t="shared" ca="1" si="133"/>
        <v>-199173866.53274101</v>
      </c>
      <c r="L2800" s="455">
        <f t="shared" ca="1" si="134"/>
        <v>-48000901834.390579</v>
      </c>
      <c r="M2800" s="471">
        <f t="shared" si="136"/>
        <v>0.05</v>
      </c>
      <c r="N2800" s="475">
        <f t="shared" si="137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35"/>
        <v>-48000901834.390579</v>
      </c>
      <c r="J2801" s="455">
        <f t="array" ref="J2801">IFERROR(INDEX('Retirement Calculator'!K:K,MATCH('Lorri 401b'!N2801,'Retirement Calculator'!A:A,0),0),0)</f>
        <v>0</v>
      </c>
      <c r="K2801" s="455">
        <f t="shared" ca="1" si="133"/>
        <v>-200003757.64329407</v>
      </c>
      <c r="L2801" s="455">
        <f t="shared" ca="1" si="134"/>
        <v>-48200905592.033875</v>
      </c>
      <c r="M2801" s="471">
        <f t="shared" si="136"/>
        <v>0.05</v>
      </c>
      <c r="N2801" s="475">
        <f t="shared" si="137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35"/>
        <v>-48200905592.033875</v>
      </c>
      <c r="J2802" s="455">
        <f t="array" ref="J2802">IFERROR(INDEX('Retirement Calculator'!K:K,MATCH('Lorri 401b'!N2802,'Retirement Calculator'!A:A,0),0),0)</f>
        <v>0</v>
      </c>
      <c r="K2802" s="455">
        <f t="shared" ca="1" si="133"/>
        <v>-200837106.63347447</v>
      </c>
      <c r="L2802" s="455">
        <f t="shared" ca="1" si="134"/>
        <v>-48401742698.667351</v>
      </c>
      <c r="M2802" s="471">
        <f t="shared" si="136"/>
        <v>0.05</v>
      </c>
      <c r="N2802" s="475">
        <f t="shared" si="137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35"/>
        <v>-48401742698.667351</v>
      </c>
      <c r="J2803" s="455">
        <f t="array" ref="J2803">IFERROR(INDEX('Retirement Calculator'!K:K,MATCH('Lorri 401b'!N2803,'Retirement Calculator'!A:A,0),0),0)</f>
        <v>0</v>
      </c>
      <c r="K2803" s="455">
        <f t="shared" ca="1" si="133"/>
        <v>-201673927.91111395</v>
      </c>
      <c r="L2803" s="455">
        <f t="shared" ca="1" si="134"/>
        <v>-48603416626.578468</v>
      </c>
      <c r="M2803" s="471">
        <f t="shared" si="136"/>
        <v>0.05</v>
      </c>
      <c r="N2803" s="475">
        <f t="shared" si="137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35"/>
        <v>-48603416626.578468</v>
      </c>
      <c r="J2804" s="455">
        <f t="array" ref="J2804">IFERROR(INDEX('Retirement Calculator'!K:K,MATCH('Lorri 401b'!N2804,'Retirement Calculator'!A:A,0),0),0)</f>
        <v>0</v>
      </c>
      <c r="K2804" s="455">
        <f t="shared" ca="1" si="133"/>
        <v>-202514235.94407696</v>
      </c>
      <c r="L2804" s="455">
        <f t="shared" ca="1" si="134"/>
        <v>-48805930862.522545</v>
      </c>
      <c r="M2804" s="471">
        <f t="shared" si="136"/>
        <v>0.05</v>
      </c>
      <c r="N2804" s="475">
        <f t="shared" si="137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35"/>
        <v>-48805930862.522545</v>
      </c>
      <c r="J2805" s="455">
        <f t="array" ref="J2805">IFERROR(INDEX('Retirement Calculator'!K:K,MATCH('Lorri 401b'!N2805,'Retirement Calculator'!A:A,0),0),0)</f>
        <v>0</v>
      </c>
      <c r="K2805" s="455">
        <f t="shared" ca="1" si="133"/>
        <v>-203358045.26051059</v>
      </c>
      <c r="L2805" s="455">
        <f t="shared" ca="1" si="134"/>
        <v>-49009288907.783058</v>
      </c>
      <c r="M2805" s="471">
        <f t="shared" si="136"/>
        <v>0.05</v>
      </c>
      <c r="N2805" s="475">
        <f t="shared" si="137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35"/>
        <v>-49009288907.783058</v>
      </c>
      <c r="J2806" s="455">
        <f t="array" ref="J2806">IFERROR(INDEX('Retirement Calculator'!K:K,MATCH('Lorri 401b'!N2806,'Retirement Calculator'!A:A,0),0),0)</f>
        <v>0</v>
      </c>
      <c r="K2806" s="455">
        <f t="shared" ca="1" si="133"/>
        <v>-204205370.44909608</v>
      </c>
      <c r="L2806" s="455">
        <f t="shared" ca="1" si="134"/>
        <v>-49213494278.232155</v>
      </c>
      <c r="M2806" s="471">
        <f t="shared" si="136"/>
        <v>0.05</v>
      </c>
      <c r="N2806" s="475">
        <f t="shared" si="137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35"/>
        <v>-49213494278.232155</v>
      </c>
      <c r="J2807" s="455">
        <f t="array" ref="J2807">IFERROR(INDEX('Retirement Calculator'!K:K,MATCH('Lorri 401b'!N2807,'Retirement Calculator'!A:A,0),0),0)</f>
        <v>0</v>
      </c>
      <c r="K2807" s="455">
        <f t="shared" ca="1" si="133"/>
        <v>-205056226.15930066</v>
      </c>
      <c r="L2807" s="455">
        <f t="shared" ca="1" si="134"/>
        <v>-49418550504.391457</v>
      </c>
      <c r="M2807" s="471">
        <f t="shared" si="136"/>
        <v>0.05</v>
      </c>
      <c r="N2807" s="475">
        <f t="shared" si="137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35"/>
        <v>-49418550504.391457</v>
      </c>
      <c r="J2808" s="455">
        <f t="array" ref="J2808">IFERROR(INDEX('Retirement Calculator'!K:K,MATCH('Lorri 401b'!N2808,'Retirement Calculator'!A:A,0),0),0)</f>
        <v>0</v>
      </c>
      <c r="K2808" s="455">
        <f t="shared" ca="1" si="133"/>
        <v>-205910627.10163108</v>
      </c>
      <c r="L2808" s="455">
        <f t="shared" ca="1" si="134"/>
        <v>-49624461131.493088</v>
      </c>
      <c r="M2808" s="471">
        <f t="shared" si="136"/>
        <v>0.05</v>
      </c>
      <c r="N2808" s="475">
        <f t="shared" si="137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35"/>
        <v>-49624461131.493088</v>
      </c>
      <c r="J2809" s="455">
        <f t="array" ref="J2809">IFERROR(INDEX('Retirement Calculator'!K:K,MATCH('Lorri 401b'!N2809,'Retirement Calculator'!A:A,0),0),0)</f>
        <v>0</v>
      </c>
      <c r="K2809" s="455">
        <f t="shared" ca="1" si="133"/>
        <v>-206768588.04788786</v>
      </c>
      <c r="L2809" s="455">
        <f t="shared" ca="1" si="134"/>
        <v>-49831229719.540977</v>
      </c>
      <c r="M2809" s="471">
        <f t="shared" si="136"/>
        <v>0.05</v>
      </c>
      <c r="N2809" s="475">
        <f t="shared" si="137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35"/>
        <v>-49831229719.540977</v>
      </c>
      <c r="J2810" s="455">
        <f t="array" ref="J2810">IFERROR(INDEX('Retirement Calculator'!K:K,MATCH('Lorri 401b'!N2810,'Retirement Calculator'!A:A,0),0),0)</f>
        <v>0</v>
      </c>
      <c r="K2810" s="455">
        <f t="shared" ca="1" si="133"/>
        <v>-207630123.83142075</v>
      </c>
      <c r="L2810" s="455">
        <f t="shared" ca="1" si="134"/>
        <v>-50038859843.372398</v>
      </c>
      <c r="M2810" s="471">
        <f t="shared" si="136"/>
        <v>0.05</v>
      </c>
      <c r="N2810" s="475">
        <f t="shared" si="137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35"/>
        <v>-50038859843.372398</v>
      </c>
      <c r="J2811" s="455">
        <f t="array" ref="J2811">IFERROR(INDEX('Retirement Calculator'!K:K,MATCH('Lorri 401b'!N2811,'Retirement Calculator'!A:A,0),0),0)</f>
        <v>0</v>
      </c>
      <c r="K2811" s="455">
        <f t="shared" ca="1" si="133"/>
        <v>-208495249.34738499</v>
      </c>
      <c r="L2811" s="455">
        <f t="shared" ca="1" si="134"/>
        <v>-50247355092.71978</v>
      </c>
      <c r="M2811" s="471">
        <f t="shared" si="136"/>
        <v>0.05</v>
      </c>
      <c r="N2811" s="475">
        <f t="shared" si="137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35"/>
        <v>-50247355092.71978</v>
      </c>
      <c r="J2812" s="455">
        <f t="array" ref="J2812">IFERROR(INDEX('Retirement Calculator'!K:K,MATCH('Lorri 401b'!N2812,'Retirement Calculator'!A:A,0),0),0)</f>
        <v>0</v>
      </c>
      <c r="K2812" s="455">
        <f t="shared" ca="1" si="133"/>
        <v>-209363979.55299908</v>
      </c>
      <c r="L2812" s="455">
        <f t="shared" ca="1" si="134"/>
        <v>-50456719072.272781</v>
      </c>
      <c r="M2812" s="471">
        <f t="shared" si="136"/>
        <v>0.05</v>
      </c>
      <c r="N2812" s="475">
        <f t="shared" si="137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35"/>
        <v>-50456719072.272781</v>
      </c>
      <c r="J2813" s="455">
        <f t="array" ref="J2813">IFERROR(INDEX('Retirement Calculator'!K:K,MATCH('Lorri 401b'!N2813,'Retirement Calculator'!A:A,0),0),0)</f>
        <v>0</v>
      </c>
      <c r="K2813" s="455">
        <f t="shared" ref="K2813:K3067" ca="1" si="138">IPMT(M2813/12,1,12,-I2813+J2813,,0)</f>
        <v>-210236329.46780324</v>
      </c>
      <c r="L2813" s="455">
        <f t="shared" ref="L2813:L3067" ca="1" si="139">I2813-J2813+K2813</f>
        <v>-50666955401.740585</v>
      </c>
      <c r="M2813" s="471">
        <f t="shared" si="136"/>
        <v>0.05</v>
      </c>
      <c r="N2813" s="475">
        <f t="shared" si="137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40">L2813</f>
        <v>-50666955401.740585</v>
      </c>
      <c r="J2814" s="455">
        <f t="array" ref="J2814">IFERROR(INDEX('Retirement Calculator'!K:K,MATCH('Lorri 401b'!N2814,'Retirement Calculator'!A:A,0),0),0)</f>
        <v>0</v>
      </c>
      <c r="K2814" s="455">
        <f t="shared" ca="1" si="138"/>
        <v>-211112314.17391911</v>
      </c>
      <c r="L2814" s="455">
        <f t="shared" ca="1" si="139"/>
        <v>-50878067715.914505</v>
      </c>
      <c r="M2814" s="471">
        <f t="shared" ref="M2814:M3068" si="141">M2813</f>
        <v>0.05</v>
      </c>
      <c r="N2814" s="475">
        <f t="shared" ref="N2814:N3068" si="142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40"/>
        <v>-50878067715.914505</v>
      </c>
      <c r="J2815" s="455">
        <f t="array" ref="J2815">IFERROR(INDEX('Retirement Calculator'!K:K,MATCH('Lorri 401b'!N2815,'Retirement Calculator'!A:A,0),0),0)</f>
        <v>0</v>
      </c>
      <c r="K2815" s="455">
        <f t="shared" ca="1" si="138"/>
        <v>-211991948.81631044</v>
      </c>
      <c r="L2815" s="455">
        <f t="shared" ca="1" si="139"/>
        <v>-51090059664.730812</v>
      </c>
      <c r="M2815" s="471">
        <f t="shared" si="141"/>
        <v>0.05</v>
      </c>
      <c r="N2815" s="475">
        <f t="shared" si="142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40"/>
        <v>-51090059664.730812</v>
      </c>
      <c r="J2816" s="455">
        <f t="array" ref="J2816">IFERROR(INDEX('Retirement Calculator'!K:K,MATCH('Lorri 401b'!N2816,'Retirement Calculator'!A:A,0),0),0)</f>
        <v>0</v>
      </c>
      <c r="K2816" s="455">
        <f t="shared" ca="1" si="138"/>
        <v>-212875248.60304505</v>
      </c>
      <c r="L2816" s="455">
        <f t="shared" ca="1" si="139"/>
        <v>-51302934913.333855</v>
      </c>
      <c r="M2816" s="471">
        <f t="shared" si="141"/>
        <v>0.05</v>
      </c>
      <c r="N2816" s="475">
        <f t="shared" si="142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40"/>
        <v>-51302934913.333855</v>
      </c>
      <c r="J2817" s="455">
        <f t="array" ref="J2817">IFERROR(INDEX('Retirement Calculator'!K:K,MATCH('Lorri 401b'!N2817,'Retirement Calculator'!A:A,0),0),0)</f>
        <v>0</v>
      </c>
      <c r="K2817" s="455">
        <f t="shared" ca="1" si="138"/>
        <v>-213762228.80555773</v>
      </c>
      <c r="L2817" s="455">
        <f t="shared" ca="1" si="139"/>
        <v>-51516697142.139412</v>
      </c>
      <c r="M2817" s="471">
        <f t="shared" si="141"/>
        <v>0.05</v>
      </c>
      <c r="N2817" s="475">
        <f t="shared" si="142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40"/>
        <v>-51516697142.139412</v>
      </c>
      <c r="J2818" s="455">
        <f t="array" ref="J2818">IFERROR(INDEX('Retirement Calculator'!K:K,MATCH('Lorri 401b'!N2818,'Retirement Calculator'!A:A,0),0),0)</f>
        <v>0</v>
      </c>
      <c r="K2818" s="455">
        <f t="shared" ca="1" si="138"/>
        <v>-214652904.7589142</v>
      </c>
      <c r="L2818" s="455">
        <f t="shared" ca="1" si="139"/>
        <v>-51731350046.898323</v>
      </c>
      <c r="M2818" s="471">
        <f t="shared" si="141"/>
        <v>0.05</v>
      </c>
      <c r="N2818" s="475">
        <f t="shared" si="142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40"/>
        <v>-51731350046.898323</v>
      </c>
      <c r="J2819" s="455">
        <f t="array" ref="J2819">IFERROR(INDEX('Retirement Calculator'!K:K,MATCH('Lorri 401b'!N2819,'Retirement Calculator'!A:A,0),0),0)</f>
        <v>0</v>
      </c>
      <c r="K2819" s="455">
        <f t="shared" ca="1" si="138"/>
        <v>-215547291.86207634</v>
      </c>
      <c r="L2819" s="455">
        <f t="shared" ca="1" si="139"/>
        <v>-51946897338.760399</v>
      </c>
      <c r="M2819" s="471">
        <f t="shared" si="141"/>
        <v>0.05</v>
      </c>
      <c r="N2819" s="475">
        <f t="shared" si="142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40"/>
        <v>-51946897338.760399</v>
      </c>
      <c r="J2820" s="455">
        <f t="array" ref="J2820">IFERROR(INDEX('Retirement Calculator'!K:K,MATCH('Lorri 401b'!N2820,'Retirement Calculator'!A:A,0),0),0)</f>
        <v>0</v>
      </c>
      <c r="K2820" s="455">
        <f t="shared" ca="1" si="138"/>
        <v>-216445405.57816833</v>
      </c>
      <c r="L2820" s="455">
        <f t="shared" ca="1" si="139"/>
        <v>-52163342744.33857</v>
      </c>
      <c r="M2820" s="471">
        <f t="shared" si="141"/>
        <v>0.05</v>
      </c>
      <c r="N2820" s="475">
        <f t="shared" si="142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40"/>
        <v>-52163342744.33857</v>
      </c>
      <c r="J2821" s="455">
        <f t="array" ref="J2821">IFERROR(INDEX('Retirement Calculator'!K:K,MATCH('Lorri 401b'!N2821,'Retirement Calculator'!A:A,0),0),0)</f>
        <v>0</v>
      </c>
      <c r="K2821" s="455">
        <f t="shared" ca="1" si="138"/>
        <v>-217347261.43474403</v>
      </c>
      <c r="L2821" s="455">
        <f t="shared" ca="1" si="139"/>
        <v>-52380690005.773315</v>
      </c>
      <c r="M2821" s="471">
        <f t="shared" si="141"/>
        <v>0.05</v>
      </c>
      <c r="N2821" s="475">
        <f t="shared" si="142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40"/>
        <v>-52380690005.773315</v>
      </c>
      <c r="J2822" s="455">
        <f t="array" ref="J2822">IFERROR(INDEX('Retirement Calculator'!K:K,MATCH('Lorri 401b'!N2822,'Retirement Calculator'!A:A,0),0),0)</f>
        <v>0</v>
      </c>
      <c r="K2822" s="455">
        <f t="shared" ca="1" si="138"/>
        <v>-218252875.02405548</v>
      </c>
      <c r="L2822" s="455">
        <f t="shared" ca="1" si="139"/>
        <v>-52598942880.797371</v>
      </c>
      <c r="M2822" s="471">
        <f t="shared" si="141"/>
        <v>0.05</v>
      </c>
      <c r="N2822" s="475">
        <f t="shared" si="142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40"/>
        <v>-52598942880.797371</v>
      </c>
      <c r="J2823" s="455">
        <f t="array" ref="J2823">IFERROR(INDEX('Retirement Calculator'!K:K,MATCH('Lorri 401b'!N2823,'Retirement Calculator'!A:A,0),0),0)</f>
        <v>0</v>
      </c>
      <c r="K2823" s="455">
        <f t="shared" ca="1" si="138"/>
        <v>-219162262.00332236</v>
      </c>
      <c r="L2823" s="455">
        <f t="shared" ca="1" si="139"/>
        <v>-52818105142.80069</v>
      </c>
      <c r="M2823" s="471">
        <f t="shared" si="141"/>
        <v>0.05</v>
      </c>
      <c r="N2823" s="475">
        <f t="shared" si="142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40"/>
        <v>-52818105142.80069</v>
      </c>
      <c r="J2824" s="455">
        <f t="array" ref="J2824">IFERROR(INDEX('Retirement Calculator'!K:K,MATCH('Lorri 401b'!N2824,'Retirement Calculator'!A:A,0),0),0)</f>
        <v>0</v>
      </c>
      <c r="K2824" s="455">
        <f t="shared" ca="1" si="138"/>
        <v>-220075438.09500286</v>
      </c>
      <c r="L2824" s="455">
        <f t="shared" ca="1" si="139"/>
        <v>-53038180580.895691</v>
      </c>
      <c r="M2824" s="471">
        <f t="shared" si="141"/>
        <v>0.05</v>
      </c>
      <c r="N2824" s="475">
        <f t="shared" si="142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40"/>
        <v>-53038180580.895691</v>
      </c>
      <c r="J2825" s="455">
        <f t="array" ref="J2825">IFERROR(INDEX('Retirement Calculator'!K:K,MATCH('Lorri 401b'!N2825,'Retirement Calculator'!A:A,0),0),0)</f>
        <v>0</v>
      </c>
      <c r="K2825" s="455">
        <f t="shared" ca="1" si="138"/>
        <v>-220992419.08706537</v>
      </c>
      <c r="L2825" s="455">
        <f t="shared" ca="1" si="139"/>
        <v>-53259172999.982758</v>
      </c>
      <c r="M2825" s="471">
        <f t="shared" si="141"/>
        <v>0.05</v>
      </c>
      <c r="N2825" s="475">
        <f t="shared" si="142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40"/>
        <v>-53259172999.982758</v>
      </c>
      <c r="J2826" s="455">
        <f t="array" ref="J2826">IFERROR(INDEX('Retirement Calculator'!K:K,MATCH('Lorri 401b'!N2826,'Retirement Calculator'!A:A,0),0),0)</f>
        <v>0</v>
      </c>
      <c r="K2826" s="455">
        <f t="shared" ca="1" si="138"/>
        <v>-221913220.83326149</v>
      </c>
      <c r="L2826" s="455">
        <f t="shared" ca="1" si="139"/>
        <v>-53481086220.816017</v>
      </c>
      <c r="M2826" s="471">
        <f t="shared" si="141"/>
        <v>0.05</v>
      </c>
      <c r="N2826" s="475">
        <f t="shared" si="142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40"/>
        <v>-53481086220.816017</v>
      </c>
      <c r="J2827" s="455">
        <f t="array" ref="J2827">IFERROR(INDEX('Retirement Calculator'!K:K,MATCH('Lorri 401b'!N2827,'Retirement Calculator'!A:A,0),0),0)</f>
        <v>0</v>
      </c>
      <c r="K2827" s="455">
        <f t="shared" ca="1" si="138"/>
        <v>-222837859.25340006</v>
      </c>
      <c r="L2827" s="455">
        <f t="shared" ca="1" si="139"/>
        <v>-53703924080.06942</v>
      </c>
      <c r="M2827" s="471">
        <f t="shared" si="141"/>
        <v>0.05</v>
      </c>
      <c r="N2827" s="475">
        <f t="shared" si="142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40"/>
        <v>-53703924080.06942</v>
      </c>
      <c r="J2828" s="455">
        <f t="array" ref="J2828">IFERROR(INDEX('Retirement Calculator'!K:K,MATCH('Lorri 401b'!N2828,'Retirement Calculator'!A:A,0),0),0)</f>
        <v>0</v>
      </c>
      <c r="K2828" s="455">
        <f t="shared" ca="1" si="138"/>
        <v>-223766350.33362255</v>
      </c>
      <c r="L2828" s="455">
        <f t="shared" ca="1" si="139"/>
        <v>-53927690430.403046</v>
      </c>
      <c r="M2828" s="471">
        <f t="shared" si="141"/>
        <v>0.05</v>
      </c>
      <c r="N2828" s="475">
        <f t="shared" si="142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40"/>
        <v>-53927690430.403046</v>
      </c>
      <c r="J2829" s="455">
        <f t="array" ref="J2829">IFERROR(INDEX('Retirement Calculator'!K:K,MATCH('Lorri 401b'!N2829,'Retirement Calculator'!A:A,0),0),0)</f>
        <v>0</v>
      </c>
      <c r="K2829" s="455">
        <f t="shared" ca="1" si="138"/>
        <v>-224698710.12667933</v>
      </c>
      <c r="L2829" s="455">
        <f t="shared" ca="1" si="139"/>
        <v>-54152389140.529724</v>
      </c>
      <c r="M2829" s="471">
        <f t="shared" si="141"/>
        <v>0.05</v>
      </c>
      <c r="N2829" s="475">
        <f t="shared" si="142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40"/>
        <v>-54152389140.529724</v>
      </c>
      <c r="J2830" s="455">
        <f t="array" ref="J2830">IFERROR(INDEX('Retirement Calculator'!K:K,MATCH('Lorri 401b'!N2830,'Retirement Calculator'!A:A,0),0),0)</f>
        <v>0</v>
      </c>
      <c r="K2830" s="455">
        <f t="shared" ca="1" si="138"/>
        <v>-225634954.75220716</v>
      </c>
      <c r="L2830" s="455">
        <f t="shared" ca="1" si="139"/>
        <v>-54378024095.281929</v>
      </c>
      <c r="M2830" s="471">
        <f t="shared" si="141"/>
        <v>0.05</v>
      </c>
      <c r="N2830" s="475">
        <f t="shared" si="142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40"/>
        <v>-54378024095.281929</v>
      </c>
      <c r="J2831" s="455">
        <f t="array" ref="J2831">IFERROR(INDEX('Retirement Calculator'!K:K,MATCH('Lorri 401b'!N2831,'Retirement Calculator'!A:A,0),0),0)</f>
        <v>0</v>
      </c>
      <c r="K2831" s="455">
        <f t="shared" ca="1" si="138"/>
        <v>-226575100.39700803</v>
      </c>
      <c r="L2831" s="455">
        <f t="shared" ca="1" si="139"/>
        <v>-54604599195.67894</v>
      </c>
      <c r="M2831" s="471">
        <f t="shared" si="141"/>
        <v>0.05</v>
      </c>
      <c r="N2831" s="475">
        <f t="shared" si="142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40"/>
        <v>-54604599195.67894</v>
      </c>
      <c r="J2832" s="455">
        <f t="array" ref="J2832">IFERROR(INDEX('Retirement Calculator'!K:K,MATCH('Lorri 401b'!N2832,'Retirement Calculator'!A:A,0),0),0)</f>
        <v>0</v>
      </c>
      <c r="K2832" s="455">
        <f t="shared" ca="1" si="138"/>
        <v>-227519163.31532887</v>
      </c>
      <c r="L2832" s="455">
        <f t="shared" ca="1" si="139"/>
        <v>-54832118358.99427</v>
      </c>
      <c r="M2832" s="471">
        <f t="shared" si="141"/>
        <v>0.05</v>
      </c>
      <c r="N2832" s="475">
        <f t="shared" si="142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40"/>
        <v>-54832118358.99427</v>
      </c>
      <c r="J2833" s="455">
        <f t="array" ref="J2833">IFERROR(INDEX('Retirement Calculator'!K:K,MATCH('Lorri 401b'!N2833,'Retirement Calculator'!A:A,0),0),0)</f>
        <v>0</v>
      </c>
      <c r="K2833" s="455">
        <f t="shared" ca="1" si="138"/>
        <v>-228467159.82914278</v>
      </c>
      <c r="L2833" s="455">
        <f t="shared" ca="1" si="139"/>
        <v>-55060585518.82341</v>
      </c>
      <c r="M2833" s="471">
        <f t="shared" si="141"/>
        <v>0.05</v>
      </c>
      <c r="N2833" s="475">
        <f t="shared" si="142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40"/>
        <v>-55060585518.82341</v>
      </c>
      <c r="J2834" s="455">
        <f t="array" ref="J2834">IFERROR(INDEX('Retirement Calculator'!K:K,MATCH('Lorri 401b'!N2834,'Retirement Calculator'!A:A,0),0),0)</f>
        <v>0</v>
      </c>
      <c r="K2834" s="455">
        <f t="shared" ca="1" si="138"/>
        <v>-229419106.32843083</v>
      </c>
      <c r="L2834" s="455">
        <f t="shared" ca="1" si="139"/>
        <v>-55290004625.15184</v>
      </c>
      <c r="M2834" s="471">
        <f t="shared" si="141"/>
        <v>0.05</v>
      </c>
      <c r="N2834" s="475">
        <f t="shared" si="142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40"/>
        <v>-55290004625.15184</v>
      </c>
      <c r="J2835" s="455">
        <f t="array" ref="J2835">IFERROR(INDEX('Retirement Calculator'!K:K,MATCH('Lorri 401b'!N2835,'Retirement Calculator'!A:A,0),0),0)</f>
        <v>0</v>
      </c>
      <c r="K2835" s="455">
        <f t="shared" ca="1" si="138"/>
        <v>-230375019.27146602</v>
      </c>
      <c r="L2835" s="455">
        <f t="shared" ca="1" si="139"/>
        <v>-55520379644.423309</v>
      </c>
      <c r="M2835" s="471">
        <f t="shared" si="141"/>
        <v>0.05</v>
      </c>
      <c r="N2835" s="475">
        <f t="shared" si="142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40"/>
        <v>-55520379644.423309</v>
      </c>
      <c r="J2836" s="455">
        <f t="array" ref="J2836">IFERROR(INDEX('Retirement Calculator'!K:K,MATCH('Lorri 401b'!N2836,'Retirement Calculator'!A:A,0),0),0)</f>
        <v>0</v>
      </c>
      <c r="K2836" s="455">
        <f t="shared" ca="1" si="138"/>
        <v>-231334915.18509713</v>
      </c>
      <c r="L2836" s="455">
        <f t="shared" ca="1" si="139"/>
        <v>-55751714559.608406</v>
      </c>
      <c r="M2836" s="471">
        <f t="shared" si="141"/>
        <v>0.05</v>
      </c>
      <c r="N2836" s="475">
        <f t="shared" si="142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40"/>
        <v>-55751714559.608406</v>
      </c>
      <c r="J2837" s="455">
        <f t="array" ref="J2837">IFERROR(INDEX('Retirement Calculator'!K:K,MATCH('Lorri 401b'!N2837,'Retirement Calculator'!A:A,0),0),0)</f>
        <v>0</v>
      </c>
      <c r="K2837" s="455">
        <f t="shared" ca="1" si="138"/>
        <v>-232298810.66503498</v>
      </c>
      <c r="L2837" s="455">
        <f t="shared" ca="1" si="139"/>
        <v>-55984013370.273438</v>
      </c>
      <c r="M2837" s="471">
        <f t="shared" si="141"/>
        <v>0.05</v>
      </c>
      <c r="N2837" s="475">
        <f t="shared" si="142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40"/>
        <v>-55984013370.273438</v>
      </c>
      <c r="J2838" s="455">
        <f t="array" ref="J2838">IFERROR(INDEX('Retirement Calculator'!K:K,MATCH('Lorri 401b'!N2838,'Retirement Calculator'!A:A,0),0),0)</f>
        <v>0</v>
      </c>
      <c r="K2838" s="455">
        <f t="shared" ca="1" si="138"/>
        <v>-233266722.37613928</v>
      </c>
      <c r="L2838" s="455">
        <f t="shared" ca="1" si="139"/>
        <v>-56217280092.649574</v>
      </c>
      <c r="M2838" s="471">
        <f t="shared" si="141"/>
        <v>0.05</v>
      </c>
      <c r="N2838" s="475">
        <f t="shared" si="142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40"/>
        <v>-56217280092.649574</v>
      </c>
      <c r="J2839" s="455">
        <f t="array" ref="J2839">IFERROR(INDEX('Retirement Calculator'!K:K,MATCH('Lorri 401b'!N2839,'Retirement Calculator'!A:A,0),0),0)</f>
        <v>0</v>
      </c>
      <c r="K2839" s="455">
        <f t="shared" ca="1" si="138"/>
        <v>-234238667.05270657</v>
      </c>
      <c r="L2839" s="455">
        <f t="shared" ca="1" si="139"/>
        <v>-56451518759.702278</v>
      </c>
      <c r="M2839" s="471">
        <f t="shared" si="141"/>
        <v>0.05</v>
      </c>
      <c r="N2839" s="475">
        <f t="shared" si="142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40"/>
        <v>-56451518759.702278</v>
      </c>
      <c r="J2840" s="455">
        <f t="array" ref="J2840">IFERROR(INDEX('Retirement Calculator'!K:K,MATCH('Lorri 401b'!N2840,'Retirement Calculator'!A:A,0),0),0)</f>
        <v>0</v>
      </c>
      <c r="K2840" s="455">
        <f t="shared" ca="1" si="138"/>
        <v>-235214661.49875945</v>
      </c>
      <c r="L2840" s="455">
        <f t="shared" ca="1" si="139"/>
        <v>-56686733421.201035</v>
      </c>
      <c r="M2840" s="471">
        <f t="shared" si="141"/>
        <v>0.05</v>
      </c>
      <c r="N2840" s="475">
        <f t="shared" si="142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40"/>
        <v>-56686733421.201035</v>
      </c>
      <c r="J2841" s="455">
        <f t="array" ref="J2841">IFERROR(INDEX('Retirement Calculator'!K:K,MATCH('Lorri 401b'!N2841,'Retirement Calculator'!A:A,0),0),0)</f>
        <v>0</v>
      </c>
      <c r="K2841" s="455">
        <f t="shared" ca="1" si="138"/>
        <v>-236194722.58833763</v>
      </c>
      <c r="L2841" s="455">
        <f t="shared" ca="1" si="139"/>
        <v>-56922928143.789375</v>
      </c>
      <c r="M2841" s="471">
        <f t="shared" si="141"/>
        <v>0.05</v>
      </c>
      <c r="N2841" s="475">
        <f t="shared" si="142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40"/>
        <v>-56922928143.789375</v>
      </c>
      <c r="J2842" s="455">
        <f t="array" ref="J2842">IFERROR(INDEX('Retirement Calculator'!K:K,MATCH('Lorri 401b'!N2842,'Retirement Calculator'!A:A,0),0),0)</f>
        <v>0</v>
      </c>
      <c r="K2842" s="455">
        <f t="shared" ca="1" si="138"/>
        <v>-237178867.26578906</v>
      </c>
      <c r="L2842" s="455">
        <f t="shared" ca="1" si="139"/>
        <v>-57160107011.055168</v>
      </c>
      <c r="M2842" s="471">
        <f t="shared" si="141"/>
        <v>0.05</v>
      </c>
      <c r="N2842" s="475">
        <f t="shared" si="142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40"/>
        <v>-57160107011.055168</v>
      </c>
      <c r="J2843" s="455">
        <f t="array" ref="J2843">IFERROR(INDEX('Retirement Calculator'!K:K,MATCH('Lorri 401b'!N2843,'Retirement Calculator'!A:A,0),0),0)</f>
        <v>0</v>
      </c>
      <c r="K2843" s="455">
        <f t="shared" ca="1" si="138"/>
        <v>-238167112.54606318</v>
      </c>
      <c r="L2843" s="455">
        <f t="shared" ca="1" si="139"/>
        <v>-57398274123.601234</v>
      </c>
      <c r="M2843" s="471">
        <f t="shared" si="141"/>
        <v>0.05</v>
      </c>
      <c r="N2843" s="475">
        <f t="shared" si="142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40"/>
        <v>-57398274123.601234</v>
      </c>
      <c r="J2844" s="455">
        <f t="array" ref="J2844">IFERROR(INDEX('Retirement Calculator'!K:K,MATCH('Lorri 401b'!N2844,'Retirement Calculator'!A:A,0),0),0)</f>
        <v>0</v>
      </c>
      <c r="K2844" s="455">
        <f t="shared" ca="1" si="138"/>
        <v>-239159475.51500514</v>
      </c>
      <c r="L2844" s="455">
        <f t="shared" ca="1" si="139"/>
        <v>-57637433599.116241</v>
      </c>
      <c r="M2844" s="471">
        <f t="shared" si="141"/>
        <v>0.05</v>
      </c>
      <c r="N2844" s="475">
        <f t="shared" si="142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40"/>
        <v>-57637433599.116241</v>
      </c>
      <c r="J2845" s="455">
        <f t="array" ref="J2845">IFERROR(INDEX('Retirement Calculator'!K:K,MATCH('Lorri 401b'!N2845,'Retirement Calculator'!A:A,0),0),0)</f>
        <v>0</v>
      </c>
      <c r="K2845" s="455">
        <f t="shared" ca="1" si="138"/>
        <v>-240155973.32965097</v>
      </c>
      <c r="L2845" s="455">
        <f t="shared" ca="1" si="139"/>
        <v>-57877589572.445892</v>
      </c>
      <c r="M2845" s="471">
        <f t="shared" si="141"/>
        <v>0.05</v>
      </c>
      <c r="N2845" s="475">
        <f t="shared" si="142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40"/>
        <v>-57877589572.445892</v>
      </c>
      <c r="J2846" s="455">
        <f t="array" ref="J2846">IFERROR(INDEX('Retirement Calculator'!K:K,MATCH('Lorri 401b'!N2846,'Retirement Calculator'!A:A,0),0),0)</f>
        <v>0</v>
      </c>
      <c r="K2846" s="455">
        <f t="shared" ca="1" si="138"/>
        <v>-241156623.21852455</v>
      </c>
      <c r="L2846" s="455">
        <f t="shared" ca="1" si="139"/>
        <v>-58118746195.664413</v>
      </c>
      <c r="M2846" s="471">
        <f t="shared" si="141"/>
        <v>0.05</v>
      </c>
      <c r="N2846" s="475">
        <f t="shared" si="142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40"/>
        <v>-58118746195.664413</v>
      </c>
      <c r="J2847" s="455">
        <f t="array" ref="J2847">IFERROR(INDEX('Retirement Calculator'!K:K,MATCH('Lorri 401b'!N2847,'Retirement Calculator'!A:A,0),0),0)</f>
        <v>0</v>
      </c>
      <c r="K2847" s="455">
        <f t="shared" ca="1" si="138"/>
        <v>-242161442.48193505</v>
      </c>
      <c r="L2847" s="455">
        <f t="shared" ca="1" si="139"/>
        <v>-58360907638.146347</v>
      </c>
      <c r="M2847" s="471">
        <f t="shared" si="141"/>
        <v>0.05</v>
      </c>
      <c r="N2847" s="475">
        <f t="shared" si="142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40"/>
        <v>-58360907638.146347</v>
      </c>
      <c r="J2848" s="455">
        <f t="array" ref="J2848">IFERROR(INDEX('Retirement Calculator'!K:K,MATCH('Lorri 401b'!N2848,'Retirement Calculator'!A:A,0),0),0)</f>
        <v>0</v>
      </c>
      <c r="K2848" s="455">
        <f t="shared" ca="1" si="138"/>
        <v>-243170448.49227643</v>
      </c>
      <c r="L2848" s="455">
        <f t="shared" ca="1" si="139"/>
        <v>-58604078086.638626</v>
      </c>
      <c r="M2848" s="471">
        <f t="shared" si="141"/>
        <v>0.05</v>
      </c>
      <c r="N2848" s="475">
        <f t="shared" si="142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40"/>
        <v>-58604078086.638626</v>
      </c>
      <c r="J2849" s="455">
        <f t="array" ref="J2849">IFERROR(INDEX('Retirement Calculator'!K:K,MATCH('Lorri 401b'!N2849,'Retirement Calculator'!A:A,0),0),0)</f>
        <v>0</v>
      </c>
      <c r="K2849" s="455">
        <f t="shared" ca="1" si="138"/>
        <v>-244183658.69432759</v>
      </c>
      <c r="L2849" s="455">
        <f t="shared" ca="1" si="139"/>
        <v>-58848261745.332954</v>
      </c>
      <c r="M2849" s="471">
        <f t="shared" si="141"/>
        <v>0.05</v>
      </c>
      <c r="N2849" s="475">
        <f t="shared" si="142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40"/>
        <v>-58848261745.332954</v>
      </c>
      <c r="J2850" s="455">
        <f t="array" ref="J2850">IFERROR(INDEX('Retirement Calculator'!K:K,MATCH('Lorri 401b'!N2850,'Retirement Calculator'!A:A,0),0),0)</f>
        <v>0</v>
      </c>
      <c r="K2850" s="455">
        <f t="shared" ca="1" si="138"/>
        <v>-245201090.60555395</v>
      </c>
      <c r="L2850" s="455">
        <f t="shared" ca="1" si="139"/>
        <v>-59093462835.938507</v>
      </c>
      <c r="M2850" s="471">
        <f t="shared" si="141"/>
        <v>0.05</v>
      </c>
      <c r="N2850" s="475">
        <f t="shared" si="142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40"/>
        <v>-59093462835.938507</v>
      </c>
      <c r="J2851" s="455">
        <f t="array" ref="J2851">IFERROR(INDEX('Retirement Calculator'!K:K,MATCH('Lorri 401b'!N2851,'Retirement Calculator'!A:A,0),0),0)</f>
        <v>0</v>
      </c>
      <c r="K2851" s="455">
        <f t="shared" ca="1" si="138"/>
        <v>-246222761.81641048</v>
      </c>
      <c r="L2851" s="455">
        <f t="shared" ca="1" si="139"/>
        <v>-59339685597.754921</v>
      </c>
      <c r="M2851" s="471">
        <f t="shared" si="141"/>
        <v>0.05</v>
      </c>
      <c r="N2851" s="475">
        <f t="shared" si="142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40"/>
        <v>-59339685597.754921</v>
      </c>
      <c r="J2852" s="455">
        <f t="array" ref="J2852">IFERROR(INDEX('Retirement Calculator'!K:K,MATCH('Lorri 401b'!N2852,'Retirement Calculator'!A:A,0),0),0)</f>
        <v>0</v>
      </c>
      <c r="K2852" s="455">
        <f t="shared" ca="1" si="138"/>
        <v>-247248689.99064547</v>
      </c>
      <c r="L2852" s="455">
        <f t="shared" ca="1" si="139"/>
        <v>-59586934287.745567</v>
      </c>
      <c r="M2852" s="471">
        <f t="shared" si="141"/>
        <v>0.05</v>
      </c>
      <c r="N2852" s="475">
        <f t="shared" si="142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40"/>
        <v>-59586934287.745567</v>
      </c>
      <c r="J2853" s="455">
        <f t="array" ref="J2853">IFERROR(INDEX('Retirement Calculator'!K:K,MATCH('Lorri 401b'!N2853,'Retirement Calculator'!A:A,0),0),0)</f>
        <v>0</v>
      </c>
      <c r="K2853" s="455">
        <f t="shared" ca="1" si="138"/>
        <v>-248278892.86560652</v>
      </c>
      <c r="L2853" s="455">
        <f t="shared" ca="1" si="139"/>
        <v>-59835213180.611176</v>
      </c>
      <c r="M2853" s="471">
        <f t="shared" si="141"/>
        <v>0.05</v>
      </c>
      <c r="N2853" s="475">
        <f t="shared" si="142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40"/>
        <v>-59835213180.611176</v>
      </c>
      <c r="J2854" s="455">
        <f t="array" ref="J2854">IFERROR(INDEX('Retirement Calculator'!K:K,MATCH('Lorri 401b'!N2854,'Retirement Calculator'!A:A,0),0),0)</f>
        <v>0</v>
      </c>
      <c r="K2854" s="455">
        <f t="shared" ca="1" si="138"/>
        <v>-249313388.25254658</v>
      </c>
      <c r="L2854" s="455">
        <f t="shared" ca="1" si="139"/>
        <v>-60084526568.863724</v>
      </c>
      <c r="M2854" s="471">
        <f t="shared" si="141"/>
        <v>0.05</v>
      </c>
      <c r="N2854" s="475">
        <f t="shared" si="142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40"/>
        <v>-60084526568.863724</v>
      </c>
      <c r="J2855" s="455">
        <f t="array" ref="J2855">IFERROR(INDEX('Retirement Calculator'!K:K,MATCH('Lorri 401b'!N2855,'Retirement Calculator'!A:A,0),0),0)</f>
        <v>0</v>
      </c>
      <c r="K2855" s="455">
        <f t="shared" ca="1" si="138"/>
        <v>-250352194.03693217</v>
      </c>
      <c r="L2855" s="455">
        <f t="shared" ca="1" si="139"/>
        <v>-60334878762.900658</v>
      </c>
      <c r="M2855" s="471">
        <f t="shared" si="141"/>
        <v>0.05</v>
      </c>
      <c r="N2855" s="475">
        <f t="shared" si="142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40"/>
        <v>-60334878762.900658</v>
      </c>
      <c r="J2856" s="455">
        <f t="array" ref="J2856">IFERROR(INDEX('Retirement Calculator'!K:K,MATCH('Lorri 401b'!N2856,'Retirement Calculator'!A:A,0),0),0)</f>
        <v>0</v>
      </c>
      <c r="K2856" s="455">
        <f t="shared" ca="1" si="138"/>
        <v>-251395328.17875275</v>
      </c>
      <c r="L2856" s="455">
        <f t="shared" ca="1" si="139"/>
        <v>-60586274091.079407</v>
      </c>
      <c r="M2856" s="471">
        <f t="shared" si="141"/>
        <v>0.05</v>
      </c>
      <c r="N2856" s="475">
        <f t="shared" si="142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40"/>
        <v>-60586274091.079407</v>
      </c>
      <c r="J2857" s="455">
        <f t="array" ref="J2857">IFERROR(INDEX('Retirement Calculator'!K:K,MATCH('Lorri 401b'!N2857,'Retirement Calculator'!A:A,0),0),0)</f>
        <v>0</v>
      </c>
      <c r="K2857" s="455">
        <f t="shared" ca="1" si="138"/>
        <v>-252442808.71283087</v>
      </c>
      <c r="L2857" s="455">
        <f t="shared" ca="1" si="139"/>
        <v>-60838716899.792236</v>
      </c>
      <c r="M2857" s="471">
        <f t="shared" si="141"/>
        <v>0.05</v>
      </c>
      <c r="N2857" s="475">
        <f t="shared" si="142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40"/>
        <v>-60838716899.792236</v>
      </c>
      <c r="J2858" s="455">
        <f t="array" ref="J2858">IFERROR(INDEX('Retirement Calculator'!K:K,MATCH('Lorri 401b'!N2858,'Retirement Calculator'!A:A,0),0),0)</f>
        <v>0</v>
      </c>
      <c r="K2858" s="455">
        <f t="shared" ca="1" si="138"/>
        <v>-253494653.7491343</v>
      </c>
      <c r="L2858" s="455">
        <f t="shared" ca="1" si="139"/>
        <v>-61092211553.541374</v>
      </c>
      <c r="M2858" s="471">
        <f t="shared" si="141"/>
        <v>0.05</v>
      </c>
      <c r="N2858" s="475">
        <f t="shared" si="142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40"/>
        <v>-61092211553.541374</v>
      </c>
      <c r="J2859" s="455">
        <f t="array" ref="J2859">IFERROR(INDEX('Retirement Calculator'!K:K,MATCH('Lorri 401b'!N2859,'Retirement Calculator'!A:A,0),0),0)</f>
        <v>0</v>
      </c>
      <c r="K2859" s="455">
        <f t="shared" ca="1" si="138"/>
        <v>-254550881.47308907</v>
      </c>
      <c r="L2859" s="455">
        <f t="shared" ca="1" si="139"/>
        <v>-61346762435.014465</v>
      </c>
      <c r="M2859" s="471">
        <f t="shared" si="141"/>
        <v>0.05</v>
      </c>
      <c r="N2859" s="475">
        <f t="shared" si="142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40"/>
        <v>-61346762435.014465</v>
      </c>
      <c r="J2860" s="455">
        <f t="array" ref="J2860">IFERROR(INDEX('Retirement Calculator'!K:K,MATCH('Lorri 401b'!N2860,'Retirement Calculator'!A:A,0),0),0)</f>
        <v>0</v>
      </c>
      <c r="K2860" s="455">
        <f t="shared" ca="1" si="138"/>
        <v>-255611510.1458936</v>
      </c>
      <c r="L2860" s="455">
        <f t="shared" ca="1" si="139"/>
        <v>-61602373945.160362</v>
      </c>
      <c r="M2860" s="471">
        <f t="shared" si="141"/>
        <v>0.05</v>
      </c>
      <c r="N2860" s="475">
        <f t="shared" si="142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40"/>
        <v>-61602373945.160362</v>
      </c>
      <c r="J2861" s="455">
        <f t="array" ref="J2861">IFERROR(INDEX('Retirement Calculator'!K:K,MATCH('Lorri 401b'!N2861,'Retirement Calculator'!A:A,0),0),0)</f>
        <v>0</v>
      </c>
      <c r="K2861" s="455">
        <f t="shared" ca="1" si="138"/>
        <v>-256676558.10483482</v>
      </c>
      <c r="L2861" s="455">
        <f t="shared" ca="1" si="139"/>
        <v>-61859050503.265198</v>
      </c>
      <c r="M2861" s="471">
        <f t="shared" si="141"/>
        <v>0.05</v>
      </c>
      <c r="N2861" s="475">
        <f t="shared" si="142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40"/>
        <v>-61859050503.265198</v>
      </c>
      <c r="J2862" s="455">
        <f t="array" ref="J2862">IFERROR(INDEX('Retirement Calculator'!K:K,MATCH('Lorri 401b'!N2862,'Retirement Calculator'!A:A,0),0),0)</f>
        <v>0</v>
      </c>
      <c r="K2862" s="455">
        <f t="shared" ca="1" si="138"/>
        <v>-257746043.763605</v>
      </c>
      <c r="L2862" s="455">
        <f t="shared" ca="1" si="139"/>
        <v>-62116796547.028801</v>
      </c>
      <c r="M2862" s="471">
        <f t="shared" si="141"/>
        <v>0.05</v>
      </c>
      <c r="N2862" s="475">
        <f t="shared" si="142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40"/>
        <v>-62116796547.028801</v>
      </c>
      <c r="J2863" s="455">
        <f t="array" ref="J2863">IFERROR(INDEX('Retirement Calculator'!K:K,MATCH('Lorri 401b'!N2863,'Retirement Calculator'!A:A,0),0),0)</f>
        <v>0</v>
      </c>
      <c r="K2863" s="455">
        <f t="shared" ca="1" si="138"/>
        <v>-258819985.61262003</v>
      </c>
      <c r="L2863" s="455">
        <f t="shared" ca="1" si="139"/>
        <v>-62375616532.641418</v>
      </c>
      <c r="M2863" s="471">
        <f t="shared" si="141"/>
        <v>0.05</v>
      </c>
      <c r="N2863" s="475">
        <f t="shared" si="142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40"/>
        <v>-62375616532.641418</v>
      </c>
      <c r="J2864" s="455">
        <f t="array" ref="J2864">IFERROR(INDEX('Retirement Calculator'!K:K,MATCH('Lorri 401b'!N2864,'Retirement Calculator'!A:A,0),0),0)</f>
        <v>0</v>
      </c>
      <c r="K2864" s="455">
        <f t="shared" ca="1" si="138"/>
        <v>-259898402.21933925</v>
      </c>
      <c r="L2864" s="455">
        <f t="shared" ca="1" si="139"/>
        <v>-62635514934.860756</v>
      </c>
      <c r="M2864" s="471">
        <f t="shared" si="141"/>
        <v>0.05</v>
      </c>
      <c r="N2864" s="475">
        <f t="shared" si="142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40"/>
        <v>-62635514934.860756</v>
      </c>
      <c r="J2865" s="455">
        <f t="array" ref="J2865">IFERROR(INDEX('Retirement Calculator'!K:K,MATCH('Lorri 401b'!N2865,'Retirement Calculator'!A:A,0),0),0)</f>
        <v>0</v>
      </c>
      <c r="K2865" s="455">
        <f t="shared" ca="1" si="138"/>
        <v>-260981312.22858647</v>
      </c>
      <c r="L2865" s="455">
        <f t="shared" ca="1" si="139"/>
        <v>-62896496247.08934</v>
      </c>
      <c r="M2865" s="471">
        <f t="shared" si="141"/>
        <v>0.05</v>
      </c>
      <c r="N2865" s="475">
        <f t="shared" si="142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40"/>
        <v>-62896496247.08934</v>
      </c>
      <c r="J2866" s="455">
        <f t="array" ref="J2866">IFERROR(INDEX('Retirement Calculator'!K:K,MATCH('Lorri 401b'!N2866,'Retirement Calculator'!A:A,0),0),0)</f>
        <v>0</v>
      </c>
      <c r="K2866" s="455">
        <f t="shared" ca="1" si="138"/>
        <v>-262068734.36287227</v>
      </c>
      <c r="L2866" s="455">
        <f t="shared" ca="1" si="139"/>
        <v>-63158564981.452209</v>
      </c>
      <c r="M2866" s="471">
        <f t="shared" si="141"/>
        <v>0.05</v>
      </c>
      <c r="N2866" s="475">
        <f t="shared" si="142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40"/>
        <v>-63158564981.452209</v>
      </c>
      <c r="J2867" s="455">
        <f t="array" ref="J2867">IFERROR(INDEX('Retirement Calculator'!K:K,MATCH('Lorri 401b'!N2867,'Retirement Calculator'!A:A,0),0),0)</f>
        <v>0</v>
      </c>
      <c r="K2867" s="455">
        <f t="shared" ca="1" si="138"/>
        <v>-263160687.42271757</v>
      </c>
      <c r="L2867" s="455">
        <f t="shared" ca="1" si="139"/>
        <v>-63421725668.874924</v>
      </c>
      <c r="M2867" s="471">
        <f t="shared" si="141"/>
        <v>0.05</v>
      </c>
      <c r="N2867" s="475">
        <f t="shared" si="142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40"/>
        <v>-63421725668.874924</v>
      </c>
      <c r="J2868" s="455">
        <f t="array" ref="J2868">IFERROR(INDEX('Retirement Calculator'!K:K,MATCH('Lorri 401b'!N2868,'Retirement Calculator'!A:A,0),0),0)</f>
        <v>0</v>
      </c>
      <c r="K2868" s="455">
        <f t="shared" ca="1" si="138"/>
        <v>-264257190.28697884</v>
      </c>
      <c r="L2868" s="455">
        <f t="shared" ca="1" si="139"/>
        <v>-63685982859.161903</v>
      </c>
      <c r="M2868" s="471">
        <f t="shared" si="141"/>
        <v>0.05</v>
      </c>
      <c r="N2868" s="475">
        <f t="shared" si="142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40"/>
        <v>-63685982859.161903</v>
      </c>
      <c r="J2869" s="455">
        <f t="array" ref="J2869">IFERROR(INDEX('Retirement Calculator'!K:K,MATCH('Lorri 401b'!N2869,'Retirement Calculator'!A:A,0),0),0)</f>
        <v>0</v>
      </c>
      <c r="K2869" s="455">
        <f t="shared" ca="1" si="138"/>
        <v>-265358261.91317463</v>
      </c>
      <c r="L2869" s="455">
        <f t="shared" ca="1" si="139"/>
        <v>-63951341121.075081</v>
      </c>
      <c r="M2869" s="471">
        <f t="shared" si="141"/>
        <v>0.05</v>
      </c>
      <c r="N2869" s="475">
        <f t="shared" si="142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40"/>
        <v>-63951341121.075081</v>
      </c>
      <c r="J2870" s="455">
        <f t="array" ref="J2870">IFERROR(INDEX('Retirement Calculator'!K:K,MATCH('Lorri 401b'!N2870,'Retirement Calculator'!A:A,0),0),0)</f>
        <v>0</v>
      </c>
      <c r="K2870" s="455">
        <f t="shared" ca="1" si="138"/>
        <v>-266463921.33781287</v>
      </c>
      <c r="L2870" s="455">
        <f t="shared" ca="1" si="139"/>
        <v>-64217805042.412895</v>
      </c>
      <c r="M2870" s="471">
        <f t="shared" si="141"/>
        <v>0.05</v>
      </c>
      <c r="N2870" s="475">
        <f t="shared" si="142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40"/>
        <v>-64217805042.412895</v>
      </c>
      <c r="J2871" s="455">
        <f t="array" ref="J2871">IFERROR(INDEX('Retirement Calculator'!K:K,MATCH('Lorri 401b'!N2871,'Retirement Calculator'!A:A,0),0),0)</f>
        <v>0</v>
      </c>
      <c r="K2871" s="455">
        <f t="shared" ca="1" si="138"/>
        <v>-267574187.67672038</v>
      </c>
      <c r="L2871" s="455">
        <f t="shared" ca="1" si="139"/>
        <v>-64485379230.089615</v>
      </c>
      <c r="M2871" s="471">
        <f t="shared" si="141"/>
        <v>0.05</v>
      </c>
      <c r="N2871" s="475">
        <f t="shared" si="142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40"/>
        <v>-64485379230.089615</v>
      </c>
      <c r="J2872" s="455">
        <f t="array" ref="J2872">IFERROR(INDEX('Retirement Calculator'!K:K,MATCH('Lorri 401b'!N2872,'Retirement Calculator'!A:A,0),0),0)</f>
        <v>0</v>
      </c>
      <c r="K2872" s="455">
        <f t="shared" ca="1" si="138"/>
        <v>-268689080.12537336</v>
      </c>
      <c r="L2872" s="455">
        <f t="shared" ca="1" si="139"/>
        <v>-64754068310.214989</v>
      </c>
      <c r="M2872" s="471">
        <f t="shared" si="141"/>
        <v>0.05</v>
      </c>
      <c r="N2872" s="475">
        <f t="shared" si="142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40"/>
        <v>-64754068310.214989</v>
      </c>
      <c r="J2873" s="455">
        <f t="array" ref="J2873">IFERROR(INDEX('Retirement Calculator'!K:K,MATCH('Lorri 401b'!N2873,'Retirement Calculator'!A:A,0),0),0)</f>
        <v>0</v>
      </c>
      <c r="K2873" s="455">
        <f t="shared" ca="1" si="138"/>
        <v>-269808617.95922911</v>
      </c>
      <c r="L2873" s="455">
        <f t="shared" ca="1" si="139"/>
        <v>-65023876928.174217</v>
      </c>
      <c r="M2873" s="471">
        <f t="shared" si="141"/>
        <v>0.05</v>
      </c>
      <c r="N2873" s="475">
        <f t="shared" si="142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40"/>
        <v>-65023876928.174217</v>
      </c>
      <c r="J2874" s="455">
        <f t="array" ref="J2874">IFERROR(INDEX('Retirement Calculator'!K:K,MATCH('Lorri 401b'!N2874,'Retirement Calculator'!A:A,0),0),0)</f>
        <v>0</v>
      </c>
      <c r="K2874" s="455">
        <f t="shared" ca="1" si="138"/>
        <v>-270932820.53405929</v>
      </c>
      <c r="L2874" s="455">
        <f t="shared" ca="1" si="139"/>
        <v>-65294809748.708275</v>
      </c>
      <c r="M2874" s="471">
        <f t="shared" si="141"/>
        <v>0.05</v>
      </c>
      <c r="N2874" s="475">
        <f t="shared" si="142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40"/>
        <v>-65294809748.708275</v>
      </c>
      <c r="J2875" s="455">
        <f t="array" ref="J2875">IFERROR(INDEX('Retirement Calculator'!K:K,MATCH('Lorri 401b'!N2875,'Retirement Calculator'!A:A,0),0),0)</f>
        <v>0</v>
      </c>
      <c r="K2875" s="455">
        <f t="shared" ca="1" si="138"/>
        <v>-272061707.28628445</v>
      </c>
      <c r="L2875" s="455">
        <f t="shared" ca="1" si="139"/>
        <v>-65566871455.99456</v>
      </c>
      <c r="M2875" s="471">
        <f t="shared" si="141"/>
        <v>0.05</v>
      </c>
      <c r="N2875" s="475">
        <f t="shared" si="142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40"/>
        <v>-65566871455.99456</v>
      </c>
      <c r="J2876" s="455">
        <f t="array" ref="J2876">IFERROR(INDEX('Retirement Calculator'!K:K,MATCH('Lorri 401b'!N2876,'Retirement Calculator'!A:A,0),0),0)</f>
        <v>0</v>
      </c>
      <c r="K2876" s="455">
        <f t="shared" ca="1" si="138"/>
        <v>-273195297.73331064</v>
      </c>
      <c r="L2876" s="455">
        <f t="shared" ca="1" si="139"/>
        <v>-65840066753.727867</v>
      </c>
      <c r="M2876" s="471">
        <f t="shared" si="141"/>
        <v>0.05</v>
      </c>
      <c r="N2876" s="475">
        <f t="shared" si="142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40"/>
        <v>-65840066753.727867</v>
      </c>
      <c r="J2877" s="455">
        <f t="array" ref="J2877">IFERROR(INDEX('Retirement Calculator'!K:K,MATCH('Lorri 401b'!N2877,'Retirement Calculator'!A:A,0),0),0)</f>
        <v>0</v>
      </c>
      <c r="K2877" s="455">
        <f t="shared" ca="1" si="138"/>
        <v>-274333611.47386616</v>
      </c>
      <c r="L2877" s="455">
        <f t="shared" ca="1" si="139"/>
        <v>-66114400365.201736</v>
      </c>
      <c r="M2877" s="471">
        <f t="shared" si="141"/>
        <v>0.05</v>
      </c>
      <c r="N2877" s="475">
        <f t="shared" si="142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40"/>
        <v>-66114400365.201736</v>
      </c>
      <c r="J2878" s="455">
        <f t="array" ref="J2878">IFERROR(INDEX('Retirement Calculator'!K:K,MATCH('Lorri 401b'!N2878,'Retirement Calculator'!A:A,0),0),0)</f>
        <v>0</v>
      </c>
      <c r="K2878" s="455">
        <f t="shared" ca="1" si="138"/>
        <v>-275476668.1883406</v>
      </c>
      <c r="L2878" s="455">
        <f t="shared" ca="1" si="139"/>
        <v>-66389877033.390076</v>
      </c>
      <c r="M2878" s="471">
        <f t="shared" si="141"/>
        <v>0.05</v>
      </c>
      <c r="N2878" s="475">
        <f t="shared" si="142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40"/>
        <v>-66389877033.390076</v>
      </c>
      <c r="J2879" s="455">
        <f t="array" ref="J2879">IFERROR(INDEX('Retirement Calculator'!K:K,MATCH('Lorri 401b'!N2879,'Retirement Calculator'!A:A,0),0),0)</f>
        <v>0</v>
      </c>
      <c r="K2879" s="455">
        <f t="shared" ca="1" si="138"/>
        <v>-276624487.63912529</v>
      </c>
      <c r="L2879" s="455">
        <f t="shared" ca="1" si="139"/>
        <v>-66666501521.029198</v>
      </c>
      <c r="M2879" s="471">
        <f t="shared" si="141"/>
        <v>0.05</v>
      </c>
      <c r="N2879" s="475">
        <f t="shared" si="142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40"/>
        <v>-66666501521.029198</v>
      </c>
      <c r="J2880" s="455">
        <f t="array" ref="J2880">IFERROR(INDEX('Retirement Calculator'!K:K,MATCH('Lorri 401b'!N2880,'Retirement Calculator'!A:A,0),0),0)</f>
        <v>0</v>
      </c>
      <c r="K2880" s="455">
        <f t="shared" ca="1" si="138"/>
        <v>-277777089.670955</v>
      </c>
      <c r="L2880" s="455">
        <f t="shared" ca="1" si="139"/>
        <v>-66944278610.70015</v>
      </c>
      <c r="M2880" s="471">
        <f t="shared" si="141"/>
        <v>0.05</v>
      </c>
      <c r="N2880" s="475">
        <f t="shared" si="142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40"/>
        <v>-66944278610.70015</v>
      </c>
      <c r="J2881" s="455">
        <f t="array" ref="J2881">IFERROR(INDEX('Retirement Calculator'!K:K,MATCH('Lorri 401b'!N2881,'Retirement Calculator'!A:A,0),0),0)</f>
        <v>0</v>
      </c>
      <c r="K2881" s="455">
        <f t="shared" ca="1" si="138"/>
        <v>-278934494.2112506</v>
      </c>
      <c r="L2881" s="455">
        <f t="shared" ca="1" si="139"/>
        <v>-67223213104.9114</v>
      </c>
      <c r="M2881" s="471">
        <f t="shared" si="141"/>
        <v>0.05</v>
      </c>
      <c r="N2881" s="475">
        <f t="shared" si="142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40"/>
        <v>-67223213104.9114</v>
      </c>
      <c r="J2882" s="455">
        <f t="array" ref="J2882">IFERROR(INDEX('Retirement Calculator'!K:K,MATCH('Lorri 401b'!N2882,'Retirement Calculator'!A:A,0),0),0)</f>
        <v>0</v>
      </c>
      <c r="K2882" s="455">
        <f t="shared" ca="1" si="138"/>
        <v>-280096721.27046418</v>
      </c>
      <c r="L2882" s="455">
        <f t="shared" ca="1" si="139"/>
        <v>-67503309826.181862</v>
      </c>
      <c r="M2882" s="471">
        <f t="shared" si="141"/>
        <v>0.05</v>
      </c>
      <c r="N2882" s="475">
        <f t="shared" si="142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40"/>
        <v>-67503309826.181862</v>
      </c>
      <c r="J2883" s="455">
        <f t="array" ref="J2883">IFERROR(INDEX('Retirement Calculator'!K:K,MATCH('Lorri 401b'!N2883,'Retirement Calculator'!A:A,0),0),0)</f>
        <v>0</v>
      </c>
      <c r="K2883" s="455">
        <f t="shared" ca="1" si="138"/>
        <v>-281263790.94242442</v>
      </c>
      <c r="L2883" s="455">
        <f t="shared" ca="1" si="139"/>
        <v>-67784573617.124283</v>
      </c>
      <c r="M2883" s="471">
        <f t="shared" si="141"/>
        <v>0.05</v>
      </c>
      <c r="N2883" s="475">
        <f t="shared" si="142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40"/>
        <v>-67784573617.124283</v>
      </c>
      <c r="J2884" s="455">
        <f t="array" ref="J2884">IFERROR(INDEX('Retirement Calculator'!K:K,MATCH('Lorri 401b'!N2884,'Retirement Calculator'!A:A,0),0),0)</f>
        <v>0</v>
      </c>
      <c r="K2884" s="455">
        <f t="shared" ca="1" si="138"/>
        <v>-282435723.40468454</v>
      </c>
      <c r="L2884" s="455">
        <f t="shared" ca="1" si="139"/>
        <v>-68067009340.528969</v>
      </c>
      <c r="M2884" s="471">
        <f t="shared" si="141"/>
        <v>0.05</v>
      </c>
      <c r="N2884" s="475">
        <f t="shared" si="142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40"/>
        <v>-68067009340.528969</v>
      </c>
      <c r="J2885" s="455">
        <f t="array" ref="J2885">IFERROR(INDEX('Retirement Calculator'!K:K,MATCH('Lorri 401b'!N2885,'Retirement Calculator'!A:A,0),0),0)</f>
        <v>0</v>
      </c>
      <c r="K2885" s="455">
        <f t="shared" ca="1" si="138"/>
        <v>-283612538.91887069</v>
      </c>
      <c r="L2885" s="455">
        <f t="shared" ca="1" si="139"/>
        <v>-68350621879.447838</v>
      </c>
      <c r="M2885" s="471">
        <f t="shared" si="141"/>
        <v>0.05</v>
      </c>
      <c r="N2885" s="475">
        <f t="shared" si="142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40"/>
        <v>-68350621879.447838</v>
      </c>
      <c r="J2886" s="455">
        <f t="array" ref="J2886">IFERROR(INDEX('Retirement Calculator'!K:K,MATCH('Lorri 401b'!N2886,'Retirement Calculator'!A:A,0),0),0)</f>
        <v>0</v>
      </c>
      <c r="K2886" s="455">
        <f t="shared" ca="1" si="138"/>
        <v>-284794257.83103263</v>
      </c>
      <c r="L2886" s="455">
        <f t="shared" ca="1" si="139"/>
        <v>-68635416137.27887</v>
      </c>
      <c r="M2886" s="471">
        <f t="shared" si="141"/>
        <v>0.05</v>
      </c>
      <c r="N2886" s="475">
        <f t="shared" si="142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40"/>
        <v>-68635416137.27887</v>
      </c>
      <c r="J2887" s="455">
        <f t="array" ref="J2887">IFERROR(INDEX('Retirement Calculator'!K:K,MATCH('Lorri 401b'!N2887,'Retirement Calculator'!A:A,0),0),0)</f>
        <v>0</v>
      </c>
      <c r="K2887" s="455">
        <f t="shared" ca="1" si="138"/>
        <v>-285980900.57199526</v>
      </c>
      <c r="L2887" s="455">
        <f t="shared" ca="1" si="139"/>
        <v>-68921397037.850861</v>
      </c>
      <c r="M2887" s="471">
        <f t="shared" si="141"/>
        <v>0.05</v>
      </c>
      <c r="N2887" s="475">
        <f t="shared" si="142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40"/>
        <v>-68921397037.850861</v>
      </c>
      <c r="J2888" s="455">
        <f t="array" ref="J2888">IFERROR(INDEX('Retirement Calculator'!K:K,MATCH('Lorri 401b'!N2888,'Retirement Calculator'!A:A,0),0),0)</f>
        <v>0</v>
      </c>
      <c r="K2888" s="455">
        <f t="shared" ca="1" si="138"/>
        <v>-287172487.65771192</v>
      </c>
      <c r="L2888" s="455">
        <f t="shared" ca="1" si="139"/>
        <v>-69208569525.508575</v>
      </c>
      <c r="M2888" s="471">
        <f t="shared" si="141"/>
        <v>0.05</v>
      </c>
      <c r="N2888" s="475">
        <f t="shared" si="142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40"/>
        <v>-69208569525.508575</v>
      </c>
      <c r="J2889" s="455">
        <f t="array" ref="J2889">IFERROR(INDEX('Retirement Calculator'!K:K,MATCH('Lorri 401b'!N2889,'Retirement Calculator'!A:A,0),0),0)</f>
        <v>0</v>
      </c>
      <c r="K2889" s="455">
        <f t="shared" ca="1" si="138"/>
        <v>-288369039.68961906</v>
      </c>
      <c r="L2889" s="455">
        <f t="shared" ca="1" si="139"/>
        <v>-69496938565.198196</v>
      </c>
      <c r="M2889" s="471">
        <f t="shared" si="141"/>
        <v>0.05</v>
      </c>
      <c r="N2889" s="475">
        <f t="shared" si="142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40"/>
        <v>-69496938565.198196</v>
      </c>
      <c r="J2890" s="455">
        <f t="array" ref="J2890">IFERROR(INDEX('Retirement Calculator'!K:K,MATCH('Lorri 401b'!N2890,'Retirement Calculator'!A:A,0),0),0)</f>
        <v>0</v>
      </c>
      <c r="K2890" s="455">
        <f t="shared" ca="1" si="138"/>
        <v>-289570577.35499251</v>
      </c>
      <c r="L2890" s="455">
        <f t="shared" ca="1" si="139"/>
        <v>-69786509142.553192</v>
      </c>
      <c r="M2890" s="471">
        <f t="shared" si="141"/>
        <v>0.05</v>
      </c>
      <c r="N2890" s="475">
        <f t="shared" si="142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40"/>
        <v>-69786509142.553192</v>
      </c>
      <c r="J2891" s="455">
        <f t="array" ref="J2891">IFERROR(INDEX('Retirement Calculator'!K:K,MATCH('Lorri 401b'!N2891,'Retirement Calculator'!A:A,0),0),0)</f>
        <v>0</v>
      </c>
      <c r="K2891" s="455">
        <f t="shared" ca="1" si="138"/>
        <v>-290777121.42730498</v>
      </c>
      <c r="L2891" s="455">
        <f t="shared" ca="1" si="139"/>
        <v>-70077286263.980499</v>
      </c>
      <c r="M2891" s="471">
        <f t="shared" si="141"/>
        <v>0.05</v>
      </c>
      <c r="N2891" s="475">
        <f t="shared" si="142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40"/>
        <v>-70077286263.980499</v>
      </c>
      <c r="J2892" s="455">
        <f t="array" ref="J2892">IFERROR(INDEX('Retirement Calculator'!K:K,MATCH('Lorri 401b'!N2892,'Retirement Calculator'!A:A,0),0),0)</f>
        <v>0</v>
      </c>
      <c r="K2892" s="455">
        <f t="shared" ca="1" si="138"/>
        <v>-291988692.76658541</v>
      </c>
      <c r="L2892" s="455">
        <f t="shared" ca="1" si="139"/>
        <v>-70369274956.747086</v>
      </c>
      <c r="M2892" s="471">
        <f t="shared" si="141"/>
        <v>0.05</v>
      </c>
      <c r="N2892" s="475">
        <f t="shared" si="142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40"/>
        <v>-70369274956.747086</v>
      </c>
      <c r="J2893" s="455">
        <f t="array" ref="J2893">IFERROR(INDEX('Retirement Calculator'!K:K,MATCH('Lorri 401b'!N2893,'Retirement Calculator'!A:A,0),0),0)</f>
        <v>0</v>
      </c>
      <c r="K2893" s="455">
        <f t="shared" ca="1" si="138"/>
        <v>-293205312.31977952</v>
      </c>
      <c r="L2893" s="455">
        <f t="shared" ca="1" si="139"/>
        <v>-70662480269.066864</v>
      </c>
      <c r="M2893" s="471">
        <f t="shared" si="141"/>
        <v>0.05</v>
      </c>
      <c r="N2893" s="475">
        <f t="shared" si="142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40"/>
        <v>-70662480269.066864</v>
      </c>
      <c r="J2894" s="455">
        <f t="array" ref="J2894">IFERROR(INDEX('Retirement Calculator'!K:K,MATCH('Lorri 401b'!N2894,'Retirement Calculator'!A:A,0),0),0)</f>
        <v>0</v>
      </c>
      <c r="K2894" s="455">
        <f t="shared" ca="1" si="138"/>
        <v>-294427001.12111193</v>
      </c>
      <c r="L2894" s="455">
        <f t="shared" ca="1" si="139"/>
        <v>-70956907270.187973</v>
      </c>
      <c r="M2894" s="471">
        <f t="shared" si="141"/>
        <v>0.05</v>
      </c>
      <c r="N2894" s="475">
        <f t="shared" si="142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40"/>
        <v>-70956907270.187973</v>
      </c>
      <c r="J2895" s="455">
        <f t="array" ref="J2895">IFERROR(INDEX('Retirement Calculator'!K:K,MATCH('Lorri 401b'!N2895,'Retirement Calculator'!A:A,0),0),0)</f>
        <v>0</v>
      </c>
      <c r="K2895" s="455">
        <f t="shared" ca="1" si="138"/>
        <v>-295653780.29244989</v>
      </c>
      <c r="L2895" s="455">
        <f t="shared" ca="1" si="139"/>
        <v>-71252561050.480423</v>
      </c>
      <c r="M2895" s="471">
        <f t="shared" si="141"/>
        <v>0.05</v>
      </c>
      <c r="N2895" s="475">
        <f t="shared" si="142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40"/>
        <v>-71252561050.480423</v>
      </c>
      <c r="J2896" s="455">
        <f t="array" ref="J2896">IFERROR(INDEX('Retirement Calculator'!K:K,MATCH('Lorri 401b'!N2896,'Retirement Calculator'!A:A,0),0),0)</f>
        <v>0</v>
      </c>
      <c r="K2896" s="455">
        <f t="shared" ca="1" si="138"/>
        <v>-296885671.04366845</v>
      </c>
      <c r="L2896" s="455">
        <f t="shared" ca="1" si="139"/>
        <v>-71549446721.524094</v>
      </c>
      <c r="M2896" s="471">
        <f t="shared" si="141"/>
        <v>0.05</v>
      </c>
      <c r="N2896" s="475">
        <f t="shared" si="142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40"/>
        <v>-71549446721.524094</v>
      </c>
      <c r="J2897" s="455">
        <f t="array" ref="J2897">IFERROR(INDEX('Retirement Calculator'!K:K,MATCH('Lorri 401b'!N2897,'Retirement Calculator'!A:A,0),0),0)</f>
        <v>0</v>
      </c>
      <c r="K2897" s="455">
        <f t="shared" ca="1" si="138"/>
        <v>-298122694.67301702</v>
      </c>
      <c r="L2897" s="455">
        <f t="shared" ca="1" si="139"/>
        <v>-71847569416.197113</v>
      </c>
      <c r="M2897" s="471">
        <f t="shared" si="141"/>
        <v>0.05</v>
      </c>
      <c r="N2897" s="475">
        <f t="shared" si="142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40"/>
        <v>-71847569416.197113</v>
      </c>
      <c r="J2898" s="455">
        <f t="array" ref="J2898">IFERROR(INDEX('Retirement Calculator'!K:K,MATCH('Lorri 401b'!N2898,'Retirement Calculator'!A:A,0),0),0)</f>
        <v>0</v>
      </c>
      <c r="K2898" s="455">
        <f t="shared" ca="1" si="138"/>
        <v>-299364872.56748796</v>
      </c>
      <c r="L2898" s="455">
        <f t="shared" ca="1" si="139"/>
        <v>-72146934288.764603</v>
      </c>
      <c r="M2898" s="471">
        <f t="shared" si="141"/>
        <v>0.05</v>
      </c>
      <c r="N2898" s="475">
        <f t="shared" si="142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40"/>
        <v>-72146934288.764603</v>
      </c>
      <c r="J2899" s="455">
        <f t="array" ref="J2899">IFERROR(INDEX('Retirement Calculator'!K:K,MATCH('Lorri 401b'!N2899,'Retirement Calculator'!A:A,0),0),0)</f>
        <v>0</v>
      </c>
      <c r="K2899" s="455">
        <f t="shared" ca="1" si="138"/>
        <v>-300612226.20318586</v>
      </c>
      <c r="L2899" s="455">
        <f t="shared" ca="1" si="139"/>
        <v>-72447546514.967789</v>
      </c>
      <c r="M2899" s="471">
        <f t="shared" si="141"/>
        <v>0.05</v>
      </c>
      <c r="N2899" s="475">
        <f t="shared" si="142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40"/>
        <v>-72447546514.967789</v>
      </c>
      <c r="J2900" s="455">
        <f t="array" ref="J2900">IFERROR(INDEX('Retirement Calculator'!K:K,MATCH('Lorri 401b'!N2900,'Retirement Calculator'!A:A,0),0),0)</f>
        <v>0</v>
      </c>
      <c r="K2900" s="455">
        <f t="shared" ca="1" si="138"/>
        <v>-301864777.14569914</v>
      </c>
      <c r="L2900" s="455">
        <f t="shared" ca="1" si="139"/>
        <v>-72749411292.113495</v>
      </c>
      <c r="M2900" s="471">
        <f t="shared" si="141"/>
        <v>0.05</v>
      </c>
      <c r="N2900" s="475">
        <f t="shared" si="142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40"/>
        <v>-72749411292.113495</v>
      </c>
      <c r="J2901" s="455">
        <f t="array" ref="J2901">IFERROR(INDEX('Retirement Calculator'!K:K,MATCH('Lorri 401b'!N2901,'Retirement Calculator'!A:A,0),0),0)</f>
        <v>0</v>
      </c>
      <c r="K2901" s="455">
        <f t="shared" ca="1" si="138"/>
        <v>-303122547.05047292</v>
      </c>
      <c r="L2901" s="455">
        <f t="shared" ca="1" si="139"/>
        <v>-73052533839.163971</v>
      </c>
      <c r="M2901" s="471">
        <f t="shared" si="141"/>
        <v>0.05</v>
      </c>
      <c r="N2901" s="475">
        <f t="shared" si="142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40"/>
        <v>-73052533839.163971</v>
      </c>
      <c r="J2902" s="455">
        <f t="array" ref="J2902">IFERROR(INDEX('Retirement Calculator'!K:K,MATCH('Lorri 401b'!N2902,'Retirement Calculator'!A:A,0),0),0)</f>
        <v>0</v>
      </c>
      <c r="K2902" s="455">
        <f t="shared" ca="1" si="138"/>
        <v>-304385557.66318321</v>
      </c>
      <c r="L2902" s="455">
        <f t="shared" ca="1" si="139"/>
        <v>-73356919396.827148</v>
      </c>
      <c r="M2902" s="471">
        <f t="shared" si="141"/>
        <v>0.05</v>
      </c>
      <c r="N2902" s="475">
        <f t="shared" si="142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40"/>
        <v>-73356919396.827148</v>
      </c>
      <c r="J2903" s="455">
        <f t="array" ref="J2903">IFERROR(INDEX('Retirement Calculator'!K:K,MATCH('Lorri 401b'!N2903,'Retirement Calculator'!A:A,0),0),0)</f>
        <v>0</v>
      </c>
      <c r="K2903" s="455">
        <f t="shared" ca="1" si="138"/>
        <v>-305653830.82011312</v>
      </c>
      <c r="L2903" s="455">
        <f t="shared" ca="1" si="139"/>
        <v>-73662573227.647263</v>
      </c>
      <c r="M2903" s="471">
        <f t="shared" si="141"/>
        <v>0.05</v>
      </c>
      <c r="N2903" s="475">
        <f t="shared" si="142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40"/>
        <v>-73662573227.647263</v>
      </c>
      <c r="J2904" s="455">
        <f t="array" ref="J2904">IFERROR(INDEX('Retirement Calculator'!K:K,MATCH('Lorri 401b'!N2904,'Retirement Calculator'!A:A,0),0),0)</f>
        <v>0</v>
      </c>
      <c r="K2904" s="455">
        <f t="shared" ca="1" si="138"/>
        <v>-306927388.44853026</v>
      </c>
      <c r="L2904" s="455">
        <f t="shared" ca="1" si="139"/>
        <v>-73969500616.095795</v>
      </c>
      <c r="M2904" s="471">
        <f t="shared" si="141"/>
        <v>0.05</v>
      </c>
      <c r="N2904" s="475">
        <f t="shared" si="142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40"/>
        <v>-73969500616.095795</v>
      </c>
      <c r="J2905" s="455">
        <f t="array" ref="J2905">IFERROR(INDEX('Retirement Calculator'!K:K,MATCH('Lorri 401b'!N2905,'Retirement Calculator'!A:A,0),0),0)</f>
        <v>0</v>
      </c>
      <c r="K2905" s="455">
        <f t="shared" ca="1" si="138"/>
        <v>-308206252.56706583</v>
      </c>
      <c r="L2905" s="455">
        <f t="shared" ca="1" si="139"/>
        <v>-74277706868.662857</v>
      </c>
      <c r="M2905" s="471">
        <f t="shared" si="141"/>
        <v>0.05</v>
      </c>
      <c r="N2905" s="475">
        <f t="shared" si="142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40"/>
        <v>-74277706868.662857</v>
      </c>
      <c r="J2906" s="455">
        <f t="array" ref="J2906">IFERROR(INDEX('Retirement Calculator'!K:K,MATCH('Lorri 401b'!N2906,'Retirement Calculator'!A:A,0),0),0)</f>
        <v>0</v>
      </c>
      <c r="K2906" s="455">
        <f t="shared" ca="1" si="138"/>
        <v>-309490445.28609526</v>
      </c>
      <c r="L2906" s="455">
        <f t="shared" ca="1" si="139"/>
        <v>-74587197313.948959</v>
      </c>
      <c r="M2906" s="471">
        <f t="shared" si="141"/>
        <v>0.05</v>
      </c>
      <c r="N2906" s="475">
        <f t="shared" si="142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40"/>
        <v>-74587197313.948959</v>
      </c>
      <c r="J2907" s="455">
        <f t="array" ref="J2907">IFERROR(INDEX('Retirement Calculator'!K:K,MATCH('Lorri 401b'!N2907,'Retirement Calculator'!A:A,0),0),0)</f>
        <v>0</v>
      </c>
      <c r="K2907" s="455">
        <f t="shared" ca="1" si="138"/>
        <v>-310779988.80812067</v>
      </c>
      <c r="L2907" s="455">
        <f t="shared" ca="1" si="139"/>
        <v>-74897977302.75708</v>
      </c>
      <c r="M2907" s="471">
        <f t="shared" si="141"/>
        <v>0.05</v>
      </c>
      <c r="N2907" s="475">
        <f t="shared" si="142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40"/>
        <v>-74897977302.75708</v>
      </c>
      <c r="J2908" s="455">
        <f t="array" ref="J2908">IFERROR(INDEX('Retirement Calculator'!K:K,MATCH('Lorri 401b'!N2908,'Retirement Calculator'!A:A,0),0),0)</f>
        <v>0</v>
      </c>
      <c r="K2908" s="455">
        <f t="shared" ca="1" si="138"/>
        <v>-312074905.42815447</v>
      </c>
      <c r="L2908" s="455">
        <f t="shared" ca="1" si="139"/>
        <v>-75210052208.185242</v>
      </c>
      <c r="M2908" s="471">
        <f t="shared" si="141"/>
        <v>0.05</v>
      </c>
      <c r="N2908" s="475">
        <f t="shared" si="142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40"/>
        <v>-75210052208.185242</v>
      </c>
      <c r="J2909" s="455">
        <f t="array" ref="J2909">IFERROR(INDEX('Retirement Calculator'!K:K,MATCH('Lorri 401b'!N2909,'Retirement Calculator'!A:A,0),0),0)</f>
        <v>0</v>
      </c>
      <c r="K2909" s="455">
        <f t="shared" ca="1" si="138"/>
        <v>-313375217.53410518</v>
      </c>
      <c r="L2909" s="455">
        <f t="shared" ca="1" si="139"/>
        <v>-75523427425.719345</v>
      </c>
      <c r="M2909" s="471">
        <f t="shared" si="141"/>
        <v>0.05</v>
      </c>
      <c r="N2909" s="475">
        <f t="shared" si="142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40"/>
        <v>-75523427425.719345</v>
      </c>
      <c r="J2910" s="455">
        <f t="array" ref="J2910">IFERROR(INDEX('Retirement Calculator'!K:K,MATCH('Lorri 401b'!N2910,'Retirement Calculator'!A:A,0),0),0)</f>
        <v>0</v>
      </c>
      <c r="K2910" s="455">
        <f t="shared" ca="1" si="138"/>
        <v>-314680947.60716391</v>
      </c>
      <c r="L2910" s="455">
        <f t="shared" ca="1" si="139"/>
        <v>-75838108373.326508</v>
      </c>
      <c r="M2910" s="471">
        <f t="shared" si="141"/>
        <v>0.05</v>
      </c>
      <c r="N2910" s="475">
        <f t="shared" si="142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40"/>
        <v>-75838108373.326508</v>
      </c>
      <c r="J2911" s="455">
        <f t="array" ref="J2911">IFERROR(INDEX('Retirement Calculator'!K:K,MATCH('Lorri 401b'!N2911,'Retirement Calculator'!A:A,0),0),0)</f>
        <v>0</v>
      </c>
      <c r="K2911" s="455">
        <f t="shared" ca="1" si="138"/>
        <v>-315992118.22219378</v>
      </c>
      <c r="L2911" s="455">
        <f t="shared" ca="1" si="139"/>
        <v>-76154100491.548706</v>
      </c>
      <c r="M2911" s="471">
        <f t="shared" si="141"/>
        <v>0.05</v>
      </c>
      <c r="N2911" s="475">
        <f t="shared" si="142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40"/>
        <v>-76154100491.548706</v>
      </c>
      <c r="J2912" s="455">
        <f t="array" ref="J2912">IFERROR(INDEX('Retirement Calculator'!K:K,MATCH('Lorri 401b'!N2912,'Retirement Calculator'!A:A,0),0),0)</f>
        <v>0</v>
      </c>
      <c r="K2912" s="455">
        <f t="shared" ca="1" si="138"/>
        <v>-317308752.0481196</v>
      </c>
      <c r="L2912" s="455">
        <f t="shared" ca="1" si="139"/>
        <v>-76471409243.596832</v>
      </c>
      <c r="M2912" s="471">
        <f t="shared" si="141"/>
        <v>0.05</v>
      </c>
      <c r="N2912" s="475">
        <f t="shared" si="142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40"/>
        <v>-76471409243.596832</v>
      </c>
      <c r="J2913" s="455">
        <f t="array" ref="J2913">IFERROR(INDEX('Retirement Calculator'!K:K,MATCH('Lorri 401b'!N2913,'Retirement Calculator'!A:A,0),0),0)</f>
        <v>0</v>
      </c>
      <c r="K2913" s="455">
        <f t="shared" ca="1" si="138"/>
        <v>-318630871.84832013</v>
      </c>
      <c r="L2913" s="455">
        <f t="shared" ca="1" si="139"/>
        <v>-76790040115.44516</v>
      </c>
      <c r="M2913" s="471">
        <f t="shared" si="141"/>
        <v>0.05</v>
      </c>
      <c r="N2913" s="475">
        <f t="shared" si="142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40"/>
        <v>-76790040115.44516</v>
      </c>
      <c r="J2914" s="455">
        <f t="array" ref="J2914">IFERROR(INDEX('Retirement Calculator'!K:K,MATCH('Lorri 401b'!N2914,'Retirement Calculator'!A:A,0),0),0)</f>
        <v>0</v>
      </c>
      <c r="K2914" s="455">
        <f t="shared" ca="1" si="138"/>
        <v>-319958500.48102152</v>
      </c>
      <c r="L2914" s="455">
        <f t="shared" ca="1" si="139"/>
        <v>-77109998615.926178</v>
      </c>
      <c r="M2914" s="471">
        <f t="shared" si="141"/>
        <v>0.05</v>
      </c>
      <c r="N2914" s="475">
        <f t="shared" si="142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40"/>
        <v>-77109998615.926178</v>
      </c>
      <c r="J2915" s="455">
        <f t="array" ref="J2915">IFERROR(INDEX('Retirement Calculator'!K:K,MATCH('Lorri 401b'!N2915,'Retirement Calculator'!A:A,0),0),0)</f>
        <v>0</v>
      </c>
      <c r="K2915" s="455">
        <f t="shared" ca="1" si="138"/>
        <v>-321291660.89969242</v>
      </c>
      <c r="L2915" s="455">
        <f t="shared" ca="1" si="139"/>
        <v>-77431290276.825867</v>
      </c>
      <c r="M2915" s="471">
        <f t="shared" si="141"/>
        <v>0.05</v>
      </c>
      <c r="N2915" s="475">
        <f t="shared" si="142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40"/>
        <v>-77431290276.825867</v>
      </c>
      <c r="J2916" s="455">
        <f t="array" ref="J2916">IFERROR(INDEX('Retirement Calculator'!K:K,MATCH('Lorri 401b'!N2916,'Retirement Calculator'!A:A,0),0),0)</f>
        <v>0</v>
      </c>
      <c r="K2916" s="455">
        <f t="shared" ca="1" si="138"/>
        <v>-322630376.15344113</v>
      </c>
      <c r="L2916" s="455">
        <f t="shared" ca="1" si="139"/>
        <v>-77753920652.979309</v>
      </c>
      <c r="M2916" s="471">
        <f t="shared" si="141"/>
        <v>0.05</v>
      </c>
      <c r="N2916" s="475">
        <f t="shared" si="142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40"/>
        <v>-77753920652.979309</v>
      </c>
      <c r="J2917" s="455">
        <f t="array" ref="J2917">IFERROR(INDEX('Retirement Calculator'!K:K,MATCH('Lorri 401b'!N2917,'Retirement Calculator'!A:A,0),0),0)</f>
        <v>0</v>
      </c>
      <c r="K2917" s="455">
        <f t="shared" ca="1" si="138"/>
        <v>-323974669.3874138</v>
      </c>
      <c r="L2917" s="455">
        <f t="shared" ca="1" si="139"/>
        <v>-78077895322.36673</v>
      </c>
      <c r="M2917" s="471">
        <f t="shared" si="141"/>
        <v>0.05</v>
      </c>
      <c r="N2917" s="475">
        <f t="shared" si="142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40"/>
        <v>-78077895322.36673</v>
      </c>
      <c r="J2918" s="455">
        <f t="array" ref="J2918">IFERROR(INDEX('Retirement Calculator'!K:K,MATCH('Lorri 401b'!N2918,'Retirement Calculator'!A:A,0),0),0)</f>
        <v>0</v>
      </c>
      <c r="K2918" s="455">
        <f t="shared" ca="1" si="138"/>
        <v>-325324563.84319472</v>
      </c>
      <c r="L2918" s="455">
        <f t="shared" ca="1" si="139"/>
        <v>-78403219886.20993</v>
      </c>
      <c r="M2918" s="471">
        <f t="shared" si="141"/>
        <v>0.05</v>
      </c>
      <c r="N2918" s="475">
        <f t="shared" si="142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40"/>
        <v>-78403219886.20993</v>
      </c>
      <c r="J2919" s="455">
        <f t="array" ref="J2919">IFERROR(INDEX('Retirement Calculator'!K:K,MATCH('Lorri 401b'!N2919,'Retirement Calculator'!A:A,0),0),0)</f>
        <v>0</v>
      </c>
      <c r="K2919" s="455">
        <f t="shared" ca="1" si="138"/>
        <v>-326680082.85920805</v>
      </c>
      <c r="L2919" s="455">
        <f t="shared" ca="1" si="139"/>
        <v>-78729899969.069138</v>
      </c>
      <c r="M2919" s="471">
        <f t="shared" si="141"/>
        <v>0.05</v>
      </c>
      <c r="N2919" s="475">
        <f t="shared" si="142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40"/>
        <v>-78729899969.069138</v>
      </c>
      <c r="J2920" s="455">
        <f t="array" ref="J2920">IFERROR(INDEX('Retirement Calculator'!K:K,MATCH('Lorri 401b'!N2920,'Retirement Calculator'!A:A,0),0),0)</f>
        <v>0</v>
      </c>
      <c r="K2920" s="455">
        <f t="shared" ca="1" si="138"/>
        <v>-328041249.87112141</v>
      </c>
      <c r="L2920" s="455">
        <f t="shared" ca="1" si="139"/>
        <v>-79057941218.940262</v>
      </c>
      <c r="M2920" s="471">
        <f t="shared" si="141"/>
        <v>0.05</v>
      </c>
      <c r="N2920" s="475">
        <f t="shared" si="142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40"/>
        <v>-79057941218.940262</v>
      </c>
      <c r="J2921" s="455">
        <f t="array" ref="J2921">IFERROR(INDEX('Retirement Calculator'!K:K,MATCH('Lorri 401b'!N2921,'Retirement Calculator'!A:A,0),0),0)</f>
        <v>0</v>
      </c>
      <c r="K2921" s="455">
        <f t="shared" ca="1" si="138"/>
        <v>-329408088.41225111</v>
      </c>
      <c r="L2921" s="455">
        <f t="shared" ca="1" si="139"/>
        <v>-79387349307.352509</v>
      </c>
      <c r="M2921" s="471">
        <f t="shared" si="141"/>
        <v>0.05</v>
      </c>
      <c r="N2921" s="475">
        <f t="shared" si="142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40"/>
        <v>-79387349307.352509</v>
      </c>
      <c r="J2922" s="455">
        <f t="array" ref="J2922">IFERROR(INDEX('Retirement Calculator'!K:K,MATCH('Lorri 401b'!N2922,'Retirement Calculator'!A:A,0),0),0)</f>
        <v>0</v>
      </c>
      <c r="K2922" s="455">
        <f t="shared" ca="1" si="138"/>
        <v>-330780622.11396879</v>
      </c>
      <c r="L2922" s="455">
        <f t="shared" ca="1" si="139"/>
        <v>-79718129929.466476</v>
      </c>
      <c r="M2922" s="471">
        <f t="shared" si="141"/>
        <v>0.05</v>
      </c>
      <c r="N2922" s="475">
        <f t="shared" si="142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40"/>
        <v>-79718129929.466476</v>
      </c>
      <c r="J2923" s="455">
        <f t="array" ref="J2923">IFERROR(INDEX('Retirement Calculator'!K:K,MATCH('Lorri 401b'!N2923,'Retirement Calculator'!A:A,0),0),0)</f>
        <v>0</v>
      </c>
      <c r="K2923" s="455">
        <f t="shared" ca="1" si="138"/>
        <v>-332158874.7061103</v>
      </c>
      <c r="L2923" s="455">
        <f t="shared" ca="1" si="139"/>
        <v>-80050288804.172592</v>
      </c>
      <c r="M2923" s="471">
        <f t="shared" si="141"/>
        <v>0.05</v>
      </c>
      <c r="N2923" s="475">
        <f t="shared" si="142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40"/>
        <v>-80050288804.172592</v>
      </c>
      <c r="J2924" s="455">
        <f t="array" ref="J2924">IFERROR(INDEX('Retirement Calculator'!K:K,MATCH('Lorri 401b'!N2924,'Retirement Calculator'!A:A,0),0),0)</f>
        <v>0</v>
      </c>
      <c r="K2924" s="455">
        <f t="shared" ca="1" si="138"/>
        <v>-333542870.01738578</v>
      </c>
      <c r="L2924" s="455">
        <f t="shared" ca="1" si="139"/>
        <v>-80383831674.189972</v>
      </c>
      <c r="M2924" s="471">
        <f t="shared" si="141"/>
        <v>0.05</v>
      </c>
      <c r="N2924" s="475">
        <f t="shared" si="142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40"/>
        <v>-80383831674.189972</v>
      </c>
      <c r="J2925" s="455">
        <f t="array" ref="J2925">IFERROR(INDEX('Retirement Calculator'!K:K,MATCH('Lorri 401b'!N2925,'Retirement Calculator'!A:A,0),0),0)</f>
        <v>0</v>
      </c>
      <c r="K2925" s="455">
        <f t="shared" ca="1" si="138"/>
        <v>-334932631.97579157</v>
      </c>
      <c r="L2925" s="455">
        <f t="shared" ca="1" si="139"/>
        <v>-80718764306.165756</v>
      </c>
      <c r="M2925" s="471">
        <f t="shared" si="141"/>
        <v>0.05</v>
      </c>
      <c r="N2925" s="475">
        <f t="shared" si="142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40"/>
        <v>-80718764306.165756</v>
      </c>
      <c r="J2926" s="455">
        <f t="array" ref="J2926">IFERROR(INDEX('Retirement Calculator'!K:K,MATCH('Lorri 401b'!N2926,'Retirement Calculator'!A:A,0),0),0)</f>
        <v>0</v>
      </c>
      <c r="K2926" s="455">
        <f t="shared" ca="1" si="138"/>
        <v>-336328184.60902399</v>
      </c>
      <c r="L2926" s="455">
        <f t="shared" ca="1" si="139"/>
        <v>-81055092490.77478</v>
      </c>
      <c r="M2926" s="471">
        <f t="shared" si="141"/>
        <v>0.05</v>
      </c>
      <c r="N2926" s="475">
        <f t="shared" si="142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40"/>
        <v>-81055092490.77478</v>
      </c>
      <c r="J2927" s="455">
        <f t="array" ref="J2927">IFERROR(INDEX('Retirement Calculator'!K:K,MATCH('Lorri 401b'!N2927,'Retirement Calculator'!A:A,0),0),0)</f>
        <v>0</v>
      </c>
      <c r="K2927" s="455">
        <f t="shared" ca="1" si="138"/>
        <v>-337729552.04489493</v>
      </c>
      <c r="L2927" s="455">
        <f t="shared" ca="1" si="139"/>
        <v>-81392822042.819672</v>
      </c>
      <c r="M2927" s="471">
        <f t="shared" si="141"/>
        <v>0.05</v>
      </c>
      <c r="N2927" s="475">
        <f t="shared" si="142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40"/>
        <v>-81392822042.819672</v>
      </c>
      <c r="J2928" s="455">
        <f t="array" ref="J2928">IFERROR(INDEX('Retirement Calculator'!K:K,MATCH('Lorri 401b'!N2928,'Retirement Calculator'!A:A,0),0),0)</f>
        <v>0</v>
      </c>
      <c r="K2928" s="455">
        <f t="shared" ca="1" si="138"/>
        <v>-339136758.51174861</v>
      </c>
      <c r="L2928" s="455">
        <f t="shared" ca="1" si="139"/>
        <v>-81731958801.331421</v>
      </c>
      <c r="M2928" s="471">
        <f t="shared" si="141"/>
        <v>0.05</v>
      </c>
      <c r="N2928" s="475">
        <f t="shared" si="142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40"/>
        <v>-81731958801.331421</v>
      </c>
      <c r="J2929" s="455">
        <f t="array" ref="J2929">IFERROR(INDEX('Retirement Calculator'!K:K,MATCH('Lorri 401b'!N2929,'Retirement Calculator'!A:A,0),0),0)</f>
        <v>0</v>
      </c>
      <c r="K2929" s="455">
        <f t="shared" ca="1" si="138"/>
        <v>-340549828.3388809</v>
      </c>
      <c r="L2929" s="455">
        <f t="shared" ca="1" si="139"/>
        <v>-82072508629.670303</v>
      </c>
      <c r="M2929" s="471">
        <f t="shared" si="141"/>
        <v>0.05</v>
      </c>
      <c r="N2929" s="475">
        <f t="shared" si="142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40"/>
        <v>-82072508629.670303</v>
      </c>
      <c r="J2930" s="455">
        <f t="array" ref="J2930">IFERROR(INDEX('Retirement Calculator'!K:K,MATCH('Lorri 401b'!N2930,'Retirement Calculator'!A:A,0),0),0)</f>
        <v>0</v>
      </c>
      <c r="K2930" s="455">
        <f t="shared" ca="1" si="138"/>
        <v>-341968785.95695961</v>
      </c>
      <c r="L2930" s="455">
        <f t="shared" ca="1" si="139"/>
        <v>-82414477415.627258</v>
      </c>
      <c r="M2930" s="471">
        <f t="shared" si="141"/>
        <v>0.05</v>
      </c>
      <c r="N2930" s="475">
        <f t="shared" si="142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40"/>
        <v>-82414477415.627258</v>
      </c>
      <c r="J2931" s="455">
        <f t="array" ref="J2931">IFERROR(INDEX('Retirement Calculator'!K:K,MATCH('Lorri 401b'!N2931,'Retirement Calculator'!A:A,0),0),0)</f>
        <v>0</v>
      </c>
      <c r="K2931" s="455">
        <f t="shared" ca="1" si="138"/>
        <v>-343393655.89844692</v>
      </c>
      <c r="L2931" s="455">
        <f t="shared" ca="1" si="139"/>
        <v>-82757871071.525711</v>
      </c>
      <c r="M2931" s="471">
        <f t="shared" si="141"/>
        <v>0.05</v>
      </c>
      <c r="N2931" s="475">
        <f t="shared" si="142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40"/>
        <v>-82757871071.525711</v>
      </c>
      <c r="J2932" s="455">
        <f t="array" ref="J2932">IFERROR(INDEX('Retirement Calculator'!K:K,MATCH('Lorri 401b'!N2932,'Retirement Calculator'!A:A,0),0),0)</f>
        <v>0</v>
      </c>
      <c r="K2932" s="455">
        <f t="shared" ca="1" si="138"/>
        <v>-344824462.79802382</v>
      </c>
      <c r="L2932" s="455">
        <f t="shared" ca="1" si="139"/>
        <v>-83102695534.32373</v>
      </c>
      <c r="M2932" s="471">
        <f t="shared" si="141"/>
        <v>0.05</v>
      </c>
      <c r="N2932" s="475">
        <f t="shared" si="142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40"/>
        <v>-83102695534.32373</v>
      </c>
      <c r="J2933" s="455">
        <f t="array" ref="J2933">IFERROR(INDEX('Retirement Calculator'!K:K,MATCH('Lorri 401b'!N2933,'Retirement Calculator'!A:A,0),0),0)</f>
        <v>0</v>
      </c>
      <c r="K2933" s="455">
        <f t="shared" ca="1" si="138"/>
        <v>-346261231.39301556</v>
      </c>
      <c r="L2933" s="455">
        <f t="shared" ca="1" si="139"/>
        <v>-83448956765.716751</v>
      </c>
      <c r="M2933" s="471">
        <f t="shared" si="141"/>
        <v>0.05</v>
      </c>
      <c r="N2933" s="475">
        <f t="shared" si="142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40"/>
        <v>-83448956765.716751</v>
      </c>
      <c r="J2934" s="455">
        <f t="array" ref="J2934">IFERROR(INDEX('Retirement Calculator'!K:K,MATCH('Lorri 401b'!N2934,'Retirement Calculator'!A:A,0),0),0)</f>
        <v>0</v>
      </c>
      <c r="K2934" s="455">
        <f t="shared" ca="1" si="138"/>
        <v>-347703986.5238198</v>
      </c>
      <c r="L2934" s="455">
        <f t="shared" ca="1" si="139"/>
        <v>-83796660752.24057</v>
      </c>
      <c r="M2934" s="471">
        <f t="shared" si="141"/>
        <v>0.05</v>
      </c>
      <c r="N2934" s="475">
        <f t="shared" si="142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40"/>
        <v>-83796660752.24057</v>
      </c>
      <c r="J2935" s="455">
        <f t="array" ref="J2935">IFERROR(INDEX('Retirement Calculator'!K:K,MATCH('Lorri 401b'!N2935,'Retirement Calculator'!A:A,0),0),0)</f>
        <v>0</v>
      </c>
      <c r="K2935" s="455">
        <f t="shared" ca="1" si="138"/>
        <v>-349152753.1343357</v>
      </c>
      <c r="L2935" s="455">
        <f t="shared" ca="1" si="139"/>
        <v>-84145813505.374908</v>
      </c>
      <c r="M2935" s="471">
        <f t="shared" si="141"/>
        <v>0.05</v>
      </c>
      <c r="N2935" s="475">
        <f t="shared" si="142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40"/>
        <v>-84145813505.374908</v>
      </c>
      <c r="J2936" s="455">
        <f t="array" ref="J2936">IFERROR(INDEX('Retirement Calculator'!K:K,MATCH('Lorri 401b'!N2936,'Retirement Calculator'!A:A,0),0),0)</f>
        <v>0</v>
      </c>
      <c r="K2936" s="455">
        <f t="shared" ca="1" si="138"/>
        <v>-350607556.27239543</v>
      </c>
      <c r="L2936" s="455">
        <f t="shared" ca="1" si="139"/>
        <v>-84496421061.647308</v>
      </c>
      <c r="M2936" s="471">
        <f t="shared" si="141"/>
        <v>0.05</v>
      </c>
      <c r="N2936" s="475">
        <f t="shared" si="142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40"/>
        <v>-84496421061.647308</v>
      </c>
      <c r="J2937" s="455">
        <f t="array" ref="J2937">IFERROR(INDEX('Retirement Calculator'!K:K,MATCH('Lorri 401b'!N2937,'Retirement Calculator'!A:A,0),0),0)</f>
        <v>0</v>
      </c>
      <c r="K2937" s="455">
        <f t="shared" ca="1" si="138"/>
        <v>-352068421.09019709</v>
      </c>
      <c r="L2937" s="455">
        <f t="shared" ca="1" si="139"/>
        <v>-84848489482.737503</v>
      </c>
      <c r="M2937" s="471">
        <f t="shared" si="141"/>
        <v>0.05</v>
      </c>
      <c r="N2937" s="475">
        <f t="shared" si="142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40"/>
        <v>-84848489482.737503</v>
      </c>
      <c r="J2938" s="455">
        <f t="array" ref="J2938">IFERROR(INDEX('Retirement Calculator'!K:K,MATCH('Lorri 401b'!N2938,'Retirement Calculator'!A:A,0),0),0)</f>
        <v>0</v>
      </c>
      <c r="K2938" s="455">
        <f t="shared" ca="1" si="138"/>
        <v>-353535372.84473962</v>
      </c>
      <c r="L2938" s="455">
        <f t="shared" ca="1" si="139"/>
        <v>-85202024855.582245</v>
      </c>
      <c r="M2938" s="471">
        <f t="shared" si="141"/>
        <v>0.05</v>
      </c>
      <c r="N2938" s="475">
        <f t="shared" si="142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40"/>
        <v>-85202024855.582245</v>
      </c>
      <c r="J2939" s="455">
        <f t="array" ref="J2939">IFERROR(INDEX('Retirement Calculator'!K:K,MATCH('Lorri 401b'!N2939,'Retirement Calculator'!A:A,0),0),0)</f>
        <v>0</v>
      </c>
      <c r="K2939" s="455">
        <f t="shared" ca="1" si="138"/>
        <v>-355008436.89825934</v>
      </c>
      <c r="L2939" s="455">
        <f t="shared" ca="1" si="139"/>
        <v>-85557033292.480499</v>
      </c>
      <c r="M2939" s="471">
        <f t="shared" si="141"/>
        <v>0.05</v>
      </c>
      <c r="N2939" s="475">
        <f t="shared" si="142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40"/>
        <v>-85557033292.480499</v>
      </c>
      <c r="J2940" s="455">
        <f t="array" ref="J2940">IFERROR(INDEX('Retirement Calculator'!K:K,MATCH('Lorri 401b'!N2940,'Retirement Calculator'!A:A,0),0),0)</f>
        <v>0</v>
      </c>
      <c r="K2940" s="455">
        <f t="shared" ca="1" si="138"/>
        <v>-356487638.71866876</v>
      </c>
      <c r="L2940" s="455">
        <f t="shared" ca="1" si="139"/>
        <v>-85913520931.199173</v>
      </c>
      <c r="M2940" s="471">
        <f t="shared" si="141"/>
        <v>0.05</v>
      </c>
      <c r="N2940" s="475">
        <f t="shared" si="142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40"/>
        <v>-85913520931.199173</v>
      </c>
      <c r="J2941" s="455">
        <f t="array" ref="J2941">IFERROR(INDEX('Retirement Calculator'!K:K,MATCH('Lorri 401b'!N2941,'Retirement Calculator'!A:A,0),0),0)</f>
        <v>0</v>
      </c>
      <c r="K2941" s="455">
        <f t="shared" ca="1" si="138"/>
        <v>-357973003.87999654</v>
      </c>
      <c r="L2941" s="455">
        <f t="shared" ca="1" si="139"/>
        <v>-86271493935.079163</v>
      </c>
      <c r="M2941" s="471">
        <f t="shared" si="141"/>
        <v>0.05</v>
      </c>
      <c r="N2941" s="475">
        <f t="shared" si="142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40"/>
        <v>-86271493935.079163</v>
      </c>
      <c r="J2942" s="455">
        <f t="array" ref="J2942">IFERROR(INDEX('Retirement Calculator'!K:K,MATCH('Lorri 401b'!N2942,'Retirement Calculator'!A:A,0),0),0)</f>
        <v>0</v>
      </c>
      <c r="K2942" s="455">
        <f t="shared" ca="1" si="138"/>
        <v>-359464558.06282985</v>
      </c>
      <c r="L2942" s="455">
        <f t="shared" ca="1" si="139"/>
        <v>-86630958493.141998</v>
      </c>
      <c r="M2942" s="471">
        <f t="shared" si="141"/>
        <v>0.05</v>
      </c>
      <c r="N2942" s="475">
        <f t="shared" si="142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40"/>
        <v>-86630958493.141998</v>
      </c>
      <c r="J2943" s="455">
        <f t="array" ref="J2943">IFERROR(INDEX('Retirement Calculator'!K:K,MATCH('Lorri 401b'!N2943,'Retirement Calculator'!A:A,0),0),0)</f>
        <v>0</v>
      </c>
      <c r="K2943" s="455">
        <f t="shared" ca="1" si="138"/>
        <v>-360962327.05475831</v>
      </c>
      <c r="L2943" s="455">
        <f t="shared" ca="1" si="139"/>
        <v>-86991920820.196762</v>
      </c>
      <c r="M2943" s="471">
        <f t="shared" si="141"/>
        <v>0.05</v>
      </c>
      <c r="N2943" s="475">
        <f t="shared" si="142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40"/>
        <v>-86991920820.196762</v>
      </c>
      <c r="J2944" s="455">
        <f t="array" ref="J2944">IFERROR(INDEX('Retirement Calculator'!K:K,MATCH('Lorri 401b'!N2944,'Retirement Calculator'!A:A,0),0),0)</f>
        <v>0</v>
      </c>
      <c r="K2944" s="455">
        <f t="shared" ca="1" si="138"/>
        <v>-362466336.75081986</v>
      </c>
      <c r="L2944" s="455">
        <f t="shared" ca="1" si="139"/>
        <v>-87354387156.947586</v>
      </c>
      <c r="M2944" s="471">
        <f t="shared" si="141"/>
        <v>0.05</v>
      </c>
      <c r="N2944" s="475">
        <f t="shared" si="142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40"/>
        <v>-87354387156.947586</v>
      </c>
      <c r="J2945" s="455">
        <f t="array" ref="J2945">IFERROR(INDEX('Retirement Calculator'!K:K,MATCH('Lorri 401b'!N2945,'Retirement Calculator'!A:A,0),0),0)</f>
        <v>0</v>
      </c>
      <c r="K2945" s="455">
        <f t="shared" ca="1" si="138"/>
        <v>-363976613.15394825</v>
      </c>
      <c r="L2945" s="455">
        <f t="shared" ca="1" si="139"/>
        <v>-87718363770.101532</v>
      </c>
      <c r="M2945" s="471">
        <f t="shared" si="141"/>
        <v>0.05</v>
      </c>
      <c r="N2945" s="475">
        <f t="shared" si="142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40"/>
        <v>-87718363770.101532</v>
      </c>
      <c r="J2946" s="455">
        <f t="array" ref="J2946">IFERROR(INDEX('Retirement Calculator'!K:K,MATCH('Lorri 401b'!N2946,'Retirement Calculator'!A:A,0),0),0)</f>
        <v>0</v>
      </c>
      <c r="K2946" s="455">
        <f t="shared" ca="1" si="138"/>
        <v>-365493182.37542307</v>
      </c>
      <c r="L2946" s="455">
        <f t="shared" ca="1" si="139"/>
        <v>-88083856952.476959</v>
      </c>
      <c r="M2946" s="471">
        <f t="shared" si="141"/>
        <v>0.05</v>
      </c>
      <c r="N2946" s="475">
        <f t="shared" si="142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40"/>
        <v>-88083856952.476959</v>
      </c>
      <c r="J2947" s="455">
        <f t="array" ref="J2947">IFERROR(INDEX('Retirement Calculator'!K:K,MATCH('Lorri 401b'!N2947,'Retirement Calculator'!A:A,0),0),0)</f>
        <v>0</v>
      </c>
      <c r="K2947" s="455">
        <f t="shared" ca="1" si="138"/>
        <v>-367016070.63532066</v>
      </c>
      <c r="L2947" s="455">
        <f t="shared" ca="1" si="139"/>
        <v>-88450873023.112274</v>
      </c>
      <c r="M2947" s="471">
        <f t="shared" si="141"/>
        <v>0.05</v>
      </c>
      <c r="N2947" s="475">
        <f t="shared" si="142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40"/>
        <v>-88450873023.112274</v>
      </c>
      <c r="J2948" s="455">
        <f t="array" ref="J2948">IFERROR(INDEX('Retirement Calculator'!K:K,MATCH('Lorri 401b'!N2948,'Retirement Calculator'!A:A,0),0),0)</f>
        <v>0</v>
      </c>
      <c r="K2948" s="455">
        <f t="shared" ca="1" si="138"/>
        <v>-368545304.26296782</v>
      </c>
      <c r="L2948" s="455">
        <f t="shared" ca="1" si="139"/>
        <v>-88819418327.375244</v>
      </c>
      <c r="M2948" s="471">
        <f t="shared" si="141"/>
        <v>0.05</v>
      </c>
      <c r="N2948" s="475">
        <f t="shared" si="142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40"/>
        <v>-88819418327.375244</v>
      </c>
      <c r="J2949" s="455">
        <f t="array" ref="J2949">IFERROR(INDEX('Retirement Calculator'!K:K,MATCH('Lorri 401b'!N2949,'Retirement Calculator'!A:A,0),0),0)</f>
        <v>0</v>
      </c>
      <c r="K2949" s="455">
        <f t="shared" ca="1" si="138"/>
        <v>-370080909.69739687</v>
      </c>
      <c r="L2949" s="455">
        <f t="shared" ca="1" si="139"/>
        <v>-89189499237.072647</v>
      </c>
      <c r="M2949" s="471">
        <f t="shared" si="141"/>
        <v>0.05</v>
      </c>
      <c r="N2949" s="475">
        <f t="shared" si="142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40"/>
        <v>-89189499237.072647</v>
      </c>
      <c r="J2950" s="455">
        <f t="array" ref="J2950">IFERROR(INDEX('Retirement Calculator'!K:K,MATCH('Lorri 401b'!N2950,'Retirement Calculator'!A:A,0),0),0)</f>
        <v>0</v>
      </c>
      <c r="K2950" s="455">
        <f t="shared" ca="1" si="138"/>
        <v>-371622913.48780268</v>
      </c>
      <c r="L2950" s="455">
        <f t="shared" ca="1" si="139"/>
        <v>-89561122150.560455</v>
      </c>
      <c r="M2950" s="471">
        <f t="shared" si="141"/>
        <v>0.05</v>
      </c>
      <c r="N2950" s="475">
        <f t="shared" si="142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40"/>
        <v>-89561122150.560455</v>
      </c>
      <c r="J2951" s="455">
        <f t="array" ref="J2951">IFERROR(INDEX('Retirement Calculator'!K:K,MATCH('Lorri 401b'!N2951,'Retirement Calculator'!A:A,0),0),0)</f>
        <v>0</v>
      </c>
      <c r="K2951" s="455">
        <f t="shared" ca="1" si="138"/>
        <v>-373171342.29400188</v>
      </c>
      <c r="L2951" s="455">
        <f t="shared" ca="1" si="139"/>
        <v>-89934293492.854462</v>
      </c>
      <c r="M2951" s="471">
        <f t="shared" si="141"/>
        <v>0.05</v>
      </c>
      <c r="N2951" s="475">
        <f t="shared" si="142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40"/>
        <v>-89934293492.854462</v>
      </c>
      <c r="J2952" s="455">
        <f t="array" ref="J2952">IFERROR(INDEX('Retirement Calculator'!K:K,MATCH('Lorri 401b'!N2952,'Retirement Calculator'!A:A,0),0),0)</f>
        <v>0</v>
      </c>
      <c r="K2952" s="455">
        <f t="shared" ca="1" si="138"/>
        <v>-374726222.88689357</v>
      </c>
      <c r="L2952" s="455">
        <f t="shared" ca="1" si="139"/>
        <v>-90309019715.741348</v>
      </c>
      <c r="M2952" s="471">
        <f t="shared" si="141"/>
        <v>0.05</v>
      </c>
      <c r="N2952" s="475">
        <f t="shared" si="142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40"/>
        <v>-90309019715.741348</v>
      </c>
      <c r="J2953" s="455">
        <f t="array" ref="J2953">IFERROR(INDEX('Retirement Calculator'!K:K,MATCH('Lorri 401b'!N2953,'Retirement Calculator'!A:A,0),0),0)</f>
        <v>0</v>
      </c>
      <c r="K2953" s="455">
        <f t="shared" ca="1" si="138"/>
        <v>-376287582.14892226</v>
      </c>
      <c r="L2953" s="455">
        <f t="shared" ca="1" si="139"/>
        <v>-90685307297.890274</v>
      </c>
      <c r="M2953" s="471">
        <f t="shared" si="141"/>
        <v>0.05</v>
      </c>
      <c r="N2953" s="475">
        <f t="shared" si="142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40"/>
        <v>-90685307297.890274</v>
      </c>
      <c r="J2954" s="455">
        <f t="array" ref="J2954">IFERROR(INDEX('Retirement Calculator'!K:K,MATCH('Lorri 401b'!N2954,'Retirement Calculator'!A:A,0),0),0)</f>
        <v>0</v>
      </c>
      <c r="K2954" s="455">
        <f t="shared" ca="1" si="138"/>
        <v>-377855447.07454282</v>
      </c>
      <c r="L2954" s="455">
        <f t="shared" ca="1" si="139"/>
        <v>-91063162744.964813</v>
      </c>
      <c r="M2954" s="471">
        <f t="shared" si="141"/>
        <v>0.05</v>
      </c>
      <c r="N2954" s="475">
        <f t="shared" si="142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40"/>
        <v>-91063162744.964813</v>
      </c>
      <c r="J2955" s="455">
        <f t="array" ref="J2955">IFERROR(INDEX('Retirement Calculator'!K:K,MATCH('Lorri 401b'!N2955,'Retirement Calculator'!A:A,0),0),0)</f>
        <v>0</v>
      </c>
      <c r="K2955" s="455">
        <f t="shared" ca="1" si="138"/>
        <v>-379429844.77068675</v>
      </c>
      <c r="L2955" s="455">
        <f t="shared" ca="1" si="139"/>
        <v>-91442592589.735504</v>
      </c>
      <c r="M2955" s="471">
        <f t="shared" si="141"/>
        <v>0.05</v>
      </c>
      <c r="N2955" s="475">
        <f t="shared" si="142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40"/>
        <v>-91442592589.735504</v>
      </c>
      <c r="J2956" s="455">
        <f t="array" ref="J2956">IFERROR(INDEX('Retirement Calculator'!K:K,MATCH('Lorri 401b'!N2956,'Retirement Calculator'!A:A,0),0),0)</f>
        <v>0</v>
      </c>
      <c r="K2956" s="455">
        <f t="shared" ca="1" si="138"/>
        <v>-381010802.45723128</v>
      </c>
      <c r="L2956" s="455">
        <f t="shared" ca="1" si="139"/>
        <v>-91823603392.192734</v>
      </c>
      <c r="M2956" s="471">
        <f t="shared" si="141"/>
        <v>0.05</v>
      </c>
      <c r="N2956" s="475">
        <f t="shared" si="142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40"/>
        <v>-91823603392.192734</v>
      </c>
      <c r="J2957" s="455">
        <f t="array" ref="J2957">IFERROR(INDEX('Retirement Calculator'!K:K,MATCH('Lorri 401b'!N2957,'Retirement Calculator'!A:A,0),0),0)</f>
        <v>0</v>
      </c>
      <c r="K2957" s="455">
        <f t="shared" ca="1" si="138"/>
        <v>-382598347.46746969</v>
      </c>
      <c r="L2957" s="455">
        <f t="shared" ca="1" si="139"/>
        <v>-92206201739.660202</v>
      </c>
      <c r="M2957" s="471">
        <f t="shared" si="141"/>
        <v>0.05</v>
      </c>
      <c r="N2957" s="475">
        <f t="shared" si="142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40"/>
        <v>-92206201739.660202</v>
      </c>
      <c r="J2958" s="455">
        <f t="array" ref="J2958">IFERROR(INDEX('Retirement Calculator'!K:K,MATCH('Lorri 401b'!N2958,'Retirement Calculator'!A:A,0),0),0)</f>
        <v>0</v>
      </c>
      <c r="K2958" s="455">
        <f t="shared" ca="1" si="138"/>
        <v>-384192507.24858415</v>
      </c>
      <c r="L2958" s="455">
        <f t="shared" ca="1" si="139"/>
        <v>-92590394246.908783</v>
      </c>
      <c r="M2958" s="471">
        <f t="shared" si="141"/>
        <v>0.05</v>
      </c>
      <c r="N2958" s="475">
        <f t="shared" si="142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40"/>
        <v>-92590394246.908783</v>
      </c>
      <c r="J2959" s="455">
        <f t="array" ref="J2959">IFERROR(INDEX('Retirement Calculator'!K:K,MATCH('Lorri 401b'!N2959,'Retirement Calculator'!A:A,0),0),0)</f>
        <v>0</v>
      </c>
      <c r="K2959" s="455">
        <f t="shared" ca="1" si="138"/>
        <v>-385793309.36211991</v>
      </c>
      <c r="L2959" s="455">
        <f t="shared" ca="1" si="139"/>
        <v>-92976187556.270905</v>
      </c>
      <c r="M2959" s="471">
        <f t="shared" si="141"/>
        <v>0.05</v>
      </c>
      <c r="N2959" s="475">
        <f t="shared" si="142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40"/>
        <v>-92976187556.270905</v>
      </c>
      <c r="J2960" s="455">
        <f t="array" ref="J2960">IFERROR(INDEX('Retirement Calculator'!K:K,MATCH('Lorri 401b'!N2960,'Retirement Calculator'!A:A,0),0),0)</f>
        <v>0</v>
      </c>
      <c r="K2960" s="455">
        <f t="shared" ca="1" si="138"/>
        <v>-387400781.48446208</v>
      </c>
      <c r="L2960" s="455">
        <f t="shared" ca="1" si="139"/>
        <v>-93363588337.755371</v>
      </c>
      <c r="M2960" s="471">
        <f t="shared" si="141"/>
        <v>0.05</v>
      </c>
      <c r="N2960" s="475">
        <f t="shared" si="142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40"/>
        <v>-93363588337.755371</v>
      </c>
      <c r="J2961" s="455">
        <f t="array" ref="J2961">IFERROR(INDEX('Retirement Calculator'!K:K,MATCH('Lorri 401b'!N2961,'Retirement Calculator'!A:A,0),0),0)</f>
        <v>0</v>
      </c>
      <c r="K2961" s="455">
        <f t="shared" ca="1" si="138"/>
        <v>-389014951.40731406</v>
      </c>
      <c r="L2961" s="455">
        <f t="shared" ca="1" si="139"/>
        <v>-93752603289.162689</v>
      </c>
      <c r="M2961" s="471">
        <f t="shared" si="141"/>
        <v>0.05</v>
      </c>
      <c r="N2961" s="475">
        <f t="shared" si="142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40"/>
        <v>-93752603289.162689</v>
      </c>
      <c r="J2962" s="455">
        <f t="array" ref="J2962">IFERROR(INDEX('Retirement Calculator'!K:K,MATCH('Lorri 401b'!N2962,'Retirement Calculator'!A:A,0),0),0)</f>
        <v>0</v>
      </c>
      <c r="K2962" s="455">
        <f t="shared" ca="1" si="138"/>
        <v>-390635847.03817785</v>
      </c>
      <c r="L2962" s="455">
        <f t="shared" ca="1" si="139"/>
        <v>-94143239136.200867</v>
      </c>
      <c r="M2962" s="471">
        <f t="shared" si="141"/>
        <v>0.05</v>
      </c>
      <c r="N2962" s="475">
        <f t="shared" si="142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40"/>
        <v>-94143239136.200867</v>
      </c>
      <c r="J2963" s="455">
        <f t="array" ref="J2963">IFERROR(INDEX('Retirement Calculator'!K:K,MATCH('Lorri 401b'!N2963,'Retirement Calculator'!A:A,0),0),0)</f>
        <v>0</v>
      </c>
      <c r="K2963" s="455">
        <f t="shared" ca="1" si="138"/>
        <v>-392263496.40083694</v>
      </c>
      <c r="L2963" s="455">
        <f t="shared" ca="1" si="139"/>
        <v>-94535502632.6017</v>
      </c>
      <c r="M2963" s="471">
        <f t="shared" si="141"/>
        <v>0.05</v>
      </c>
      <c r="N2963" s="475">
        <f t="shared" si="142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40"/>
        <v>-94535502632.6017</v>
      </c>
      <c r="J2964" s="455">
        <f t="array" ref="J2964">IFERROR(INDEX('Retirement Calculator'!K:K,MATCH('Lorri 401b'!N2964,'Retirement Calculator'!A:A,0),0),0)</f>
        <v>0</v>
      </c>
      <c r="K2964" s="455">
        <f t="shared" ca="1" si="138"/>
        <v>-393897927.63584042</v>
      </c>
      <c r="L2964" s="455">
        <f t="shared" ca="1" si="139"/>
        <v>-94929400560.237534</v>
      </c>
      <c r="M2964" s="471">
        <f t="shared" si="141"/>
        <v>0.05</v>
      </c>
      <c r="N2964" s="475">
        <f t="shared" si="142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40"/>
        <v>-94929400560.237534</v>
      </c>
      <c r="J2965" s="455">
        <f t="array" ref="J2965">IFERROR(INDEX('Retirement Calculator'!K:K,MATCH('Lorri 401b'!N2965,'Retirement Calculator'!A:A,0),0),0)</f>
        <v>0</v>
      </c>
      <c r="K2965" s="455">
        <f t="shared" ca="1" si="138"/>
        <v>-395539169.00098974</v>
      </c>
      <c r="L2965" s="455">
        <f t="shared" ca="1" si="139"/>
        <v>-95324939729.238525</v>
      </c>
      <c r="M2965" s="471">
        <f t="shared" si="141"/>
        <v>0.05</v>
      </c>
      <c r="N2965" s="475">
        <f t="shared" si="142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40"/>
        <v>-95324939729.238525</v>
      </c>
      <c r="J2966" s="455">
        <f t="array" ref="J2966">IFERROR(INDEX('Retirement Calculator'!K:K,MATCH('Lorri 401b'!N2966,'Retirement Calculator'!A:A,0),0),0)</f>
        <v>0</v>
      </c>
      <c r="K2966" s="455">
        <f t="shared" ca="1" si="138"/>
        <v>-397187248.87182719</v>
      </c>
      <c r="L2966" s="455">
        <f t="shared" ca="1" si="139"/>
        <v>-95722126978.110352</v>
      </c>
      <c r="M2966" s="471">
        <f t="shared" si="141"/>
        <v>0.05</v>
      </c>
      <c r="N2966" s="475">
        <f t="shared" si="142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40"/>
        <v>-95722126978.110352</v>
      </c>
      <c r="J2967" s="455">
        <f t="array" ref="J2967">IFERROR(INDEX('Retirement Calculator'!K:K,MATCH('Lorri 401b'!N2967,'Retirement Calculator'!A:A,0),0),0)</f>
        <v>0</v>
      </c>
      <c r="K2967" s="455">
        <f t="shared" ca="1" si="138"/>
        <v>-398842195.74212646</v>
      </c>
      <c r="L2967" s="455">
        <f t="shared" ca="1" si="139"/>
        <v>-96120969173.852478</v>
      </c>
      <c r="M2967" s="471">
        <f t="shared" si="141"/>
        <v>0.05</v>
      </c>
      <c r="N2967" s="475">
        <f t="shared" si="142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40"/>
        <v>-96120969173.852478</v>
      </c>
      <c r="J2968" s="455">
        <f t="array" ref="J2968">IFERROR(INDEX('Retirement Calculator'!K:K,MATCH('Lorri 401b'!N2968,'Retirement Calculator'!A:A,0),0),0)</f>
        <v>0</v>
      </c>
      <c r="K2968" s="455">
        <f t="shared" ca="1" si="138"/>
        <v>-400504038.22438532</v>
      </c>
      <c r="L2968" s="455">
        <f t="shared" ca="1" si="139"/>
        <v>-96521473212.076859</v>
      </c>
      <c r="M2968" s="471">
        <f t="shared" si="141"/>
        <v>0.05</v>
      </c>
      <c r="N2968" s="475">
        <f t="shared" si="142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40"/>
        <v>-96521473212.076859</v>
      </c>
      <c r="J2969" s="455">
        <f t="array" ref="J2969">IFERROR(INDEX('Retirement Calculator'!K:K,MATCH('Lorri 401b'!N2969,'Retirement Calculator'!A:A,0),0),0)</f>
        <v>0</v>
      </c>
      <c r="K2969" s="455">
        <f t="shared" ca="1" si="138"/>
        <v>-402172805.05032027</v>
      </c>
      <c r="L2969" s="455">
        <f t="shared" ca="1" si="139"/>
        <v>-96923646017.127182</v>
      </c>
      <c r="M2969" s="471">
        <f t="shared" si="141"/>
        <v>0.05</v>
      </c>
      <c r="N2969" s="475">
        <f t="shared" si="142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40"/>
        <v>-96923646017.127182</v>
      </c>
      <c r="J2970" s="455">
        <f t="array" ref="J2970">IFERROR(INDEX('Retirement Calculator'!K:K,MATCH('Lorri 401b'!N2970,'Retirement Calculator'!A:A,0),0),0)</f>
        <v>0</v>
      </c>
      <c r="K2970" s="455">
        <f t="shared" ca="1" si="138"/>
        <v>-403848525.07136327</v>
      </c>
      <c r="L2970" s="455">
        <f t="shared" ca="1" si="139"/>
        <v>-97327494542.198547</v>
      </c>
      <c r="M2970" s="471">
        <f t="shared" si="141"/>
        <v>0.05</v>
      </c>
      <c r="N2970" s="475">
        <f t="shared" si="142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40"/>
        <v>-97327494542.198547</v>
      </c>
      <c r="J2971" s="455">
        <f t="array" ref="J2971">IFERROR(INDEX('Retirement Calculator'!K:K,MATCH('Lorri 401b'!N2971,'Retirement Calculator'!A:A,0),0),0)</f>
        <v>0</v>
      </c>
      <c r="K2971" s="455">
        <f t="shared" ca="1" si="138"/>
        <v>-405531227.25916064</v>
      </c>
      <c r="L2971" s="455">
        <f t="shared" ca="1" si="139"/>
        <v>-97733025769.457703</v>
      </c>
      <c r="M2971" s="471">
        <f t="shared" si="141"/>
        <v>0.05</v>
      </c>
      <c r="N2971" s="475">
        <f t="shared" si="142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40"/>
        <v>-97733025769.457703</v>
      </c>
      <c r="J2972" s="455">
        <f t="array" ref="J2972">IFERROR(INDEX('Retirement Calculator'!K:K,MATCH('Lorri 401b'!N2972,'Retirement Calculator'!A:A,0),0),0)</f>
        <v>0</v>
      </c>
      <c r="K2972" s="455">
        <f t="shared" ca="1" si="138"/>
        <v>-407220940.70607376</v>
      </c>
      <c r="L2972" s="455">
        <f t="shared" ca="1" si="139"/>
        <v>-98140246710.163773</v>
      </c>
      <c r="M2972" s="471">
        <f t="shared" si="141"/>
        <v>0.05</v>
      </c>
      <c r="N2972" s="475">
        <f t="shared" si="142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40"/>
        <v>-98140246710.163773</v>
      </c>
      <c r="J2973" s="455">
        <f t="array" ref="J2973">IFERROR(INDEX('Retirement Calculator'!K:K,MATCH('Lorri 401b'!N2973,'Retirement Calculator'!A:A,0),0),0)</f>
        <v>0</v>
      </c>
      <c r="K2973" s="455">
        <f t="shared" ca="1" si="138"/>
        <v>-408917694.62568235</v>
      </c>
      <c r="L2973" s="455">
        <f t="shared" ca="1" si="139"/>
        <v>-98549164404.789459</v>
      </c>
      <c r="M2973" s="471">
        <f t="shared" si="141"/>
        <v>0.05</v>
      </c>
      <c r="N2973" s="475">
        <f t="shared" si="142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40"/>
        <v>-98549164404.789459</v>
      </c>
      <c r="J2974" s="455">
        <f t="array" ref="J2974">IFERROR(INDEX('Retirement Calculator'!K:K,MATCH('Lorri 401b'!N2974,'Retirement Calculator'!A:A,0),0),0)</f>
        <v>0</v>
      </c>
      <c r="K2974" s="455">
        <f t="shared" ca="1" si="138"/>
        <v>-410621518.35328943</v>
      </c>
      <c r="L2974" s="455">
        <f t="shared" ca="1" si="139"/>
        <v>-98959785923.142746</v>
      </c>
      <c r="M2974" s="471">
        <f t="shared" si="141"/>
        <v>0.05</v>
      </c>
      <c r="N2974" s="475">
        <f t="shared" si="142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40"/>
        <v>-98959785923.142746</v>
      </c>
      <c r="J2975" s="455">
        <f t="array" ref="J2975">IFERROR(INDEX('Retirement Calculator'!K:K,MATCH('Lorri 401b'!N2975,'Retirement Calculator'!A:A,0),0),0)</f>
        <v>0</v>
      </c>
      <c r="K2975" s="455">
        <f t="shared" ca="1" si="138"/>
        <v>-412332441.3464281</v>
      </c>
      <c r="L2975" s="455">
        <f t="shared" ca="1" si="139"/>
        <v>-99372118364.489182</v>
      </c>
      <c r="M2975" s="471">
        <f t="shared" si="141"/>
        <v>0.05</v>
      </c>
      <c r="N2975" s="475">
        <f t="shared" si="142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40"/>
        <v>-99372118364.489182</v>
      </c>
      <c r="J2976" s="455">
        <f t="array" ref="J2976">IFERROR(INDEX('Retirement Calculator'!K:K,MATCH('Lorri 401b'!N2976,'Retirement Calculator'!A:A,0),0),0)</f>
        <v>0</v>
      </c>
      <c r="K2976" s="455">
        <f t="shared" ca="1" si="138"/>
        <v>-414050493.18537158</v>
      </c>
      <c r="L2976" s="455">
        <f t="shared" ca="1" si="139"/>
        <v>-99786168857.674561</v>
      </c>
      <c r="M2976" s="471">
        <f t="shared" si="141"/>
        <v>0.05</v>
      </c>
      <c r="N2976" s="475">
        <f t="shared" si="142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40"/>
        <v>-99786168857.674561</v>
      </c>
      <c r="J2977" s="455">
        <f t="array" ref="J2977">IFERROR(INDEX('Retirement Calculator'!K:K,MATCH('Lorri 401b'!N2977,'Retirement Calculator'!A:A,0),0),0)</f>
        <v>0</v>
      </c>
      <c r="K2977" s="455">
        <f t="shared" ca="1" si="138"/>
        <v>-415775703.57364398</v>
      </c>
      <c r="L2977" s="455">
        <f t="shared" ca="1" si="139"/>
        <v>-100201944561.2482</v>
      </c>
      <c r="M2977" s="471">
        <f t="shared" si="141"/>
        <v>0.05</v>
      </c>
      <c r="N2977" s="475">
        <f t="shared" si="142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40"/>
        <v>-100201944561.2482</v>
      </c>
      <c r="J2978" s="455">
        <f t="array" ref="J2978">IFERROR(INDEX('Retirement Calculator'!K:K,MATCH('Lorri 401b'!N2978,'Retirement Calculator'!A:A,0),0),0)</f>
        <v>0</v>
      </c>
      <c r="K2978" s="455">
        <f t="shared" ca="1" si="138"/>
        <v>-417508102.33853418</v>
      </c>
      <c r="L2978" s="455">
        <f t="shared" ca="1" si="139"/>
        <v>-100619452663.58673</v>
      </c>
      <c r="M2978" s="471">
        <f t="shared" si="141"/>
        <v>0.05</v>
      </c>
      <c r="N2978" s="475">
        <f t="shared" si="142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40"/>
        <v>-100619452663.58673</v>
      </c>
      <c r="J2979" s="455">
        <f t="array" ref="J2979">IFERROR(INDEX('Retirement Calculator'!K:K,MATCH('Lorri 401b'!N2979,'Retirement Calculator'!A:A,0),0),0)</f>
        <v>0</v>
      </c>
      <c r="K2979" s="455">
        <f t="shared" ca="1" si="138"/>
        <v>-419247719.43161136</v>
      </c>
      <c r="L2979" s="455">
        <f t="shared" ca="1" si="139"/>
        <v>-101038700383.01834</v>
      </c>
      <c r="M2979" s="471">
        <f t="shared" si="141"/>
        <v>0.05</v>
      </c>
      <c r="N2979" s="475">
        <f t="shared" si="142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40"/>
        <v>-101038700383.01834</v>
      </c>
      <c r="J2980" s="455">
        <f t="array" ref="J2980">IFERROR(INDEX('Retirement Calculator'!K:K,MATCH('Lorri 401b'!N2980,'Retirement Calculator'!A:A,0),0),0)</f>
        <v>0</v>
      </c>
      <c r="K2980" s="455">
        <f t="shared" ca="1" si="138"/>
        <v>-420994584.92924309</v>
      </c>
      <c r="L2980" s="455">
        <f t="shared" ca="1" si="139"/>
        <v>-101459694967.94759</v>
      </c>
      <c r="M2980" s="471">
        <f t="shared" si="141"/>
        <v>0.05</v>
      </c>
      <c r="N2980" s="475">
        <f t="shared" si="142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40"/>
        <v>-101459694967.94759</v>
      </c>
      <c r="J2981" s="455">
        <f t="array" ref="J2981">IFERROR(INDEX('Retirement Calculator'!K:K,MATCH('Lorri 401b'!N2981,'Retirement Calculator'!A:A,0),0),0)</f>
        <v>0</v>
      </c>
      <c r="K2981" s="455">
        <f t="shared" ca="1" si="138"/>
        <v>-422748729.03311491</v>
      </c>
      <c r="L2981" s="455">
        <f t="shared" ca="1" si="139"/>
        <v>-101882443696.9807</v>
      </c>
      <c r="M2981" s="471">
        <f t="shared" si="141"/>
        <v>0.05</v>
      </c>
      <c r="N2981" s="475">
        <f t="shared" si="142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40"/>
        <v>-101882443696.9807</v>
      </c>
      <c r="J2982" s="455">
        <f t="array" ref="J2982">IFERROR(INDEX('Retirement Calculator'!K:K,MATCH('Lorri 401b'!N2982,'Retirement Calculator'!A:A,0),0),0)</f>
        <v>0</v>
      </c>
      <c r="K2982" s="455">
        <f t="shared" ca="1" si="138"/>
        <v>-424510182.07075292</v>
      </c>
      <c r="L2982" s="455">
        <f t="shared" ca="1" si="139"/>
        <v>-102306953879.05145</v>
      </c>
      <c r="M2982" s="471">
        <f t="shared" si="141"/>
        <v>0.05</v>
      </c>
      <c r="N2982" s="475">
        <f t="shared" si="142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40"/>
        <v>-102306953879.05145</v>
      </c>
      <c r="J2983" s="455">
        <f t="array" ref="J2983">IFERROR(INDEX('Retirement Calculator'!K:K,MATCH('Lorri 401b'!N2983,'Retirement Calculator'!A:A,0),0),0)</f>
        <v>0</v>
      </c>
      <c r="K2983" s="455">
        <f t="shared" ca="1" si="138"/>
        <v>-426278974.49604774</v>
      </c>
      <c r="L2983" s="455">
        <f t="shared" ca="1" si="139"/>
        <v>-102733232853.5475</v>
      </c>
      <c r="M2983" s="471">
        <f t="shared" si="141"/>
        <v>0.05</v>
      </c>
      <c r="N2983" s="475">
        <f t="shared" si="142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40"/>
        <v>-102733232853.5475</v>
      </c>
      <c r="J2984" s="455">
        <f t="array" ref="J2984">IFERROR(INDEX('Retirement Calculator'!K:K,MATCH('Lorri 401b'!N2984,'Retirement Calculator'!A:A,0),0),0)</f>
        <v>0</v>
      </c>
      <c r="K2984" s="455">
        <f t="shared" ca="1" si="138"/>
        <v>-428055136.88978124</v>
      </c>
      <c r="L2984" s="455">
        <f t="shared" ca="1" si="139"/>
        <v>-103161287990.43729</v>
      </c>
      <c r="M2984" s="471">
        <f t="shared" si="141"/>
        <v>0.05</v>
      </c>
      <c r="N2984" s="475">
        <f t="shared" si="142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40"/>
        <v>-103161287990.43729</v>
      </c>
      <c r="J2985" s="455">
        <f t="array" ref="J2985">IFERROR(INDEX('Retirement Calculator'!K:K,MATCH('Lorri 401b'!N2985,'Retirement Calculator'!A:A,0),0),0)</f>
        <v>0</v>
      </c>
      <c r="K2985" s="455">
        <f t="shared" ca="1" si="138"/>
        <v>-429838699.96015537</v>
      </c>
      <c r="L2985" s="455">
        <f t="shared" ca="1" si="139"/>
        <v>-103591126690.39745</v>
      </c>
      <c r="M2985" s="471">
        <f t="shared" si="141"/>
        <v>0.05</v>
      </c>
      <c r="N2985" s="475">
        <f t="shared" si="142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40"/>
        <v>-103591126690.39745</v>
      </c>
      <c r="J2986" s="455">
        <f t="array" ref="J2986">IFERROR(INDEX('Retirement Calculator'!K:K,MATCH('Lorri 401b'!N2986,'Retirement Calculator'!A:A,0),0),0)</f>
        <v>0</v>
      </c>
      <c r="K2986" s="455">
        <f t="shared" ca="1" si="138"/>
        <v>-431629694.54332268</v>
      </c>
      <c r="L2986" s="455">
        <f t="shared" ca="1" si="139"/>
        <v>-104022756384.94077</v>
      </c>
      <c r="M2986" s="471">
        <f t="shared" si="141"/>
        <v>0.05</v>
      </c>
      <c r="N2986" s="475">
        <f t="shared" si="142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40"/>
        <v>-104022756384.94077</v>
      </c>
      <c r="J2987" s="455">
        <f t="array" ref="J2987">IFERROR(INDEX('Retirement Calculator'!K:K,MATCH('Lorri 401b'!N2987,'Retirement Calculator'!A:A,0),0),0)</f>
        <v>0</v>
      </c>
      <c r="K2987" s="455">
        <f t="shared" ca="1" si="138"/>
        <v>-433428151.60391986</v>
      </c>
      <c r="L2987" s="455">
        <f t="shared" ca="1" si="139"/>
        <v>-104456184536.54468</v>
      </c>
      <c r="M2987" s="471">
        <f t="shared" si="141"/>
        <v>0.05</v>
      </c>
      <c r="N2987" s="475">
        <f t="shared" si="142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40"/>
        <v>-104456184536.54468</v>
      </c>
      <c r="J2988" s="455">
        <f t="array" ref="J2988">IFERROR(INDEX('Retirement Calculator'!K:K,MATCH('Lorri 401b'!N2988,'Retirement Calculator'!A:A,0),0),0)</f>
        <v>0</v>
      </c>
      <c r="K2988" s="455">
        <f t="shared" ca="1" si="138"/>
        <v>-435234102.2356028</v>
      </c>
      <c r="L2988" s="455">
        <f t="shared" ca="1" si="139"/>
        <v>-104891418638.78027</v>
      </c>
      <c r="M2988" s="471">
        <f t="shared" si="141"/>
        <v>0.05</v>
      </c>
      <c r="N2988" s="475">
        <f t="shared" si="142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40"/>
        <v>-104891418638.78027</v>
      </c>
      <c r="J2989" s="455">
        <f t="array" ref="J2989">IFERROR(INDEX('Retirement Calculator'!K:K,MATCH('Lorri 401b'!N2989,'Retirement Calculator'!A:A,0),0),0)</f>
        <v>0</v>
      </c>
      <c r="K2989" s="455">
        <f t="shared" ca="1" si="138"/>
        <v>-437047577.66158444</v>
      </c>
      <c r="L2989" s="455">
        <f t="shared" ca="1" si="139"/>
        <v>-105328466216.44186</v>
      </c>
      <c r="M2989" s="471">
        <f t="shared" si="141"/>
        <v>0.05</v>
      </c>
      <c r="N2989" s="475">
        <f t="shared" si="142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40"/>
        <v>-105328466216.44186</v>
      </c>
      <c r="J2990" s="455">
        <f t="array" ref="J2990">IFERROR(INDEX('Retirement Calculator'!K:K,MATCH('Lorri 401b'!N2990,'Retirement Calculator'!A:A,0),0),0)</f>
        <v>0</v>
      </c>
      <c r="K2990" s="455">
        <f t="shared" ca="1" si="138"/>
        <v>-438868609.23517442</v>
      </c>
      <c r="L2990" s="455">
        <f t="shared" ca="1" si="139"/>
        <v>-105767334825.67703</v>
      </c>
      <c r="M2990" s="471">
        <f t="shared" si="141"/>
        <v>0.05</v>
      </c>
      <c r="N2990" s="475">
        <f t="shared" si="142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40"/>
        <v>-105767334825.67703</v>
      </c>
      <c r="J2991" s="455">
        <f t="array" ref="J2991">IFERROR(INDEX('Retirement Calculator'!K:K,MATCH('Lorri 401b'!N2991,'Retirement Calculator'!A:A,0),0),0)</f>
        <v>0</v>
      </c>
      <c r="K2991" s="455">
        <f t="shared" ca="1" si="138"/>
        <v>-440697228.44032097</v>
      </c>
      <c r="L2991" s="455">
        <f t="shared" ca="1" si="139"/>
        <v>-106208032054.11736</v>
      </c>
      <c r="M2991" s="471">
        <f t="shared" si="141"/>
        <v>0.05</v>
      </c>
      <c r="N2991" s="475">
        <f t="shared" si="142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40"/>
        <v>-106208032054.11736</v>
      </c>
      <c r="J2992" s="455">
        <f t="array" ref="J2992">IFERROR(INDEX('Retirement Calculator'!K:K,MATCH('Lorri 401b'!N2992,'Retirement Calculator'!A:A,0),0),0)</f>
        <v>0</v>
      </c>
      <c r="K2992" s="455">
        <f t="shared" ca="1" si="138"/>
        <v>-442533466.89215565</v>
      </c>
      <c r="L2992" s="455">
        <f t="shared" ca="1" si="139"/>
        <v>-106650565521.00951</v>
      </c>
      <c r="M2992" s="471">
        <f t="shared" si="141"/>
        <v>0.05</v>
      </c>
      <c r="N2992" s="475">
        <f t="shared" si="142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40"/>
        <v>-106650565521.00951</v>
      </c>
      <c r="J2993" s="455">
        <f t="array" ref="J2993">IFERROR(INDEX('Retirement Calculator'!K:K,MATCH('Lorri 401b'!N2993,'Retirement Calculator'!A:A,0),0),0)</f>
        <v>0</v>
      </c>
      <c r="K2993" s="455">
        <f t="shared" ca="1" si="138"/>
        <v>-444377356.33753961</v>
      </c>
      <c r="L2993" s="455">
        <f t="shared" ca="1" si="139"/>
        <v>-107094942877.34705</v>
      </c>
      <c r="M2993" s="471">
        <f t="shared" si="141"/>
        <v>0.05</v>
      </c>
      <c r="N2993" s="475">
        <f t="shared" si="142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40"/>
        <v>-107094942877.34705</v>
      </c>
      <c r="J2994" s="455">
        <f t="array" ref="J2994">IFERROR(INDEX('Retirement Calculator'!K:K,MATCH('Lorri 401b'!N2994,'Retirement Calculator'!A:A,0),0),0)</f>
        <v>0</v>
      </c>
      <c r="K2994" s="455">
        <f t="shared" ca="1" si="138"/>
        <v>-446228928.65561277</v>
      </c>
      <c r="L2994" s="455">
        <f t="shared" ca="1" si="139"/>
        <v>-107541171806.00266</v>
      </c>
      <c r="M2994" s="471">
        <f t="shared" si="141"/>
        <v>0.05</v>
      </c>
      <c r="N2994" s="475">
        <f t="shared" si="142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40"/>
        <v>-107541171806.00266</v>
      </c>
      <c r="J2995" s="455">
        <f t="array" ref="J2995">IFERROR(INDEX('Retirement Calculator'!K:K,MATCH('Lorri 401b'!N2995,'Retirement Calculator'!A:A,0),0),0)</f>
        <v>0</v>
      </c>
      <c r="K2995" s="455">
        <f t="shared" ca="1" si="138"/>
        <v>-448088215.85834444</v>
      </c>
      <c r="L2995" s="455">
        <f t="shared" ca="1" si="139"/>
        <v>-107989260021.86099</v>
      </c>
      <c r="M2995" s="471">
        <f t="shared" si="141"/>
        <v>0.05</v>
      </c>
      <c r="N2995" s="475">
        <f t="shared" si="142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40"/>
        <v>-107989260021.86099</v>
      </c>
      <c r="J2996" s="455">
        <f t="array" ref="J2996">IFERROR(INDEX('Retirement Calculator'!K:K,MATCH('Lorri 401b'!N2996,'Retirement Calculator'!A:A,0),0),0)</f>
        <v>0</v>
      </c>
      <c r="K2996" s="455">
        <f t="shared" ca="1" si="138"/>
        <v>-449955250.09108746</v>
      </c>
      <c r="L2996" s="455">
        <f t="shared" ca="1" si="139"/>
        <v>-108439215271.95209</v>
      </c>
      <c r="M2996" s="471">
        <f t="shared" si="141"/>
        <v>0.05</v>
      </c>
      <c r="N2996" s="475">
        <f t="shared" si="142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40"/>
        <v>-108439215271.95209</v>
      </c>
      <c r="J2997" s="455">
        <f t="array" ref="J2997">IFERROR(INDEX('Retirement Calculator'!K:K,MATCH('Lorri 401b'!N2997,'Retirement Calculator'!A:A,0),0),0)</f>
        <v>0</v>
      </c>
      <c r="K2997" s="455">
        <f t="shared" ca="1" si="138"/>
        <v>-451830063.63313365</v>
      </c>
      <c r="L2997" s="455">
        <f t="shared" ca="1" si="139"/>
        <v>-108891045335.58522</v>
      </c>
      <c r="M2997" s="471">
        <f t="shared" si="141"/>
        <v>0.05</v>
      </c>
      <c r="N2997" s="475">
        <f t="shared" si="142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40"/>
        <v>-108891045335.58522</v>
      </c>
      <c r="J2998" s="455">
        <f t="array" ref="J2998">IFERROR(INDEX('Retirement Calculator'!K:K,MATCH('Lorri 401b'!N2998,'Retirement Calculator'!A:A,0),0),0)</f>
        <v>0</v>
      </c>
      <c r="K2998" s="455">
        <f t="shared" ca="1" si="138"/>
        <v>-453712688.89827174</v>
      </c>
      <c r="L2998" s="455">
        <f t="shared" ca="1" si="139"/>
        <v>-109344758024.48349</v>
      </c>
      <c r="M2998" s="471">
        <f t="shared" si="141"/>
        <v>0.05</v>
      </c>
      <c r="N2998" s="475">
        <f t="shared" si="142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40"/>
        <v>-109344758024.48349</v>
      </c>
      <c r="J2999" s="455">
        <f t="array" ref="J2999">IFERROR(INDEX('Retirement Calculator'!K:K,MATCH('Lorri 401b'!N2999,'Retirement Calculator'!A:A,0),0),0)</f>
        <v>0</v>
      </c>
      <c r="K2999" s="455">
        <f t="shared" ca="1" si="138"/>
        <v>-455603158.4353478</v>
      </c>
      <c r="L2999" s="455">
        <f t="shared" ca="1" si="139"/>
        <v>-109800361182.91884</v>
      </c>
      <c r="M2999" s="471">
        <f t="shared" si="141"/>
        <v>0.05</v>
      </c>
      <c r="N2999" s="475">
        <f t="shared" si="142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40"/>
        <v>-109800361182.91884</v>
      </c>
      <c r="J3000" s="455">
        <f t="array" ref="J3000">IFERROR(INDEX('Retirement Calculator'!K:K,MATCH('Lorri 401b'!N3000,'Retirement Calculator'!A:A,0),0),0)</f>
        <v>0</v>
      </c>
      <c r="K3000" s="455">
        <f t="shared" ca="1" si="138"/>
        <v>-457501504.92882848</v>
      </c>
      <c r="L3000" s="455">
        <f t="shared" ca="1" si="139"/>
        <v>-110257862687.84767</v>
      </c>
      <c r="M3000" s="471">
        <f t="shared" si="141"/>
        <v>0.05</v>
      </c>
      <c r="N3000" s="475">
        <f t="shared" si="142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40"/>
        <v>-110257862687.84767</v>
      </c>
      <c r="J3001" s="455">
        <f t="array" ref="J3001">IFERROR(INDEX('Retirement Calculator'!K:K,MATCH('Lorri 401b'!N3001,'Retirement Calculator'!A:A,0),0),0)</f>
        <v>0</v>
      </c>
      <c r="K3001" s="455">
        <f t="shared" ca="1" si="138"/>
        <v>-459407761.19936532</v>
      </c>
      <c r="L3001" s="455">
        <f t="shared" ca="1" si="139"/>
        <v>-110717270449.04704</v>
      </c>
      <c r="M3001" s="471">
        <f t="shared" si="141"/>
        <v>0.05</v>
      </c>
      <c r="N3001" s="475">
        <f t="shared" si="142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40"/>
        <v>-110717270449.04704</v>
      </c>
      <c r="J3002" s="455">
        <f t="array" ref="J3002">IFERROR(INDEX('Retirement Calculator'!K:K,MATCH('Lorri 401b'!N3002,'Retirement Calculator'!A:A,0),0),0)</f>
        <v>0</v>
      </c>
      <c r="K3002" s="455">
        <f t="shared" ca="1" si="138"/>
        <v>-461321960.20436275</v>
      </c>
      <c r="L3002" s="455">
        <f t="shared" ca="1" si="139"/>
        <v>-111178592409.2514</v>
      </c>
      <c r="M3002" s="471">
        <f t="shared" si="141"/>
        <v>0.05</v>
      </c>
      <c r="N3002" s="475">
        <f t="shared" si="142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40"/>
        <v>-111178592409.2514</v>
      </c>
      <c r="J3003" s="455">
        <f t="array" ref="J3003">IFERROR(INDEX('Retirement Calculator'!K:K,MATCH('Lorri 401b'!N3003,'Retirement Calculator'!A:A,0),0),0)</f>
        <v>0</v>
      </c>
      <c r="K3003" s="455">
        <f t="shared" ca="1" si="138"/>
        <v>-463244135.03854752</v>
      </c>
      <c r="L3003" s="455">
        <f t="shared" ca="1" si="139"/>
        <v>-111641836544.28995</v>
      </c>
      <c r="M3003" s="471">
        <f t="shared" si="141"/>
        <v>0.05</v>
      </c>
      <c r="N3003" s="475">
        <f t="shared" si="142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40"/>
        <v>-111641836544.28995</v>
      </c>
      <c r="J3004" s="455">
        <f t="array" ref="J3004">IFERROR(INDEX('Retirement Calculator'!K:K,MATCH('Lorri 401b'!N3004,'Retirement Calculator'!A:A,0),0),0)</f>
        <v>0</v>
      </c>
      <c r="K3004" s="455">
        <f t="shared" ca="1" si="138"/>
        <v>-465174318.93454146</v>
      </c>
      <c r="L3004" s="455">
        <f t="shared" ca="1" si="139"/>
        <v>-112107010863.22449</v>
      </c>
      <c r="M3004" s="471">
        <f t="shared" si="141"/>
        <v>0.05</v>
      </c>
      <c r="N3004" s="475">
        <f t="shared" si="142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40"/>
        <v>-112107010863.22449</v>
      </c>
      <c r="J3005" s="455">
        <f t="array" ref="J3005">IFERROR(INDEX('Retirement Calculator'!K:K,MATCH('Lorri 401b'!N3005,'Retirement Calculator'!A:A,0),0),0)</f>
        <v>0</v>
      </c>
      <c r="K3005" s="455">
        <f t="shared" ca="1" si="138"/>
        <v>-467112545.26343536</v>
      </c>
      <c r="L3005" s="455">
        <f t="shared" ca="1" si="139"/>
        <v>-112574123408.48792</v>
      </c>
      <c r="M3005" s="471">
        <f t="shared" si="141"/>
        <v>0.05</v>
      </c>
      <c r="N3005" s="475">
        <f t="shared" si="142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40"/>
        <v>-112574123408.48792</v>
      </c>
      <c r="J3006" s="455">
        <f t="array" ref="J3006">IFERROR(INDEX('Retirement Calculator'!K:K,MATCH('Lorri 401b'!N3006,'Retirement Calculator'!A:A,0),0),0)</f>
        <v>0</v>
      </c>
      <c r="K3006" s="455">
        <f t="shared" ca="1" si="138"/>
        <v>-469058847.53536624</v>
      </c>
      <c r="L3006" s="455">
        <f t="shared" ca="1" si="139"/>
        <v>-113043182256.02328</v>
      </c>
      <c r="M3006" s="471">
        <f t="shared" si="141"/>
        <v>0.05</v>
      </c>
      <c r="N3006" s="475">
        <f t="shared" si="142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40"/>
        <v>-113043182256.02328</v>
      </c>
      <c r="J3007" s="455">
        <f t="array" ref="J3007">IFERROR(INDEX('Retirement Calculator'!K:K,MATCH('Lorri 401b'!N3007,'Retirement Calculator'!A:A,0),0),0)</f>
        <v>0</v>
      </c>
      <c r="K3007" s="455">
        <f t="shared" ca="1" si="138"/>
        <v>-471013259.40009701</v>
      </c>
      <c r="L3007" s="455">
        <f t="shared" ca="1" si="139"/>
        <v>-113514195515.42339</v>
      </c>
      <c r="M3007" s="471">
        <f t="shared" si="141"/>
        <v>0.05</v>
      </c>
      <c r="N3007" s="475">
        <f t="shared" si="142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40"/>
        <v>-113514195515.42339</v>
      </c>
      <c r="J3008" s="455">
        <f t="array" ref="J3008">IFERROR(INDEX('Retirement Calculator'!K:K,MATCH('Lorri 401b'!N3008,'Retirement Calculator'!A:A,0),0),0)</f>
        <v>0</v>
      </c>
      <c r="K3008" s="455">
        <f t="shared" ca="1" si="138"/>
        <v>-472975814.64759743</v>
      </c>
      <c r="L3008" s="455">
        <f t="shared" ca="1" si="139"/>
        <v>-113987171330.07098</v>
      </c>
      <c r="M3008" s="471">
        <f t="shared" si="141"/>
        <v>0.05</v>
      </c>
      <c r="N3008" s="475">
        <f t="shared" si="142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40"/>
        <v>-113987171330.07098</v>
      </c>
      <c r="J3009" s="455">
        <f t="array" ref="J3009">IFERROR(INDEX('Retirement Calculator'!K:K,MATCH('Lorri 401b'!N3009,'Retirement Calculator'!A:A,0),0),0)</f>
        <v>0</v>
      </c>
      <c r="K3009" s="455">
        <f t="shared" ca="1" si="138"/>
        <v>-474946547.20862907</v>
      </c>
      <c r="L3009" s="455">
        <f t="shared" ca="1" si="139"/>
        <v>-114462117877.27962</v>
      </c>
      <c r="M3009" s="471">
        <f t="shared" si="141"/>
        <v>0.05</v>
      </c>
      <c r="N3009" s="475">
        <f t="shared" si="142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40"/>
        <v>-114462117877.27962</v>
      </c>
      <c r="J3010" s="455">
        <f t="array" ref="J3010">IFERROR(INDEX('Retirement Calculator'!K:K,MATCH('Lorri 401b'!N3010,'Retirement Calculator'!A:A,0),0),0)</f>
        <v>0</v>
      </c>
      <c r="K3010" s="455">
        <f t="shared" ca="1" si="138"/>
        <v>-476925491.15533173</v>
      </c>
      <c r="L3010" s="455">
        <f t="shared" ca="1" si="139"/>
        <v>-114939043368.43495</v>
      </c>
      <c r="M3010" s="471">
        <f t="shared" si="141"/>
        <v>0.05</v>
      </c>
      <c r="N3010" s="475">
        <f t="shared" si="142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40"/>
        <v>-114939043368.43495</v>
      </c>
      <c r="J3011" s="455">
        <f t="array" ref="J3011">IFERROR(INDEX('Retirement Calculator'!K:K,MATCH('Lorri 401b'!N3011,'Retirement Calculator'!A:A,0),0),0)</f>
        <v>0</v>
      </c>
      <c r="K3011" s="455">
        <f t="shared" ca="1" si="138"/>
        <v>-478912680.70181227</v>
      </c>
      <c r="L3011" s="455">
        <f t="shared" ca="1" si="139"/>
        <v>-115417956049.13676</v>
      </c>
      <c r="M3011" s="471">
        <f t="shared" si="141"/>
        <v>0.05</v>
      </c>
      <c r="N3011" s="475">
        <f t="shared" si="142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40"/>
        <v>-115417956049.13676</v>
      </c>
      <c r="J3012" s="455">
        <f t="array" ref="J3012">IFERROR(INDEX('Retirement Calculator'!K:K,MATCH('Lorri 401b'!N3012,'Retirement Calculator'!A:A,0),0),0)</f>
        <v>0</v>
      </c>
      <c r="K3012" s="455">
        <f t="shared" ca="1" si="138"/>
        <v>-480908150.20473647</v>
      </c>
      <c r="L3012" s="455">
        <f t="shared" ca="1" si="139"/>
        <v>-115898864199.34151</v>
      </c>
      <c r="M3012" s="471">
        <f t="shared" si="141"/>
        <v>0.05</v>
      </c>
      <c r="N3012" s="475">
        <f t="shared" si="142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40"/>
        <v>-115898864199.34151</v>
      </c>
      <c r="J3013" s="455">
        <f t="array" ref="J3013">IFERROR(INDEX('Retirement Calculator'!K:K,MATCH('Lorri 401b'!N3013,'Retirement Calculator'!A:A,0),0),0)</f>
        <v>0</v>
      </c>
      <c r="K3013" s="455">
        <f t="shared" ca="1" si="138"/>
        <v>-482911934.16392297</v>
      </c>
      <c r="L3013" s="455">
        <f t="shared" ca="1" si="139"/>
        <v>-116381776133.50543</v>
      </c>
      <c r="M3013" s="471">
        <f t="shared" si="141"/>
        <v>0.05</v>
      </c>
      <c r="N3013" s="475">
        <f t="shared" si="142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40"/>
        <v>-116381776133.50543</v>
      </c>
      <c r="J3014" s="455">
        <f t="array" ref="J3014">IFERROR(INDEX('Retirement Calculator'!K:K,MATCH('Lorri 401b'!N3014,'Retirement Calculator'!A:A,0),0),0)</f>
        <v>0</v>
      </c>
      <c r="K3014" s="455">
        <f t="shared" ca="1" si="138"/>
        <v>-484924067.22293931</v>
      </c>
      <c r="L3014" s="455">
        <f t="shared" ca="1" si="139"/>
        <v>-116866700200.72838</v>
      </c>
      <c r="M3014" s="471">
        <f t="shared" si="141"/>
        <v>0.05</v>
      </c>
      <c r="N3014" s="475">
        <f t="shared" si="142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40"/>
        <v>-116866700200.72838</v>
      </c>
      <c r="J3015" s="455">
        <f t="array" ref="J3015">IFERROR(INDEX('Retirement Calculator'!K:K,MATCH('Lorri 401b'!N3015,'Retirement Calculator'!A:A,0),0),0)</f>
        <v>0</v>
      </c>
      <c r="K3015" s="455">
        <f t="shared" ca="1" si="138"/>
        <v>-486944584.16970164</v>
      </c>
      <c r="L3015" s="455">
        <f t="shared" ca="1" si="139"/>
        <v>-117353644784.89809</v>
      </c>
      <c r="M3015" s="471">
        <f t="shared" si="141"/>
        <v>0.05</v>
      </c>
      <c r="N3015" s="475">
        <f t="shared" si="142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40"/>
        <v>-117353644784.89809</v>
      </c>
      <c r="J3016" s="455">
        <f t="array" ref="J3016">IFERROR(INDEX('Retirement Calculator'!K:K,MATCH('Lorri 401b'!N3016,'Retirement Calculator'!A:A,0),0),0)</f>
        <v>0</v>
      </c>
      <c r="K3016" s="455">
        <f t="shared" ca="1" si="138"/>
        <v>-488973519.93707532</v>
      </c>
      <c r="L3016" s="455">
        <f t="shared" ca="1" si="139"/>
        <v>-117842618304.83516</v>
      </c>
      <c r="M3016" s="471">
        <f t="shared" si="141"/>
        <v>0.05</v>
      </c>
      <c r="N3016" s="475">
        <f t="shared" si="142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40"/>
        <v>-117842618304.83516</v>
      </c>
      <c r="J3017" s="455">
        <f t="array" ref="J3017">IFERROR(INDEX('Retirement Calculator'!K:K,MATCH('Lorri 401b'!N3017,'Retirement Calculator'!A:A,0),0),0)</f>
        <v>0</v>
      </c>
      <c r="K3017" s="455">
        <f t="shared" ca="1" si="138"/>
        <v>-491010909.60347974</v>
      </c>
      <c r="L3017" s="455">
        <f t="shared" ca="1" si="139"/>
        <v>-118333629214.43864</v>
      </c>
      <c r="M3017" s="471">
        <f t="shared" si="141"/>
        <v>0.05</v>
      </c>
      <c r="N3017" s="475">
        <f t="shared" si="142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40"/>
        <v>-118333629214.43864</v>
      </c>
      <c r="J3018" s="455">
        <f t="array" ref="J3018">IFERROR(INDEX('Retirement Calculator'!K:K,MATCH('Lorri 401b'!N3018,'Retirement Calculator'!A:A,0),0),0)</f>
        <v>0</v>
      </c>
      <c r="K3018" s="455">
        <f t="shared" ca="1" si="138"/>
        <v>-493056788.39349431</v>
      </c>
      <c r="L3018" s="455">
        <f t="shared" ca="1" si="139"/>
        <v>-118826686002.83214</v>
      </c>
      <c r="M3018" s="471">
        <f t="shared" si="141"/>
        <v>0.05</v>
      </c>
      <c r="N3018" s="475">
        <f t="shared" si="142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40"/>
        <v>-118826686002.83214</v>
      </c>
      <c r="J3019" s="455">
        <f t="array" ref="J3019">IFERROR(INDEX('Retirement Calculator'!K:K,MATCH('Lorri 401b'!N3019,'Retirement Calculator'!A:A,0),0),0)</f>
        <v>0</v>
      </c>
      <c r="K3019" s="455">
        <f t="shared" ca="1" si="138"/>
        <v>-495111191.67846721</v>
      </c>
      <c r="L3019" s="455">
        <f t="shared" ca="1" si="139"/>
        <v>-119321797194.5106</v>
      </c>
      <c r="M3019" s="471">
        <f t="shared" si="141"/>
        <v>0.05</v>
      </c>
      <c r="N3019" s="475">
        <f t="shared" si="142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40"/>
        <v>-119321797194.5106</v>
      </c>
      <c r="J3020" s="455">
        <f t="array" ref="J3020">IFERROR(INDEX('Retirement Calculator'!K:K,MATCH('Lorri 401b'!N3020,'Retirement Calculator'!A:A,0),0),0)</f>
        <v>0</v>
      </c>
      <c r="K3020" s="455">
        <f t="shared" ca="1" si="138"/>
        <v>-497174154.97712743</v>
      </c>
      <c r="L3020" s="455">
        <f t="shared" ca="1" si="139"/>
        <v>-119818971349.48773</v>
      </c>
      <c r="M3020" s="471">
        <f t="shared" si="141"/>
        <v>0.05</v>
      </c>
      <c r="N3020" s="475">
        <f t="shared" si="142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40"/>
        <v>-119818971349.48773</v>
      </c>
      <c r="J3021" s="455">
        <f t="array" ref="J3021">IFERROR(INDEX('Retirement Calculator'!K:K,MATCH('Lorri 401b'!N3021,'Retirement Calculator'!A:A,0),0),0)</f>
        <v>0</v>
      </c>
      <c r="K3021" s="455">
        <f t="shared" ca="1" si="138"/>
        <v>-499245713.95619887</v>
      </c>
      <c r="L3021" s="455">
        <f t="shared" ca="1" si="139"/>
        <v>-120318217063.44392</v>
      </c>
      <c r="M3021" s="471">
        <f t="shared" si="141"/>
        <v>0.05</v>
      </c>
      <c r="N3021" s="475">
        <f t="shared" si="142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40"/>
        <v>-120318217063.44392</v>
      </c>
      <c r="J3022" s="455">
        <f t="array" ref="J3022">IFERROR(INDEX('Retirement Calculator'!K:K,MATCH('Lorri 401b'!N3022,'Retirement Calculator'!A:A,0),0),0)</f>
        <v>0</v>
      </c>
      <c r="K3022" s="455">
        <f t="shared" ca="1" si="138"/>
        <v>-501325904.43101633</v>
      </c>
      <c r="L3022" s="455">
        <f t="shared" ca="1" si="139"/>
        <v>-120819542967.87494</v>
      </c>
      <c r="M3022" s="471">
        <f t="shared" si="141"/>
        <v>0.05</v>
      </c>
      <c r="N3022" s="475">
        <f t="shared" si="142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40"/>
        <v>-120819542967.87494</v>
      </c>
      <c r="J3023" s="455">
        <f t="array" ref="J3023">IFERROR(INDEX('Retirement Calculator'!K:K,MATCH('Lorri 401b'!N3023,'Retirement Calculator'!A:A,0),0),0)</f>
        <v>0</v>
      </c>
      <c r="K3023" s="455">
        <f t="shared" ca="1" si="138"/>
        <v>-503414762.36614555</v>
      </c>
      <c r="L3023" s="455">
        <f t="shared" ca="1" si="139"/>
        <v>-121322957730.24109</v>
      </c>
      <c r="M3023" s="471">
        <f t="shared" si="141"/>
        <v>0.05</v>
      </c>
      <c r="N3023" s="475">
        <f t="shared" si="142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40"/>
        <v>-121322957730.24109</v>
      </c>
      <c r="J3024" s="455">
        <f t="array" ref="J3024">IFERROR(INDEX('Retirement Calculator'!K:K,MATCH('Lorri 401b'!N3024,'Retirement Calculator'!A:A,0),0),0)</f>
        <v>0</v>
      </c>
      <c r="K3024" s="455">
        <f t="shared" ca="1" si="138"/>
        <v>-505512323.87600452</v>
      </c>
      <c r="L3024" s="455">
        <f t="shared" ca="1" si="139"/>
        <v>-121828470054.1171</v>
      </c>
      <c r="M3024" s="471">
        <f t="shared" si="141"/>
        <v>0.05</v>
      </c>
      <c r="N3024" s="475">
        <f t="shared" si="142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40"/>
        <v>-121828470054.1171</v>
      </c>
      <c r="J3025" s="455">
        <f t="array" ref="J3025">IFERROR(INDEX('Retirement Calculator'!K:K,MATCH('Lorri 401b'!N3025,'Retirement Calculator'!A:A,0),0),0)</f>
        <v>0</v>
      </c>
      <c r="K3025" s="455">
        <f t="shared" ca="1" si="138"/>
        <v>-507618625.22548789</v>
      </c>
      <c r="L3025" s="455">
        <f t="shared" ca="1" si="139"/>
        <v>-122336088679.34259</v>
      </c>
      <c r="M3025" s="471">
        <f t="shared" si="141"/>
        <v>0.05</v>
      </c>
      <c r="N3025" s="475">
        <f t="shared" si="142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40"/>
        <v>-122336088679.34259</v>
      </c>
      <c r="J3026" s="455">
        <f t="array" ref="J3026">IFERROR(INDEX('Retirement Calculator'!K:K,MATCH('Lorri 401b'!N3026,'Retirement Calculator'!A:A,0),0),0)</f>
        <v>0</v>
      </c>
      <c r="K3026" s="455">
        <f t="shared" ca="1" si="138"/>
        <v>-509733702.83059418</v>
      </c>
      <c r="L3026" s="455">
        <f t="shared" ca="1" si="139"/>
        <v>-122845822382.17319</v>
      </c>
      <c r="M3026" s="471">
        <f t="shared" si="141"/>
        <v>0.05</v>
      </c>
      <c r="N3026" s="475">
        <f t="shared" si="142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40"/>
        <v>-122845822382.17319</v>
      </c>
      <c r="J3027" s="455">
        <f t="array" ref="J3027">IFERROR(INDEX('Retirement Calculator'!K:K,MATCH('Lorri 401b'!N3027,'Retirement Calculator'!A:A,0),0),0)</f>
        <v>0</v>
      </c>
      <c r="K3027" s="455">
        <f t="shared" ca="1" si="138"/>
        <v>-511857593.25905496</v>
      </c>
      <c r="L3027" s="455">
        <f t="shared" ca="1" si="139"/>
        <v>-123357679975.43224</v>
      </c>
      <c r="M3027" s="471">
        <f t="shared" si="141"/>
        <v>0.05</v>
      </c>
      <c r="N3027" s="475">
        <f t="shared" si="142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40"/>
        <v>-123357679975.43224</v>
      </c>
      <c r="J3028" s="455">
        <f t="array" ref="J3028">IFERROR(INDEX('Retirement Calculator'!K:K,MATCH('Lorri 401b'!N3028,'Retirement Calculator'!A:A,0),0),0)</f>
        <v>0</v>
      </c>
      <c r="K3028" s="455">
        <f t="shared" ca="1" si="138"/>
        <v>-513990333.23096764</v>
      </c>
      <c r="L3028" s="455">
        <f t="shared" ca="1" si="139"/>
        <v>-123871670308.66321</v>
      </c>
      <c r="M3028" s="471">
        <f t="shared" si="141"/>
        <v>0.05</v>
      </c>
      <c r="N3028" s="475">
        <f t="shared" si="142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40"/>
        <v>-123871670308.66321</v>
      </c>
      <c r="J3029" s="455">
        <f t="array" ref="J3029">IFERROR(INDEX('Retirement Calculator'!K:K,MATCH('Lorri 401b'!N3029,'Retirement Calculator'!A:A,0),0),0)</f>
        <v>0</v>
      </c>
      <c r="K3029" s="455">
        <f t="shared" ca="1" si="138"/>
        <v>-516131959.61943001</v>
      </c>
      <c r="L3029" s="455">
        <f t="shared" ca="1" si="139"/>
        <v>-124387802268.28264</v>
      </c>
      <c r="M3029" s="471">
        <f t="shared" si="141"/>
        <v>0.05</v>
      </c>
      <c r="N3029" s="475">
        <f t="shared" si="142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40"/>
        <v>-124387802268.28264</v>
      </c>
      <c r="J3030" s="455">
        <f t="array" ref="J3030">IFERROR(INDEX('Retirement Calculator'!K:K,MATCH('Lorri 401b'!N3030,'Retirement Calculator'!A:A,0),0),0)</f>
        <v>0</v>
      </c>
      <c r="K3030" s="455">
        <f t="shared" ca="1" si="138"/>
        <v>-518282509.45117772</v>
      </c>
      <c r="L3030" s="455">
        <f t="shared" ca="1" si="139"/>
        <v>-124906084777.73381</v>
      </c>
      <c r="M3030" s="471">
        <f t="shared" si="141"/>
        <v>0.05</v>
      </c>
      <c r="N3030" s="475">
        <f t="shared" si="142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40"/>
        <v>-124906084777.73381</v>
      </c>
      <c r="J3031" s="455">
        <f t="array" ref="J3031">IFERROR(INDEX('Retirement Calculator'!K:K,MATCH('Lorri 401b'!N3031,'Retirement Calculator'!A:A,0),0),0)</f>
        <v>0</v>
      </c>
      <c r="K3031" s="455">
        <f t="shared" ca="1" si="138"/>
        <v>-520442019.90722418</v>
      </c>
      <c r="L3031" s="455">
        <f t="shared" ca="1" si="139"/>
        <v>-125426526797.64104</v>
      </c>
      <c r="M3031" s="471">
        <f t="shared" si="141"/>
        <v>0.05</v>
      </c>
      <c r="N3031" s="475">
        <f t="shared" si="142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40"/>
        <v>-125426526797.64104</v>
      </c>
      <c r="J3032" s="455">
        <f t="array" ref="J3032">IFERROR(INDEX('Retirement Calculator'!K:K,MATCH('Lorri 401b'!N3032,'Retirement Calculator'!A:A,0),0),0)</f>
        <v>0</v>
      </c>
      <c r="K3032" s="455">
        <f t="shared" ca="1" si="138"/>
        <v>-522610528.32350427</v>
      </c>
      <c r="L3032" s="455">
        <f t="shared" ca="1" si="139"/>
        <v>-125949137325.96454</v>
      </c>
      <c r="M3032" s="471">
        <f t="shared" si="141"/>
        <v>0.05</v>
      </c>
      <c r="N3032" s="475">
        <f t="shared" si="142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40"/>
        <v>-125949137325.96454</v>
      </c>
      <c r="J3033" s="455">
        <f t="array" ref="J3033">IFERROR(INDEX('Retirement Calculator'!K:K,MATCH('Lorri 401b'!N3033,'Retirement Calculator'!A:A,0),0),0)</f>
        <v>0</v>
      </c>
      <c r="K3033" s="455">
        <f t="shared" ca="1" si="138"/>
        <v>-524788072.19151884</v>
      </c>
      <c r="L3033" s="455">
        <f t="shared" ca="1" si="139"/>
        <v>-126473925398.15605</v>
      </c>
      <c r="M3033" s="471">
        <f t="shared" si="141"/>
        <v>0.05</v>
      </c>
      <c r="N3033" s="475">
        <f t="shared" si="142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40"/>
        <v>-126473925398.15605</v>
      </c>
      <c r="J3034" s="455">
        <f t="array" ref="J3034">IFERROR(INDEX('Retirement Calculator'!K:K,MATCH('Lorri 401b'!N3034,'Retirement Calculator'!A:A,0),0),0)</f>
        <v>0</v>
      </c>
      <c r="K3034" s="455">
        <f t="shared" ca="1" si="138"/>
        <v>-526974689.15898353</v>
      </c>
      <c r="L3034" s="455">
        <f t="shared" ca="1" si="139"/>
        <v>-127000900087.31503</v>
      </c>
      <c r="M3034" s="471">
        <f t="shared" si="141"/>
        <v>0.05</v>
      </c>
      <c r="N3034" s="475">
        <f t="shared" si="142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40"/>
        <v>-127000900087.31503</v>
      </c>
      <c r="J3035" s="455">
        <f t="array" ref="J3035">IFERROR(INDEX('Retirement Calculator'!K:K,MATCH('Lorri 401b'!N3035,'Retirement Calculator'!A:A,0),0),0)</f>
        <v>0</v>
      </c>
      <c r="K3035" s="455">
        <f t="shared" ca="1" si="138"/>
        <v>-529170417.03047937</v>
      </c>
      <c r="L3035" s="455">
        <f t="shared" ca="1" si="139"/>
        <v>-127530070504.3455</v>
      </c>
      <c r="M3035" s="471">
        <f t="shared" si="141"/>
        <v>0.05</v>
      </c>
      <c r="N3035" s="475">
        <f t="shared" si="142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40"/>
        <v>-127530070504.3455</v>
      </c>
      <c r="J3036" s="455">
        <f t="array" ref="J3036">IFERROR(INDEX('Retirement Calculator'!K:K,MATCH('Lorri 401b'!N3036,'Retirement Calculator'!A:A,0),0),0)</f>
        <v>0</v>
      </c>
      <c r="K3036" s="455">
        <f t="shared" ca="1" si="138"/>
        <v>-531375293.76810628</v>
      </c>
      <c r="L3036" s="455">
        <f t="shared" ca="1" si="139"/>
        <v>-128061445798.11362</v>
      </c>
      <c r="M3036" s="471">
        <f t="shared" si="141"/>
        <v>0.05</v>
      </c>
      <c r="N3036" s="475">
        <f t="shared" si="142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40"/>
        <v>-128061445798.11362</v>
      </c>
      <c r="J3037" s="455">
        <f t="array" ref="J3037">IFERROR(INDEX('Retirement Calculator'!K:K,MATCH('Lorri 401b'!N3037,'Retirement Calculator'!A:A,0),0),0)</f>
        <v>0</v>
      </c>
      <c r="K3037" s="455">
        <f t="shared" ca="1" si="138"/>
        <v>-533589357.49214011</v>
      </c>
      <c r="L3037" s="455">
        <f t="shared" ca="1" si="139"/>
        <v>-128595035155.60576</v>
      </c>
      <c r="M3037" s="471">
        <f t="shared" si="141"/>
        <v>0.05</v>
      </c>
      <c r="N3037" s="475">
        <f t="shared" si="142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40"/>
        <v>-128595035155.60576</v>
      </c>
      <c r="J3038" s="455">
        <f t="array" ref="J3038">IFERROR(INDEX('Retirement Calculator'!K:K,MATCH('Lorri 401b'!N3038,'Retirement Calculator'!A:A,0),0),0)</f>
        <v>0</v>
      </c>
      <c r="K3038" s="455">
        <f t="shared" ca="1" si="138"/>
        <v>-535812646.4816907</v>
      </c>
      <c r="L3038" s="455">
        <f t="shared" ca="1" si="139"/>
        <v>-129130847802.08745</v>
      </c>
      <c r="M3038" s="471">
        <f t="shared" si="141"/>
        <v>0.05</v>
      </c>
      <c r="N3038" s="475">
        <f t="shared" si="142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40"/>
        <v>-129130847802.08745</v>
      </c>
      <c r="J3039" s="455">
        <f t="array" ref="J3039">IFERROR(INDEX('Retirement Calculator'!K:K,MATCH('Lorri 401b'!N3039,'Retirement Calculator'!A:A,0),0),0)</f>
        <v>0</v>
      </c>
      <c r="K3039" s="455">
        <f t="shared" ca="1" si="138"/>
        <v>-538045199.17536426</v>
      </c>
      <c r="L3039" s="455">
        <f t="shared" ca="1" si="139"/>
        <v>-129668893001.26282</v>
      </c>
      <c r="M3039" s="471">
        <f t="shared" si="141"/>
        <v>0.05</v>
      </c>
      <c r="N3039" s="475">
        <f t="shared" si="142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40"/>
        <v>-129668893001.26282</v>
      </c>
      <c r="J3040" s="455">
        <f t="array" ref="J3040">IFERROR(INDEX('Retirement Calculator'!K:K,MATCH('Lorri 401b'!N3040,'Retirement Calculator'!A:A,0),0),0)</f>
        <v>0</v>
      </c>
      <c r="K3040" s="455">
        <f t="shared" ca="1" si="138"/>
        <v>-540287054.17192841</v>
      </c>
      <c r="L3040" s="455">
        <f t="shared" ca="1" si="139"/>
        <v>-130209180055.43475</v>
      </c>
      <c r="M3040" s="471">
        <f t="shared" si="141"/>
        <v>0.05</v>
      </c>
      <c r="N3040" s="475">
        <f t="shared" si="142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40"/>
        <v>-130209180055.43475</v>
      </c>
      <c r="J3041" s="455">
        <f t="array" ref="J3041">IFERROR(INDEX('Retirement Calculator'!K:K,MATCH('Lorri 401b'!N3041,'Retirement Calculator'!A:A,0),0),0)</f>
        <v>0</v>
      </c>
      <c r="K3041" s="455">
        <f t="shared" ca="1" si="138"/>
        <v>-542538250.23097801</v>
      </c>
      <c r="L3041" s="455">
        <f t="shared" ca="1" si="139"/>
        <v>-130751718305.66573</v>
      </c>
      <c r="M3041" s="471">
        <f t="shared" si="141"/>
        <v>0.05</v>
      </c>
      <c r="N3041" s="475">
        <f t="shared" si="142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40"/>
        <v>-130751718305.66573</v>
      </c>
      <c r="J3042" s="455">
        <f t="array" ref="J3042">IFERROR(INDEX('Retirement Calculator'!K:K,MATCH('Lorri 401b'!N3042,'Retirement Calculator'!A:A,0),0),0)</f>
        <v>0</v>
      </c>
      <c r="K3042" s="455">
        <f t="shared" ca="1" si="138"/>
        <v>-544798826.27360725</v>
      </c>
      <c r="L3042" s="455">
        <f t="shared" ca="1" si="139"/>
        <v>-131296517131.93933</v>
      </c>
      <c r="M3042" s="471">
        <f t="shared" si="141"/>
        <v>0.05</v>
      </c>
      <c r="N3042" s="475">
        <f t="shared" si="142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40"/>
        <v>-131296517131.93933</v>
      </c>
      <c r="J3043" s="455">
        <f t="array" ref="J3043">IFERROR(INDEX('Retirement Calculator'!K:K,MATCH('Lorri 401b'!N3043,'Retirement Calculator'!A:A,0),0),0)</f>
        <v>0</v>
      </c>
      <c r="K3043" s="455">
        <f t="shared" ca="1" si="138"/>
        <v>-547068821.3830806</v>
      </c>
      <c r="L3043" s="455">
        <f t="shared" ca="1" si="139"/>
        <v>-131843585953.32242</v>
      </c>
      <c r="M3043" s="471">
        <f t="shared" si="141"/>
        <v>0.05</v>
      </c>
      <c r="N3043" s="475">
        <f t="shared" si="142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40"/>
        <v>-131843585953.32242</v>
      </c>
      <c r="J3044" s="455">
        <f t="array" ref="J3044">IFERROR(INDEX('Retirement Calculator'!K:K,MATCH('Lorri 401b'!N3044,'Retirement Calculator'!A:A,0),0),0)</f>
        <v>0</v>
      </c>
      <c r="K3044" s="455">
        <f t="shared" ca="1" si="138"/>
        <v>-549348274.80551016</v>
      </c>
      <c r="L3044" s="455">
        <f t="shared" ca="1" si="139"/>
        <v>-132392934228.12793</v>
      </c>
      <c r="M3044" s="471">
        <f t="shared" si="141"/>
        <v>0.05</v>
      </c>
      <c r="N3044" s="475">
        <f t="shared" si="142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40"/>
        <v>-132392934228.12793</v>
      </c>
      <c r="J3045" s="455">
        <f t="array" ref="J3045">IFERROR(INDEX('Retirement Calculator'!K:K,MATCH('Lorri 401b'!N3045,'Retirement Calculator'!A:A,0),0),0)</f>
        <v>0</v>
      </c>
      <c r="K3045" s="455">
        <f t="shared" ca="1" si="138"/>
        <v>-551637225.95053315</v>
      </c>
      <c r="L3045" s="455">
        <f t="shared" ca="1" si="139"/>
        <v>-132944571454.07846</v>
      </c>
      <c r="M3045" s="471">
        <f t="shared" si="141"/>
        <v>0.05</v>
      </c>
      <c r="N3045" s="475">
        <f t="shared" si="142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40"/>
        <v>-132944571454.07846</v>
      </c>
      <c r="J3046" s="455">
        <f t="array" ref="J3046">IFERROR(INDEX('Retirement Calculator'!K:K,MATCH('Lorri 401b'!N3046,'Retirement Calculator'!A:A,0),0),0)</f>
        <v>0</v>
      </c>
      <c r="K3046" s="455">
        <f t="shared" ca="1" si="138"/>
        <v>-553935714.39199352</v>
      </c>
      <c r="L3046" s="455">
        <f t="shared" ca="1" si="139"/>
        <v>-133498507168.47046</v>
      </c>
      <c r="M3046" s="471">
        <f t="shared" si="141"/>
        <v>0.05</v>
      </c>
      <c r="N3046" s="475">
        <f t="shared" si="142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40"/>
        <v>-133498507168.47046</v>
      </c>
      <c r="J3047" s="455">
        <f t="array" ref="J3047">IFERROR(INDEX('Retirement Calculator'!K:K,MATCH('Lorri 401b'!N3047,'Retirement Calculator'!A:A,0),0),0)</f>
        <v>0</v>
      </c>
      <c r="K3047" s="455">
        <f t="shared" ca="1" si="138"/>
        <v>-556243779.86862695</v>
      </c>
      <c r="L3047" s="455">
        <f t="shared" ca="1" si="139"/>
        <v>-134054750948.33908</v>
      </c>
      <c r="M3047" s="471">
        <f t="shared" si="141"/>
        <v>0.05</v>
      </c>
      <c r="N3047" s="475">
        <f t="shared" si="142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40"/>
        <v>-134054750948.33908</v>
      </c>
      <c r="J3048" s="455">
        <f t="array" ref="J3048">IFERROR(INDEX('Retirement Calculator'!K:K,MATCH('Lorri 401b'!N3048,'Retirement Calculator'!A:A,0),0),0)</f>
        <v>0</v>
      </c>
      <c r="K3048" s="455">
        <f t="shared" ca="1" si="138"/>
        <v>-558561462.28474605</v>
      </c>
      <c r="L3048" s="455">
        <f t="shared" ca="1" si="139"/>
        <v>-134613312410.62383</v>
      </c>
      <c r="M3048" s="471">
        <f t="shared" si="141"/>
        <v>0.05</v>
      </c>
      <c r="N3048" s="475">
        <f t="shared" si="142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40"/>
        <v>-134613312410.62383</v>
      </c>
      <c r="J3049" s="455">
        <f t="array" ref="J3049">IFERROR(INDEX('Retirement Calculator'!K:K,MATCH('Lorri 401b'!N3049,'Retirement Calculator'!A:A,0),0),0)</f>
        <v>0</v>
      </c>
      <c r="K3049" s="455">
        <f t="shared" ca="1" si="138"/>
        <v>-560888801.71093261</v>
      </c>
      <c r="L3049" s="455">
        <f t="shared" ca="1" si="139"/>
        <v>-135174201212.33476</v>
      </c>
      <c r="M3049" s="471">
        <f t="shared" si="141"/>
        <v>0.05</v>
      </c>
      <c r="N3049" s="475">
        <f t="shared" si="142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40"/>
        <v>-135174201212.33476</v>
      </c>
      <c r="J3050" s="455">
        <f t="array" ref="J3050">IFERROR(INDEX('Retirement Calculator'!K:K,MATCH('Lorri 401b'!N3050,'Retirement Calculator'!A:A,0),0),0)</f>
        <v>0</v>
      </c>
      <c r="K3050" s="455">
        <f t="shared" ca="1" si="138"/>
        <v>-563225838.38472819</v>
      </c>
      <c r="L3050" s="455">
        <f t="shared" ca="1" si="139"/>
        <v>-135737427050.7195</v>
      </c>
      <c r="M3050" s="471">
        <f t="shared" si="141"/>
        <v>0.05</v>
      </c>
      <c r="N3050" s="475">
        <f t="shared" si="142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40"/>
        <v>-135737427050.7195</v>
      </c>
      <c r="J3051" s="455">
        <f t="array" ref="J3051">IFERROR(INDEX('Retirement Calculator'!K:K,MATCH('Lorri 401b'!N3051,'Retirement Calculator'!A:A,0),0),0)</f>
        <v>0</v>
      </c>
      <c r="K3051" s="455">
        <f t="shared" ca="1" si="138"/>
        <v>-565572612.71133125</v>
      </c>
      <c r="L3051" s="455">
        <f t="shared" ca="1" si="139"/>
        <v>-136302999663.43083</v>
      </c>
      <c r="M3051" s="471">
        <f t="shared" si="141"/>
        <v>0.05</v>
      </c>
      <c r="N3051" s="475">
        <f t="shared" si="142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40"/>
        <v>-136302999663.43083</v>
      </c>
      <c r="J3052" s="455">
        <f t="array" ref="J3052">IFERROR(INDEX('Retirement Calculator'!K:K,MATCH('Lorri 401b'!N3052,'Retirement Calculator'!A:A,0),0),0)</f>
        <v>0</v>
      </c>
      <c r="K3052" s="455">
        <f t="shared" ca="1" si="138"/>
        <v>-567929165.2642951</v>
      </c>
      <c r="L3052" s="455">
        <f t="shared" ca="1" si="139"/>
        <v>-136870928828.69513</v>
      </c>
      <c r="M3052" s="471">
        <f t="shared" si="141"/>
        <v>0.05</v>
      </c>
      <c r="N3052" s="475">
        <f t="shared" si="142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40"/>
        <v>-136870928828.69513</v>
      </c>
      <c r="J3053" s="455">
        <f t="array" ref="J3053">IFERROR(INDEX('Retirement Calculator'!K:K,MATCH('Lorri 401b'!N3053,'Retirement Calculator'!A:A,0),0),0)</f>
        <v>0</v>
      </c>
      <c r="K3053" s="455">
        <f t="shared" ca="1" si="138"/>
        <v>-570295536.78622973</v>
      </c>
      <c r="L3053" s="455">
        <f t="shared" ca="1" si="139"/>
        <v>-137441224365.48135</v>
      </c>
      <c r="M3053" s="471">
        <f t="shared" si="141"/>
        <v>0.05</v>
      </c>
      <c r="N3053" s="475">
        <f t="shared" si="142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40"/>
        <v>-137441224365.48135</v>
      </c>
      <c r="J3054" s="455">
        <f t="array" ref="J3054">IFERROR(INDEX('Retirement Calculator'!K:K,MATCH('Lorri 401b'!N3054,'Retirement Calculator'!A:A,0),0),0)</f>
        <v>0</v>
      </c>
      <c r="K3054" s="455">
        <f t="shared" ca="1" si="138"/>
        <v>-572671768.18950558</v>
      </c>
      <c r="L3054" s="455">
        <f t="shared" ca="1" si="139"/>
        <v>-138013896133.67087</v>
      </c>
      <c r="M3054" s="471">
        <f t="shared" si="141"/>
        <v>0.05</v>
      </c>
      <c r="N3054" s="475">
        <f t="shared" si="142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40"/>
        <v>-138013896133.67087</v>
      </c>
      <c r="J3055" s="455">
        <f t="array" ref="J3055">IFERROR(INDEX('Retirement Calculator'!K:K,MATCH('Lorri 401b'!N3055,'Retirement Calculator'!A:A,0),0),0)</f>
        <v>0</v>
      </c>
      <c r="K3055" s="455">
        <f t="shared" ca="1" si="138"/>
        <v>-575057900.55696189</v>
      </c>
      <c r="L3055" s="455">
        <f t="shared" ca="1" si="139"/>
        <v>-138588954034.22784</v>
      </c>
      <c r="M3055" s="471">
        <f t="shared" si="141"/>
        <v>0.05</v>
      </c>
      <c r="N3055" s="475">
        <f t="shared" si="142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40"/>
        <v>-138588954034.22784</v>
      </c>
      <c r="J3056" s="455">
        <f t="array" ref="J3056">IFERROR(INDEX('Retirement Calculator'!K:K,MATCH('Lorri 401b'!N3056,'Retirement Calculator'!A:A,0),0),0)</f>
        <v>0</v>
      </c>
      <c r="K3056" s="455">
        <f t="shared" ca="1" si="138"/>
        <v>-577453975.14261603</v>
      </c>
      <c r="L3056" s="455">
        <f t="shared" ca="1" si="139"/>
        <v>-139166408009.37045</v>
      </c>
      <c r="M3056" s="471">
        <f t="shared" si="141"/>
        <v>0.05</v>
      </c>
      <c r="N3056" s="475">
        <f t="shared" si="142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40"/>
        <v>-139166408009.37045</v>
      </c>
      <c r="J3057" s="455">
        <f t="array" ref="J3057">IFERROR(INDEX('Retirement Calculator'!K:K,MATCH('Lorri 401b'!N3057,'Retirement Calculator'!A:A,0),0),0)</f>
        <v>0</v>
      </c>
      <c r="K3057" s="455">
        <f t="shared" ca="1" si="138"/>
        <v>-579860033.37237692</v>
      </c>
      <c r="L3057" s="455">
        <f t="shared" ca="1" si="139"/>
        <v>-139746268042.74283</v>
      </c>
      <c r="M3057" s="471">
        <f t="shared" si="141"/>
        <v>0.05</v>
      </c>
      <c r="N3057" s="475">
        <f t="shared" si="142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40"/>
        <v>-139746268042.74283</v>
      </c>
      <c r="J3058" s="455">
        <f t="array" ref="J3058">IFERROR(INDEX('Retirement Calculator'!K:K,MATCH('Lorri 401b'!N3058,'Retirement Calculator'!A:A,0),0),0)</f>
        <v>0</v>
      </c>
      <c r="K3058" s="455">
        <f t="shared" ca="1" si="138"/>
        <v>-582276116.84476173</v>
      </c>
      <c r="L3058" s="455">
        <f t="shared" ca="1" si="139"/>
        <v>-140328544159.58759</v>
      </c>
      <c r="M3058" s="471">
        <f t="shared" si="141"/>
        <v>0.05</v>
      </c>
      <c r="N3058" s="475">
        <f t="shared" si="142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40"/>
        <v>-140328544159.58759</v>
      </c>
      <c r="J3059" s="455">
        <f t="array" ref="J3059">IFERROR(INDEX('Retirement Calculator'!K:K,MATCH('Lorri 401b'!N3059,'Retirement Calculator'!A:A,0),0),0)</f>
        <v>0</v>
      </c>
      <c r="K3059" s="455">
        <f t="shared" ca="1" si="138"/>
        <v>-584702267.33161497</v>
      </c>
      <c r="L3059" s="455">
        <f t="shared" ca="1" si="139"/>
        <v>-140913246426.91919</v>
      </c>
      <c r="M3059" s="471">
        <f t="shared" si="141"/>
        <v>0.05</v>
      </c>
      <c r="N3059" s="475">
        <f t="shared" si="142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40"/>
        <v>-140913246426.91919</v>
      </c>
      <c r="J3060" s="455">
        <f t="array" ref="J3060">IFERROR(INDEX('Retirement Calculator'!K:K,MATCH('Lorri 401b'!N3060,'Retirement Calculator'!A:A,0),0),0)</f>
        <v>0</v>
      </c>
      <c r="K3060" s="455">
        <f t="shared" ca="1" si="138"/>
        <v>-587138526.77882993</v>
      </c>
      <c r="L3060" s="455">
        <f t="shared" ca="1" si="139"/>
        <v>-141500384953.69803</v>
      </c>
      <c r="M3060" s="471">
        <f t="shared" si="141"/>
        <v>0.05</v>
      </c>
      <c r="N3060" s="475">
        <f t="shared" si="142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40"/>
        <v>-141500384953.69803</v>
      </c>
      <c r="J3061" s="455">
        <f t="array" ref="J3061">IFERROR(INDEX('Retirement Calculator'!K:K,MATCH('Lorri 401b'!N3061,'Retirement Calculator'!A:A,0),0),0)</f>
        <v>0</v>
      </c>
      <c r="K3061" s="455">
        <f t="shared" ca="1" si="138"/>
        <v>-589584937.30707514</v>
      </c>
      <c r="L3061" s="455">
        <f t="shared" ca="1" si="139"/>
        <v>-142089969891.0051</v>
      </c>
      <c r="M3061" s="471">
        <f t="shared" si="141"/>
        <v>0.05</v>
      </c>
      <c r="N3061" s="475">
        <f t="shared" si="142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40"/>
        <v>-142089969891.0051</v>
      </c>
      <c r="J3062" s="455">
        <f t="array" ref="J3062">IFERROR(INDEX('Retirement Calculator'!K:K,MATCH('Lorri 401b'!N3062,'Retirement Calculator'!A:A,0),0),0)</f>
        <v>0</v>
      </c>
      <c r="K3062" s="455">
        <f t="shared" ca="1" si="138"/>
        <v>-592041541.2125212</v>
      </c>
      <c r="L3062" s="455">
        <f t="shared" ca="1" si="139"/>
        <v>-142682011432.21762</v>
      </c>
      <c r="M3062" s="471">
        <f t="shared" si="141"/>
        <v>0.05</v>
      </c>
      <c r="N3062" s="475">
        <f t="shared" si="142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40"/>
        <v>-142682011432.21762</v>
      </c>
      <c r="J3063" s="455">
        <f t="array" ref="J3063">IFERROR(INDEX('Retirement Calculator'!K:K,MATCH('Lorri 401b'!N3063,'Retirement Calculator'!A:A,0),0),0)</f>
        <v>0</v>
      </c>
      <c r="K3063" s="455">
        <f t="shared" ca="1" si="138"/>
        <v>-594508380.9675734</v>
      </c>
      <c r="L3063" s="455">
        <f t="shared" ca="1" si="139"/>
        <v>-143276519813.18518</v>
      </c>
      <c r="M3063" s="471">
        <f t="shared" si="141"/>
        <v>0.05</v>
      </c>
      <c r="N3063" s="475">
        <f t="shared" si="142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40"/>
        <v>-143276519813.18518</v>
      </c>
      <c r="J3064" s="455">
        <f t="array" ref="J3064">IFERROR(INDEX('Retirement Calculator'!K:K,MATCH('Lorri 401b'!N3064,'Retirement Calculator'!A:A,0),0),0)</f>
        <v>0</v>
      </c>
      <c r="K3064" s="455">
        <f t="shared" ca="1" si="138"/>
        <v>-596985499.22160494</v>
      </c>
      <c r="L3064" s="455">
        <f t="shared" ca="1" si="139"/>
        <v>-143873505312.4068</v>
      </c>
      <c r="M3064" s="471">
        <f t="shared" si="141"/>
        <v>0.05</v>
      </c>
      <c r="N3064" s="475">
        <f t="shared" si="142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40"/>
        <v>-143873505312.4068</v>
      </c>
      <c r="J3065" s="455">
        <f t="array" ref="J3065">IFERROR(INDEX('Retirement Calculator'!K:K,MATCH('Lorri 401b'!N3065,'Retirement Calculator'!A:A,0),0),0)</f>
        <v>0</v>
      </c>
      <c r="K3065" s="455">
        <f t="shared" ca="1" si="138"/>
        <v>-599472938.80169499</v>
      </c>
      <c r="L3065" s="455">
        <f t="shared" ca="1" si="139"/>
        <v>-144472978251.2085</v>
      </c>
      <c r="M3065" s="471">
        <f t="shared" si="141"/>
        <v>0.05</v>
      </c>
      <c r="N3065" s="475">
        <f t="shared" si="142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40"/>
        <v>-144472978251.2085</v>
      </c>
      <c r="J3066" s="455">
        <f t="array" ref="J3066">IFERROR(INDEX('Retirement Calculator'!K:K,MATCH('Lorri 401b'!N3066,'Retirement Calculator'!A:A,0),0),0)</f>
        <v>0</v>
      </c>
      <c r="K3066" s="455">
        <f t="shared" ca="1" si="138"/>
        <v>-601970742.71336877</v>
      </c>
      <c r="L3066" s="455">
        <f t="shared" ca="1" si="139"/>
        <v>-145074948993.92188</v>
      </c>
      <c r="M3066" s="471">
        <f t="shared" si="141"/>
        <v>0.05</v>
      </c>
      <c r="N3066" s="475">
        <f t="shared" si="142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40"/>
        <v>-145074948993.92188</v>
      </c>
      <c r="J3067" s="455">
        <f t="array" ref="J3067">IFERROR(INDEX('Retirement Calculator'!K:K,MATCH('Lorri 401b'!N3067,'Retirement Calculator'!A:A,0),0),0)</f>
        <v>0</v>
      </c>
      <c r="K3067" s="455">
        <f t="shared" ca="1" si="138"/>
        <v>-604478954.14134109</v>
      </c>
      <c r="L3067" s="455">
        <f t="shared" ca="1" si="139"/>
        <v>-145679427948.0632</v>
      </c>
      <c r="M3067" s="471">
        <f t="shared" si="141"/>
        <v>0.05</v>
      </c>
      <c r="N3067" s="475">
        <f t="shared" si="142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40"/>
        <v>-145679427948.0632</v>
      </c>
      <c r="J3068" s="455">
        <f t="array" ref="J3068">IFERROR(INDEX('Retirement Calculator'!K:K,MATCH('Lorri 401b'!N3068,'Retirement Calculator'!A:A,0),0),0)</f>
        <v>0</v>
      </c>
      <c r="K3068" s="455">
        <f t="shared" ref="K3068:K3322" ca="1" si="143">IPMT(M3068/12,1,12,-I3068+J3068,,0)</f>
        <v>-606997616.45026338</v>
      </c>
      <c r="L3068" s="455">
        <f t="shared" ref="L3068:L3322" ca="1" si="144">I3068-J3068+K3068</f>
        <v>-146286425564.51346</v>
      </c>
      <c r="M3068" s="471">
        <f t="shared" si="141"/>
        <v>0.05</v>
      </c>
      <c r="N3068" s="475">
        <f t="shared" si="142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45">L3068</f>
        <v>-146286425564.51346</v>
      </c>
      <c r="J3069" s="455">
        <f t="array" ref="J3069">IFERROR(INDEX('Retirement Calculator'!K:K,MATCH('Lorri 401b'!N3069,'Retirement Calculator'!A:A,0),0),0)</f>
        <v>0</v>
      </c>
      <c r="K3069" s="455">
        <f t="shared" ca="1" si="143"/>
        <v>-609526773.18547273</v>
      </c>
      <c r="L3069" s="455">
        <f t="shared" ca="1" si="144"/>
        <v>-146895952337.69894</v>
      </c>
      <c r="M3069" s="471">
        <f t="shared" ref="M3069:M3323" si="146">M3068</f>
        <v>0.05</v>
      </c>
      <c r="N3069" s="475">
        <f t="shared" ref="N3069:N3323" si="147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45"/>
        <v>-146895952337.69894</v>
      </c>
      <c r="J3070" s="455">
        <f t="array" ref="J3070">IFERROR(INDEX('Retirement Calculator'!K:K,MATCH('Lorri 401b'!N3070,'Retirement Calculator'!A:A,0),0),0)</f>
        <v>0</v>
      </c>
      <c r="K3070" s="455">
        <f t="shared" ca="1" si="143"/>
        <v>-612066468.07374561</v>
      </c>
      <c r="L3070" s="455">
        <f t="shared" ca="1" si="144"/>
        <v>-147508018805.77267</v>
      </c>
      <c r="M3070" s="471">
        <f t="shared" si="146"/>
        <v>0.05</v>
      </c>
      <c r="N3070" s="475">
        <f t="shared" si="147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45"/>
        <v>-147508018805.77267</v>
      </c>
      <c r="J3071" s="455">
        <f t="array" ref="J3071">IFERROR(INDEX('Retirement Calculator'!K:K,MATCH('Lorri 401b'!N3071,'Retirement Calculator'!A:A,0),0),0)</f>
        <v>0</v>
      </c>
      <c r="K3071" s="455">
        <f t="shared" ca="1" si="143"/>
        <v>-614616745.02405286</v>
      </c>
      <c r="L3071" s="455">
        <f t="shared" ca="1" si="144"/>
        <v>-148122635550.79672</v>
      </c>
      <c r="M3071" s="471">
        <f t="shared" si="146"/>
        <v>0.05</v>
      </c>
      <c r="N3071" s="475">
        <f t="shared" si="147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45"/>
        <v>-148122635550.79672</v>
      </c>
      <c r="J3072" s="455">
        <f t="array" ref="J3072">IFERROR(INDEX('Retirement Calculator'!K:K,MATCH('Lorri 401b'!N3072,'Retirement Calculator'!A:A,0),0),0)</f>
        <v>0</v>
      </c>
      <c r="K3072" s="455">
        <f t="shared" ca="1" si="143"/>
        <v>-617177648.12831962</v>
      </c>
      <c r="L3072" s="455">
        <f t="shared" ca="1" si="144"/>
        <v>-148739813198.92505</v>
      </c>
      <c r="M3072" s="471">
        <f t="shared" si="146"/>
        <v>0.05</v>
      </c>
      <c r="N3072" s="475">
        <f t="shared" si="147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45"/>
        <v>-148739813198.92505</v>
      </c>
      <c r="J3073" s="455">
        <f t="array" ref="J3073">IFERROR(INDEX('Retirement Calculator'!K:K,MATCH('Lorri 401b'!N3073,'Retirement Calculator'!A:A,0),0),0)</f>
        <v>0</v>
      </c>
      <c r="K3073" s="455">
        <f t="shared" ca="1" si="143"/>
        <v>-619749221.6621877</v>
      </c>
      <c r="L3073" s="455">
        <f t="shared" ca="1" si="144"/>
        <v>-149359562420.58725</v>
      </c>
      <c r="M3073" s="471">
        <f t="shared" si="146"/>
        <v>0.05</v>
      </c>
      <c r="N3073" s="475">
        <f t="shared" si="147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45"/>
        <v>-149359562420.58725</v>
      </c>
      <c r="J3074" s="455">
        <f t="array" ref="J3074">IFERROR(INDEX('Retirement Calculator'!K:K,MATCH('Lorri 401b'!N3074,'Retirement Calculator'!A:A,0),0),0)</f>
        <v>0</v>
      </c>
      <c r="K3074" s="455">
        <f t="shared" ca="1" si="143"/>
        <v>-622331510.08578014</v>
      </c>
      <c r="L3074" s="455">
        <f t="shared" ca="1" si="144"/>
        <v>-149981893930.67303</v>
      </c>
      <c r="M3074" s="471">
        <f t="shared" si="146"/>
        <v>0.05</v>
      </c>
      <c r="N3074" s="475">
        <f t="shared" si="147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45"/>
        <v>-149981893930.67303</v>
      </c>
      <c r="J3075" s="455">
        <f t="array" ref="J3075">IFERROR(INDEX('Retirement Calculator'!K:K,MATCH('Lorri 401b'!N3075,'Retirement Calculator'!A:A,0),0),0)</f>
        <v>0</v>
      </c>
      <c r="K3075" s="455">
        <f t="shared" ca="1" si="143"/>
        <v>-624924558.04447103</v>
      </c>
      <c r="L3075" s="455">
        <f t="shared" ca="1" si="144"/>
        <v>-150606818488.7175</v>
      </c>
      <c r="M3075" s="471">
        <f t="shared" si="146"/>
        <v>0.05</v>
      </c>
      <c r="N3075" s="475">
        <f t="shared" si="147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45"/>
        <v>-150606818488.7175</v>
      </c>
      <c r="J3076" s="455">
        <f t="array" ref="J3076">IFERROR(INDEX('Retirement Calculator'!K:K,MATCH('Lorri 401b'!N3076,'Retirement Calculator'!A:A,0),0),0)</f>
        <v>0</v>
      </c>
      <c r="K3076" s="455">
        <f t="shared" ca="1" si="143"/>
        <v>-627528410.36965621</v>
      </c>
      <c r="L3076" s="455">
        <f t="shared" ca="1" si="144"/>
        <v>-151234346899.08716</v>
      </c>
      <c r="M3076" s="471">
        <f t="shared" si="146"/>
        <v>0.05</v>
      </c>
      <c r="N3076" s="475">
        <f t="shared" si="147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45"/>
        <v>-151234346899.08716</v>
      </c>
      <c r="J3077" s="455">
        <f t="array" ref="J3077">IFERROR(INDEX('Retirement Calculator'!K:K,MATCH('Lorri 401b'!N3077,'Retirement Calculator'!A:A,0),0),0)</f>
        <v>0</v>
      </c>
      <c r="K3077" s="455">
        <f t="shared" ca="1" si="143"/>
        <v>-630143112.07952976</v>
      </c>
      <c r="L3077" s="455">
        <f t="shared" ca="1" si="144"/>
        <v>-151864490011.16669</v>
      </c>
      <c r="M3077" s="471">
        <f t="shared" si="146"/>
        <v>0.05</v>
      </c>
      <c r="N3077" s="475">
        <f t="shared" si="147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45"/>
        <v>-151864490011.16669</v>
      </c>
      <c r="J3078" s="455">
        <f t="array" ref="J3078">IFERROR(INDEX('Retirement Calculator'!K:K,MATCH('Lorri 401b'!N3078,'Retirement Calculator'!A:A,0),0),0)</f>
        <v>0</v>
      </c>
      <c r="K3078" s="455">
        <f t="shared" ca="1" si="143"/>
        <v>-632768708.37986124</v>
      </c>
      <c r="L3078" s="455">
        <f t="shared" ca="1" si="144"/>
        <v>-152497258719.54654</v>
      </c>
      <c r="M3078" s="471">
        <f t="shared" si="146"/>
        <v>0.05</v>
      </c>
      <c r="N3078" s="475">
        <f t="shared" si="147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45"/>
        <v>-152497258719.54654</v>
      </c>
      <c r="J3079" s="455">
        <f t="array" ref="J3079">IFERROR(INDEX('Retirement Calculator'!K:K,MATCH('Lorri 401b'!N3079,'Retirement Calculator'!A:A,0),0),0)</f>
        <v>0</v>
      </c>
      <c r="K3079" s="455">
        <f t="shared" ca="1" si="143"/>
        <v>-635405244.66477728</v>
      </c>
      <c r="L3079" s="455">
        <f t="shared" ca="1" si="144"/>
        <v>-153132663964.2113</v>
      </c>
      <c r="M3079" s="471">
        <f t="shared" si="146"/>
        <v>0.05</v>
      </c>
      <c r="N3079" s="475">
        <f t="shared" si="147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45"/>
        <v>-153132663964.2113</v>
      </c>
      <c r="J3080" s="455">
        <f t="array" ref="J3080">IFERROR(INDEX('Retirement Calculator'!K:K,MATCH('Lorri 401b'!N3080,'Retirement Calculator'!A:A,0),0),0)</f>
        <v>0</v>
      </c>
      <c r="K3080" s="455">
        <f t="shared" ca="1" si="143"/>
        <v>-638052766.51754713</v>
      </c>
      <c r="L3080" s="455">
        <f t="shared" ca="1" si="144"/>
        <v>-153770716730.72885</v>
      </c>
      <c r="M3080" s="471">
        <f t="shared" si="146"/>
        <v>0.05</v>
      </c>
      <c r="N3080" s="475">
        <f t="shared" si="147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45"/>
        <v>-153770716730.72885</v>
      </c>
      <c r="J3081" s="455">
        <f t="array" ref="J3081">IFERROR(INDEX('Retirement Calculator'!K:K,MATCH('Lorri 401b'!N3081,'Retirement Calculator'!A:A,0),0),0)</f>
        <v>0</v>
      </c>
      <c r="K3081" s="455">
        <f t="shared" ca="1" si="143"/>
        <v>-640711319.71137023</v>
      </c>
      <c r="L3081" s="455">
        <f t="shared" ca="1" si="144"/>
        <v>-154411428050.44022</v>
      </c>
      <c r="M3081" s="471">
        <f t="shared" si="146"/>
        <v>0.05</v>
      </c>
      <c r="N3081" s="475">
        <f t="shared" si="147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45"/>
        <v>-154411428050.44022</v>
      </c>
      <c r="J3082" s="455">
        <f t="array" ref="J3082">IFERROR(INDEX('Retirement Calculator'!K:K,MATCH('Lorri 401b'!N3082,'Retirement Calculator'!A:A,0),0),0)</f>
        <v>0</v>
      </c>
      <c r="K3082" s="455">
        <f t="shared" ca="1" si="143"/>
        <v>-643380950.21016753</v>
      </c>
      <c r="L3082" s="455">
        <f t="shared" ca="1" si="144"/>
        <v>-155054809000.65039</v>
      </c>
      <c r="M3082" s="471">
        <f t="shared" si="146"/>
        <v>0.05</v>
      </c>
      <c r="N3082" s="475">
        <f t="shared" si="147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45"/>
        <v>-155054809000.65039</v>
      </c>
      <c r="J3083" s="455">
        <f t="array" ref="J3083">IFERROR(INDEX('Retirement Calculator'!K:K,MATCH('Lorri 401b'!N3083,'Retirement Calculator'!A:A,0),0),0)</f>
        <v>0</v>
      </c>
      <c r="K3083" s="455">
        <f t="shared" ca="1" si="143"/>
        <v>-646061704.16937661</v>
      </c>
      <c r="L3083" s="455">
        <f t="shared" ca="1" si="144"/>
        <v>-155700870704.81976</v>
      </c>
      <c r="M3083" s="471">
        <f t="shared" si="146"/>
        <v>0.05</v>
      </c>
      <c r="N3083" s="475">
        <f t="shared" si="147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45"/>
        <v>-155700870704.81976</v>
      </c>
      <c r="J3084" s="455">
        <f t="array" ref="J3084">IFERROR(INDEX('Retirement Calculator'!K:K,MATCH('Lorri 401b'!N3084,'Retirement Calculator'!A:A,0),0),0)</f>
        <v>0</v>
      </c>
      <c r="K3084" s="455">
        <f t="shared" ca="1" si="143"/>
        <v>-648753627.93674898</v>
      </c>
      <c r="L3084" s="455">
        <f t="shared" ca="1" si="144"/>
        <v>-156349624332.7565</v>
      </c>
      <c r="M3084" s="471">
        <f t="shared" si="146"/>
        <v>0.05</v>
      </c>
      <c r="N3084" s="475">
        <f t="shared" si="147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45"/>
        <v>-156349624332.7565</v>
      </c>
      <c r="J3085" s="455">
        <f t="array" ref="J3085">IFERROR(INDEX('Retirement Calculator'!K:K,MATCH('Lorri 401b'!N3085,'Retirement Calculator'!A:A,0),0),0)</f>
        <v>0</v>
      </c>
      <c r="K3085" s="455">
        <f t="shared" ca="1" si="143"/>
        <v>-651456768.05315208</v>
      </c>
      <c r="L3085" s="455">
        <f t="shared" ca="1" si="144"/>
        <v>-157001081100.80966</v>
      </c>
      <c r="M3085" s="471">
        <f t="shared" si="146"/>
        <v>0.05</v>
      </c>
      <c r="N3085" s="475">
        <f t="shared" si="147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45"/>
        <v>-157001081100.80966</v>
      </c>
      <c r="J3086" s="455">
        <f t="array" ref="J3086">IFERROR(INDEX('Retirement Calculator'!K:K,MATCH('Lorri 401b'!N3086,'Retirement Calculator'!A:A,0),0),0)</f>
        <v>0</v>
      </c>
      <c r="K3086" s="455">
        <f t="shared" ca="1" si="143"/>
        <v>-654171171.25337362</v>
      </c>
      <c r="L3086" s="455">
        <f t="shared" ca="1" si="144"/>
        <v>-157655252272.06305</v>
      </c>
      <c r="M3086" s="471">
        <f t="shared" si="146"/>
        <v>0.05</v>
      </c>
      <c r="N3086" s="475">
        <f t="shared" si="147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45"/>
        <v>-157655252272.06305</v>
      </c>
      <c r="J3087" s="455">
        <f t="array" ref="J3087">IFERROR(INDEX('Retirement Calculator'!K:K,MATCH('Lorri 401b'!N3087,'Retirement Calculator'!A:A,0),0),0)</f>
        <v>0</v>
      </c>
      <c r="K3087" s="455">
        <f t="shared" ca="1" si="143"/>
        <v>-656896884.46692932</v>
      </c>
      <c r="L3087" s="455">
        <f t="shared" ca="1" si="144"/>
        <v>-158312149156.52997</v>
      </c>
      <c r="M3087" s="471">
        <f t="shared" si="146"/>
        <v>0.05</v>
      </c>
      <c r="N3087" s="475">
        <f t="shared" si="147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45"/>
        <v>-158312149156.52997</v>
      </c>
      <c r="J3088" s="455">
        <f t="array" ref="J3088">IFERROR(INDEX('Retirement Calculator'!K:K,MATCH('Lorri 401b'!N3088,'Retirement Calculator'!A:A,0),0),0)</f>
        <v>0</v>
      </c>
      <c r="K3088" s="455">
        <f t="shared" ca="1" si="143"/>
        <v>-659633954.81887484</v>
      </c>
      <c r="L3088" s="455">
        <f t="shared" ca="1" si="144"/>
        <v>-158971783111.34885</v>
      </c>
      <c r="M3088" s="471">
        <f t="shared" si="146"/>
        <v>0.05</v>
      </c>
      <c r="N3088" s="475">
        <f t="shared" si="147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45"/>
        <v>-158971783111.34885</v>
      </c>
      <c r="J3089" s="455">
        <f t="array" ref="J3089">IFERROR(INDEX('Retirement Calculator'!K:K,MATCH('Lorri 401b'!N3089,'Retirement Calculator'!A:A,0),0),0)</f>
        <v>0</v>
      </c>
      <c r="K3089" s="455">
        <f t="shared" ca="1" si="143"/>
        <v>-662382429.63062024</v>
      </c>
      <c r="L3089" s="455">
        <f t="shared" ca="1" si="144"/>
        <v>-159634165540.97946</v>
      </c>
      <c r="M3089" s="471">
        <f t="shared" si="146"/>
        <v>0.05</v>
      </c>
      <c r="N3089" s="475">
        <f t="shared" si="147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45"/>
        <v>-159634165540.97946</v>
      </c>
      <c r="J3090" s="455">
        <f t="array" ref="J3090">IFERROR(INDEX('Retirement Calculator'!K:K,MATCH('Lorri 401b'!N3090,'Retirement Calculator'!A:A,0),0),0)</f>
        <v>0</v>
      </c>
      <c r="K3090" s="455">
        <f t="shared" ca="1" si="143"/>
        <v>-665142356.42074776</v>
      </c>
      <c r="L3090" s="455">
        <f t="shared" ca="1" si="144"/>
        <v>-160299307897.40021</v>
      </c>
      <c r="M3090" s="471">
        <f t="shared" si="146"/>
        <v>0.05</v>
      </c>
      <c r="N3090" s="475">
        <f t="shared" si="147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45"/>
        <v>-160299307897.40021</v>
      </c>
      <c r="J3091" s="455">
        <f t="array" ref="J3091">IFERROR(INDEX('Retirement Calculator'!K:K,MATCH('Lorri 401b'!N3091,'Retirement Calculator'!A:A,0),0),0)</f>
        <v>0</v>
      </c>
      <c r="K3091" s="455">
        <f t="shared" ca="1" si="143"/>
        <v>-667913782.9058342</v>
      </c>
      <c r="L3091" s="455">
        <f t="shared" ca="1" si="144"/>
        <v>-160967221680.30603</v>
      </c>
      <c r="M3091" s="471">
        <f t="shared" si="146"/>
        <v>0.05</v>
      </c>
      <c r="N3091" s="475">
        <f t="shared" si="147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45"/>
        <v>-160967221680.30603</v>
      </c>
      <c r="J3092" s="455">
        <f t="array" ref="J3092">IFERROR(INDEX('Retirement Calculator'!K:K,MATCH('Lorri 401b'!N3092,'Retirement Calculator'!A:A,0),0),0)</f>
        <v>0</v>
      </c>
      <c r="K3092" s="455">
        <f t="shared" ca="1" si="143"/>
        <v>-670696757.00127506</v>
      </c>
      <c r="L3092" s="455">
        <f t="shared" ca="1" si="144"/>
        <v>-161637918437.30731</v>
      </c>
      <c r="M3092" s="471">
        <f t="shared" si="146"/>
        <v>0.05</v>
      </c>
      <c r="N3092" s="475">
        <f t="shared" si="147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45"/>
        <v>-161637918437.30731</v>
      </c>
      <c r="J3093" s="455">
        <f t="array" ref="J3093">IFERROR(INDEX('Retirement Calculator'!K:K,MATCH('Lorri 401b'!N3093,'Retirement Calculator'!A:A,0),0),0)</f>
        <v>0</v>
      </c>
      <c r="K3093" s="455">
        <f t="shared" ca="1" si="143"/>
        <v>-673491326.82211375</v>
      </c>
      <c r="L3093" s="455">
        <f t="shared" ca="1" si="144"/>
        <v>-162311409764.12943</v>
      </c>
      <c r="M3093" s="471">
        <f t="shared" si="146"/>
        <v>0.05</v>
      </c>
      <c r="N3093" s="475">
        <f t="shared" si="147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45"/>
        <v>-162311409764.12943</v>
      </c>
      <c r="J3094" s="455">
        <f t="array" ref="J3094">IFERROR(INDEX('Retirement Calculator'!K:K,MATCH('Lorri 401b'!N3094,'Retirement Calculator'!A:A,0),0),0)</f>
        <v>0</v>
      </c>
      <c r="K3094" s="455">
        <f t="shared" ca="1" si="143"/>
        <v>-676297540.68387258</v>
      </c>
      <c r="L3094" s="455">
        <f t="shared" ca="1" si="144"/>
        <v>-162987707304.81329</v>
      </c>
      <c r="M3094" s="471">
        <f t="shared" si="146"/>
        <v>0.05</v>
      </c>
      <c r="N3094" s="475">
        <f t="shared" si="147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45"/>
        <v>-162987707304.81329</v>
      </c>
      <c r="J3095" s="455">
        <f t="array" ref="J3095">IFERROR(INDEX('Retirement Calculator'!K:K,MATCH('Lorri 401b'!N3095,'Retirement Calculator'!A:A,0),0),0)</f>
        <v>0</v>
      </c>
      <c r="K3095" s="455">
        <f t="shared" ca="1" si="143"/>
        <v>-679115447.10338867</v>
      </c>
      <c r="L3095" s="455">
        <f t="shared" ca="1" si="144"/>
        <v>-163666822751.91669</v>
      </c>
      <c r="M3095" s="471">
        <f t="shared" si="146"/>
        <v>0.05</v>
      </c>
      <c r="N3095" s="475">
        <f t="shared" si="147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45"/>
        <v>-163666822751.91669</v>
      </c>
      <c r="J3096" s="455">
        <f t="array" ref="J3096">IFERROR(INDEX('Retirement Calculator'!K:K,MATCH('Lorri 401b'!N3096,'Retirement Calculator'!A:A,0),0),0)</f>
        <v>0</v>
      </c>
      <c r="K3096" s="455">
        <f t="shared" ca="1" si="143"/>
        <v>-681945094.79965281</v>
      </c>
      <c r="L3096" s="455">
        <f t="shared" ca="1" si="144"/>
        <v>-164348767846.71634</v>
      </c>
      <c r="M3096" s="471">
        <f t="shared" si="146"/>
        <v>0.05</v>
      </c>
      <c r="N3096" s="475">
        <f t="shared" si="147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45"/>
        <v>-164348767846.71634</v>
      </c>
      <c r="J3097" s="455">
        <f t="array" ref="J3097">IFERROR(INDEX('Retirement Calculator'!K:K,MATCH('Lorri 401b'!N3097,'Retirement Calculator'!A:A,0),0),0)</f>
        <v>0</v>
      </c>
      <c r="K3097" s="455">
        <f t="shared" ca="1" si="143"/>
        <v>-684786532.69465137</v>
      </c>
      <c r="L3097" s="455">
        <f t="shared" ca="1" si="144"/>
        <v>-165033554379.41098</v>
      </c>
      <c r="M3097" s="471">
        <f t="shared" si="146"/>
        <v>0.05</v>
      </c>
      <c r="N3097" s="475">
        <f t="shared" si="147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45"/>
        <v>-165033554379.41098</v>
      </c>
      <c r="J3098" s="455">
        <f t="array" ref="J3098">IFERROR(INDEX('Retirement Calculator'!K:K,MATCH('Lorri 401b'!N3098,'Retirement Calculator'!A:A,0),0),0)</f>
        <v>0</v>
      </c>
      <c r="K3098" s="455">
        <f t="shared" ca="1" si="143"/>
        <v>-687639809.91421247</v>
      </c>
      <c r="L3098" s="455">
        <f t="shared" ca="1" si="144"/>
        <v>-165721194189.3252</v>
      </c>
      <c r="M3098" s="471">
        <f t="shared" si="146"/>
        <v>0.05</v>
      </c>
      <c r="N3098" s="475">
        <f t="shared" si="147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45"/>
        <v>-165721194189.3252</v>
      </c>
      <c r="J3099" s="455">
        <f t="array" ref="J3099">IFERROR(INDEX('Retirement Calculator'!K:K,MATCH('Lorri 401b'!N3099,'Retirement Calculator'!A:A,0),0),0)</f>
        <v>0</v>
      </c>
      <c r="K3099" s="455">
        <f t="shared" ca="1" si="143"/>
        <v>-690504975.78885496</v>
      </c>
      <c r="L3099" s="455">
        <f t="shared" ca="1" si="144"/>
        <v>-166411699165.11404</v>
      </c>
      <c r="M3099" s="471">
        <f t="shared" si="146"/>
        <v>0.05</v>
      </c>
      <c r="N3099" s="475">
        <f t="shared" si="147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45"/>
        <v>-166411699165.11404</v>
      </c>
      <c r="J3100" s="455">
        <f t="array" ref="J3100">IFERROR(INDEX('Retirement Calculator'!K:K,MATCH('Lorri 401b'!N3100,'Retirement Calculator'!A:A,0),0),0)</f>
        <v>0</v>
      </c>
      <c r="K3100" s="455">
        <f t="shared" ca="1" si="143"/>
        <v>-693382079.8546418</v>
      </c>
      <c r="L3100" s="455">
        <f t="shared" ca="1" si="144"/>
        <v>-167105081244.96869</v>
      </c>
      <c r="M3100" s="471">
        <f t="shared" si="146"/>
        <v>0.05</v>
      </c>
      <c r="N3100" s="475">
        <f t="shared" si="147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45"/>
        <v>-167105081244.96869</v>
      </c>
      <c r="J3101" s="455">
        <f t="array" ref="J3101">IFERROR(INDEX('Retirement Calculator'!K:K,MATCH('Lorri 401b'!N3101,'Retirement Calculator'!A:A,0),0),0)</f>
        <v>0</v>
      </c>
      <c r="K3101" s="455">
        <f t="shared" ca="1" si="143"/>
        <v>-696271171.85403621</v>
      </c>
      <c r="L3101" s="455">
        <f t="shared" ca="1" si="144"/>
        <v>-167801352416.82272</v>
      </c>
      <c r="M3101" s="471">
        <f t="shared" si="146"/>
        <v>0.05</v>
      </c>
      <c r="N3101" s="475">
        <f t="shared" si="147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45"/>
        <v>-167801352416.82272</v>
      </c>
      <c r="J3102" s="455">
        <f t="array" ref="J3102">IFERROR(INDEX('Retirement Calculator'!K:K,MATCH('Lorri 401b'!N3102,'Retirement Calculator'!A:A,0),0),0)</f>
        <v>0</v>
      </c>
      <c r="K3102" s="455">
        <f t="shared" ca="1" si="143"/>
        <v>-699172301.73676133</v>
      </c>
      <c r="L3102" s="455">
        <f t="shared" ca="1" si="144"/>
        <v>-168500524718.55948</v>
      </c>
      <c r="M3102" s="471">
        <f t="shared" si="146"/>
        <v>0.05</v>
      </c>
      <c r="N3102" s="475">
        <f t="shared" si="147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45"/>
        <v>-168500524718.55948</v>
      </c>
      <c r="J3103" s="455">
        <f t="array" ref="J3103">IFERROR(INDEX('Retirement Calculator'!K:K,MATCH('Lorri 401b'!N3103,'Retirement Calculator'!A:A,0),0),0)</f>
        <v>0</v>
      </c>
      <c r="K3103" s="455">
        <f t="shared" ca="1" si="143"/>
        <v>-702085519.66066444</v>
      </c>
      <c r="L3103" s="455">
        <f t="shared" ca="1" si="144"/>
        <v>-169202610238.22015</v>
      </c>
      <c r="M3103" s="471">
        <f t="shared" si="146"/>
        <v>0.05</v>
      </c>
      <c r="N3103" s="475">
        <f t="shared" si="147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45"/>
        <v>-169202610238.22015</v>
      </c>
      <c r="J3104" s="455">
        <f t="array" ref="J3104">IFERROR(INDEX('Retirement Calculator'!K:K,MATCH('Lorri 401b'!N3104,'Retirement Calculator'!A:A,0),0),0)</f>
        <v>0</v>
      </c>
      <c r="K3104" s="455">
        <f t="shared" ca="1" si="143"/>
        <v>-705010875.99258399</v>
      </c>
      <c r="L3104" s="455">
        <f t="shared" ca="1" si="144"/>
        <v>-169907621114.21274</v>
      </c>
      <c r="M3104" s="471">
        <f t="shared" si="146"/>
        <v>0.05</v>
      </c>
      <c r="N3104" s="475">
        <f t="shared" si="147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45"/>
        <v>-169907621114.21274</v>
      </c>
      <c r="J3105" s="455">
        <f t="array" ref="J3105">IFERROR(INDEX('Retirement Calculator'!K:K,MATCH('Lorri 401b'!N3105,'Retirement Calculator'!A:A,0),0),0)</f>
        <v>0</v>
      </c>
      <c r="K3105" s="455">
        <f t="shared" ca="1" si="143"/>
        <v>-707948421.30921972</v>
      </c>
      <c r="L3105" s="455">
        <f t="shared" ca="1" si="144"/>
        <v>-170615569535.52197</v>
      </c>
      <c r="M3105" s="471">
        <f t="shared" si="146"/>
        <v>0.05</v>
      </c>
      <c r="N3105" s="475">
        <f t="shared" si="147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45"/>
        <v>-170615569535.52197</v>
      </c>
      <c r="J3106" s="455">
        <f t="array" ref="J3106">IFERROR(INDEX('Retirement Calculator'!K:K,MATCH('Lorri 401b'!N3106,'Retirement Calculator'!A:A,0),0),0)</f>
        <v>0</v>
      </c>
      <c r="K3106" s="455">
        <f t="shared" ca="1" si="143"/>
        <v>-710898206.39800823</v>
      </c>
      <c r="L3106" s="455">
        <f t="shared" ca="1" si="144"/>
        <v>-171326467741.91998</v>
      </c>
      <c r="M3106" s="471">
        <f t="shared" si="146"/>
        <v>0.05</v>
      </c>
      <c r="N3106" s="475">
        <f t="shared" si="147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45"/>
        <v>-171326467741.91998</v>
      </c>
      <c r="J3107" s="455">
        <f t="array" ref="J3107">IFERROR(INDEX('Retirement Calculator'!K:K,MATCH('Lorri 401b'!N3107,'Retirement Calculator'!A:A,0),0),0)</f>
        <v>0</v>
      </c>
      <c r="K3107" s="455">
        <f t="shared" ca="1" si="143"/>
        <v>-713860282.2579999</v>
      </c>
      <c r="L3107" s="455">
        <f t="shared" ca="1" si="144"/>
        <v>-172040328024.17798</v>
      </c>
      <c r="M3107" s="471">
        <f t="shared" si="146"/>
        <v>0.05</v>
      </c>
      <c r="N3107" s="475">
        <f t="shared" si="147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45"/>
        <v>-172040328024.17798</v>
      </c>
      <c r="J3108" s="455">
        <f t="array" ref="J3108">IFERROR(INDEX('Retirement Calculator'!K:K,MATCH('Lorri 401b'!N3108,'Retirement Calculator'!A:A,0),0),0)</f>
        <v>0</v>
      </c>
      <c r="K3108" s="455">
        <f t="shared" ca="1" si="143"/>
        <v>-716834700.10074162</v>
      </c>
      <c r="L3108" s="455">
        <f t="shared" ca="1" si="144"/>
        <v>-172757162724.27872</v>
      </c>
      <c r="M3108" s="471">
        <f t="shared" si="146"/>
        <v>0.05</v>
      </c>
      <c r="N3108" s="475">
        <f t="shared" si="147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45"/>
        <v>-172757162724.27872</v>
      </c>
      <c r="J3109" s="455">
        <f t="array" ref="J3109">IFERROR(INDEX('Retirement Calculator'!K:K,MATCH('Lorri 401b'!N3109,'Retirement Calculator'!A:A,0),0),0)</f>
        <v>0</v>
      </c>
      <c r="K3109" s="455">
        <f t="shared" ca="1" si="143"/>
        <v>-719821511.35116136</v>
      </c>
      <c r="L3109" s="455">
        <f t="shared" ca="1" si="144"/>
        <v>-173476984235.62988</v>
      </c>
      <c r="M3109" s="471">
        <f t="shared" si="146"/>
        <v>0.05</v>
      </c>
      <c r="N3109" s="475">
        <f t="shared" si="147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45"/>
        <v>-173476984235.62988</v>
      </c>
      <c r="J3110" s="455">
        <f t="array" ref="J3110">IFERROR(INDEX('Retirement Calculator'!K:K,MATCH('Lorri 401b'!N3110,'Retirement Calculator'!A:A,0),0),0)</f>
        <v>0</v>
      </c>
      <c r="K3110" s="455">
        <f t="shared" ca="1" si="143"/>
        <v>-722820767.64845788</v>
      </c>
      <c r="L3110" s="455">
        <f t="shared" ca="1" si="144"/>
        <v>-174199805003.27835</v>
      </c>
      <c r="M3110" s="471">
        <f t="shared" si="146"/>
        <v>0.05</v>
      </c>
      <c r="N3110" s="475">
        <f t="shared" si="147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45"/>
        <v>-174199805003.27835</v>
      </c>
      <c r="J3111" s="455">
        <f t="array" ref="J3111">IFERROR(INDEX('Retirement Calculator'!K:K,MATCH('Lorri 401b'!N3111,'Retirement Calculator'!A:A,0),0),0)</f>
        <v>0</v>
      </c>
      <c r="K3111" s="455">
        <f t="shared" ca="1" si="143"/>
        <v>-725832520.84699309</v>
      </c>
      <c r="L3111" s="455">
        <f t="shared" ca="1" si="144"/>
        <v>-174925637524.12534</v>
      </c>
      <c r="M3111" s="471">
        <f t="shared" si="146"/>
        <v>0.05</v>
      </c>
      <c r="N3111" s="475">
        <f t="shared" si="147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45"/>
        <v>-174925637524.12534</v>
      </c>
      <c r="J3112" s="455">
        <f t="array" ref="J3112">IFERROR(INDEX('Retirement Calculator'!K:K,MATCH('Lorri 401b'!N3112,'Retirement Calculator'!A:A,0),0),0)</f>
        <v>0</v>
      </c>
      <c r="K3112" s="455">
        <f t="shared" ca="1" si="143"/>
        <v>-728856823.01718891</v>
      </c>
      <c r="L3112" s="455">
        <f t="shared" ca="1" si="144"/>
        <v>-175654494347.14252</v>
      </c>
      <c r="M3112" s="471">
        <f t="shared" si="146"/>
        <v>0.05</v>
      </c>
      <c r="N3112" s="475">
        <f t="shared" si="147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45"/>
        <v>-175654494347.14252</v>
      </c>
      <c r="J3113" s="455">
        <f t="array" ref="J3113">IFERROR(INDEX('Retirement Calculator'!K:K,MATCH('Lorri 401b'!N3113,'Retirement Calculator'!A:A,0),0),0)</f>
        <v>0</v>
      </c>
      <c r="K3113" s="455">
        <f t="shared" ca="1" si="143"/>
        <v>-731893726.44642711</v>
      </c>
      <c r="L3113" s="455">
        <f t="shared" ca="1" si="144"/>
        <v>-176386388073.58896</v>
      </c>
      <c r="M3113" s="471">
        <f t="shared" si="146"/>
        <v>0.05</v>
      </c>
      <c r="N3113" s="475">
        <f t="shared" si="147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45"/>
        <v>-176386388073.58896</v>
      </c>
      <c r="J3114" s="455">
        <f t="array" ref="J3114">IFERROR(INDEX('Retirement Calculator'!K:K,MATCH('Lorri 401b'!N3114,'Retirement Calculator'!A:A,0),0),0)</f>
        <v>0</v>
      </c>
      <c r="K3114" s="455">
        <f t="shared" ca="1" si="143"/>
        <v>-734943283.63995397</v>
      </c>
      <c r="L3114" s="455">
        <f t="shared" ca="1" si="144"/>
        <v>-177121331357.22891</v>
      </c>
      <c r="M3114" s="471">
        <f t="shared" si="146"/>
        <v>0.05</v>
      </c>
      <c r="N3114" s="475">
        <f t="shared" si="147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45"/>
        <v>-177121331357.22891</v>
      </c>
      <c r="J3115" s="455">
        <f t="array" ref="J3115">IFERROR(INDEX('Retirement Calculator'!K:K,MATCH('Lorri 401b'!N3115,'Retirement Calculator'!A:A,0),0),0)</f>
        <v>0</v>
      </c>
      <c r="K3115" s="455">
        <f t="shared" ca="1" si="143"/>
        <v>-738005547.32178712</v>
      </c>
      <c r="L3115" s="455">
        <f t="shared" ca="1" si="144"/>
        <v>-177859336904.55069</v>
      </c>
      <c r="M3115" s="471">
        <f t="shared" si="146"/>
        <v>0.05</v>
      </c>
      <c r="N3115" s="475">
        <f t="shared" si="147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45"/>
        <v>-177859336904.55069</v>
      </c>
      <c r="J3116" s="455">
        <f t="array" ref="J3116">IFERROR(INDEX('Retirement Calculator'!K:K,MATCH('Lorri 401b'!N3116,'Retirement Calculator'!A:A,0),0),0)</f>
        <v>0</v>
      </c>
      <c r="K3116" s="455">
        <f t="shared" ca="1" si="143"/>
        <v>-741080570.43562782</v>
      </c>
      <c r="L3116" s="455">
        <f t="shared" ca="1" si="144"/>
        <v>-178600417474.98633</v>
      </c>
      <c r="M3116" s="471">
        <f t="shared" si="146"/>
        <v>0.05</v>
      </c>
      <c r="N3116" s="475">
        <f t="shared" si="147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45"/>
        <v>-178600417474.98633</v>
      </c>
      <c r="J3117" s="455">
        <f t="array" ref="J3117">IFERROR(INDEX('Retirement Calculator'!K:K,MATCH('Lorri 401b'!N3117,'Retirement Calculator'!A:A,0),0),0)</f>
        <v>0</v>
      </c>
      <c r="K3117" s="455">
        <f t="shared" ca="1" si="143"/>
        <v>-744168406.14577639</v>
      </c>
      <c r="L3117" s="455">
        <f t="shared" ca="1" si="144"/>
        <v>-179344585881.13211</v>
      </c>
      <c r="M3117" s="471">
        <f t="shared" si="146"/>
        <v>0.05</v>
      </c>
      <c r="N3117" s="475">
        <f t="shared" si="147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45"/>
        <v>-179344585881.13211</v>
      </c>
      <c r="J3118" s="455">
        <f t="array" ref="J3118">IFERROR(INDEX('Retirement Calculator'!K:K,MATCH('Lorri 401b'!N3118,'Retirement Calculator'!A:A,0),0),0)</f>
        <v>0</v>
      </c>
      <c r="K3118" s="455">
        <f t="shared" ca="1" si="143"/>
        <v>-747269107.83805048</v>
      </c>
      <c r="L3118" s="455">
        <f t="shared" ca="1" si="144"/>
        <v>-180091854988.97015</v>
      </c>
      <c r="M3118" s="471">
        <f t="shared" si="146"/>
        <v>0.05</v>
      </c>
      <c r="N3118" s="475">
        <f t="shared" si="147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45"/>
        <v>-180091854988.97015</v>
      </c>
      <c r="J3119" s="455">
        <f t="array" ref="J3119">IFERROR(INDEX('Retirement Calculator'!K:K,MATCH('Lorri 401b'!N3119,'Retirement Calculator'!A:A,0),0),0)</f>
        <v>0</v>
      </c>
      <c r="K3119" s="455">
        <f t="shared" ca="1" si="143"/>
        <v>-750382729.12070894</v>
      </c>
      <c r="L3119" s="455">
        <f t="shared" ca="1" si="144"/>
        <v>-180842237718.09085</v>
      </c>
      <c r="M3119" s="471">
        <f t="shared" si="146"/>
        <v>0.05</v>
      </c>
      <c r="N3119" s="475">
        <f t="shared" si="147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45"/>
        <v>-180842237718.09085</v>
      </c>
      <c r="J3120" s="455">
        <f t="array" ref="J3120">IFERROR(INDEX('Retirement Calculator'!K:K,MATCH('Lorri 401b'!N3120,'Retirement Calculator'!A:A,0),0),0)</f>
        <v>0</v>
      </c>
      <c r="K3120" s="455">
        <f t="shared" ca="1" si="143"/>
        <v>-753509323.82537854</v>
      </c>
      <c r="L3120" s="455">
        <f t="shared" ca="1" si="144"/>
        <v>-181595747041.91623</v>
      </c>
      <c r="M3120" s="471">
        <f t="shared" si="146"/>
        <v>0.05</v>
      </c>
      <c r="N3120" s="475">
        <f t="shared" si="147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45"/>
        <v>-181595747041.91623</v>
      </c>
      <c r="J3121" s="455">
        <f t="array" ref="J3121">IFERROR(INDEX('Retirement Calculator'!K:K,MATCH('Lorri 401b'!N3121,'Retirement Calculator'!A:A,0),0),0)</f>
        <v>0</v>
      </c>
      <c r="K3121" s="455">
        <f t="shared" ca="1" si="143"/>
        <v>-756648946.00798428</v>
      </c>
      <c r="L3121" s="455">
        <f t="shared" ca="1" si="144"/>
        <v>-182352395987.92422</v>
      </c>
      <c r="M3121" s="471">
        <f t="shared" si="146"/>
        <v>0.05</v>
      </c>
      <c r="N3121" s="475">
        <f t="shared" si="147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45"/>
        <v>-182352395987.92422</v>
      </c>
      <c r="J3122" s="455">
        <f t="array" ref="J3122">IFERROR(INDEX('Retirement Calculator'!K:K,MATCH('Lorri 401b'!N3122,'Retirement Calculator'!A:A,0),0),0)</f>
        <v>0</v>
      </c>
      <c r="K3122" s="455">
        <f t="shared" ca="1" si="143"/>
        <v>-759801649.94968426</v>
      </c>
      <c r="L3122" s="455">
        <f t="shared" ca="1" si="144"/>
        <v>-183112197637.8739</v>
      </c>
      <c r="M3122" s="471">
        <f t="shared" si="146"/>
        <v>0.05</v>
      </c>
      <c r="N3122" s="475">
        <f t="shared" si="147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45"/>
        <v>-183112197637.8739</v>
      </c>
      <c r="J3123" s="455">
        <f t="array" ref="J3123">IFERROR(INDEX('Retirement Calculator'!K:K,MATCH('Lorri 401b'!N3123,'Retirement Calculator'!A:A,0),0),0)</f>
        <v>0</v>
      </c>
      <c r="K3123" s="455">
        <f t="shared" ca="1" si="143"/>
        <v>-762967490.15780795</v>
      </c>
      <c r="L3123" s="455">
        <f t="shared" ca="1" si="144"/>
        <v>-183875165128.03171</v>
      </c>
      <c r="M3123" s="471">
        <f t="shared" si="146"/>
        <v>0.05</v>
      </c>
      <c r="N3123" s="475">
        <f t="shared" si="147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45"/>
        <v>-183875165128.03171</v>
      </c>
      <c r="J3124" s="455">
        <f t="array" ref="J3124">IFERROR(INDEX('Retirement Calculator'!K:K,MATCH('Lorri 401b'!N3124,'Retirement Calculator'!A:A,0),0),0)</f>
        <v>0</v>
      </c>
      <c r="K3124" s="455">
        <f t="shared" ca="1" si="143"/>
        <v>-766146521.36679876</v>
      </c>
      <c r="L3124" s="455">
        <f t="shared" ca="1" si="144"/>
        <v>-184641311649.3985</v>
      </c>
      <c r="M3124" s="471">
        <f t="shared" si="146"/>
        <v>0.05</v>
      </c>
      <c r="N3124" s="475">
        <f t="shared" si="147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45"/>
        <v>-184641311649.3985</v>
      </c>
      <c r="J3125" s="455">
        <f t="array" ref="J3125">IFERROR(INDEX('Retirement Calculator'!K:K,MATCH('Lorri 401b'!N3125,'Retirement Calculator'!A:A,0),0),0)</f>
        <v>0</v>
      </c>
      <c r="K3125" s="455">
        <f t="shared" ca="1" si="143"/>
        <v>-769338798.53916037</v>
      </c>
      <c r="L3125" s="455">
        <f t="shared" ca="1" si="144"/>
        <v>-185410650447.93765</v>
      </c>
      <c r="M3125" s="471">
        <f t="shared" si="146"/>
        <v>0.05</v>
      </c>
      <c r="N3125" s="475">
        <f t="shared" si="147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45"/>
        <v>-185410650447.93765</v>
      </c>
      <c r="J3126" s="455">
        <f t="array" ref="J3126">IFERROR(INDEX('Retirement Calculator'!K:K,MATCH('Lorri 401b'!N3126,'Retirement Calculator'!A:A,0),0),0)</f>
        <v>0</v>
      </c>
      <c r="K3126" s="455">
        <f t="shared" ca="1" si="143"/>
        <v>-772544376.86640692</v>
      </c>
      <c r="L3126" s="455">
        <f t="shared" ca="1" si="144"/>
        <v>-186183194824.80405</v>
      </c>
      <c r="M3126" s="471">
        <f t="shared" si="146"/>
        <v>0.05</v>
      </c>
      <c r="N3126" s="475">
        <f t="shared" si="147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45"/>
        <v>-186183194824.80405</v>
      </c>
      <c r="J3127" s="455">
        <f t="array" ref="J3127">IFERROR(INDEX('Retirement Calculator'!K:K,MATCH('Lorri 401b'!N3127,'Retirement Calculator'!A:A,0),0),0)</f>
        <v>0</v>
      </c>
      <c r="K3127" s="455">
        <f t="shared" ca="1" si="143"/>
        <v>-775763311.77001691</v>
      </c>
      <c r="L3127" s="455">
        <f t="shared" ca="1" si="144"/>
        <v>-186958958136.57407</v>
      </c>
      <c r="M3127" s="471">
        <f t="shared" si="146"/>
        <v>0.05</v>
      </c>
      <c r="N3127" s="475">
        <f t="shared" si="147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45"/>
        <v>-186958958136.57407</v>
      </c>
      <c r="J3128" s="455">
        <f t="array" ref="J3128">IFERROR(INDEX('Retirement Calculator'!K:K,MATCH('Lorri 401b'!N3128,'Retirement Calculator'!A:A,0),0),0)</f>
        <v>0</v>
      </c>
      <c r="K3128" s="455">
        <f t="shared" ca="1" si="143"/>
        <v>-778995658.90239191</v>
      </c>
      <c r="L3128" s="455">
        <f t="shared" ca="1" si="144"/>
        <v>-187737953795.47647</v>
      </c>
      <c r="M3128" s="471">
        <f t="shared" si="146"/>
        <v>0.05</v>
      </c>
      <c r="N3128" s="475">
        <f t="shared" si="147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45"/>
        <v>-187737953795.47647</v>
      </c>
      <c r="J3129" s="455">
        <f t="array" ref="J3129">IFERROR(INDEX('Retirement Calculator'!K:K,MATCH('Lorri 401b'!N3129,'Retirement Calculator'!A:A,0),0),0)</f>
        <v>0</v>
      </c>
      <c r="K3129" s="455">
        <f t="shared" ca="1" si="143"/>
        <v>-782241474.14781857</v>
      </c>
      <c r="L3129" s="455">
        <f t="shared" ca="1" si="144"/>
        <v>-188520195269.6243</v>
      </c>
      <c r="M3129" s="471">
        <f t="shared" si="146"/>
        <v>0.05</v>
      </c>
      <c r="N3129" s="475">
        <f t="shared" si="147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45"/>
        <v>-188520195269.6243</v>
      </c>
      <c r="J3130" s="455">
        <f t="array" ref="J3130">IFERROR(INDEX('Retirement Calculator'!K:K,MATCH('Lorri 401b'!N3130,'Retirement Calculator'!A:A,0),0),0)</f>
        <v>0</v>
      </c>
      <c r="K3130" s="455">
        <f t="shared" ca="1" si="143"/>
        <v>-785500813.62343454</v>
      </c>
      <c r="L3130" s="455">
        <f t="shared" ca="1" si="144"/>
        <v>-189305696083.24774</v>
      </c>
      <c r="M3130" s="471">
        <f t="shared" si="146"/>
        <v>0.05</v>
      </c>
      <c r="N3130" s="475">
        <f t="shared" si="147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45"/>
        <v>-189305696083.24774</v>
      </c>
      <c r="J3131" s="455">
        <f t="array" ref="J3131">IFERROR(INDEX('Retirement Calculator'!K:K,MATCH('Lorri 401b'!N3131,'Retirement Calculator'!A:A,0),0),0)</f>
        <v>0</v>
      </c>
      <c r="K3131" s="455">
        <f t="shared" ca="1" si="143"/>
        <v>-788773733.68019891</v>
      </c>
      <c r="L3131" s="455">
        <f t="shared" ca="1" si="144"/>
        <v>-190094469816.92795</v>
      </c>
      <c r="M3131" s="471">
        <f t="shared" si="146"/>
        <v>0.05</v>
      </c>
      <c r="N3131" s="475">
        <f t="shared" si="147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45"/>
        <v>-190094469816.92795</v>
      </c>
      <c r="J3132" s="455">
        <f t="array" ref="J3132">IFERROR(INDEX('Retirement Calculator'!K:K,MATCH('Lorri 401b'!N3132,'Retirement Calculator'!A:A,0),0),0)</f>
        <v>0</v>
      </c>
      <c r="K3132" s="455">
        <f t="shared" ca="1" si="143"/>
        <v>-792060290.90386641</v>
      </c>
      <c r="L3132" s="455">
        <f t="shared" ca="1" si="144"/>
        <v>-190886530107.83182</v>
      </c>
      <c r="M3132" s="471">
        <f t="shared" si="146"/>
        <v>0.05</v>
      </c>
      <c r="N3132" s="475">
        <f t="shared" si="147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45"/>
        <v>-190886530107.83182</v>
      </c>
      <c r="J3133" s="455">
        <f t="array" ref="J3133">IFERROR(INDEX('Retirement Calculator'!K:K,MATCH('Lorri 401b'!N3133,'Retirement Calculator'!A:A,0),0),0)</f>
        <v>0</v>
      </c>
      <c r="K3133" s="455">
        <f t="shared" ca="1" si="143"/>
        <v>-795360542.11596584</v>
      </c>
      <c r="L3133" s="455">
        <f t="shared" ca="1" si="144"/>
        <v>-191681890649.94778</v>
      </c>
      <c r="M3133" s="471">
        <f t="shared" si="146"/>
        <v>0.05</v>
      </c>
      <c r="N3133" s="475">
        <f t="shared" si="147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45"/>
        <v>-191681890649.94778</v>
      </c>
      <c r="J3134" s="455">
        <f t="array" ref="J3134">IFERROR(INDEX('Retirement Calculator'!K:K,MATCH('Lorri 401b'!N3134,'Retirement Calculator'!A:A,0),0),0)</f>
        <v>0</v>
      </c>
      <c r="K3134" s="455">
        <f t="shared" ca="1" si="143"/>
        <v>-798674544.37478244</v>
      </c>
      <c r="L3134" s="455">
        <f t="shared" ca="1" si="144"/>
        <v>-192480565194.32257</v>
      </c>
      <c r="M3134" s="471">
        <f t="shared" si="146"/>
        <v>0.05</v>
      </c>
      <c r="N3134" s="475">
        <f t="shared" si="147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45"/>
        <v>-192480565194.32257</v>
      </c>
      <c r="J3135" s="455">
        <f t="array" ref="J3135">IFERROR(INDEX('Retirement Calculator'!K:K,MATCH('Lorri 401b'!N3135,'Retirement Calculator'!A:A,0),0),0)</f>
        <v>0</v>
      </c>
      <c r="K3135" s="455">
        <f t="shared" ca="1" si="143"/>
        <v>-802002354.97634399</v>
      </c>
      <c r="L3135" s="455">
        <f t="shared" ca="1" si="144"/>
        <v>-193282567549.29892</v>
      </c>
      <c r="M3135" s="471">
        <f t="shared" si="146"/>
        <v>0.05</v>
      </c>
      <c r="N3135" s="475">
        <f t="shared" si="147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45"/>
        <v>-193282567549.29892</v>
      </c>
      <c r="J3136" s="455">
        <f t="array" ref="J3136">IFERROR(INDEX('Retirement Calculator'!K:K,MATCH('Lorri 401b'!N3136,'Retirement Calculator'!A:A,0),0),0)</f>
        <v>0</v>
      </c>
      <c r="K3136" s="455">
        <f t="shared" ca="1" si="143"/>
        <v>-805344031.45541215</v>
      </c>
      <c r="L3136" s="455">
        <f t="shared" ca="1" si="144"/>
        <v>-194087911580.75433</v>
      </c>
      <c r="M3136" s="471">
        <f t="shared" si="146"/>
        <v>0.05</v>
      </c>
      <c r="N3136" s="475">
        <f t="shared" si="147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45"/>
        <v>-194087911580.75433</v>
      </c>
      <c r="J3137" s="455">
        <f t="array" ref="J3137">IFERROR(INDEX('Retirement Calculator'!K:K,MATCH('Lorri 401b'!N3137,'Retirement Calculator'!A:A,0),0),0)</f>
        <v>0</v>
      </c>
      <c r="K3137" s="455">
        <f t="shared" ca="1" si="143"/>
        <v>-808699631.58647633</v>
      </c>
      <c r="L3137" s="455">
        <f t="shared" ca="1" si="144"/>
        <v>-194896611212.34082</v>
      </c>
      <c r="M3137" s="471">
        <f t="shared" si="146"/>
        <v>0.05</v>
      </c>
      <c r="N3137" s="475">
        <f t="shared" si="147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45"/>
        <v>-194896611212.34082</v>
      </c>
      <c r="J3138" s="455">
        <f t="array" ref="J3138">IFERROR(INDEX('Retirement Calculator'!K:K,MATCH('Lorri 401b'!N3138,'Retirement Calculator'!A:A,0),0),0)</f>
        <v>0</v>
      </c>
      <c r="K3138" s="455">
        <f t="shared" ca="1" si="143"/>
        <v>-812069213.38475347</v>
      </c>
      <c r="L3138" s="455">
        <f t="shared" ca="1" si="144"/>
        <v>-195708680425.72559</v>
      </c>
      <c r="M3138" s="471">
        <f t="shared" si="146"/>
        <v>0.05</v>
      </c>
      <c r="N3138" s="475">
        <f t="shared" si="147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45"/>
        <v>-195708680425.72559</v>
      </c>
      <c r="J3139" s="455">
        <f t="array" ref="J3139">IFERROR(INDEX('Retirement Calculator'!K:K,MATCH('Lorri 401b'!N3139,'Retirement Calculator'!A:A,0),0),0)</f>
        <v>0</v>
      </c>
      <c r="K3139" s="455">
        <f t="shared" ca="1" si="143"/>
        <v>-815452835.10718989</v>
      </c>
      <c r="L3139" s="455">
        <f t="shared" ca="1" si="144"/>
        <v>-196524133260.83276</v>
      </c>
      <c r="M3139" s="471">
        <f t="shared" si="146"/>
        <v>0.05</v>
      </c>
      <c r="N3139" s="475">
        <f t="shared" si="147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45"/>
        <v>-196524133260.83276</v>
      </c>
      <c r="J3140" s="455">
        <f t="array" ref="J3140">IFERROR(INDEX('Retirement Calculator'!K:K,MATCH('Lorri 401b'!N3140,'Retirement Calculator'!A:A,0),0),0)</f>
        <v>0</v>
      </c>
      <c r="K3140" s="455">
        <f t="shared" ca="1" si="143"/>
        <v>-818850555.25346982</v>
      </c>
      <c r="L3140" s="455">
        <f t="shared" ca="1" si="144"/>
        <v>-197342983816.08624</v>
      </c>
      <c r="M3140" s="471">
        <f t="shared" si="146"/>
        <v>0.05</v>
      </c>
      <c r="N3140" s="475">
        <f t="shared" si="147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45"/>
        <v>-197342983816.08624</v>
      </c>
      <c r="J3141" s="455">
        <f t="array" ref="J3141">IFERROR(INDEX('Retirement Calculator'!K:K,MATCH('Lorri 401b'!N3141,'Retirement Calculator'!A:A,0),0),0)</f>
        <v>0</v>
      </c>
      <c r="K3141" s="455">
        <f t="shared" ca="1" si="143"/>
        <v>-822262432.56702602</v>
      </c>
      <c r="L3141" s="455">
        <f t="shared" ca="1" si="144"/>
        <v>-198165246248.65326</v>
      </c>
      <c r="M3141" s="471">
        <f t="shared" si="146"/>
        <v>0.05</v>
      </c>
      <c r="N3141" s="475">
        <f t="shared" si="147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45"/>
        <v>-198165246248.65326</v>
      </c>
      <c r="J3142" s="455">
        <f t="array" ref="J3142">IFERROR(INDEX('Retirement Calculator'!K:K,MATCH('Lorri 401b'!N3142,'Retirement Calculator'!A:A,0),0),0)</f>
        <v>0</v>
      </c>
      <c r="K3142" s="455">
        <f t="shared" ca="1" si="143"/>
        <v>-825688526.03605521</v>
      </c>
      <c r="L3142" s="455">
        <f t="shared" ca="1" si="144"/>
        <v>-198990934774.6893</v>
      </c>
      <c r="M3142" s="471">
        <f t="shared" si="146"/>
        <v>0.05</v>
      </c>
      <c r="N3142" s="475">
        <f t="shared" si="147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45"/>
        <v>-198990934774.6893</v>
      </c>
      <c r="J3143" s="455">
        <f t="array" ref="J3143">IFERROR(INDEX('Retirement Calculator'!K:K,MATCH('Lorri 401b'!N3143,'Retirement Calculator'!A:A,0),0),0)</f>
        <v>0</v>
      </c>
      <c r="K3143" s="455">
        <f t="shared" ca="1" si="143"/>
        <v>-829128894.89453876</v>
      </c>
      <c r="L3143" s="455">
        <f t="shared" ca="1" si="144"/>
        <v>-199820063669.58383</v>
      </c>
      <c r="M3143" s="471">
        <f t="shared" si="146"/>
        <v>0.05</v>
      </c>
      <c r="N3143" s="475">
        <f t="shared" si="147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45"/>
        <v>-199820063669.58383</v>
      </c>
      <c r="J3144" s="455">
        <f t="array" ref="J3144">IFERROR(INDEX('Retirement Calculator'!K:K,MATCH('Lorri 401b'!N3144,'Retirement Calculator'!A:A,0),0),0)</f>
        <v>0</v>
      </c>
      <c r="K3144" s="455">
        <f t="shared" ca="1" si="143"/>
        <v>-832583598.62326598</v>
      </c>
      <c r="L3144" s="455">
        <f t="shared" ca="1" si="144"/>
        <v>-200652647268.20709</v>
      </c>
      <c r="M3144" s="471">
        <f t="shared" si="146"/>
        <v>0.05</v>
      </c>
      <c r="N3144" s="475">
        <f t="shared" si="147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45"/>
        <v>-200652647268.20709</v>
      </c>
      <c r="J3145" s="455">
        <f t="array" ref="J3145">IFERROR(INDEX('Retirement Calculator'!K:K,MATCH('Lorri 401b'!N3145,'Retirement Calculator'!A:A,0),0),0)</f>
        <v>0</v>
      </c>
      <c r="K3145" s="455">
        <f t="shared" ca="1" si="143"/>
        <v>-836052696.95086288</v>
      </c>
      <c r="L3145" s="455">
        <f t="shared" ca="1" si="144"/>
        <v>-201488699965.15796</v>
      </c>
      <c r="M3145" s="471">
        <f t="shared" si="146"/>
        <v>0.05</v>
      </c>
      <c r="N3145" s="475">
        <f t="shared" si="147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45"/>
        <v>-201488699965.15796</v>
      </c>
      <c r="J3146" s="455">
        <f t="array" ref="J3146">IFERROR(INDEX('Retirement Calculator'!K:K,MATCH('Lorri 401b'!N3146,'Retirement Calculator'!A:A,0),0),0)</f>
        <v>0</v>
      </c>
      <c r="K3146" s="455">
        <f t="shared" ca="1" si="143"/>
        <v>-839536249.85482478</v>
      </c>
      <c r="L3146" s="455">
        <f t="shared" ca="1" si="144"/>
        <v>-202328236215.01279</v>
      </c>
      <c r="M3146" s="471">
        <f t="shared" si="146"/>
        <v>0.05</v>
      </c>
      <c r="N3146" s="475">
        <f t="shared" si="147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45"/>
        <v>-202328236215.01279</v>
      </c>
      <c r="J3147" s="455">
        <f t="array" ref="J3147">IFERROR(INDEX('Retirement Calculator'!K:K,MATCH('Lorri 401b'!N3147,'Retirement Calculator'!A:A,0),0),0)</f>
        <v>0</v>
      </c>
      <c r="K3147" s="455">
        <f t="shared" ca="1" si="143"/>
        <v>-843034317.56255329</v>
      </c>
      <c r="L3147" s="455">
        <f t="shared" ca="1" si="144"/>
        <v>-203171270532.57535</v>
      </c>
      <c r="M3147" s="471">
        <f t="shared" si="146"/>
        <v>0.05</v>
      </c>
      <c r="N3147" s="475">
        <f t="shared" si="147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45"/>
        <v>-203171270532.57535</v>
      </c>
      <c r="J3148" s="455">
        <f t="array" ref="J3148">IFERROR(INDEX('Retirement Calculator'!K:K,MATCH('Lorri 401b'!N3148,'Retirement Calculator'!A:A,0),0),0)</f>
        <v>0</v>
      </c>
      <c r="K3148" s="455">
        <f t="shared" ca="1" si="143"/>
        <v>-846546960.55239725</v>
      </c>
      <c r="L3148" s="455">
        <f t="shared" ca="1" si="144"/>
        <v>-204017817493.12775</v>
      </c>
      <c r="M3148" s="471">
        <f t="shared" si="146"/>
        <v>0.05</v>
      </c>
      <c r="N3148" s="475">
        <f t="shared" si="147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45"/>
        <v>-204017817493.12775</v>
      </c>
      <c r="J3149" s="455">
        <f t="array" ref="J3149">IFERROR(INDEX('Retirement Calculator'!K:K,MATCH('Lorri 401b'!N3149,'Retirement Calculator'!A:A,0),0),0)</f>
        <v>0</v>
      </c>
      <c r="K3149" s="455">
        <f t="shared" ca="1" si="143"/>
        <v>-850074239.55469894</v>
      </c>
      <c r="L3149" s="455">
        <f t="shared" ca="1" si="144"/>
        <v>-204867891732.68243</v>
      </c>
      <c r="M3149" s="471">
        <f t="shared" si="146"/>
        <v>0.05</v>
      </c>
      <c r="N3149" s="475">
        <f t="shared" si="147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45"/>
        <v>-204867891732.68243</v>
      </c>
      <c r="J3150" s="455">
        <f t="array" ref="J3150">IFERROR(INDEX('Retirement Calculator'!K:K,MATCH('Lorri 401b'!N3150,'Retirement Calculator'!A:A,0),0),0)</f>
        <v>0</v>
      </c>
      <c r="K3150" s="455">
        <f t="shared" ca="1" si="143"/>
        <v>-853616215.55284345</v>
      </c>
      <c r="L3150" s="455">
        <f t="shared" ca="1" si="144"/>
        <v>-205721507948.23529</v>
      </c>
      <c r="M3150" s="471">
        <f t="shared" si="146"/>
        <v>0.05</v>
      </c>
      <c r="N3150" s="475">
        <f t="shared" si="147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45"/>
        <v>-205721507948.23529</v>
      </c>
      <c r="J3151" s="455">
        <f t="array" ref="J3151">IFERROR(INDEX('Retirement Calculator'!K:K,MATCH('Lorri 401b'!N3151,'Retirement Calculator'!A:A,0),0),0)</f>
        <v>0</v>
      </c>
      <c r="K3151" s="455">
        <f t="shared" ca="1" si="143"/>
        <v>-857172949.78431368</v>
      </c>
      <c r="L3151" s="455">
        <f t="shared" ca="1" si="144"/>
        <v>-206578680898.01959</v>
      </c>
      <c r="M3151" s="471">
        <f t="shared" si="146"/>
        <v>0.05</v>
      </c>
      <c r="N3151" s="475">
        <f t="shared" si="147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45"/>
        <v>-206578680898.01959</v>
      </c>
      <c r="J3152" s="455">
        <f t="array" ref="J3152">IFERROR(INDEX('Retirement Calculator'!K:K,MATCH('Lorri 401b'!N3152,'Retirement Calculator'!A:A,0),0),0)</f>
        <v>0</v>
      </c>
      <c r="K3152" s="455">
        <f t="shared" ca="1" si="143"/>
        <v>-860744503.74174833</v>
      </c>
      <c r="L3152" s="455">
        <f t="shared" ca="1" si="144"/>
        <v>-207439425401.76135</v>
      </c>
      <c r="M3152" s="471">
        <f t="shared" si="146"/>
        <v>0.05</v>
      </c>
      <c r="N3152" s="475">
        <f t="shared" si="147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45"/>
        <v>-207439425401.76135</v>
      </c>
      <c r="J3153" s="455">
        <f t="array" ref="J3153">IFERROR(INDEX('Retirement Calculator'!K:K,MATCH('Lorri 401b'!N3153,'Retirement Calculator'!A:A,0),0),0)</f>
        <v>0</v>
      </c>
      <c r="K3153" s="455">
        <f t="shared" ca="1" si="143"/>
        <v>-864330939.17400563</v>
      </c>
      <c r="L3153" s="455">
        <f t="shared" ca="1" si="144"/>
        <v>-208303756340.93536</v>
      </c>
      <c r="M3153" s="471">
        <f t="shared" si="146"/>
        <v>0.05</v>
      </c>
      <c r="N3153" s="475">
        <f t="shared" si="147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45"/>
        <v>-208303756340.93536</v>
      </c>
      <c r="J3154" s="455">
        <f t="array" ref="J3154">IFERROR(INDEX('Retirement Calculator'!K:K,MATCH('Lorri 401b'!N3154,'Retirement Calculator'!A:A,0),0),0)</f>
        <v>0</v>
      </c>
      <c r="K3154" s="455">
        <f t="shared" ca="1" si="143"/>
        <v>-867932318.08723068</v>
      </c>
      <c r="L3154" s="455">
        <f t="shared" ca="1" si="144"/>
        <v>-209171688659.02258</v>
      </c>
      <c r="M3154" s="471">
        <f t="shared" si="146"/>
        <v>0.05</v>
      </c>
      <c r="N3154" s="475">
        <f t="shared" si="147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45"/>
        <v>-209171688659.02258</v>
      </c>
      <c r="J3155" s="455">
        <f t="array" ref="J3155">IFERROR(INDEX('Retirement Calculator'!K:K,MATCH('Lorri 401b'!N3155,'Retirement Calculator'!A:A,0),0),0)</f>
        <v>0</v>
      </c>
      <c r="K3155" s="455">
        <f t="shared" ca="1" si="143"/>
        <v>-871548702.74592745</v>
      </c>
      <c r="L3155" s="455">
        <f t="shared" ca="1" si="144"/>
        <v>-210043237361.76852</v>
      </c>
      <c r="M3155" s="471">
        <f t="shared" si="146"/>
        <v>0.05</v>
      </c>
      <c r="N3155" s="475">
        <f t="shared" si="147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45"/>
        <v>-210043237361.76852</v>
      </c>
      <c r="J3156" s="455">
        <f t="array" ref="J3156">IFERROR(INDEX('Retirement Calculator'!K:K,MATCH('Lorri 401b'!N3156,'Retirement Calculator'!A:A,0),0),0)</f>
        <v>0</v>
      </c>
      <c r="K3156" s="455">
        <f t="shared" ca="1" si="143"/>
        <v>-875180155.67403555</v>
      </c>
      <c r="L3156" s="455">
        <f t="shared" ca="1" si="144"/>
        <v>-210918417517.44257</v>
      </c>
      <c r="M3156" s="471">
        <f t="shared" si="146"/>
        <v>0.05</v>
      </c>
      <c r="N3156" s="475">
        <f t="shared" si="147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45"/>
        <v>-210918417517.44257</v>
      </c>
      <c r="J3157" s="455">
        <f t="array" ref="J3157">IFERROR(INDEX('Retirement Calculator'!K:K,MATCH('Lorri 401b'!N3157,'Retirement Calculator'!A:A,0),0),0)</f>
        <v>0</v>
      </c>
      <c r="K3157" s="455">
        <f t="shared" ca="1" si="143"/>
        <v>-878826739.65601063</v>
      </c>
      <c r="L3157" s="455">
        <f t="shared" ca="1" si="144"/>
        <v>-211797244257.09857</v>
      </c>
      <c r="M3157" s="471">
        <f t="shared" si="146"/>
        <v>0.05</v>
      </c>
      <c r="N3157" s="475">
        <f t="shared" si="147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45"/>
        <v>-211797244257.09857</v>
      </c>
      <c r="J3158" s="455">
        <f t="array" ref="J3158">IFERROR(INDEX('Retirement Calculator'!K:K,MATCH('Lorri 401b'!N3158,'Retirement Calculator'!A:A,0),0),0)</f>
        <v>0</v>
      </c>
      <c r="K3158" s="455">
        <f t="shared" ca="1" si="143"/>
        <v>-882488517.73791075</v>
      </c>
      <c r="L3158" s="455">
        <f t="shared" ca="1" si="144"/>
        <v>-212679732774.83649</v>
      </c>
      <c r="M3158" s="471">
        <f t="shared" si="146"/>
        <v>0.05</v>
      </c>
      <c r="N3158" s="475">
        <f t="shared" si="147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45"/>
        <v>-212679732774.83649</v>
      </c>
      <c r="J3159" s="455">
        <f t="array" ref="J3159">IFERROR(INDEX('Retirement Calculator'!K:K,MATCH('Lorri 401b'!N3159,'Retirement Calculator'!A:A,0),0),0)</f>
        <v>0</v>
      </c>
      <c r="K3159" s="455">
        <f t="shared" ca="1" si="143"/>
        <v>-886165553.22848535</v>
      </c>
      <c r="L3159" s="455">
        <f t="shared" ca="1" si="144"/>
        <v>-213565898328.06497</v>
      </c>
      <c r="M3159" s="471">
        <f t="shared" si="146"/>
        <v>0.05</v>
      </c>
      <c r="N3159" s="475">
        <f t="shared" si="147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45"/>
        <v>-213565898328.06497</v>
      </c>
      <c r="J3160" s="455">
        <f t="array" ref="J3160">IFERROR(INDEX('Retirement Calculator'!K:K,MATCH('Lorri 401b'!N3160,'Retirement Calculator'!A:A,0),0),0)</f>
        <v>0</v>
      </c>
      <c r="K3160" s="455">
        <f t="shared" ca="1" si="143"/>
        <v>-889857909.70027065</v>
      </c>
      <c r="L3160" s="455">
        <f t="shared" ca="1" si="144"/>
        <v>-214455756237.76523</v>
      </c>
      <c r="M3160" s="471">
        <f t="shared" si="146"/>
        <v>0.05</v>
      </c>
      <c r="N3160" s="475">
        <f t="shared" si="147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45"/>
        <v>-214455756237.76523</v>
      </c>
      <c r="J3161" s="455">
        <f t="array" ref="J3161">IFERROR(INDEX('Retirement Calculator'!K:K,MATCH('Lorri 401b'!N3161,'Retirement Calculator'!A:A,0),0),0)</f>
        <v>0</v>
      </c>
      <c r="K3161" s="455">
        <f t="shared" ca="1" si="143"/>
        <v>-893565650.99068844</v>
      </c>
      <c r="L3161" s="455">
        <f t="shared" ca="1" si="144"/>
        <v>-215349321888.75592</v>
      </c>
      <c r="M3161" s="471">
        <f t="shared" si="146"/>
        <v>0.05</v>
      </c>
      <c r="N3161" s="475">
        <f t="shared" si="147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45"/>
        <v>-215349321888.75592</v>
      </c>
      <c r="J3162" s="455">
        <f t="array" ref="J3162">IFERROR(INDEX('Retirement Calculator'!K:K,MATCH('Lorri 401b'!N3162,'Retirement Calculator'!A:A,0),0),0)</f>
        <v>0</v>
      </c>
      <c r="K3162" s="455">
        <f t="shared" ca="1" si="143"/>
        <v>-897288841.20314968</v>
      </c>
      <c r="L3162" s="455">
        <f t="shared" ca="1" si="144"/>
        <v>-216246610729.95908</v>
      </c>
      <c r="M3162" s="471">
        <f t="shared" si="146"/>
        <v>0.05</v>
      </c>
      <c r="N3162" s="475">
        <f t="shared" si="147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45"/>
        <v>-216246610729.95908</v>
      </c>
      <c r="J3163" s="455">
        <f t="array" ref="J3163">IFERROR(INDEX('Retirement Calculator'!K:K,MATCH('Lorri 401b'!N3163,'Retirement Calculator'!A:A,0),0),0)</f>
        <v>0</v>
      </c>
      <c r="K3163" s="455">
        <f t="shared" ca="1" si="143"/>
        <v>-901027544.70816267</v>
      </c>
      <c r="L3163" s="455">
        <f t="shared" ca="1" si="144"/>
        <v>-217147638274.66724</v>
      </c>
      <c r="M3163" s="471">
        <f t="shared" si="146"/>
        <v>0.05</v>
      </c>
      <c r="N3163" s="475">
        <f t="shared" si="147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45"/>
        <v>-217147638274.66724</v>
      </c>
      <c r="J3164" s="455">
        <f t="array" ref="J3164">IFERROR(INDEX('Retirement Calculator'!K:K,MATCH('Lorri 401b'!N3164,'Retirement Calculator'!A:A,0),0),0)</f>
        <v>0</v>
      </c>
      <c r="K3164" s="455">
        <f t="shared" ca="1" si="143"/>
        <v>-904781826.14444685</v>
      </c>
      <c r="L3164" s="455">
        <f t="shared" ca="1" si="144"/>
        <v>-218052420100.81168</v>
      </c>
      <c r="M3164" s="471">
        <f t="shared" si="146"/>
        <v>0.05</v>
      </c>
      <c r="N3164" s="475">
        <f t="shared" si="147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45"/>
        <v>-218052420100.81168</v>
      </c>
      <c r="J3165" s="455">
        <f t="array" ref="J3165">IFERROR(INDEX('Retirement Calculator'!K:K,MATCH('Lorri 401b'!N3165,'Retirement Calculator'!A:A,0),0),0)</f>
        <v>0</v>
      </c>
      <c r="K3165" s="455">
        <f t="shared" ca="1" si="143"/>
        <v>-908551750.42004848</v>
      </c>
      <c r="L3165" s="455">
        <f t="shared" ca="1" si="144"/>
        <v>-218960971851.23172</v>
      </c>
      <c r="M3165" s="471">
        <f t="shared" si="146"/>
        <v>0.05</v>
      </c>
      <c r="N3165" s="475">
        <f t="shared" si="147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45"/>
        <v>-218960971851.23172</v>
      </c>
      <c r="J3166" s="455">
        <f t="array" ref="J3166">IFERROR(INDEX('Retirement Calculator'!K:K,MATCH('Lorri 401b'!N3166,'Retirement Calculator'!A:A,0),0),0)</f>
        <v>0</v>
      </c>
      <c r="K3166" s="455">
        <f t="shared" ca="1" si="143"/>
        <v>-912337382.71346545</v>
      </c>
      <c r="L3166" s="455">
        <f t="shared" ca="1" si="144"/>
        <v>-219873309233.94519</v>
      </c>
      <c r="M3166" s="471">
        <f t="shared" si="146"/>
        <v>0.05</v>
      </c>
      <c r="N3166" s="475">
        <f t="shared" si="147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45"/>
        <v>-219873309233.94519</v>
      </c>
      <c r="J3167" s="455">
        <f t="array" ref="J3167">IFERROR(INDEX('Retirement Calculator'!K:K,MATCH('Lorri 401b'!N3167,'Retirement Calculator'!A:A,0),0),0)</f>
        <v>0</v>
      </c>
      <c r="K3167" s="455">
        <f t="shared" ca="1" si="143"/>
        <v>-916138788.47477174</v>
      </c>
      <c r="L3167" s="455">
        <f t="shared" ca="1" si="144"/>
        <v>-220789448022.41995</v>
      </c>
      <c r="M3167" s="471">
        <f t="shared" si="146"/>
        <v>0.05</v>
      </c>
      <c r="N3167" s="475">
        <f t="shared" si="147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45"/>
        <v>-220789448022.41995</v>
      </c>
      <c r="J3168" s="455">
        <f t="array" ref="J3168">IFERROR(INDEX('Retirement Calculator'!K:K,MATCH('Lorri 401b'!N3168,'Retirement Calculator'!A:A,0),0),0)</f>
        <v>0</v>
      </c>
      <c r="K3168" s="455">
        <f t="shared" ca="1" si="143"/>
        <v>-919956033.42674983</v>
      </c>
      <c r="L3168" s="455">
        <f t="shared" ca="1" si="144"/>
        <v>-221709404055.84671</v>
      </c>
      <c r="M3168" s="471">
        <f t="shared" si="146"/>
        <v>0.05</v>
      </c>
      <c r="N3168" s="475">
        <f t="shared" si="147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45"/>
        <v>-221709404055.84671</v>
      </c>
      <c r="J3169" s="455">
        <f t="array" ref="J3169">IFERROR(INDEX('Retirement Calculator'!K:K,MATCH('Lorri 401b'!N3169,'Retirement Calculator'!A:A,0),0),0)</f>
        <v>0</v>
      </c>
      <c r="K3169" s="455">
        <f t="shared" ca="1" si="143"/>
        <v>-923789183.566028</v>
      </c>
      <c r="L3169" s="455">
        <f t="shared" ca="1" si="144"/>
        <v>-222633193239.41275</v>
      </c>
      <c r="M3169" s="471">
        <f t="shared" si="146"/>
        <v>0.05</v>
      </c>
      <c r="N3169" s="475">
        <f t="shared" si="147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45"/>
        <v>-222633193239.41275</v>
      </c>
      <c r="J3170" s="455">
        <f t="array" ref="J3170">IFERROR(INDEX('Retirement Calculator'!K:K,MATCH('Lorri 401b'!N3170,'Retirement Calculator'!A:A,0),0),0)</f>
        <v>0</v>
      </c>
      <c r="K3170" s="455">
        <f t="shared" ca="1" si="143"/>
        <v>-927638305.16421974</v>
      </c>
      <c r="L3170" s="455">
        <f t="shared" ca="1" si="144"/>
        <v>-223560831544.57697</v>
      </c>
      <c r="M3170" s="471">
        <f t="shared" si="146"/>
        <v>0.05</v>
      </c>
      <c r="N3170" s="475">
        <f t="shared" si="147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45"/>
        <v>-223560831544.57697</v>
      </c>
      <c r="J3171" s="455">
        <f t="array" ref="J3171">IFERROR(INDEX('Retirement Calculator'!K:K,MATCH('Lorri 401b'!N3171,'Retirement Calculator'!A:A,0),0),0)</f>
        <v>0</v>
      </c>
      <c r="K3171" s="455">
        <f t="shared" ca="1" si="143"/>
        <v>-931503464.76907063</v>
      </c>
      <c r="L3171" s="455">
        <f t="shared" ca="1" si="144"/>
        <v>-224492335009.34604</v>
      </c>
      <c r="M3171" s="471">
        <f t="shared" si="146"/>
        <v>0.05</v>
      </c>
      <c r="N3171" s="475">
        <f t="shared" si="147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45"/>
        <v>-224492335009.34604</v>
      </c>
      <c r="J3172" s="455">
        <f t="array" ref="J3172">IFERROR(INDEX('Retirement Calculator'!K:K,MATCH('Lorri 401b'!N3172,'Retirement Calculator'!A:A,0),0),0)</f>
        <v>0</v>
      </c>
      <c r="K3172" s="455">
        <f t="shared" ca="1" si="143"/>
        <v>-935384729.20560849</v>
      </c>
      <c r="L3172" s="455">
        <f t="shared" ca="1" si="144"/>
        <v>-225427719738.55164</v>
      </c>
      <c r="M3172" s="471">
        <f t="shared" si="146"/>
        <v>0.05</v>
      </c>
      <c r="N3172" s="475">
        <f t="shared" si="147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45"/>
        <v>-225427719738.55164</v>
      </c>
      <c r="J3173" s="455">
        <f t="array" ref="J3173">IFERROR(INDEX('Retirement Calculator'!K:K,MATCH('Lorri 401b'!N3173,'Retirement Calculator'!A:A,0),0),0)</f>
        <v>0</v>
      </c>
      <c r="K3173" s="455">
        <f t="shared" ca="1" si="143"/>
        <v>-939282165.57729852</v>
      </c>
      <c r="L3173" s="455">
        <f t="shared" ca="1" si="144"/>
        <v>-226367001904.12894</v>
      </c>
      <c r="M3173" s="471">
        <f t="shared" si="146"/>
        <v>0.05</v>
      </c>
      <c r="N3173" s="475">
        <f t="shared" si="147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45"/>
        <v>-226367001904.12894</v>
      </c>
      <c r="J3174" s="455">
        <f t="array" ref="J3174">IFERROR(INDEX('Retirement Calculator'!K:K,MATCH('Lorri 401b'!N3174,'Retirement Calculator'!A:A,0),0),0)</f>
        <v>0</v>
      </c>
      <c r="K3174" s="455">
        <f t="shared" ca="1" si="143"/>
        <v>-943195841.26720393</v>
      </c>
      <c r="L3174" s="455">
        <f t="shared" ca="1" si="144"/>
        <v>-227310197745.39615</v>
      </c>
      <c r="M3174" s="471">
        <f t="shared" si="146"/>
        <v>0.05</v>
      </c>
      <c r="N3174" s="475">
        <f t="shared" si="147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45"/>
        <v>-227310197745.39615</v>
      </c>
      <c r="J3175" s="455">
        <f t="array" ref="J3175">IFERROR(INDEX('Retirement Calculator'!K:K,MATCH('Lorri 401b'!N3175,'Retirement Calculator'!A:A,0),0),0)</f>
        <v>0</v>
      </c>
      <c r="K3175" s="455">
        <f t="shared" ca="1" si="143"/>
        <v>-947125823.93915057</v>
      </c>
      <c r="L3175" s="455">
        <f t="shared" ca="1" si="144"/>
        <v>-228257323569.3353</v>
      </c>
      <c r="M3175" s="471">
        <f t="shared" si="146"/>
        <v>0.05</v>
      </c>
      <c r="N3175" s="475">
        <f t="shared" si="147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45"/>
        <v>-228257323569.3353</v>
      </c>
      <c r="J3176" s="455">
        <f t="array" ref="J3176">IFERROR(INDEX('Retirement Calculator'!K:K,MATCH('Lorri 401b'!N3176,'Retirement Calculator'!A:A,0),0),0)</f>
        <v>0</v>
      </c>
      <c r="K3176" s="455">
        <f t="shared" ca="1" si="143"/>
        <v>-951072181.53889716</v>
      </c>
      <c r="L3176" s="455">
        <f t="shared" ca="1" si="144"/>
        <v>-229208395750.87421</v>
      </c>
      <c r="M3176" s="471">
        <f t="shared" si="146"/>
        <v>0.05</v>
      </c>
      <c r="N3176" s="475">
        <f t="shared" si="147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45"/>
        <v>-229208395750.87421</v>
      </c>
      <c r="J3177" s="455">
        <f t="array" ref="J3177">IFERROR(INDEX('Retirement Calculator'!K:K,MATCH('Lorri 401b'!N3177,'Retirement Calculator'!A:A,0),0),0)</f>
        <v>0</v>
      </c>
      <c r="K3177" s="455">
        <f t="shared" ca="1" si="143"/>
        <v>-955034982.29530919</v>
      </c>
      <c r="L3177" s="455">
        <f t="shared" ca="1" si="144"/>
        <v>-230163430733.16953</v>
      </c>
      <c r="M3177" s="471">
        <f t="shared" si="146"/>
        <v>0.05</v>
      </c>
      <c r="N3177" s="475">
        <f t="shared" si="147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45"/>
        <v>-230163430733.16953</v>
      </c>
      <c r="J3178" s="455">
        <f t="array" ref="J3178">IFERROR(INDEX('Retirement Calculator'!K:K,MATCH('Lorri 401b'!N3178,'Retirement Calculator'!A:A,0),0),0)</f>
        <v>0</v>
      </c>
      <c r="K3178" s="455">
        <f t="shared" ca="1" si="143"/>
        <v>-959014294.72153962</v>
      </c>
      <c r="L3178" s="455">
        <f t="shared" ca="1" si="144"/>
        <v>-231122445027.89105</v>
      </c>
      <c r="M3178" s="471">
        <f t="shared" si="146"/>
        <v>0.05</v>
      </c>
      <c r="N3178" s="475">
        <f t="shared" si="147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45"/>
        <v>-231122445027.89105</v>
      </c>
      <c r="J3179" s="455">
        <f t="array" ref="J3179">IFERROR(INDEX('Retirement Calculator'!K:K,MATCH('Lorri 401b'!N3179,'Retirement Calculator'!A:A,0),0),0)</f>
        <v>0</v>
      </c>
      <c r="K3179" s="455">
        <f t="shared" ca="1" si="143"/>
        <v>-963010187.61621261</v>
      </c>
      <c r="L3179" s="455">
        <f t="shared" ca="1" si="144"/>
        <v>-232085455215.50726</v>
      </c>
      <c r="M3179" s="471">
        <f t="shared" si="146"/>
        <v>0.05</v>
      </c>
      <c r="N3179" s="475">
        <f t="shared" si="147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45"/>
        <v>-232085455215.50726</v>
      </c>
      <c r="J3180" s="455">
        <f t="array" ref="J3180">IFERROR(INDEX('Retirement Calculator'!K:K,MATCH('Lorri 401b'!N3180,'Retirement Calculator'!A:A,0),0),0)</f>
        <v>0</v>
      </c>
      <c r="K3180" s="455">
        <f t="shared" ca="1" si="143"/>
        <v>-967022730.06461358</v>
      </c>
      <c r="L3180" s="455">
        <f t="shared" ca="1" si="144"/>
        <v>-233052477945.57187</v>
      </c>
      <c r="M3180" s="471">
        <f t="shared" si="146"/>
        <v>0.05</v>
      </c>
      <c r="N3180" s="475">
        <f t="shared" si="147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45"/>
        <v>-233052477945.57187</v>
      </c>
      <c r="J3181" s="455">
        <f t="array" ref="J3181">IFERROR(INDEX('Retirement Calculator'!K:K,MATCH('Lorri 401b'!N3181,'Retirement Calculator'!A:A,0),0),0)</f>
        <v>0</v>
      </c>
      <c r="K3181" s="455">
        <f t="shared" ca="1" si="143"/>
        <v>-971051991.43988276</v>
      </c>
      <c r="L3181" s="455">
        <f t="shared" ca="1" si="144"/>
        <v>-234023529937.01175</v>
      </c>
      <c r="M3181" s="471">
        <f t="shared" si="146"/>
        <v>0.05</v>
      </c>
      <c r="N3181" s="475">
        <f t="shared" si="147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45"/>
        <v>-234023529937.01175</v>
      </c>
      <c r="J3182" s="455">
        <f t="array" ref="J3182">IFERROR(INDEX('Retirement Calculator'!K:K,MATCH('Lorri 401b'!N3182,'Retirement Calculator'!A:A,0),0),0)</f>
        <v>0</v>
      </c>
      <c r="K3182" s="455">
        <f t="shared" ca="1" si="143"/>
        <v>-975098041.40421557</v>
      </c>
      <c r="L3182" s="455">
        <f t="shared" ca="1" si="144"/>
        <v>-234998627978.41595</v>
      </c>
      <c r="M3182" s="471">
        <f t="shared" si="146"/>
        <v>0.05</v>
      </c>
      <c r="N3182" s="475">
        <f t="shared" si="147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45"/>
        <v>-234998627978.41595</v>
      </c>
      <c r="J3183" s="455">
        <f t="array" ref="J3183">IFERROR(INDEX('Retirement Calculator'!K:K,MATCH('Lorri 401b'!N3183,'Retirement Calculator'!A:A,0),0),0)</f>
        <v>0</v>
      </c>
      <c r="K3183" s="455">
        <f t="shared" ca="1" si="143"/>
        <v>-979160949.91006649</v>
      </c>
      <c r="L3183" s="455">
        <f t="shared" ca="1" si="144"/>
        <v>-235977788928.32602</v>
      </c>
      <c r="M3183" s="471">
        <f t="shared" si="146"/>
        <v>0.05</v>
      </c>
      <c r="N3183" s="475">
        <f t="shared" si="147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45"/>
        <v>-235977788928.32602</v>
      </c>
      <c r="J3184" s="455">
        <f t="array" ref="J3184">IFERROR(INDEX('Retirement Calculator'!K:K,MATCH('Lorri 401b'!N3184,'Retirement Calculator'!A:A,0),0),0)</f>
        <v>0</v>
      </c>
      <c r="K3184" s="455">
        <f t="shared" ca="1" si="143"/>
        <v>-983240787.20135832</v>
      </c>
      <c r="L3184" s="455">
        <f t="shared" ca="1" si="144"/>
        <v>-236961029715.52737</v>
      </c>
      <c r="M3184" s="471">
        <f t="shared" si="146"/>
        <v>0.05</v>
      </c>
      <c r="N3184" s="475">
        <f t="shared" si="147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45"/>
        <v>-236961029715.52737</v>
      </c>
      <c r="J3185" s="455">
        <f t="array" ref="J3185">IFERROR(INDEX('Retirement Calculator'!K:K,MATCH('Lorri 401b'!N3185,'Retirement Calculator'!A:A,0),0),0)</f>
        <v>0</v>
      </c>
      <c r="K3185" s="455">
        <f t="shared" ca="1" si="143"/>
        <v>-987337623.8146975</v>
      </c>
      <c r="L3185" s="455">
        <f t="shared" ca="1" si="144"/>
        <v>-237948367339.34207</v>
      </c>
      <c r="M3185" s="471">
        <f t="shared" si="146"/>
        <v>0.05</v>
      </c>
      <c r="N3185" s="475">
        <f t="shared" si="147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45"/>
        <v>-237948367339.34207</v>
      </c>
      <c r="J3186" s="455">
        <f t="array" ref="J3186">IFERROR(INDEX('Retirement Calculator'!K:K,MATCH('Lorri 401b'!N3186,'Retirement Calculator'!A:A,0),0),0)</f>
        <v>0</v>
      </c>
      <c r="K3186" s="455">
        <f t="shared" ca="1" si="143"/>
        <v>-991451530.58059192</v>
      </c>
      <c r="L3186" s="455">
        <f t="shared" ca="1" si="144"/>
        <v>-238939818869.92267</v>
      </c>
      <c r="M3186" s="471">
        <f t="shared" si="146"/>
        <v>0.05</v>
      </c>
      <c r="N3186" s="475">
        <f t="shared" si="147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45"/>
        <v>-238939818869.92267</v>
      </c>
      <c r="J3187" s="455">
        <f t="array" ref="J3187">IFERROR(INDEX('Retirement Calculator'!K:K,MATCH('Lorri 401b'!N3187,'Retirement Calculator'!A:A,0),0),0)</f>
        <v>0</v>
      </c>
      <c r="K3187" s="455">
        <f t="shared" ca="1" si="143"/>
        <v>-995582578.6246779</v>
      </c>
      <c r="L3187" s="455">
        <f t="shared" ca="1" si="144"/>
        <v>-239935401448.54733</v>
      </c>
      <c r="M3187" s="471">
        <f t="shared" si="146"/>
        <v>0.05</v>
      </c>
      <c r="N3187" s="475">
        <f t="shared" si="147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45"/>
        <v>-239935401448.54733</v>
      </c>
      <c r="J3188" s="455">
        <f t="array" ref="J3188">IFERROR(INDEX('Retirement Calculator'!K:K,MATCH('Lorri 401b'!N3188,'Retirement Calculator'!A:A,0),0),0)</f>
        <v>0</v>
      </c>
      <c r="K3188" s="455">
        <f t="shared" ca="1" si="143"/>
        <v>-999730839.36894703</v>
      </c>
      <c r="L3188" s="455">
        <f t="shared" ca="1" si="144"/>
        <v>-240935132287.91629</v>
      </c>
      <c r="M3188" s="471">
        <f t="shared" si="146"/>
        <v>0.05</v>
      </c>
      <c r="N3188" s="475">
        <f t="shared" si="147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45"/>
        <v>-240935132287.91629</v>
      </c>
      <c r="J3189" s="455">
        <f t="array" ref="J3189">IFERROR(INDEX('Retirement Calculator'!K:K,MATCH('Lorri 401b'!N3189,'Retirement Calculator'!A:A,0),0),0)</f>
        <v>0</v>
      </c>
      <c r="K3189" s="455">
        <f t="shared" ca="1" si="143"/>
        <v>-1003896384.5329845</v>
      </c>
      <c r="L3189" s="455">
        <f t="shared" ca="1" si="144"/>
        <v>-241939028672.44928</v>
      </c>
      <c r="M3189" s="471">
        <f t="shared" si="146"/>
        <v>0.05</v>
      </c>
      <c r="N3189" s="475">
        <f t="shared" si="147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45"/>
        <v>-241939028672.44928</v>
      </c>
      <c r="J3190" s="455">
        <f t="array" ref="J3190">IFERROR(INDEX('Retirement Calculator'!K:K,MATCH('Lorri 401b'!N3190,'Retirement Calculator'!A:A,0),0),0)</f>
        <v>0</v>
      </c>
      <c r="K3190" s="455">
        <f t="shared" ca="1" si="143"/>
        <v>-1008079286.1352054</v>
      </c>
      <c r="L3190" s="455">
        <f t="shared" ca="1" si="144"/>
        <v>-242947107958.58447</v>
      </c>
      <c r="M3190" s="471">
        <f t="shared" si="146"/>
        <v>0.05</v>
      </c>
      <c r="N3190" s="475">
        <f t="shared" si="147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45"/>
        <v>-242947107958.58447</v>
      </c>
      <c r="J3191" s="455">
        <f t="array" ref="J3191">IFERROR(INDEX('Retirement Calculator'!K:K,MATCH('Lorri 401b'!N3191,'Retirement Calculator'!A:A,0),0),0)</f>
        <v>0</v>
      </c>
      <c r="K3191" s="455">
        <f t="shared" ca="1" si="143"/>
        <v>-1012279616.494102</v>
      </c>
      <c r="L3191" s="455">
        <f t="shared" ca="1" si="144"/>
        <v>-243959387575.07858</v>
      </c>
      <c r="M3191" s="471">
        <f t="shared" si="146"/>
        <v>0.05</v>
      </c>
      <c r="N3191" s="475">
        <f t="shared" si="147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45"/>
        <v>-243959387575.07858</v>
      </c>
      <c r="J3192" s="455">
        <f t="array" ref="J3192">IFERROR(INDEX('Retirement Calculator'!K:K,MATCH('Lorri 401b'!N3192,'Retirement Calculator'!A:A,0),0),0)</f>
        <v>0</v>
      </c>
      <c r="K3192" s="455">
        <f t="shared" ca="1" si="143"/>
        <v>-1016497448.2294941</v>
      </c>
      <c r="L3192" s="455">
        <f t="shared" ca="1" si="144"/>
        <v>-244975885023.30807</v>
      </c>
      <c r="M3192" s="471">
        <f t="shared" si="146"/>
        <v>0.05</v>
      </c>
      <c r="N3192" s="475">
        <f t="shared" si="147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45"/>
        <v>-244975885023.30807</v>
      </c>
      <c r="J3193" s="455">
        <f t="array" ref="J3193">IFERROR(INDEX('Retirement Calculator'!K:K,MATCH('Lorri 401b'!N3193,'Retirement Calculator'!A:A,0),0),0)</f>
        <v>0</v>
      </c>
      <c r="K3193" s="455">
        <f t="shared" ca="1" si="143"/>
        <v>-1020732854.2637836</v>
      </c>
      <c r="L3193" s="455">
        <f t="shared" ca="1" si="144"/>
        <v>-245996617877.57187</v>
      </c>
      <c r="M3193" s="471">
        <f t="shared" si="146"/>
        <v>0.05</v>
      </c>
      <c r="N3193" s="475">
        <f t="shared" si="147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45"/>
        <v>-245996617877.57187</v>
      </c>
      <c r="J3194" s="455">
        <f t="array" ref="J3194">IFERROR(INDEX('Retirement Calculator'!K:K,MATCH('Lorri 401b'!N3194,'Retirement Calculator'!A:A,0),0),0)</f>
        <v>0</v>
      </c>
      <c r="K3194" s="455">
        <f t="shared" ca="1" si="143"/>
        <v>-1024985907.823216</v>
      </c>
      <c r="L3194" s="455">
        <f t="shared" ca="1" si="144"/>
        <v>-247021603785.39508</v>
      </c>
      <c r="M3194" s="471">
        <f t="shared" si="146"/>
        <v>0.05</v>
      </c>
      <c r="N3194" s="475">
        <f t="shared" si="147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45"/>
        <v>-247021603785.39508</v>
      </c>
      <c r="J3195" s="455">
        <f t="array" ref="J3195">IFERROR(INDEX('Retirement Calculator'!K:K,MATCH('Lorri 401b'!N3195,'Retirement Calculator'!A:A,0),0),0)</f>
        <v>0</v>
      </c>
      <c r="K3195" s="455">
        <f t="shared" ca="1" si="143"/>
        <v>-1029256682.4391463</v>
      </c>
      <c r="L3195" s="455">
        <f t="shared" ca="1" si="144"/>
        <v>-248050860467.83423</v>
      </c>
      <c r="M3195" s="471">
        <f t="shared" si="146"/>
        <v>0.05</v>
      </c>
      <c r="N3195" s="475">
        <f t="shared" si="147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45"/>
        <v>-248050860467.83423</v>
      </c>
      <c r="J3196" s="455">
        <f t="array" ref="J3196">IFERROR(INDEX('Retirement Calculator'!K:K,MATCH('Lorri 401b'!N3196,'Retirement Calculator'!A:A,0),0),0)</f>
        <v>0</v>
      </c>
      <c r="K3196" s="455">
        <f t="shared" ca="1" si="143"/>
        <v>-1033545251.9493092</v>
      </c>
      <c r="L3196" s="455">
        <f t="shared" ca="1" si="144"/>
        <v>-249084405719.78354</v>
      </c>
      <c r="M3196" s="471">
        <f t="shared" si="146"/>
        <v>0.05</v>
      </c>
      <c r="N3196" s="475">
        <f t="shared" si="147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45"/>
        <v>-249084405719.78354</v>
      </c>
      <c r="J3197" s="455">
        <f t="array" ref="J3197">IFERROR(INDEX('Retirement Calculator'!K:K,MATCH('Lorri 401b'!N3197,'Retirement Calculator'!A:A,0),0),0)</f>
        <v>0</v>
      </c>
      <c r="K3197" s="455">
        <f t="shared" ca="1" si="143"/>
        <v>-1037851690.4990981</v>
      </c>
      <c r="L3197" s="455">
        <f t="shared" ca="1" si="144"/>
        <v>-250122257410.28262</v>
      </c>
      <c r="M3197" s="471">
        <f t="shared" si="146"/>
        <v>0.05</v>
      </c>
      <c r="N3197" s="475">
        <f t="shared" si="147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45"/>
        <v>-250122257410.28262</v>
      </c>
      <c r="J3198" s="455">
        <f t="array" ref="J3198">IFERROR(INDEX('Retirement Calculator'!K:K,MATCH('Lorri 401b'!N3198,'Retirement Calculator'!A:A,0),0),0)</f>
        <v>0</v>
      </c>
      <c r="K3198" s="455">
        <f t="shared" ca="1" si="143"/>
        <v>-1042176072.5428443</v>
      </c>
      <c r="L3198" s="455">
        <f t="shared" ca="1" si="144"/>
        <v>-251164433482.82547</v>
      </c>
      <c r="M3198" s="471">
        <f t="shared" si="146"/>
        <v>0.05</v>
      </c>
      <c r="N3198" s="475">
        <f t="shared" si="147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45"/>
        <v>-251164433482.82547</v>
      </c>
      <c r="J3199" s="455">
        <f t="array" ref="J3199">IFERROR(INDEX('Retirement Calculator'!K:K,MATCH('Lorri 401b'!N3199,'Retirement Calculator'!A:A,0),0),0)</f>
        <v>0</v>
      </c>
      <c r="K3199" s="455">
        <f t="shared" ca="1" si="143"/>
        <v>-1046518472.8451061</v>
      </c>
      <c r="L3199" s="455">
        <f t="shared" ca="1" si="144"/>
        <v>-252210951955.67056</v>
      </c>
      <c r="M3199" s="471">
        <f t="shared" si="146"/>
        <v>0.05</v>
      </c>
      <c r="N3199" s="475">
        <f t="shared" si="147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45"/>
        <v>-252210951955.67056</v>
      </c>
      <c r="J3200" s="455">
        <f t="array" ref="J3200">IFERROR(INDEX('Retirement Calculator'!K:K,MATCH('Lorri 401b'!N3200,'Retirement Calculator'!A:A,0),0),0)</f>
        <v>0</v>
      </c>
      <c r="K3200" s="455">
        <f t="shared" ca="1" si="143"/>
        <v>-1050878966.4819607</v>
      </c>
      <c r="L3200" s="455">
        <f t="shared" ca="1" si="144"/>
        <v>-253261830922.15253</v>
      </c>
      <c r="M3200" s="471">
        <f t="shared" si="146"/>
        <v>0.05</v>
      </c>
      <c r="N3200" s="475">
        <f t="shared" si="147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45"/>
        <v>-253261830922.15253</v>
      </c>
      <c r="J3201" s="455">
        <f t="array" ref="J3201">IFERROR(INDEX('Retirement Calculator'!K:K,MATCH('Lorri 401b'!N3201,'Retirement Calculator'!A:A,0),0),0)</f>
        <v>0</v>
      </c>
      <c r="K3201" s="455">
        <f t="shared" ca="1" si="143"/>
        <v>-1055257628.8423022</v>
      </c>
      <c r="L3201" s="455">
        <f t="shared" ca="1" si="144"/>
        <v>-254317088550.99484</v>
      </c>
      <c r="M3201" s="471">
        <f t="shared" si="146"/>
        <v>0.05</v>
      </c>
      <c r="N3201" s="475">
        <f t="shared" si="147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45"/>
        <v>-254317088550.99484</v>
      </c>
      <c r="J3202" s="455">
        <f t="array" ref="J3202">IFERROR(INDEX('Retirement Calculator'!K:K,MATCH('Lorri 401b'!N3202,'Retirement Calculator'!A:A,0),0),0)</f>
        <v>0</v>
      </c>
      <c r="K3202" s="455">
        <f t="shared" ca="1" si="143"/>
        <v>-1059654535.6291451</v>
      </c>
      <c r="L3202" s="455">
        <f t="shared" ca="1" si="144"/>
        <v>-255376743086.62399</v>
      </c>
      <c r="M3202" s="471">
        <f t="shared" si="146"/>
        <v>0.05</v>
      </c>
      <c r="N3202" s="475">
        <f t="shared" si="147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45"/>
        <v>-255376743086.62399</v>
      </c>
      <c r="J3203" s="455">
        <f t="array" ref="J3203">IFERROR(INDEX('Retirement Calculator'!K:K,MATCH('Lorri 401b'!N3203,'Retirement Calculator'!A:A,0),0),0)</f>
        <v>0</v>
      </c>
      <c r="K3203" s="455">
        <f t="shared" ca="1" si="143"/>
        <v>-1064069762.8609334</v>
      </c>
      <c r="L3203" s="455">
        <f t="shared" ca="1" si="144"/>
        <v>-256440812849.48492</v>
      </c>
      <c r="M3203" s="471">
        <f t="shared" si="146"/>
        <v>0.05</v>
      </c>
      <c r="N3203" s="475">
        <f t="shared" si="147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45"/>
        <v>-256440812849.48492</v>
      </c>
      <c r="J3204" s="455">
        <f t="array" ref="J3204">IFERROR(INDEX('Retirement Calculator'!K:K,MATCH('Lorri 401b'!N3204,'Retirement Calculator'!A:A,0),0),0)</f>
        <v>0</v>
      </c>
      <c r="K3204" s="455">
        <f t="shared" ca="1" si="143"/>
        <v>-1068503386.8728538</v>
      </c>
      <c r="L3204" s="455">
        <f t="shared" ca="1" si="144"/>
        <v>-257509316236.35779</v>
      </c>
      <c r="M3204" s="471">
        <f t="shared" si="146"/>
        <v>0.05</v>
      </c>
      <c r="N3204" s="475">
        <f t="shared" si="147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45"/>
        <v>-257509316236.35779</v>
      </c>
      <c r="J3205" s="455">
        <f t="array" ref="J3205">IFERROR(INDEX('Retirement Calculator'!K:K,MATCH('Lorri 401b'!N3205,'Retirement Calculator'!A:A,0),0),0)</f>
        <v>0</v>
      </c>
      <c r="K3205" s="455">
        <f t="shared" ca="1" si="143"/>
        <v>-1072955484.3181576</v>
      </c>
      <c r="L3205" s="455">
        <f t="shared" ca="1" si="144"/>
        <v>-258582271720.67593</v>
      </c>
      <c r="M3205" s="471">
        <f t="shared" si="146"/>
        <v>0.05</v>
      </c>
      <c r="N3205" s="475">
        <f t="shared" si="147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45"/>
        <v>-258582271720.67593</v>
      </c>
      <c r="J3206" s="455">
        <f t="array" ref="J3206">IFERROR(INDEX('Retirement Calculator'!K:K,MATCH('Lorri 401b'!N3206,'Retirement Calculator'!A:A,0),0),0)</f>
        <v>0</v>
      </c>
      <c r="K3206" s="455">
        <f t="shared" ca="1" si="143"/>
        <v>-1077426132.1694829</v>
      </c>
      <c r="L3206" s="455">
        <f t="shared" ca="1" si="144"/>
        <v>-259659697852.84543</v>
      </c>
      <c r="M3206" s="471">
        <f t="shared" si="146"/>
        <v>0.05</v>
      </c>
      <c r="N3206" s="475">
        <f t="shared" si="147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45"/>
        <v>-259659697852.84543</v>
      </c>
      <c r="J3207" s="455">
        <f t="array" ref="J3207">IFERROR(INDEX('Retirement Calculator'!K:K,MATCH('Lorri 401b'!N3207,'Retirement Calculator'!A:A,0),0),0)</f>
        <v>0</v>
      </c>
      <c r="K3207" s="455">
        <f t="shared" ca="1" si="143"/>
        <v>-1081915407.7201893</v>
      </c>
      <c r="L3207" s="455">
        <f t="shared" ca="1" si="144"/>
        <v>-260741613260.56561</v>
      </c>
      <c r="M3207" s="471">
        <f t="shared" si="146"/>
        <v>0.05</v>
      </c>
      <c r="N3207" s="475">
        <f t="shared" si="147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45"/>
        <v>-260741613260.56561</v>
      </c>
      <c r="J3208" s="455">
        <f t="array" ref="J3208">IFERROR(INDEX('Retirement Calculator'!K:K,MATCH('Lorri 401b'!N3208,'Retirement Calculator'!A:A,0),0),0)</f>
        <v>0</v>
      </c>
      <c r="K3208" s="455">
        <f t="shared" ca="1" si="143"/>
        <v>-1086423388.58569</v>
      </c>
      <c r="L3208" s="455">
        <f t="shared" ca="1" si="144"/>
        <v>-261828036649.15131</v>
      </c>
      <c r="M3208" s="471">
        <f t="shared" si="146"/>
        <v>0.05</v>
      </c>
      <c r="N3208" s="475">
        <f t="shared" si="147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45"/>
        <v>-261828036649.15131</v>
      </c>
      <c r="J3209" s="455">
        <f t="array" ref="J3209">IFERROR(INDEX('Retirement Calculator'!K:K,MATCH('Lorri 401b'!N3209,'Retirement Calculator'!A:A,0),0),0)</f>
        <v>0</v>
      </c>
      <c r="K3209" s="455">
        <f t="shared" ca="1" si="143"/>
        <v>-1090950152.704797</v>
      </c>
      <c r="L3209" s="455">
        <f t="shared" ca="1" si="144"/>
        <v>-262918986801.85611</v>
      </c>
      <c r="M3209" s="471">
        <f t="shared" si="146"/>
        <v>0.05</v>
      </c>
      <c r="N3209" s="475">
        <f t="shared" si="147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45"/>
        <v>-262918986801.85611</v>
      </c>
      <c r="J3210" s="455">
        <f t="array" ref="J3210">IFERROR(INDEX('Retirement Calculator'!K:K,MATCH('Lorri 401b'!N3210,'Retirement Calculator'!A:A,0),0),0)</f>
        <v>0</v>
      </c>
      <c r="K3210" s="455">
        <f t="shared" ca="1" si="143"/>
        <v>-1095495778.3410671</v>
      </c>
      <c r="L3210" s="455">
        <f t="shared" ca="1" si="144"/>
        <v>-264014482580.19717</v>
      </c>
      <c r="M3210" s="471">
        <f t="shared" si="146"/>
        <v>0.05</v>
      </c>
      <c r="N3210" s="475">
        <f t="shared" si="147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45"/>
        <v>-264014482580.19717</v>
      </c>
      <c r="J3211" s="455">
        <f t="array" ref="J3211">IFERROR(INDEX('Retirement Calculator'!K:K,MATCH('Lorri 401b'!N3211,'Retirement Calculator'!A:A,0),0),0)</f>
        <v>0</v>
      </c>
      <c r="K3211" s="455">
        <f t="shared" ca="1" si="143"/>
        <v>-1100060344.0841548</v>
      </c>
      <c r="L3211" s="455">
        <f t="shared" ca="1" si="144"/>
        <v>-265114542924.28134</v>
      </c>
      <c r="M3211" s="471">
        <f t="shared" si="146"/>
        <v>0.05</v>
      </c>
      <c r="N3211" s="475">
        <f t="shared" si="147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45"/>
        <v>-265114542924.28134</v>
      </c>
      <c r="J3212" s="455">
        <f t="array" ref="J3212">IFERROR(INDEX('Retirement Calculator'!K:K,MATCH('Lorri 401b'!N3212,'Retirement Calculator'!A:A,0),0),0)</f>
        <v>0</v>
      </c>
      <c r="K3212" s="455">
        <f t="shared" ca="1" si="143"/>
        <v>-1104643928.8511722</v>
      </c>
      <c r="L3212" s="455">
        <f t="shared" ca="1" si="144"/>
        <v>-266219186853.13251</v>
      </c>
      <c r="M3212" s="471">
        <f t="shared" si="146"/>
        <v>0.05</v>
      </c>
      <c r="N3212" s="475">
        <f t="shared" si="147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45"/>
        <v>-266219186853.13251</v>
      </c>
      <c r="J3213" s="455">
        <f t="array" ref="J3213">IFERROR(INDEX('Retirement Calculator'!K:K,MATCH('Lorri 401b'!N3213,'Retirement Calculator'!A:A,0),0),0)</f>
        <v>0</v>
      </c>
      <c r="K3213" s="455">
        <f t="shared" ca="1" si="143"/>
        <v>-1109246611.888052</v>
      </c>
      <c r="L3213" s="455">
        <f t="shared" ca="1" si="144"/>
        <v>-267328433465.02057</v>
      </c>
      <c r="M3213" s="471">
        <f t="shared" si="146"/>
        <v>0.05</v>
      </c>
      <c r="N3213" s="475">
        <f t="shared" si="147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45"/>
        <v>-267328433465.02057</v>
      </c>
      <c r="J3214" s="455">
        <f t="array" ref="J3214">IFERROR(INDEX('Retirement Calculator'!K:K,MATCH('Lorri 401b'!N3214,'Retirement Calculator'!A:A,0),0),0)</f>
        <v>0</v>
      </c>
      <c r="K3214" s="455">
        <f t="shared" ca="1" si="143"/>
        <v>-1113868472.7709191</v>
      </c>
      <c r="L3214" s="455">
        <f t="shared" ca="1" si="144"/>
        <v>-268442301937.79147</v>
      </c>
      <c r="M3214" s="471">
        <f t="shared" si="146"/>
        <v>0.05</v>
      </c>
      <c r="N3214" s="475">
        <f t="shared" si="147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45"/>
        <v>-268442301937.79147</v>
      </c>
      <c r="J3215" s="455">
        <f t="array" ref="J3215">IFERROR(INDEX('Retirement Calculator'!K:K,MATCH('Lorri 401b'!N3215,'Retirement Calculator'!A:A,0),0),0)</f>
        <v>0</v>
      </c>
      <c r="K3215" s="455">
        <f t="shared" ca="1" si="143"/>
        <v>-1118509591.4074645</v>
      </c>
      <c r="L3215" s="455">
        <f t="shared" ca="1" si="144"/>
        <v>-269560811529.19894</v>
      </c>
      <c r="M3215" s="471">
        <f t="shared" si="146"/>
        <v>0.05</v>
      </c>
      <c r="N3215" s="475">
        <f t="shared" si="147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45"/>
        <v>-269560811529.19894</v>
      </c>
      <c r="J3216" s="455">
        <f t="array" ref="J3216">IFERROR(INDEX('Retirement Calculator'!K:K,MATCH('Lorri 401b'!N3216,'Retirement Calculator'!A:A,0),0),0)</f>
        <v>0</v>
      </c>
      <c r="K3216" s="455">
        <f t="shared" ca="1" si="143"/>
        <v>-1123170048.0383291</v>
      </c>
      <c r="L3216" s="455">
        <f t="shared" ca="1" si="144"/>
        <v>-270683981577.23727</v>
      </c>
      <c r="M3216" s="471">
        <f t="shared" si="146"/>
        <v>0.05</v>
      </c>
      <c r="N3216" s="475">
        <f t="shared" si="147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45"/>
        <v>-270683981577.23727</v>
      </c>
      <c r="J3217" s="455">
        <f t="array" ref="J3217">IFERROR(INDEX('Retirement Calculator'!K:K,MATCH('Lorri 401b'!N3217,'Retirement Calculator'!A:A,0),0),0)</f>
        <v>0</v>
      </c>
      <c r="K3217" s="455">
        <f t="shared" ca="1" si="143"/>
        <v>-1127849923.2384887</v>
      </c>
      <c r="L3217" s="455">
        <f t="shared" ca="1" si="144"/>
        <v>-271811831500.47577</v>
      </c>
      <c r="M3217" s="471">
        <f t="shared" si="146"/>
        <v>0.05</v>
      </c>
      <c r="N3217" s="475">
        <f t="shared" si="147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45"/>
        <v>-271811831500.47577</v>
      </c>
      <c r="J3218" s="455">
        <f t="array" ref="J3218">IFERROR(INDEX('Retirement Calculator'!K:K,MATCH('Lorri 401b'!N3218,'Retirement Calculator'!A:A,0),0),0)</f>
        <v>0</v>
      </c>
      <c r="K3218" s="455">
        <f t="shared" ca="1" si="143"/>
        <v>-1132549297.918649</v>
      </c>
      <c r="L3218" s="455">
        <f t="shared" ca="1" si="144"/>
        <v>-272944380798.39441</v>
      </c>
      <c r="M3218" s="471">
        <f t="shared" si="146"/>
        <v>0.05</v>
      </c>
      <c r="N3218" s="475">
        <f t="shared" si="147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45"/>
        <v>-272944380798.39441</v>
      </c>
      <c r="J3219" s="455">
        <f t="array" ref="J3219">IFERROR(INDEX('Retirement Calculator'!K:K,MATCH('Lorri 401b'!N3219,'Retirement Calculator'!A:A,0),0),0)</f>
        <v>0</v>
      </c>
      <c r="K3219" s="455">
        <f t="shared" ca="1" si="143"/>
        <v>-1137268253.3266435</v>
      </c>
      <c r="L3219" s="455">
        <f t="shared" ca="1" si="144"/>
        <v>-274081649051.72104</v>
      </c>
      <c r="M3219" s="471">
        <f t="shared" si="146"/>
        <v>0.05</v>
      </c>
      <c r="N3219" s="475">
        <f t="shared" si="147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45"/>
        <v>-274081649051.72104</v>
      </c>
      <c r="J3220" s="455">
        <f t="array" ref="J3220">IFERROR(INDEX('Retirement Calculator'!K:K,MATCH('Lorri 401b'!N3220,'Retirement Calculator'!A:A,0),0),0)</f>
        <v>0</v>
      </c>
      <c r="K3220" s="455">
        <f t="shared" ca="1" si="143"/>
        <v>-1142006871.0488374</v>
      </c>
      <c r="L3220" s="455">
        <f t="shared" ca="1" si="144"/>
        <v>-275223655922.7699</v>
      </c>
      <c r="M3220" s="471">
        <f t="shared" si="146"/>
        <v>0.05</v>
      </c>
      <c r="N3220" s="475">
        <f t="shared" si="147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45"/>
        <v>-275223655922.7699</v>
      </c>
      <c r="J3221" s="455">
        <f t="array" ref="J3221">IFERROR(INDEX('Retirement Calculator'!K:K,MATCH('Lorri 401b'!N3221,'Retirement Calculator'!A:A,0),0),0)</f>
        <v>0</v>
      </c>
      <c r="K3221" s="455">
        <f t="shared" ca="1" si="143"/>
        <v>-1146765233.0115411</v>
      </c>
      <c r="L3221" s="455">
        <f t="shared" ca="1" si="144"/>
        <v>-276370421155.78143</v>
      </c>
      <c r="M3221" s="471">
        <f t="shared" si="146"/>
        <v>0.05</v>
      </c>
      <c r="N3221" s="475">
        <f t="shared" si="147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45"/>
        <v>-276370421155.78143</v>
      </c>
      <c r="J3222" s="455">
        <f t="array" ref="J3222">IFERROR(INDEX('Retirement Calculator'!K:K,MATCH('Lorri 401b'!N3222,'Retirement Calculator'!A:A,0),0),0)</f>
        <v>0</v>
      </c>
      <c r="K3222" s="455">
        <f t="shared" ca="1" si="143"/>
        <v>-1151543421.4824226</v>
      </c>
      <c r="L3222" s="455">
        <f t="shared" ca="1" si="144"/>
        <v>-277521964577.26385</v>
      </c>
      <c r="M3222" s="471">
        <f t="shared" si="146"/>
        <v>0.05</v>
      </c>
      <c r="N3222" s="475">
        <f t="shared" si="147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45"/>
        <v>-277521964577.26385</v>
      </c>
      <c r="J3223" s="455">
        <f t="array" ref="J3223">IFERROR(INDEX('Retirement Calculator'!K:K,MATCH('Lorri 401b'!N3223,'Retirement Calculator'!A:A,0),0),0)</f>
        <v>0</v>
      </c>
      <c r="K3223" s="455">
        <f t="shared" ca="1" si="143"/>
        <v>-1156341519.0719328</v>
      </c>
      <c r="L3223" s="455">
        <f t="shared" ca="1" si="144"/>
        <v>-278678306096.33582</v>
      </c>
      <c r="M3223" s="471">
        <f t="shared" si="146"/>
        <v>0.05</v>
      </c>
      <c r="N3223" s="475">
        <f t="shared" si="147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45"/>
        <v>-278678306096.33582</v>
      </c>
      <c r="J3224" s="455">
        <f t="array" ref="J3224">IFERROR(INDEX('Retirement Calculator'!K:K,MATCH('Lorri 401b'!N3224,'Retirement Calculator'!A:A,0),0),0)</f>
        <v>0</v>
      </c>
      <c r="K3224" s="455">
        <f t="shared" ca="1" si="143"/>
        <v>-1161159608.7347326</v>
      </c>
      <c r="L3224" s="455">
        <f t="shared" ca="1" si="144"/>
        <v>-279839465705.07056</v>
      </c>
      <c r="M3224" s="471">
        <f t="shared" si="146"/>
        <v>0.05</v>
      </c>
      <c r="N3224" s="475">
        <f t="shared" si="147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45"/>
        <v>-279839465705.07056</v>
      </c>
      <c r="J3225" s="455">
        <f t="array" ref="J3225">IFERROR(INDEX('Retirement Calculator'!K:K,MATCH('Lorri 401b'!N3225,'Retirement Calculator'!A:A,0),0),0)</f>
        <v>0</v>
      </c>
      <c r="K3225" s="455">
        <f t="shared" ca="1" si="143"/>
        <v>-1165997773.7711272</v>
      </c>
      <c r="L3225" s="455">
        <f t="shared" ca="1" si="144"/>
        <v>-281005463478.84167</v>
      </c>
      <c r="M3225" s="471">
        <f t="shared" si="146"/>
        <v>0.05</v>
      </c>
      <c r="N3225" s="475">
        <f t="shared" si="147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45"/>
        <v>-281005463478.84167</v>
      </c>
      <c r="J3226" s="455">
        <f t="array" ref="J3226">IFERROR(INDEX('Retirement Calculator'!K:K,MATCH('Lorri 401b'!N3226,'Retirement Calculator'!A:A,0),0),0)</f>
        <v>0</v>
      </c>
      <c r="K3226" s="455">
        <f t="shared" ca="1" si="143"/>
        <v>-1170856097.8285069</v>
      </c>
      <c r="L3226" s="455">
        <f t="shared" ca="1" si="144"/>
        <v>-282176319576.67017</v>
      </c>
      <c r="M3226" s="471">
        <f t="shared" si="146"/>
        <v>0.05</v>
      </c>
      <c r="N3226" s="475">
        <f t="shared" si="147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45"/>
        <v>-282176319576.67017</v>
      </c>
      <c r="J3227" s="455">
        <f t="array" ref="J3227">IFERROR(INDEX('Retirement Calculator'!K:K,MATCH('Lorri 401b'!N3227,'Retirement Calculator'!A:A,0),0),0)</f>
        <v>0</v>
      </c>
      <c r="K3227" s="455">
        <f t="shared" ca="1" si="143"/>
        <v>-1175734664.9027925</v>
      </c>
      <c r="L3227" s="455">
        <f t="shared" ca="1" si="144"/>
        <v>-283352054241.57294</v>
      </c>
      <c r="M3227" s="471">
        <f t="shared" si="146"/>
        <v>0.05</v>
      </c>
      <c r="N3227" s="475">
        <f t="shared" si="147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45"/>
        <v>-283352054241.57294</v>
      </c>
      <c r="J3228" s="455">
        <f t="array" ref="J3228">IFERROR(INDEX('Retirement Calculator'!K:K,MATCH('Lorri 401b'!N3228,'Retirement Calculator'!A:A,0),0),0)</f>
        <v>0</v>
      </c>
      <c r="K3228" s="455">
        <f t="shared" ca="1" si="143"/>
        <v>-1180633559.3398871</v>
      </c>
      <c r="L3228" s="455">
        <f t="shared" ca="1" si="144"/>
        <v>-284532687800.91284</v>
      </c>
      <c r="M3228" s="471">
        <f t="shared" si="146"/>
        <v>0.05</v>
      </c>
      <c r="N3228" s="475">
        <f t="shared" si="147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45"/>
        <v>-284532687800.91284</v>
      </c>
      <c r="J3229" s="455">
        <f t="array" ref="J3229">IFERROR(INDEX('Retirement Calculator'!K:K,MATCH('Lorri 401b'!N3229,'Retirement Calculator'!A:A,0),0),0)</f>
        <v>0</v>
      </c>
      <c r="K3229" s="455">
        <f t="shared" ca="1" si="143"/>
        <v>-1185552865.8371367</v>
      </c>
      <c r="L3229" s="455">
        <f t="shared" ca="1" si="144"/>
        <v>-285718240666.75</v>
      </c>
      <c r="M3229" s="471">
        <f t="shared" si="146"/>
        <v>0.05</v>
      </c>
      <c r="N3229" s="475">
        <f t="shared" si="147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45"/>
        <v>-285718240666.75</v>
      </c>
      <c r="J3230" s="455">
        <f t="array" ref="J3230">IFERROR(INDEX('Retirement Calculator'!K:K,MATCH('Lorri 401b'!N3230,'Retirement Calculator'!A:A,0),0),0)</f>
        <v>0</v>
      </c>
      <c r="K3230" s="455">
        <f t="shared" ca="1" si="143"/>
        <v>-1190492669.4447916</v>
      </c>
      <c r="L3230" s="455">
        <f t="shared" ca="1" si="144"/>
        <v>-286908733336.19476</v>
      </c>
      <c r="M3230" s="471">
        <f t="shared" si="146"/>
        <v>0.05</v>
      </c>
      <c r="N3230" s="475">
        <f t="shared" si="147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45"/>
        <v>-286908733336.19476</v>
      </c>
      <c r="J3231" s="455">
        <f t="array" ref="J3231">IFERROR(INDEX('Retirement Calculator'!K:K,MATCH('Lorri 401b'!N3231,'Retirement Calculator'!A:A,0),0),0)</f>
        <v>0</v>
      </c>
      <c r="K3231" s="455">
        <f t="shared" ca="1" si="143"/>
        <v>-1195453055.5674782</v>
      </c>
      <c r="L3231" s="455">
        <f t="shared" ca="1" si="144"/>
        <v>-288104186391.76227</v>
      </c>
      <c r="M3231" s="471">
        <f t="shared" si="146"/>
        <v>0.05</v>
      </c>
      <c r="N3231" s="475">
        <f t="shared" si="147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45"/>
        <v>-288104186391.76227</v>
      </c>
      <c r="J3232" s="455">
        <f t="array" ref="J3232">IFERROR(INDEX('Retirement Calculator'!K:K,MATCH('Lorri 401b'!N3232,'Retirement Calculator'!A:A,0),0),0)</f>
        <v>0</v>
      </c>
      <c r="K3232" s="455">
        <f t="shared" ca="1" si="143"/>
        <v>-1200434109.9656761</v>
      </c>
      <c r="L3232" s="455">
        <f t="shared" ca="1" si="144"/>
        <v>-289304620501.72797</v>
      </c>
      <c r="M3232" s="471">
        <f t="shared" si="146"/>
        <v>0.05</v>
      </c>
      <c r="N3232" s="475">
        <f t="shared" si="147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45"/>
        <v>-289304620501.72797</v>
      </c>
      <c r="J3233" s="455">
        <f t="array" ref="J3233">IFERROR(INDEX('Retirement Calculator'!K:K,MATCH('Lorri 401b'!N3233,'Retirement Calculator'!A:A,0),0),0)</f>
        <v>0</v>
      </c>
      <c r="K3233" s="455">
        <f t="shared" ca="1" si="143"/>
        <v>-1205435918.7571998</v>
      </c>
      <c r="L3233" s="455">
        <f t="shared" ca="1" si="144"/>
        <v>-290510056420.48517</v>
      </c>
      <c r="M3233" s="471">
        <f t="shared" si="146"/>
        <v>0.05</v>
      </c>
      <c r="N3233" s="475">
        <f t="shared" si="147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45"/>
        <v>-290510056420.48517</v>
      </c>
      <c r="J3234" s="455">
        <f t="array" ref="J3234">IFERROR(INDEX('Retirement Calculator'!K:K,MATCH('Lorri 401b'!N3234,'Retirement Calculator'!A:A,0),0),0)</f>
        <v>0</v>
      </c>
      <c r="K3234" s="455">
        <f t="shared" ca="1" si="143"/>
        <v>-1210458568.4186883</v>
      </c>
      <c r="L3234" s="455">
        <f t="shared" ca="1" si="144"/>
        <v>-291720514988.90387</v>
      </c>
      <c r="M3234" s="471">
        <f t="shared" si="146"/>
        <v>0.05</v>
      </c>
      <c r="N3234" s="475">
        <f t="shared" si="147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45"/>
        <v>-291720514988.90387</v>
      </c>
      <c r="J3235" s="455">
        <f t="array" ref="J3235">IFERROR(INDEX('Retirement Calculator'!K:K,MATCH('Lorri 401b'!N3235,'Retirement Calculator'!A:A,0),0),0)</f>
        <v>0</v>
      </c>
      <c r="K3235" s="455">
        <f t="shared" ca="1" si="143"/>
        <v>-1215502145.7870994</v>
      </c>
      <c r="L3235" s="455">
        <f t="shared" ca="1" si="144"/>
        <v>-292936017134.69098</v>
      </c>
      <c r="M3235" s="471">
        <f t="shared" si="146"/>
        <v>0.05</v>
      </c>
      <c r="N3235" s="475">
        <f t="shared" si="147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45"/>
        <v>-292936017134.69098</v>
      </c>
      <c r="J3236" s="455">
        <f t="array" ref="J3236">IFERROR(INDEX('Retirement Calculator'!K:K,MATCH('Lorri 401b'!N3236,'Retirement Calculator'!A:A,0),0),0)</f>
        <v>0</v>
      </c>
      <c r="K3236" s="455">
        <f t="shared" ca="1" si="143"/>
        <v>-1220566738.0612123</v>
      </c>
      <c r="L3236" s="455">
        <f t="shared" ca="1" si="144"/>
        <v>-294156583872.7522</v>
      </c>
      <c r="M3236" s="471">
        <f t="shared" si="146"/>
        <v>0.05</v>
      </c>
      <c r="N3236" s="475">
        <f t="shared" si="147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45"/>
        <v>-294156583872.7522</v>
      </c>
      <c r="J3237" s="455">
        <f t="array" ref="J3237">IFERROR(INDEX('Retirement Calculator'!K:K,MATCH('Lorri 401b'!N3237,'Retirement Calculator'!A:A,0),0),0)</f>
        <v>0</v>
      </c>
      <c r="K3237" s="455">
        <f t="shared" ca="1" si="143"/>
        <v>-1225652432.8031342</v>
      </c>
      <c r="L3237" s="455">
        <f t="shared" ca="1" si="144"/>
        <v>-295382236305.55536</v>
      </c>
      <c r="M3237" s="471">
        <f t="shared" si="146"/>
        <v>0.05</v>
      </c>
      <c r="N3237" s="475">
        <f t="shared" si="147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45"/>
        <v>-295382236305.55536</v>
      </c>
      <c r="J3238" s="455">
        <f t="array" ref="J3238">IFERROR(INDEX('Retirement Calculator'!K:K,MATCH('Lorri 401b'!N3238,'Retirement Calculator'!A:A,0),0),0)</f>
        <v>0</v>
      </c>
      <c r="K3238" s="455">
        <f t="shared" ca="1" si="143"/>
        <v>-1230759317.9398141</v>
      </c>
      <c r="L3238" s="455">
        <f t="shared" ca="1" si="144"/>
        <v>-296612995623.49518</v>
      </c>
      <c r="M3238" s="471">
        <f t="shared" si="146"/>
        <v>0.05</v>
      </c>
      <c r="N3238" s="475">
        <f t="shared" si="147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45"/>
        <v>-296612995623.49518</v>
      </c>
      <c r="J3239" s="455">
        <f t="array" ref="J3239">IFERROR(INDEX('Retirement Calculator'!K:K,MATCH('Lorri 401b'!N3239,'Retirement Calculator'!A:A,0),0),0)</f>
        <v>0</v>
      </c>
      <c r="K3239" s="455">
        <f t="shared" ca="1" si="143"/>
        <v>-1235887481.7645633</v>
      </c>
      <c r="L3239" s="455">
        <f t="shared" ca="1" si="144"/>
        <v>-297848883105.25977</v>
      </c>
      <c r="M3239" s="471">
        <f t="shared" si="146"/>
        <v>0.05</v>
      </c>
      <c r="N3239" s="475">
        <f t="shared" si="147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45"/>
        <v>-297848883105.25977</v>
      </c>
      <c r="J3240" s="455">
        <f t="array" ref="J3240">IFERROR(INDEX('Retirement Calculator'!K:K,MATCH('Lorri 401b'!N3240,'Retirement Calculator'!A:A,0),0),0)</f>
        <v>0</v>
      </c>
      <c r="K3240" s="455">
        <f t="shared" ca="1" si="143"/>
        <v>-1241037012.9385824</v>
      </c>
      <c r="L3240" s="455">
        <f t="shared" ca="1" si="144"/>
        <v>-299089920118.19836</v>
      </c>
      <c r="M3240" s="471">
        <f t="shared" si="146"/>
        <v>0.05</v>
      </c>
      <c r="N3240" s="475">
        <f t="shared" si="147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45"/>
        <v>-299089920118.19836</v>
      </c>
      <c r="J3241" s="455">
        <f t="array" ref="J3241">IFERROR(INDEX('Retirement Calculator'!K:K,MATCH('Lorri 401b'!N3241,'Retirement Calculator'!A:A,0),0),0)</f>
        <v>0</v>
      </c>
      <c r="K3241" s="455">
        <f t="shared" ca="1" si="143"/>
        <v>-1246208000.4924932</v>
      </c>
      <c r="L3241" s="455">
        <f t="shared" ca="1" si="144"/>
        <v>-300336128118.69086</v>
      </c>
      <c r="M3241" s="471">
        <f t="shared" si="146"/>
        <v>0.05</v>
      </c>
      <c r="N3241" s="475">
        <f t="shared" si="147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45"/>
        <v>-300336128118.69086</v>
      </c>
      <c r="J3242" s="455">
        <f t="array" ref="J3242">IFERROR(INDEX('Retirement Calculator'!K:K,MATCH('Lorri 401b'!N3242,'Retirement Calculator'!A:A,0),0),0)</f>
        <v>0</v>
      </c>
      <c r="K3242" s="455">
        <f t="shared" ca="1" si="143"/>
        <v>-1251400533.8278785</v>
      </c>
      <c r="L3242" s="455">
        <f t="shared" ca="1" si="144"/>
        <v>-301587528652.51874</v>
      </c>
      <c r="M3242" s="471">
        <f t="shared" si="146"/>
        <v>0.05</v>
      </c>
      <c r="N3242" s="475">
        <f t="shared" si="147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45"/>
        <v>-301587528652.51874</v>
      </c>
      <c r="J3243" s="455">
        <f t="array" ref="J3243">IFERROR(INDEX('Retirement Calculator'!K:K,MATCH('Lorri 401b'!N3243,'Retirement Calculator'!A:A,0),0),0)</f>
        <v>0</v>
      </c>
      <c r="K3243" s="455">
        <f t="shared" ca="1" si="143"/>
        <v>-1256614702.718828</v>
      </c>
      <c r="L3243" s="455">
        <f t="shared" ca="1" si="144"/>
        <v>-302844143355.23755</v>
      </c>
      <c r="M3243" s="471">
        <f t="shared" si="146"/>
        <v>0.05</v>
      </c>
      <c r="N3243" s="475">
        <f t="shared" si="147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45"/>
        <v>-302844143355.23755</v>
      </c>
      <c r="J3244" s="455">
        <f t="array" ref="J3244">IFERROR(INDEX('Retirement Calculator'!K:K,MATCH('Lorri 401b'!N3244,'Retirement Calculator'!A:A,0),0),0)</f>
        <v>0</v>
      </c>
      <c r="K3244" s="455">
        <f t="shared" ca="1" si="143"/>
        <v>-1261850597.3134897</v>
      </c>
      <c r="L3244" s="455">
        <f t="shared" ca="1" si="144"/>
        <v>-304105993952.55103</v>
      </c>
      <c r="M3244" s="471">
        <f t="shared" si="146"/>
        <v>0.05</v>
      </c>
      <c r="N3244" s="475">
        <f t="shared" si="147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45"/>
        <v>-304105993952.55103</v>
      </c>
      <c r="J3245" s="455">
        <f t="array" ref="J3245">IFERROR(INDEX('Retirement Calculator'!K:K,MATCH('Lorri 401b'!N3245,'Retirement Calculator'!A:A,0),0),0)</f>
        <v>0</v>
      </c>
      <c r="K3245" s="455">
        <f t="shared" ca="1" si="143"/>
        <v>-1267108308.1356292</v>
      </c>
      <c r="L3245" s="455">
        <f t="shared" ca="1" si="144"/>
        <v>-305373102260.68665</v>
      </c>
      <c r="M3245" s="471">
        <f t="shared" si="146"/>
        <v>0.05</v>
      </c>
      <c r="N3245" s="475">
        <f t="shared" si="147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45"/>
        <v>-305373102260.68665</v>
      </c>
      <c r="J3246" s="455">
        <f t="array" ref="J3246">IFERROR(INDEX('Retirement Calculator'!K:K,MATCH('Lorri 401b'!N3246,'Retirement Calculator'!A:A,0),0),0)</f>
        <v>0</v>
      </c>
      <c r="K3246" s="455">
        <f t="shared" ca="1" si="143"/>
        <v>-1272387926.0861943</v>
      </c>
      <c r="L3246" s="455">
        <f t="shared" ca="1" si="144"/>
        <v>-306645490186.77283</v>
      </c>
      <c r="M3246" s="471">
        <f t="shared" si="146"/>
        <v>0.05</v>
      </c>
      <c r="N3246" s="475">
        <f t="shared" si="147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45"/>
        <v>-306645490186.77283</v>
      </c>
      <c r="J3247" s="455">
        <f t="array" ref="J3247">IFERROR(INDEX('Retirement Calculator'!K:K,MATCH('Lorri 401b'!N3247,'Retirement Calculator'!A:A,0),0),0)</f>
        <v>0</v>
      </c>
      <c r="K3247" s="455">
        <f t="shared" ca="1" si="143"/>
        <v>-1277689542.4448867</v>
      </c>
      <c r="L3247" s="455">
        <f t="shared" ca="1" si="144"/>
        <v>-307923179729.21771</v>
      </c>
      <c r="M3247" s="471">
        <f t="shared" si="146"/>
        <v>0.05</v>
      </c>
      <c r="N3247" s="475">
        <f t="shared" si="147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45"/>
        <v>-307923179729.21771</v>
      </c>
      <c r="J3248" s="455">
        <f t="array" ref="J3248">IFERROR(INDEX('Retirement Calculator'!K:K,MATCH('Lorri 401b'!N3248,'Retirement Calculator'!A:A,0),0),0)</f>
        <v>0</v>
      </c>
      <c r="K3248" s="455">
        <f t="shared" ca="1" si="143"/>
        <v>-1283013248.8717403</v>
      </c>
      <c r="L3248" s="455">
        <f t="shared" ca="1" si="144"/>
        <v>-309206192978.08948</v>
      </c>
      <c r="M3248" s="471">
        <f t="shared" si="146"/>
        <v>0.05</v>
      </c>
      <c r="N3248" s="475">
        <f t="shared" si="147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45"/>
        <v>-309206192978.08948</v>
      </c>
      <c r="J3249" s="455">
        <f t="array" ref="J3249">IFERROR(INDEX('Retirement Calculator'!K:K,MATCH('Lorri 401b'!N3249,'Retirement Calculator'!A:A,0),0),0)</f>
        <v>0</v>
      </c>
      <c r="K3249" s="455">
        <f t="shared" ca="1" si="143"/>
        <v>-1288359137.4087062</v>
      </c>
      <c r="L3249" s="455">
        <f t="shared" ca="1" si="144"/>
        <v>-310494552115.49817</v>
      </c>
      <c r="M3249" s="471">
        <f t="shared" si="146"/>
        <v>0.05</v>
      </c>
      <c r="N3249" s="475">
        <f t="shared" si="147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45"/>
        <v>-310494552115.49817</v>
      </c>
      <c r="J3250" s="455">
        <f t="array" ref="J3250">IFERROR(INDEX('Retirement Calculator'!K:K,MATCH('Lorri 401b'!N3250,'Retirement Calculator'!A:A,0),0),0)</f>
        <v>0</v>
      </c>
      <c r="K3250" s="455">
        <f t="shared" ca="1" si="143"/>
        <v>-1293727300.4812424</v>
      </c>
      <c r="L3250" s="455">
        <f t="shared" ca="1" si="144"/>
        <v>-311788279415.97943</v>
      </c>
      <c r="M3250" s="471">
        <f t="shared" si="146"/>
        <v>0.05</v>
      </c>
      <c r="N3250" s="475">
        <f t="shared" si="147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45"/>
        <v>-311788279415.97943</v>
      </c>
      <c r="J3251" s="455">
        <f t="array" ref="J3251">IFERROR(INDEX('Retirement Calculator'!K:K,MATCH('Lorri 401b'!N3251,'Retirement Calculator'!A:A,0),0),0)</f>
        <v>0</v>
      </c>
      <c r="K3251" s="455">
        <f t="shared" ca="1" si="143"/>
        <v>-1299117830.8999143</v>
      </c>
      <c r="L3251" s="455">
        <f t="shared" ca="1" si="144"/>
        <v>-313087397246.87933</v>
      </c>
      <c r="M3251" s="471">
        <f t="shared" si="146"/>
        <v>0.05</v>
      </c>
      <c r="N3251" s="475">
        <f t="shared" si="147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45"/>
        <v>-313087397246.87933</v>
      </c>
      <c r="J3252" s="455">
        <f t="array" ref="J3252">IFERROR(INDEX('Retirement Calculator'!K:K,MATCH('Lorri 401b'!N3252,'Retirement Calculator'!A:A,0),0),0)</f>
        <v>0</v>
      </c>
      <c r="K3252" s="455">
        <f t="shared" ca="1" si="143"/>
        <v>-1304530821.8619971</v>
      </c>
      <c r="L3252" s="455">
        <f t="shared" ca="1" si="144"/>
        <v>-314391928068.74133</v>
      </c>
      <c r="M3252" s="471">
        <f t="shared" si="146"/>
        <v>0.05</v>
      </c>
      <c r="N3252" s="475">
        <f t="shared" si="147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45"/>
        <v>-314391928068.74133</v>
      </c>
      <c r="J3253" s="455">
        <f t="array" ref="J3253">IFERROR(INDEX('Retirement Calculator'!K:K,MATCH('Lorri 401b'!N3253,'Retirement Calculator'!A:A,0),0),0)</f>
        <v>0</v>
      </c>
      <c r="K3253" s="455">
        <f t="shared" ca="1" si="143"/>
        <v>-1309966366.9530888</v>
      </c>
      <c r="L3253" s="455">
        <f t="shared" ca="1" si="144"/>
        <v>-315701894435.6944</v>
      </c>
      <c r="M3253" s="471">
        <f t="shared" si="146"/>
        <v>0.05</v>
      </c>
      <c r="N3253" s="475">
        <f t="shared" si="147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45"/>
        <v>-315701894435.6944</v>
      </c>
      <c r="J3254" s="455">
        <f t="array" ref="J3254">IFERROR(INDEX('Retirement Calculator'!K:K,MATCH('Lorri 401b'!N3254,'Retirement Calculator'!A:A,0),0),0)</f>
        <v>0</v>
      </c>
      <c r="K3254" s="455">
        <f t="shared" ca="1" si="143"/>
        <v>-1315424560.1487267</v>
      </c>
      <c r="L3254" s="455">
        <f t="shared" ca="1" si="144"/>
        <v>-317017318995.84314</v>
      </c>
      <c r="M3254" s="471">
        <f t="shared" si="146"/>
        <v>0.05</v>
      </c>
      <c r="N3254" s="475">
        <f t="shared" si="147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45"/>
        <v>-317017318995.84314</v>
      </c>
      <c r="J3255" s="455">
        <f t="array" ref="J3255">IFERROR(INDEX('Retirement Calculator'!K:K,MATCH('Lorri 401b'!N3255,'Retirement Calculator'!A:A,0),0),0)</f>
        <v>0</v>
      </c>
      <c r="K3255" s="455">
        <f t="shared" ca="1" si="143"/>
        <v>-1320905495.8160131</v>
      </c>
      <c r="L3255" s="455">
        <f t="shared" ca="1" si="144"/>
        <v>-318338224491.65918</v>
      </c>
      <c r="M3255" s="471">
        <f t="shared" si="146"/>
        <v>0.05</v>
      </c>
      <c r="N3255" s="475">
        <f t="shared" si="147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45"/>
        <v>-318338224491.65918</v>
      </c>
      <c r="J3256" s="455">
        <f t="array" ref="J3256">IFERROR(INDEX('Retirement Calculator'!K:K,MATCH('Lorri 401b'!N3256,'Retirement Calculator'!A:A,0),0),0)</f>
        <v>0</v>
      </c>
      <c r="K3256" s="455">
        <f t="shared" ca="1" si="143"/>
        <v>-1326409268.7152467</v>
      </c>
      <c r="L3256" s="455">
        <f t="shared" ca="1" si="144"/>
        <v>-319664633760.37445</v>
      </c>
      <c r="M3256" s="471">
        <f t="shared" si="146"/>
        <v>0.05</v>
      </c>
      <c r="N3256" s="475">
        <f t="shared" si="147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45"/>
        <v>-319664633760.37445</v>
      </c>
      <c r="J3257" s="455">
        <f t="array" ref="J3257">IFERROR(INDEX('Retirement Calculator'!K:K,MATCH('Lorri 401b'!N3257,'Retirement Calculator'!A:A,0),0),0)</f>
        <v>0</v>
      </c>
      <c r="K3257" s="455">
        <f t="shared" ca="1" si="143"/>
        <v>-1331935974.0015602</v>
      </c>
      <c r="L3257" s="455">
        <f t="shared" ca="1" si="144"/>
        <v>-320996569734.37604</v>
      </c>
      <c r="M3257" s="471">
        <f t="shared" si="146"/>
        <v>0.05</v>
      </c>
      <c r="N3257" s="475">
        <f t="shared" si="147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45"/>
        <v>-320996569734.37604</v>
      </c>
      <c r="J3258" s="455">
        <f t="array" ref="J3258">IFERROR(INDEX('Retirement Calculator'!K:K,MATCH('Lorri 401b'!N3258,'Retirement Calculator'!A:A,0),0),0)</f>
        <v>0</v>
      </c>
      <c r="K3258" s="455">
        <f t="shared" ca="1" si="143"/>
        <v>-1337485707.2265668</v>
      </c>
      <c r="L3258" s="455">
        <f t="shared" ca="1" si="144"/>
        <v>-322334055441.6026</v>
      </c>
      <c r="M3258" s="471">
        <f t="shared" si="146"/>
        <v>0.05</v>
      </c>
      <c r="N3258" s="475">
        <f t="shared" si="147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45"/>
        <v>-322334055441.6026</v>
      </c>
      <c r="J3259" s="455">
        <f t="array" ref="J3259">IFERROR(INDEX('Retirement Calculator'!K:K,MATCH('Lorri 401b'!N3259,'Retirement Calculator'!A:A,0),0),0)</f>
        <v>0</v>
      </c>
      <c r="K3259" s="455">
        <f t="shared" ca="1" si="143"/>
        <v>-1343058564.3400109</v>
      </c>
      <c r="L3259" s="455">
        <f t="shared" ca="1" si="144"/>
        <v>-323677114005.94263</v>
      </c>
      <c r="M3259" s="471">
        <f t="shared" si="146"/>
        <v>0.05</v>
      </c>
      <c r="N3259" s="475">
        <f t="shared" si="147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45"/>
        <v>-323677114005.94263</v>
      </c>
      <c r="J3260" s="455">
        <f t="array" ref="J3260">IFERROR(INDEX('Retirement Calculator'!K:K,MATCH('Lorri 401b'!N3260,'Retirement Calculator'!A:A,0),0),0)</f>
        <v>0</v>
      </c>
      <c r="K3260" s="455">
        <f t="shared" ca="1" si="143"/>
        <v>-1348654641.6914277</v>
      </c>
      <c r="L3260" s="455">
        <f t="shared" ca="1" si="144"/>
        <v>-325025768647.63403</v>
      </c>
      <c r="M3260" s="471">
        <f t="shared" si="146"/>
        <v>0.05</v>
      </c>
      <c r="N3260" s="475">
        <f t="shared" si="147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45"/>
        <v>-325025768647.63403</v>
      </c>
      <c r="J3261" s="455">
        <f t="array" ref="J3261">IFERROR(INDEX('Retirement Calculator'!K:K,MATCH('Lorri 401b'!N3261,'Retirement Calculator'!A:A,0),0),0)</f>
        <v>0</v>
      </c>
      <c r="K3261" s="455">
        <f t="shared" ca="1" si="143"/>
        <v>-1354274036.0318084</v>
      </c>
      <c r="L3261" s="455">
        <f t="shared" ca="1" si="144"/>
        <v>-326380042683.66583</v>
      </c>
      <c r="M3261" s="471">
        <f t="shared" si="146"/>
        <v>0.05</v>
      </c>
      <c r="N3261" s="475">
        <f t="shared" si="147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45"/>
        <v>-326380042683.66583</v>
      </c>
      <c r="J3262" s="455">
        <f t="array" ref="J3262">IFERROR(INDEX('Retirement Calculator'!K:K,MATCH('Lorri 401b'!N3262,'Retirement Calculator'!A:A,0),0),0)</f>
        <v>0</v>
      </c>
      <c r="K3262" s="455">
        <f t="shared" ca="1" si="143"/>
        <v>-1359916844.5152743</v>
      </c>
      <c r="L3262" s="455">
        <f t="shared" ca="1" si="144"/>
        <v>-327739959528.18109</v>
      </c>
      <c r="M3262" s="471">
        <f t="shared" si="146"/>
        <v>0.05</v>
      </c>
      <c r="N3262" s="475">
        <f t="shared" si="147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45"/>
        <v>-327739959528.18109</v>
      </c>
      <c r="J3263" s="455">
        <f t="array" ref="J3263">IFERROR(INDEX('Retirement Calculator'!K:K,MATCH('Lorri 401b'!N3263,'Retirement Calculator'!A:A,0),0),0)</f>
        <v>0</v>
      </c>
      <c r="K3263" s="455">
        <f t="shared" ca="1" si="143"/>
        <v>-1365583164.7007546</v>
      </c>
      <c r="L3263" s="455">
        <f t="shared" ca="1" si="144"/>
        <v>-329105542692.88184</v>
      </c>
      <c r="M3263" s="471">
        <f t="shared" si="146"/>
        <v>0.05</v>
      </c>
      <c r="N3263" s="475">
        <f t="shared" si="147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45"/>
        <v>-329105542692.88184</v>
      </c>
      <c r="J3264" s="455">
        <f t="array" ref="J3264">IFERROR(INDEX('Retirement Calculator'!K:K,MATCH('Lorri 401b'!N3264,'Retirement Calculator'!A:A,0),0),0)</f>
        <v>0</v>
      </c>
      <c r="K3264" s="455">
        <f t="shared" ca="1" si="143"/>
        <v>-1371273094.5536742</v>
      </c>
      <c r="L3264" s="455">
        <f t="shared" ca="1" si="144"/>
        <v>-330476815787.43549</v>
      </c>
      <c r="M3264" s="471">
        <f t="shared" si="146"/>
        <v>0.05</v>
      </c>
      <c r="N3264" s="475">
        <f t="shared" si="147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45"/>
        <v>-330476815787.43549</v>
      </c>
      <c r="J3265" s="455">
        <f t="array" ref="J3265">IFERROR(INDEX('Retirement Calculator'!K:K,MATCH('Lorri 401b'!N3265,'Retirement Calculator'!A:A,0),0),0)</f>
        <v>0</v>
      </c>
      <c r="K3265" s="455">
        <f t="shared" ca="1" si="143"/>
        <v>-1376986732.4476478</v>
      </c>
      <c r="L3265" s="455">
        <f t="shared" ca="1" si="144"/>
        <v>-331853802519.88312</v>
      </c>
      <c r="M3265" s="471">
        <f t="shared" si="146"/>
        <v>0.05</v>
      </c>
      <c r="N3265" s="475">
        <f t="shared" si="147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45"/>
        <v>-331853802519.88312</v>
      </c>
      <c r="J3266" s="455">
        <f t="array" ref="J3266">IFERROR(INDEX('Retirement Calculator'!K:K,MATCH('Lorri 401b'!N3266,'Retirement Calculator'!A:A,0),0),0)</f>
        <v>0</v>
      </c>
      <c r="K3266" s="455">
        <f t="shared" ca="1" si="143"/>
        <v>-1382724177.1661797</v>
      </c>
      <c r="L3266" s="455">
        <f t="shared" ca="1" si="144"/>
        <v>-333236526697.04932</v>
      </c>
      <c r="M3266" s="471">
        <f t="shared" si="146"/>
        <v>0.05</v>
      </c>
      <c r="N3266" s="475">
        <f t="shared" si="147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45"/>
        <v>-333236526697.04932</v>
      </c>
      <c r="J3267" s="455">
        <f t="array" ref="J3267">IFERROR(INDEX('Retirement Calculator'!K:K,MATCH('Lorri 401b'!N3267,'Retirement Calculator'!A:A,0),0),0)</f>
        <v>0</v>
      </c>
      <c r="K3267" s="455">
        <f t="shared" ca="1" si="143"/>
        <v>-1388485527.9043722</v>
      </c>
      <c r="L3267" s="455">
        <f t="shared" ca="1" si="144"/>
        <v>-334625012224.95367</v>
      </c>
      <c r="M3267" s="471">
        <f t="shared" si="146"/>
        <v>0.05</v>
      </c>
      <c r="N3267" s="475">
        <f t="shared" si="147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45"/>
        <v>-334625012224.95367</v>
      </c>
      <c r="J3268" s="455">
        <f t="array" ref="J3268">IFERROR(INDEX('Retirement Calculator'!K:K,MATCH('Lorri 401b'!N3268,'Retirement Calculator'!A:A,0),0),0)</f>
        <v>0</v>
      </c>
      <c r="K3268" s="455">
        <f t="shared" ca="1" si="143"/>
        <v>-1394270884.2706404</v>
      </c>
      <c r="L3268" s="455">
        <f t="shared" ca="1" si="144"/>
        <v>-336019283109.2243</v>
      </c>
      <c r="M3268" s="471">
        <f t="shared" si="146"/>
        <v>0.05</v>
      </c>
      <c r="N3268" s="475">
        <f t="shared" si="147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45"/>
        <v>-336019283109.2243</v>
      </c>
      <c r="J3269" s="455">
        <f t="array" ref="J3269">IFERROR(INDEX('Retirement Calculator'!K:K,MATCH('Lorri 401b'!N3269,'Retirement Calculator'!A:A,0),0),0)</f>
        <v>0</v>
      </c>
      <c r="K3269" s="455">
        <f t="shared" ca="1" si="143"/>
        <v>-1400080346.2884345</v>
      </c>
      <c r="L3269" s="455">
        <f t="shared" ca="1" si="144"/>
        <v>-337419363455.51276</v>
      </c>
      <c r="M3269" s="471">
        <f t="shared" si="146"/>
        <v>0.05</v>
      </c>
      <c r="N3269" s="475">
        <f t="shared" si="147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45"/>
        <v>-337419363455.51276</v>
      </c>
      <c r="J3270" s="455">
        <f t="array" ref="J3270">IFERROR(INDEX('Retirement Calculator'!K:K,MATCH('Lorri 401b'!N3270,'Retirement Calculator'!A:A,0),0),0)</f>
        <v>0</v>
      </c>
      <c r="K3270" s="455">
        <f t="shared" ca="1" si="143"/>
        <v>-1405914014.3979697</v>
      </c>
      <c r="L3270" s="455">
        <f t="shared" ca="1" si="144"/>
        <v>-338825277469.91071</v>
      </c>
      <c r="M3270" s="471">
        <f t="shared" si="146"/>
        <v>0.05</v>
      </c>
      <c r="N3270" s="475">
        <f t="shared" si="147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45"/>
        <v>-338825277469.91071</v>
      </c>
      <c r="J3271" s="455">
        <f t="array" ref="J3271">IFERROR(INDEX('Retirement Calculator'!K:K,MATCH('Lorri 401b'!N3271,'Retirement Calculator'!A:A,0),0),0)</f>
        <v>0</v>
      </c>
      <c r="K3271" s="455">
        <f t="shared" ca="1" si="143"/>
        <v>-1411771989.4579613</v>
      </c>
      <c r="L3271" s="455">
        <f t="shared" ca="1" si="144"/>
        <v>-340237049459.36865</v>
      </c>
      <c r="M3271" s="471">
        <f t="shared" si="146"/>
        <v>0.05</v>
      </c>
      <c r="N3271" s="475">
        <f t="shared" si="147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45"/>
        <v>-340237049459.36865</v>
      </c>
      <c r="J3272" s="455">
        <f t="array" ref="J3272">IFERROR(INDEX('Retirement Calculator'!K:K,MATCH('Lorri 401b'!N3272,'Retirement Calculator'!A:A,0),0),0)</f>
        <v>0</v>
      </c>
      <c r="K3272" s="455">
        <f t="shared" ca="1" si="143"/>
        <v>-1417654372.7473693</v>
      </c>
      <c r="L3272" s="455">
        <f t="shared" ca="1" si="144"/>
        <v>-341654703832.11603</v>
      </c>
      <c r="M3272" s="471">
        <f t="shared" si="146"/>
        <v>0.05</v>
      </c>
      <c r="N3272" s="475">
        <f t="shared" si="147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45"/>
        <v>-341654703832.11603</v>
      </c>
      <c r="J3273" s="455">
        <f t="array" ref="J3273">IFERROR(INDEX('Retirement Calculator'!K:K,MATCH('Lorri 401b'!N3273,'Retirement Calculator'!A:A,0),0),0)</f>
        <v>0</v>
      </c>
      <c r="K3273" s="455">
        <f t="shared" ca="1" si="143"/>
        <v>-1423561265.9671502</v>
      </c>
      <c r="L3273" s="455">
        <f t="shared" ca="1" si="144"/>
        <v>-343078265098.08319</v>
      </c>
      <c r="M3273" s="471">
        <f t="shared" si="146"/>
        <v>0.05</v>
      </c>
      <c r="N3273" s="475">
        <f t="shared" si="147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45"/>
        <v>-343078265098.08319</v>
      </c>
      <c r="J3274" s="455">
        <f t="array" ref="J3274">IFERROR(INDEX('Retirement Calculator'!K:K,MATCH('Lorri 401b'!N3274,'Retirement Calculator'!A:A,0),0),0)</f>
        <v>0</v>
      </c>
      <c r="K3274" s="455">
        <f t="shared" ca="1" si="143"/>
        <v>-1429492771.2420132</v>
      </c>
      <c r="L3274" s="455">
        <f t="shared" ca="1" si="144"/>
        <v>-344507757869.3252</v>
      </c>
      <c r="M3274" s="471">
        <f t="shared" si="146"/>
        <v>0.05</v>
      </c>
      <c r="N3274" s="475">
        <f t="shared" si="147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45"/>
        <v>-344507757869.3252</v>
      </c>
      <c r="J3275" s="455">
        <f t="array" ref="J3275">IFERROR(INDEX('Retirement Calculator'!K:K,MATCH('Lorri 401b'!N3275,'Retirement Calculator'!A:A,0),0),0)</f>
        <v>0</v>
      </c>
      <c r="K3275" s="455">
        <f t="shared" ca="1" si="143"/>
        <v>-1435448991.1221883</v>
      </c>
      <c r="L3275" s="455">
        <f t="shared" ca="1" si="144"/>
        <v>-345943206860.44739</v>
      </c>
      <c r="M3275" s="471">
        <f t="shared" si="146"/>
        <v>0.05</v>
      </c>
      <c r="N3275" s="475">
        <f t="shared" si="147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45"/>
        <v>-345943206860.44739</v>
      </c>
      <c r="J3276" s="455">
        <f t="array" ref="J3276">IFERROR(INDEX('Retirement Calculator'!K:K,MATCH('Lorri 401b'!N3276,'Retirement Calculator'!A:A,0),0),0)</f>
        <v>0</v>
      </c>
      <c r="K3276" s="455">
        <f t="shared" ca="1" si="143"/>
        <v>-1441430028.5851974</v>
      </c>
      <c r="L3276" s="455">
        <f t="shared" ca="1" si="144"/>
        <v>-347384636889.03259</v>
      </c>
      <c r="M3276" s="471">
        <f t="shared" si="146"/>
        <v>0.05</v>
      </c>
      <c r="N3276" s="475">
        <f t="shared" si="147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45"/>
        <v>-347384636889.03259</v>
      </c>
      <c r="J3277" s="455">
        <f t="array" ref="J3277">IFERROR(INDEX('Retirement Calculator'!K:K,MATCH('Lorri 401b'!N3277,'Retirement Calculator'!A:A,0),0),0)</f>
        <v>0</v>
      </c>
      <c r="K3277" s="455">
        <f t="shared" ca="1" si="143"/>
        <v>-1447435987.0376358</v>
      </c>
      <c r="L3277" s="455">
        <f t="shared" ca="1" si="144"/>
        <v>-348832072876.07025</v>
      </c>
      <c r="M3277" s="471">
        <f t="shared" si="146"/>
        <v>0.05</v>
      </c>
      <c r="N3277" s="475">
        <f t="shared" si="147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45"/>
        <v>-348832072876.07025</v>
      </c>
      <c r="J3278" s="455">
        <f t="array" ref="J3278">IFERROR(INDEX('Retirement Calculator'!K:K,MATCH('Lorri 401b'!N3278,'Retirement Calculator'!A:A,0),0),0)</f>
        <v>0</v>
      </c>
      <c r="K3278" s="455">
        <f t="shared" ca="1" si="143"/>
        <v>-1453466970.3169594</v>
      </c>
      <c r="L3278" s="455">
        <f t="shared" ca="1" si="144"/>
        <v>-350285539846.38721</v>
      </c>
      <c r="M3278" s="471">
        <f t="shared" si="146"/>
        <v>0.05</v>
      </c>
      <c r="N3278" s="475">
        <f t="shared" si="147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45"/>
        <v>-350285539846.38721</v>
      </c>
      <c r="J3279" s="455">
        <f t="array" ref="J3279">IFERROR(INDEX('Retirement Calculator'!K:K,MATCH('Lorri 401b'!N3279,'Retirement Calculator'!A:A,0),0),0)</f>
        <v>0</v>
      </c>
      <c r="K3279" s="455">
        <f t="shared" ca="1" si="143"/>
        <v>-1459523082.69328</v>
      </c>
      <c r="L3279" s="455">
        <f t="shared" ca="1" si="144"/>
        <v>-351745062929.08051</v>
      </c>
      <c r="M3279" s="471">
        <f t="shared" si="146"/>
        <v>0.05</v>
      </c>
      <c r="N3279" s="475">
        <f t="shared" si="147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45"/>
        <v>-351745062929.08051</v>
      </c>
      <c r="J3280" s="455">
        <f t="array" ref="J3280">IFERROR(INDEX('Retirement Calculator'!K:K,MATCH('Lorri 401b'!N3280,'Retirement Calculator'!A:A,0),0),0)</f>
        <v>0</v>
      </c>
      <c r="K3280" s="455">
        <f t="shared" ca="1" si="143"/>
        <v>-1465604428.8711689</v>
      </c>
      <c r="L3280" s="455">
        <f t="shared" ca="1" si="144"/>
        <v>-353210667357.95166</v>
      </c>
      <c r="M3280" s="471">
        <f t="shared" si="146"/>
        <v>0.05</v>
      </c>
      <c r="N3280" s="475">
        <f t="shared" si="147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45"/>
        <v>-353210667357.95166</v>
      </c>
      <c r="J3281" s="455">
        <f t="array" ref="J3281">IFERROR(INDEX('Retirement Calculator'!K:K,MATCH('Lorri 401b'!N3281,'Retirement Calculator'!A:A,0),0),0)</f>
        <v>0</v>
      </c>
      <c r="K3281" s="455">
        <f t="shared" ca="1" si="143"/>
        <v>-1471711113.9914653</v>
      </c>
      <c r="L3281" s="455">
        <f t="shared" ca="1" si="144"/>
        <v>-354682378471.94312</v>
      </c>
      <c r="M3281" s="471">
        <f t="shared" si="146"/>
        <v>0.05</v>
      </c>
      <c r="N3281" s="475">
        <f t="shared" si="147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45"/>
        <v>-354682378471.94312</v>
      </c>
      <c r="J3282" s="455">
        <f t="array" ref="J3282">IFERROR(INDEX('Retirement Calculator'!K:K,MATCH('Lorri 401b'!N3282,'Retirement Calculator'!A:A,0),0),0)</f>
        <v>0</v>
      </c>
      <c r="K3282" s="455">
        <f t="shared" ca="1" si="143"/>
        <v>-1477843243.6330962</v>
      </c>
      <c r="L3282" s="455">
        <f t="shared" ca="1" si="144"/>
        <v>-356160221715.57623</v>
      </c>
      <c r="M3282" s="471">
        <f t="shared" si="146"/>
        <v>0.05</v>
      </c>
      <c r="N3282" s="475">
        <f t="shared" si="147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45"/>
        <v>-356160221715.57623</v>
      </c>
      <c r="J3283" s="455">
        <f t="array" ref="J3283">IFERROR(INDEX('Retirement Calculator'!K:K,MATCH('Lorri 401b'!N3283,'Retirement Calculator'!A:A,0),0),0)</f>
        <v>0</v>
      </c>
      <c r="K3283" s="455">
        <f t="shared" ca="1" si="143"/>
        <v>-1484000923.8149009</v>
      </c>
      <c r="L3283" s="455">
        <f t="shared" ca="1" si="144"/>
        <v>-357644222639.39111</v>
      </c>
      <c r="M3283" s="471">
        <f t="shared" si="146"/>
        <v>0.05</v>
      </c>
      <c r="N3283" s="475">
        <f t="shared" si="147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45"/>
        <v>-357644222639.39111</v>
      </c>
      <c r="J3284" s="455">
        <f t="array" ref="J3284">IFERROR(INDEX('Retirement Calculator'!K:K,MATCH('Lorri 401b'!N3284,'Retirement Calculator'!A:A,0),0),0)</f>
        <v>0</v>
      </c>
      <c r="K3284" s="455">
        <f t="shared" ca="1" si="143"/>
        <v>-1490184260.997463</v>
      </c>
      <c r="L3284" s="455">
        <f t="shared" ca="1" si="144"/>
        <v>-359134406900.38855</v>
      </c>
      <c r="M3284" s="471">
        <f t="shared" si="146"/>
        <v>0.05</v>
      </c>
      <c r="N3284" s="475">
        <f t="shared" si="147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45"/>
        <v>-359134406900.38855</v>
      </c>
      <c r="J3285" s="455">
        <f t="array" ref="J3285">IFERROR(INDEX('Retirement Calculator'!K:K,MATCH('Lorri 401b'!N3285,'Retirement Calculator'!A:A,0),0),0)</f>
        <v>0</v>
      </c>
      <c r="K3285" s="455">
        <f t="shared" ca="1" si="143"/>
        <v>-1496393362.0849524</v>
      </c>
      <c r="L3285" s="455">
        <f t="shared" ca="1" si="144"/>
        <v>-360630800262.47351</v>
      </c>
      <c r="M3285" s="471">
        <f t="shared" si="146"/>
        <v>0.05</v>
      </c>
      <c r="N3285" s="475">
        <f t="shared" si="147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45"/>
        <v>-360630800262.47351</v>
      </c>
      <c r="J3286" s="455">
        <f t="array" ref="J3286">IFERROR(INDEX('Retirement Calculator'!K:K,MATCH('Lorri 401b'!N3286,'Retirement Calculator'!A:A,0),0),0)</f>
        <v>0</v>
      </c>
      <c r="K3286" s="455">
        <f t="shared" ca="1" si="143"/>
        <v>-1502628334.4269729</v>
      </c>
      <c r="L3286" s="455">
        <f t="shared" ca="1" si="144"/>
        <v>-362133428596.90051</v>
      </c>
      <c r="M3286" s="471">
        <f t="shared" si="146"/>
        <v>0.05</v>
      </c>
      <c r="N3286" s="475">
        <f t="shared" si="147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45"/>
        <v>-362133428596.90051</v>
      </c>
      <c r="J3287" s="455">
        <f t="array" ref="J3287">IFERROR(INDEX('Retirement Calculator'!K:K,MATCH('Lorri 401b'!N3287,'Retirement Calculator'!A:A,0),0),0)</f>
        <v>0</v>
      </c>
      <c r="K3287" s="455">
        <f t="shared" ca="1" si="143"/>
        <v>-1508889285.8204188</v>
      </c>
      <c r="L3287" s="455">
        <f t="shared" ca="1" si="144"/>
        <v>-363642317882.72095</v>
      </c>
      <c r="M3287" s="471">
        <f t="shared" si="146"/>
        <v>0.05</v>
      </c>
      <c r="N3287" s="475">
        <f t="shared" si="147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45"/>
        <v>-363642317882.72095</v>
      </c>
      <c r="J3288" s="455">
        <f t="array" ref="J3288">IFERROR(INDEX('Retirement Calculator'!K:K,MATCH('Lorri 401b'!N3288,'Retirement Calculator'!A:A,0),0),0)</f>
        <v>0</v>
      </c>
      <c r="K3288" s="455">
        <f t="shared" ca="1" si="143"/>
        <v>-1515176324.5113373</v>
      </c>
      <c r="L3288" s="455">
        <f t="shared" ca="1" si="144"/>
        <v>-365157494207.2323</v>
      </c>
      <c r="M3288" s="471">
        <f t="shared" si="146"/>
        <v>0.05</v>
      </c>
      <c r="N3288" s="475">
        <f t="shared" si="147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45"/>
        <v>-365157494207.2323</v>
      </c>
      <c r="J3289" s="455">
        <f t="array" ref="J3289">IFERROR(INDEX('Retirement Calculator'!K:K,MATCH('Lorri 401b'!N3289,'Retirement Calculator'!A:A,0),0),0)</f>
        <v>0</v>
      </c>
      <c r="K3289" s="455">
        <f t="shared" ca="1" si="143"/>
        <v>-1521489559.1968012</v>
      </c>
      <c r="L3289" s="455">
        <f t="shared" ca="1" si="144"/>
        <v>-366678983766.42908</v>
      </c>
      <c r="M3289" s="471">
        <f t="shared" si="146"/>
        <v>0.05</v>
      </c>
      <c r="N3289" s="475">
        <f t="shared" si="147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45"/>
        <v>-366678983766.42908</v>
      </c>
      <c r="J3290" s="455">
        <f t="array" ref="J3290">IFERROR(INDEX('Retirement Calculator'!K:K,MATCH('Lorri 401b'!N3290,'Retirement Calculator'!A:A,0),0),0)</f>
        <v>0</v>
      </c>
      <c r="K3290" s="455">
        <f t="shared" ca="1" si="143"/>
        <v>-1527829099.0267878</v>
      </c>
      <c r="L3290" s="455">
        <f t="shared" ca="1" si="144"/>
        <v>-368206812865.45587</v>
      </c>
      <c r="M3290" s="471">
        <f t="shared" si="146"/>
        <v>0.05</v>
      </c>
      <c r="N3290" s="475">
        <f t="shared" si="147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45"/>
        <v>-368206812865.45587</v>
      </c>
      <c r="J3291" s="455">
        <f t="array" ref="J3291">IFERROR(INDEX('Retirement Calculator'!K:K,MATCH('Lorri 401b'!N3291,'Retirement Calculator'!A:A,0),0),0)</f>
        <v>0</v>
      </c>
      <c r="K3291" s="455">
        <f t="shared" ca="1" si="143"/>
        <v>-1534195053.6060662</v>
      </c>
      <c r="L3291" s="455">
        <f t="shared" ca="1" si="144"/>
        <v>-369741007919.06195</v>
      </c>
      <c r="M3291" s="471">
        <f t="shared" si="146"/>
        <v>0.05</v>
      </c>
      <c r="N3291" s="475">
        <f t="shared" si="147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45"/>
        <v>-369741007919.06195</v>
      </c>
      <c r="J3292" s="455">
        <f t="array" ref="J3292">IFERROR(INDEX('Retirement Calculator'!K:K,MATCH('Lorri 401b'!N3292,'Retirement Calculator'!A:A,0),0),0)</f>
        <v>0</v>
      </c>
      <c r="K3292" s="455">
        <f t="shared" ca="1" si="143"/>
        <v>-1540587532.9960914</v>
      </c>
      <c r="L3292" s="455">
        <f t="shared" ca="1" si="144"/>
        <v>-371281595452.05804</v>
      </c>
      <c r="M3292" s="471">
        <f t="shared" si="146"/>
        <v>0.05</v>
      </c>
      <c r="N3292" s="475">
        <f t="shared" si="147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45"/>
        <v>-371281595452.05804</v>
      </c>
      <c r="J3293" s="455">
        <f t="array" ref="J3293">IFERROR(INDEX('Retirement Calculator'!K:K,MATCH('Lorri 401b'!N3293,'Retirement Calculator'!A:A,0),0),0)</f>
        <v>0</v>
      </c>
      <c r="K3293" s="455">
        <f t="shared" ca="1" si="143"/>
        <v>-1547006647.7169085</v>
      </c>
      <c r="L3293" s="455">
        <f t="shared" ca="1" si="144"/>
        <v>-372828602099.77496</v>
      </c>
      <c r="M3293" s="471">
        <f t="shared" si="146"/>
        <v>0.05</v>
      </c>
      <c r="N3293" s="475">
        <f t="shared" si="147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45"/>
        <v>-372828602099.77496</v>
      </c>
      <c r="J3294" s="455">
        <f t="array" ref="J3294">IFERROR(INDEX('Retirement Calculator'!K:K,MATCH('Lorri 401b'!N3294,'Retirement Calculator'!A:A,0),0),0)</f>
        <v>0</v>
      </c>
      <c r="K3294" s="455">
        <f t="shared" ca="1" si="143"/>
        <v>-1553452508.7490623</v>
      </c>
      <c r="L3294" s="455">
        <f t="shared" ca="1" si="144"/>
        <v>-374382054608.52405</v>
      </c>
      <c r="M3294" s="471">
        <f t="shared" si="146"/>
        <v>0.05</v>
      </c>
      <c r="N3294" s="475">
        <f t="shared" si="147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45"/>
        <v>-374382054608.52405</v>
      </c>
      <c r="J3295" s="455">
        <f t="array" ref="J3295">IFERROR(INDEX('Retirement Calculator'!K:K,MATCH('Lorri 401b'!N3295,'Retirement Calculator'!A:A,0),0),0)</f>
        <v>0</v>
      </c>
      <c r="K3295" s="455">
        <f t="shared" ca="1" si="143"/>
        <v>-1559925227.5355167</v>
      </c>
      <c r="L3295" s="455">
        <f t="shared" ca="1" si="144"/>
        <v>-375941979836.05957</v>
      </c>
      <c r="M3295" s="471">
        <f t="shared" si="146"/>
        <v>0.05</v>
      </c>
      <c r="N3295" s="475">
        <f t="shared" si="147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45"/>
        <v>-375941979836.05957</v>
      </c>
      <c r="J3296" s="455">
        <f t="array" ref="J3296">IFERROR(INDEX('Retirement Calculator'!K:K,MATCH('Lorri 401b'!N3296,'Retirement Calculator'!A:A,0),0),0)</f>
        <v>0</v>
      </c>
      <c r="K3296" s="455">
        <f t="shared" ca="1" si="143"/>
        <v>-1566424915.9835815</v>
      </c>
      <c r="L3296" s="455">
        <f t="shared" ca="1" si="144"/>
        <v>-377508404752.04315</v>
      </c>
      <c r="M3296" s="471">
        <f t="shared" si="146"/>
        <v>0.05</v>
      </c>
      <c r="N3296" s="475">
        <f t="shared" si="147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45"/>
        <v>-377508404752.04315</v>
      </c>
      <c r="J3297" s="455">
        <f t="array" ref="J3297">IFERROR(INDEX('Retirement Calculator'!K:K,MATCH('Lorri 401b'!N3297,'Retirement Calculator'!A:A,0),0),0)</f>
        <v>0</v>
      </c>
      <c r="K3297" s="455">
        <f t="shared" ca="1" si="143"/>
        <v>-1572951686.4668465</v>
      </c>
      <c r="L3297" s="455">
        <f t="shared" ca="1" si="144"/>
        <v>-379081356438.51001</v>
      </c>
      <c r="M3297" s="471">
        <f t="shared" si="146"/>
        <v>0.05</v>
      </c>
      <c r="N3297" s="475">
        <f t="shared" si="147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45"/>
        <v>-379081356438.51001</v>
      </c>
      <c r="J3298" s="455">
        <f t="array" ref="J3298">IFERROR(INDEX('Retirement Calculator'!K:K,MATCH('Lorri 401b'!N3298,'Retirement Calculator'!A:A,0),0),0)</f>
        <v>0</v>
      </c>
      <c r="K3298" s="455">
        <f t="shared" ca="1" si="143"/>
        <v>-1579505651.8271251</v>
      </c>
      <c r="L3298" s="455">
        <f t="shared" ca="1" si="144"/>
        <v>-380660862090.33716</v>
      </c>
      <c r="M3298" s="471">
        <f t="shared" si="146"/>
        <v>0.05</v>
      </c>
      <c r="N3298" s="475">
        <f t="shared" si="147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45"/>
        <v>-380660862090.33716</v>
      </c>
      <c r="J3299" s="455">
        <f t="array" ref="J3299">IFERROR(INDEX('Retirement Calculator'!K:K,MATCH('Lorri 401b'!N3299,'Retirement Calculator'!A:A,0),0),0)</f>
        <v>0</v>
      </c>
      <c r="K3299" s="455">
        <f t="shared" ca="1" si="143"/>
        <v>-1586086925.3764048</v>
      </c>
      <c r="L3299" s="455">
        <f t="shared" ca="1" si="144"/>
        <v>-382246949015.71356</v>
      </c>
      <c r="M3299" s="471">
        <f t="shared" si="146"/>
        <v>0.05</v>
      </c>
      <c r="N3299" s="475">
        <f t="shared" si="147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45"/>
        <v>-382246949015.71356</v>
      </c>
      <c r="J3300" s="455">
        <f t="array" ref="J3300">IFERROR(INDEX('Retirement Calculator'!K:K,MATCH('Lorri 401b'!N3300,'Retirement Calculator'!A:A,0),0),0)</f>
        <v>0</v>
      </c>
      <c r="K3300" s="455">
        <f t="shared" ca="1" si="143"/>
        <v>-1592695620.8988066</v>
      </c>
      <c r="L3300" s="455">
        <f t="shared" ca="1" si="144"/>
        <v>-383839644636.61237</v>
      </c>
      <c r="M3300" s="471">
        <f t="shared" si="146"/>
        <v>0.05</v>
      </c>
      <c r="N3300" s="475">
        <f t="shared" si="147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45"/>
        <v>-383839644636.61237</v>
      </c>
      <c r="J3301" s="455">
        <f t="array" ref="J3301">IFERROR(INDEX('Retirement Calculator'!K:K,MATCH('Lorri 401b'!N3301,'Retirement Calculator'!A:A,0),0),0)</f>
        <v>0</v>
      </c>
      <c r="K3301" s="455">
        <f t="shared" ca="1" si="143"/>
        <v>-1599331852.6525514</v>
      </c>
      <c r="L3301" s="455">
        <f t="shared" ca="1" si="144"/>
        <v>-385438976489.26489</v>
      </c>
      <c r="M3301" s="471">
        <f t="shared" si="146"/>
        <v>0.05</v>
      </c>
      <c r="N3301" s="475">
        <f t="shared" si="147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45"/>
        <v>-385438976489.26489</v>
      </c>
      <c r="J3302" s="455">
        <f t="array" ref="J3302">IFERROR(INDEX('Retirement Calculator'!K:K,MATCH('Lorri 401b'!N3302,'Retirement Calculator'!A:A,0),0),0)</f>
        <v>0</v>
      </c>
      <c r="K3302" s="455">
        <f t="shared" ca="1" si="143"/>
        <v>-1605995735.371937</v>
      </c>
      <c r="L3302" s="455">
        <f t="shared" ca="1" si="144"/>
        <v>-387044972224.63684</v>
      </c>
      <c r="M3302" s="471">
        <f t="shared" si="146"/>
        <v>0.05</v>
      </c>
      <c r="N3302" s="475">
        <f t="shared" si="147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45"/>
        <v>-387044972224.63684</v>
      </c>
      <c r="J3303" s="455">
        <f t="array" ref="J3303">IFERROR(INDEX('Retirement Calculator'!K:K,MATCH('Lorri 401b'!N3303,'Retirement Calculator'!A:A,0),0),0)</f>
        <v>0</v>
      </c>
      <c r="K3303" s="455">
        <f t="shared" ca="1" si="143"/>
        <v>-1612687384.2693202</v>
      </c>
      <c r="L3303" s="455">
        <f t="shared" ca="1" si="144"/>
        <v>-388657659608.90619</v>
      </c>
      <c r="M3303" s="471">
        <f t="shared" si="146"/>
        <v>0.05</v>
      </c>
      <c r="N3303" s="475">
        <f t="shared" si="147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45"/>
        <v>-388657659608.90619</v>
      </c>
      <c r="J3304" s="455">
        <f t="array" ref="J3304">IFERROR(INDEX('Retirement Calculator'!K:K,MATCH('Lorri 401b'!N3304,'Retirement Calculator'!A:A,0),0),0)</f>
        <v>0</v>
      </c>
      <c r="K3304" s="455">
        <f t="shared" ca="1" si="143"/>
        <v>-1619406915.0371091</v>
      </c>
      <c r="L3304" s="455">
        <f t="shared" ca="1" si="144"/>
        <v>-390277066523.9433</v>
      </c>
      <c r="M3304" s="471">
        <f t="shared" si="146"/>
        <v>0.05</v>
      </c>
      <c r="N3304" s="475">
        <f t="shared" si="147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45"/>
        <v>-390277066523.9433</v>
      </c>
      <c r="J3305" s="455">
        <f t="array" ref="J3305">IFERROR(INDEX('Retirement Calculator'!K:K,MATCH('Lorri 401b'!N3305,'Retirement Calculator'!A:A,0),0),0)</f>
        <v>0</v>
      </c>
      <c r="K3305" s="455">
        <f t="shared" ca="1" si="143"/>
        <v>-1626154443.8497636</v>
      </c>
      <c r="L3305" s="455">
        <f t="shared" ca="1" si="144"/>
        <v>-391903220967.79309</v>
      </c>
      <c r="M3305" s="471">
        <f t="shared" si="146"/>
        <v>0.05</v>
      </c>
      <c r="N3305" s="475">
        <f t="shared" si="147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45"/>
        <v>-391903220967.79309</v>
      </c>
      <c r="J3306" s="455">
        <f t="array" ref="J3306">IFERROR(INDEX('Retirement Calculator'!K:K,MATCH('Lorri 401b'!N3306,'Retirement Calculator'!A:A,0),0),0)</f>
        <v>0</v>
      </c>
      <c r="K3306" s="455">
        <f t="shared" ca="1" si="143"/>
        <v>-1632930087.3658044</v>
      </c>
      <c r="L3306" s="455">
        <f t="shared" ca="1" si="144"/>
        <v>-393536151055.15887</v>
      </c>
      <c r="M3306" s="471">
        <f t="shared" si="146"/>
        <v>0.05</v>
      </c>
      <c r="N3306" s="475">
        <f t="shared" si="147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45"/>
        <v>-393536151055.15887</v>
      </c>
      <c r="J3307" s="455">
        <f t="array" ref="J3307">IFERROR(INDEX('Retirement Calculator'!K:K,MATCH('Lorri 401b'!N3307,'Retirement Calculator'!A:A,0),0),0)</f>
        <v>0</v>
      </c>
      <c r="K3307" s="455">
        <f t="shared" ca="1" si="143"/>
        <v>-1639733962.7298286</v>
      </c>
      <c r="L3307" s="455">
        <f t="shared" ca="1" si="144"/>
        <v>-395175885017.88873</v>
      </c>
      <c r="M3307" s="471">
        <f t="shared" si="146"/>
        <v>0.05</v>
      </c>
      <c r="N3307" s="475">
        <f t="shared" si="147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45"/>
        <v>-395175885017.88873</v>
      </c>
      <c r="J3308" s="455">
        <f t="array" ref="J3308">IFERROR(INDEX('Retirement Calculator'!K:K,MATCH('Lorri 401b'!N3308,'Retirement Calculator'!A:A,0),0),0)</f>
        <v>0</v>
      </c>
      <c r="K3308" s="455">
        <f t="shared" ca="1" si="143"/>
        <v>-1646566187.5745363</v>
      </c>
      <c r="L3308" s="455">
        <f t="shared" ca="1" si="144"/>
        <v>-396822451205.46326</v>
      </c>
      <c r="M3308" s="471">
        <f t="shared" si="146"/>
        <v>0.05</v>
      </c>
      <c r="N3308" s="475">
        <f t="shared" si="147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45"/>
        <v>-396822451205.46326</v>
      </c>
      <c r="J3309" s="455">
        <f t="array" ref="J3309">IFERROR(INDEX('Retirement Calculator'!K:K,MATCH('Lorri 401b'!N3309,'Retirement Calculator'!A:A,0),0),0)</f>
        <v>0</v>
      </c>
      <c r="K3309" s="455">
        <f t="shared" ca="1" si="143"/>
        <v>-1653426880.0227635</v>
      </c>
      <c r="L3309" s="455">
        <f t="shared" ca="1" si="144"/>
        <v>-398475878085.48602</v>
      </c>
      <c r="M3309" s="471">
        <f t="shared" si="146"/>
        <v>0.05</v>
      </c>
      <c r="N3309" s="475">
        <f t="shared" si="147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45"/>
        <v>-398475878085.48602</v>
      </c>
      <c r="J3310" s="455">
        <f t="array" ref="J3310">IFERROR(INDEX('Retirement Calculator'!K:K,MATCH('Lorri 401b'!N3310,'Retirement Calculator'!A:A,0),0),0)</f>
        <v>0</v>
      </c>
      <c r="K3310" s="455">
        <f t="shared" ca="1" si="143"/>
        <v>-1660316158.6895251</v>
      </c>
      <c r="L3310" s="455">
        <f t="shared" ca="1" si="144"/>
        <v>-400136194244.17554</v>
      </c>
      <c r="M3310" s="471">
        <f t="shared" si="146"/>
        <v>0.05</v>
      </c>
      <c r="N3310" s="475">
        <f t="shared" si="147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45"/>
        <v>-400136194244.17554</v>
      </c>
      <c r="J3311" s="455">
        <f t="array" ref="J3311">IFERROR(INDEX('Retirement Calculator'!K:K,MATCH('Lorri 401b'!N3311,'Retirement Calculator'!A:A,0),0),0)</f>
        <v>0</v>
      </c>
      <c r="K3311" s="455">
        <f t="shared" ca="1" si="143"/>
        <v>-1667234142.6840646</v>
      </c>
      <c r="L3311" s="455">
        <f t="shared" ca="1" si="144"/>
        <v>-401803428386.85962</v>
      </c>
      <c r="M3311" s="471">
        <f t="shared" si="146"/>
        <v>0.05</v>
      </c>
      <c r="N3311" s="475">
        <f t="shared" si="147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45"/>
        <v>-401803428386.85962</v>
      </c>
      <c r="J3312" s="455">
        <f t="array" ref="J3312">IFERROR(INDEX('Retirement Calculator'!K:K,MATCH('Lorri 401b'!N3312,'Retirement Calculator'!A:A,0),0),0)</f>
        <v>0</v>
      </c>
      <c r="K3312" s="455">
        <f t="shared" ca="1" si="143"/>
        <v>-1674180951.6119151</v>
      </c>
      <c r="L3312" s="455">
        <f t="shared" ca="1" si="144"/>
        <v>-403477609338.47156</v>
      </c>
      <c r="M3312" s="471">
        <f t="shared" si="146"/>
        <v>0.05</v>
      </c>
      <c r="N3312" s="475">
        <f t="shared" si="147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45"/>
        <v>-403477609338.47156</v>
      </c>
      <c r="J3313" s="455">
        <f t="array" ref="J3313">IFERROR(INDEX('Retirement Calculator'!K:K,MATCH('Lorri 401b'!N3313,'Retirement Calculator'!A:A,0),0),0)</f>
        <v>0</v>
      </c>
      <c r="K3313" s="455">
        <f t="shared" ca="1" si="143"/>
        <v>-1681156705.5769649</v>
      </c>
      <c r="L3313" s="455">
        <f t="shared" ca="1" si="144"/>
        <v>-405158766044.04852</v>
      </c>
      <c r="M3313" s="471">
        <f t="shared" si="146"/>
        <v>0.05</v>
      </c>
      <c r="N3313" s="475">
        <f t="shared" si="147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45"/>
        <v>-405158766044.04852</v>
      </c>
      <c r="J3314" s="455">
        <f t="array" ref="J3314">IFERROR(INDEX('Retirement Calculator'!K:K,MATCH('Lorri 401b'!N3314,'Retirement Calculator'!A:A,0),0),0)</f>
        <v>0</v>
      </c>
      <c r="K3314" s="455">
        <f t="shared" ca="1" si="143"/>
        <v>-1688161525.1835356</v>
      </c>
      <c r="L3314" s="455">
        <f t="shared" ca="1" si="144"/>
        <v>-406846927569.23206</v>
      </c>
      <c r="M3314" s="471">
        <f t="shared" si="146"/>
        <v>0.05</v>
      </c>
      <c r="N3314" s="475">
        <f t="shared" si="147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45"/>
        <v>-406846927569.23206</v>
      </c>
      <c r="J3315" s="455">
        <f t="array" ref="J3315">IFERROR(INDEX('Retirement Calculator'!K:K,MATCH('Lorri 401b'!N3315,'Retirement Calculator'!A:A,0),0),0)</f>
        <v>0</v>
      </c>
      <c r="K3315" s="455">
        <f t="shared" ca="1" si="143"/>
        <v>-1695195531.5384669</v>
      </c>
      <c r="L3315" s="455">
        <f t="shared" ca="1" si="144"/>
        <v>-408542123100.77051</v>
      </c>
      <c r="M3315" s="471">
        <f t="shared" si="146"/>
        <v>0.05</v>
      </c>
      <c r="N3315" s="475">
        <f t="shared" si="147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45"/>
        <v>-408542123100.77051</v>
      </c>
      <c r="J3316" s="455">
        <f t="array" ref="J3316">IFERROR(INDEX('Retirement Calculator'!K:K,MATCH('Lorri 401b'!N3316,'Retirement Calculator'!A:A,0),0),0)</f>
        <v>0</v>
      </c>
      <c r="K3316" s="455">
        <f t="shared" ca="1" si="143"/>
        <v>-1702258846.2532105</v>
      </c>
      <c r="L3316" s="455">
        <f t="shared" ca="1" si="144"/>
        <v>-410244381947.02374</v>
      </c>
      <c r="M3316" s="471">
        <f t="shared" si="146"/>
        <v>0.05</v>
      </c>
      <c r="N3316" s="475">
        <f t="shared" si="147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45"/>
        <v>-410244381947.02374</v>
      </c>
      <c r="J3317" s="455">
        <f t="array" ref="J3317">IFERROR(INDEX('Retirement Calculator'!K:K,MATCH('Lorri 401b'!N3317,'Retirement Calculator'!A:A,0),0),0)</f>
        <v>0</v>
      </c>
      <c r="K3317" s="455">
        <f t="shared" ca="1" si="143"/>
        <v>-1709351591.4459321</v>
      </c>
      <c r="L3317" s="455">
        <f t="shared" ca="1" si="144"/>
        <v>-411953733538.46967</v>
      </c>
      <c r="M3317" s="471">
        <f t="shared" si="146"/>
        <v>0.05</v>
      </c>
      <c r="N3317" s="475">
        <f t="shared" si="147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45"/>
        <v>-411953733538.46967</v>
      </c>
      <c r="J3318" s="455">
        <f t="array" ref="J3318">IFERROR(INDEX('Retirement Calculator'!K:K,MATCH('Lorri 401b'!N3318,'Retirement Calculator'!A:A,0),0),0)</f>
        <v>0</v>
      </c>
      <c r="K3318" s="455">
        <f t="shared" ca="1" si="143"/>
        <v>-1716473889.7436235</v>
      </c>
      <c r="L3318" s="455">
        <f t="shared" ca="1" si="144"/>
        <v>-413670207428.21332</v>
      </c>
      <c r="M3318" s="471">
        <f t="shared" si="146"/>
        <v>0.05</v>
      </c>
      <c r="N3318" s="475">
        <f t="shared" si="147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45"/>
        <v>-413670207428.21332</v>
      </c>
      <c r="J3319" s="455">
        <f t="array" ref="J3319">IFERROR(INDEX('Retirement Calculator'!K:K,MATCH('Lorri 401b'!N3319,'Retirement Calculator'!A:A,0),0),0)</f>
        <v>0</v>
      </c>
      <c r="K3319" s="455">
        <f t="shared" ca="1" si="143"/>
        <v>-1723625864.2842221</v>
      </c>
      <c r="L3319" s="455">
        <f t="shared" ca="1" si="144"/>
        <v>-415393833292.49756</v>
      </c>
      <c r="M3319" s="471">
        <f t="shared" si="146"/>
        <v>0.05</v>
      </c>
      <c r="N3319" s="475">
        <f t="shared" si="147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45"/>
        <v>-415393833292.49756</v>
      </c>
      <c r="J3320" s="455">
        <f t="array" ref="J3320">IFERROR(INDEX('Retirement Calculator'!K:K,MATCH('Lorri 401b'!N3320,'Retirement Calculator'!A:A,0),0),0)</f>
        <v>0</v>
      </c>
      <c r="K3320" s="455">
        <f t="shared" ca="1" si="143"/>
        <v>-1730807638.7187397</v>
      </c>
      <c r="L3320" s="455">
        <f t="shared" ca="1" si="144"/>
        <v>-417124640931.21631</v>
      </c>
      <c r="M3320" s="471">
        <f t="shared" si="146"/>
        <v>0.05</v>
      </c>
      <c r="N3320" s="475">
        <f t="shared" si="147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45"/>
        <v>-417124640931.21631</v>
      </c>
      <c r="J3321" s="455">
        <f t="array" ref="J3321">IFERROR(INDEX('Retirement Calculator'!K:K,MATCH('Lorri 401b'!N3321,'Retirement Calculator'!A:A,0),0),0)</f>
        <v>0</v>
      </c>
      <c r="K3321" s="455">
        <f t="shared" ca="1" si="143"/>
        <v>-1738019337.2134013</v>
      </c>
      <c r="L3321" s="455">
        <f t="shared" ca="1" si="144"/>
        <v>-418862660268.42969</v>
      </c>
      <c r="M3321" s="471">
        <f t="shared" si="146"/>
        <v>0.05</v>
      </c>
      <c r="N3321" s="475">
        <f t="shared" si="147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45"/>
        <v>-418862660268.42969</v>
      </c>
      <c r="J3322" s="455">
        <f t="array" ref="J3322">IFERROR(INDEX('Retirement Calculator'!K:K,MATCH('Lorri 401b'!N3322,'Retirement Calculator'!A:A,0),0),0)</f>
        <v>0</v>
      </c>
      <c r="K3322" s="455">
        <f t="shared" ca="1" si="143"/>
        <v>-1745261084.4517903</v>
      </c>
      <c r="L3322" s="455">
        <f t="shared" ca="1" si="144"/>
        <v>-420607921352.88147</v>
      </c>
      <c r="M3322" s="471">
        <f t="shared" si="146"/>
        <v>0.05</v>
      </c>
      <c r="N3322" s="475">
        <f t="shared" si="147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45"/>
        <v>-420607921352.88147</v>
      </c>
      <c r="J3323" s="455">
        <f t="array" ref="J3323">IFERROR(INDEX('Retirement Calculator'!K:K,MATCH('Lorri 401b'!N3323,'Retirement Calculator'!A:A,0),0),0)</f>
        <v>0</v>
      </c>
      <c r="K3323" s="455">
        <f t="shared" ref="K3323:K3577" ca="1" si="148">IPMT(M3323/12,1,12,-I3323+J3323,,0)</f>
        <v>-1752533005.637006</v>
      </c>
      <c r="L3323" s="455">
        <f t="shared" ref="L3323:L3577" ca="1" si="149">I3323-J3323+K3323</f>
        <v>-422360454358.51849</v>
      </c>
      <c r="M3323" s="471">
        <f t="shared" si="146"/>
        <v>0.05</v>
      </c>
      <c r="N3323" s="475">
        <f t="shared" si="147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50">L3323</f>
        <v>-422360454358.51849</v>
      </c>
      <c r="J3324" s="455">
        <f t="array" ref="J3324">IFERROR(INDEX('Retirement Calculator'!K:K,MATCH('Lorri 401b'!N3324,'Retirement Calculator'!A:A,0),0),0)</f>
        <v>0</v>
      </c>
      <c r="K3324" s="455">
        <f t="shared" ca="1" si="148"/>
        <v>-1759835226.4938271</v>
      </c>
      <c r="L3324" s="455">
        <f t="shared" ca="1" si="149"/>
        <v>-424120289585.01233</v>
      </c>
      <c r="M3324" s="471">
        <f t="shared" ref="M3324:M3578" si="151">M3323</f>
        <v>0.05</v>
      </c>
      <c r="N3324" s="475">
        <f t="shared" ref="N3324:N3578" si="152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50"/>
        <v>-424120289585.01233</v>
      </c>
      <c r="J3325" s="455">
        <f t="array" ref="J3325">IFERROR(INDEX('Retirement Calculator'!K:K,MATCH('Lorri 401b'!N3325,'Retirement Calculator'!A:A,0),0),0)</f>
        <v>0</v>
      </c>
      <c r="K3325" s="455">
        <f t="shared" ca="1" si="148"/>
        <v>-1767167873.2708848</v>
      </c>
      <c r="L3325" s="455">
        <f t="shared" ca="1" si="149"/>
        <v>-425887457458.2832</v>
      </c>
      <c r="M3325" s="471">
        <f t="shared" si="151"/>
        <v>0.05</v>
      </c>
      <c r="N3325" s="475">
        <f t="shared" si="152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50"/>
        <v>-425887457458.2832</v>
      </c>
      <c r="J3326" s="455">
        <f t="array" ref="J3326">IFERROR(INDEX('Retirement Calculator'!K:K,MATCH('Lorri 401b'!N3326,'Retirement Calculator'!A:A,0),0),0)</f>
        <v>0</v>
      </c>
      <c r="K3326" s="455">
        <f t="shared" ca="1" si="148"/>
        <v>-1774531072.7428467</v>
      </c>
      <c r="L3326" s="455">
        <f t="shared" ca="1" si="149"/>
        <v>-427661988531.02606</v>
      </c>
      <c r="M3326" s="471">
        <f t="shared" si="151"/>
        <v>0.05</v>
      </c>
      <c r="N3326" s="475">
        <f t="shared" si="152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50"/>
        <v>-427661988531.02606</v>
      </c>
      <c r="J3327" s="455">
        <f t="array" ref="J3327">IFERROR(INDEX('Retirement Calculator'!K:K,MATCH('Lorri 401b'!N3327,'Retirement Calculator'!A:A,0),0),0)</f>
        <v>0</v>
      </c>
      <c r="K3327" s="455">
        <f t="shared" ca="1" si="148"/>
        <v>-1781924952.2126086</v>
      </c>
      <c r="L3327" s="455">
        <f t="shared" ca="1" si="149"/>
        <v>-429443913483.23865</v>
      </c>
      <c r="M3327" s="471">
        <f t="shared" si="151"/>
        <v>0.05</v>
      </c>
      <c r="N3327" s="475">
        <f t="shared" si="152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50"/>
        <v>-429443913483.23865</v>
      </c>
      <c r="J3328" s="455">
        <f t="array" ref="J3328">IFERROR(INDEX('Retirement Calculator'!K:K,MATCH('Lorri 401b'!N3328,'Retirement Calculator'!A:A,0),0),0)</f>
        <v>0</v>
      </c>
      <c r="K3328" s="455">
        <f t="shared" ca="1" si="148"/>
        <v>-1789349639.5134943</v>
      </c>
      <c r="L3328" s="455">
        <f t="shared" ca="1" si="149"/>
        <v>-431233263122.75214</v>
      </c>
      <c r="M3328" s="471">
        <f t="shared" si="151"/>
        <v>0.05</v>
      </c>
      <c r="N3328" s="475">
        <f t="shared" si="152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50"/>
        <v>-431233263122.75214</v>
      </c>
      <c r="J3329" s="455">
        <f t="array" ref="J3329">IFERROR(INDEX('Retirement Calculator'!K:K,MATCH('Lorri 401b'!N3329,'Retirement Calculator'!A:A,0),0),0)</f>
        <v>0</v>
      </c>
      <c r="K3329" s="455">
        <f t="shared" ca="1" si="148"/>
        <v>-1796805263.0114672</v>
      </c>
      <c r="L3329" s="455">
        <f t="shared" ca="1" si="149"/>
        <v>-433030068385.76361</v>
      </c>
      <c r="M3329" s="471">
        <f t="shared" si="151"/>
        <v>0.05</v>
      </c>
      <c r="N3329" s="475">
        <f t="shared" si="152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50"/>
        <v>-433030068385.76361</v>
      </c>
      <c r="J3330" s="455">
        <f t="array" ref="J3330">IFERROR(INDEX('Retirement Calculator'!K:K,MATCH('Lorri 401b'!N3330,'Retirement Calculator'!A:A,0),0),0)</f>
        <v>0</v>
      </c>
      <c r="K3330" s="455">
        <f t="shared" ca="1" si="148"/>
        <v>-1804291951.6073484</v>
      </c>
      <c r="L3330" s="455">
        <f t="shared" ca="1" si="149"/>
        <v>-434834360337.37097</v>
      </c>
      <c r="M3330" s="471">
        <f t="shared" si="151"/>
        <v>0.05</v>
      </c>
      <c r="N3330" s="475">
        <f t="shared" si="152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50"/>
        <v>-434834360337.37097</v>
      </c>
      <c r="J3331" s="455">
        <f t="array" ref="J3331">IFERROR(INDEX('Retirement Calculator'!K:K,MATCH('Lorri 401b'!N3331,'Retirement Calculator'!A:A,0),0),0)</f>
        <v>0</v>
      </c>
      <c r="K3331" s="455">
        <f t="shared" ca="1" si="148"/>
        <v>-1811809834.7390459</v>
      </c>
      <c r="L3331" s="455">
        <f t="shared" ca="1" si="149"/>
        <v>-436646170172.11005</v>
      </c>
      <c r="M3331" s="471">
        <f t="shared" si="151"/>
        <v>0.05</v>
      </c>
      <c r="N3331" s="475">
        <f t="shared" si="152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50"/>
        <v>-436646170172.11005</v>
      </c>
      <c r="J3332" s="455">
        <f t="array" ref="J3332">IFERROR(INDEX('Retirement Calculator'!K:K,MATCH('Lorri 401b'!N3332,'Retirement Calculator'!A:A,0),0),0)</f>
        <v>0</v>
      </c>
      <c r="K3332" s="455">
        <f t="shared" ca="1" si="148"/>
        <v>-1819359042.3837922</v>
      </c>
      <c r="L3332" s="455">
        <f t="shared" ca="1" si="149"/>
        <v>-438465529214.49384</v>
      </c>
      <c r="M3332" s="471">
        <f t="shared" si="151"/>
        <v>0.05</v>
      </c>
      <c r="N3332" s="475">
        <f t="shared" si="152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50"/>
        <v>-438465529214.49384</v>
      </c>
      <c r="J3333" s="455">
        <f t="array" ref="J3333">IFERROR(INDEX('Retirement Calculator'!K:K,MATCH('Lorri 401b'!N3333,'Retirement Calculator'!A:A,0),0),0)</f>
        <v>0</v>
      </c>
      <c r="K3333" s="455">
        <f t="shared" ca="1" si="148"/>
        <v>-1826939705.0603909</v>
      </c>
      <c r="L3333" s="455">
        <f t="shared" ca="1" si="149"/>
        <v>-440292468919.5542</v>
      </c>
      <c r="M3333" s="471">
        <f t="shared" si="151"/>
        <v>0.05</v>
      </c>
      <c r="N3333" s="475">
        <f t="shared" si="152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50"/>
        <v>-440292468919.5542</v>
      </c>
      <c r="J3334" s="455">
        <f t="array" ref="J3334">IFERROR(INDEX('Retirement Calculator'!K:K,MATCH('Lorri 401b'!N3334,'Retirement Calculator'!A:A,0),0),0)</f>
        <v>0</v>
      </c>
      <c r="K3334" s="455">
        <f t="shared" ca="1" si="148"/>
        <v>-1834551953.8314757</v>
      </c>
      <c r="L3334" s="455">
        <f t="shared" ca="1" si="149"/>
        <v>-442127020873.38568</v>
      </c>
      <c r="M3334" s="471">
        <f t="shared" si="151"/>
        <v>0.05</v>
      </c>
      <c r="N3334" s="475">
        <f t="shared" si="152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50"/>
        <v>-442127020873.38568</v>
      </c>
      <c r="J3335" s="455">
        <f t="array" ref="J3335">IFERROR(INDEX('Retirement Calculator'!K:K,MATCH('Lorri 401b'!N3335,'Retirement Calculator'!A:A,0),0),0)</f>
        <v>0</v>
      </c>
      <c r="K3335" s="455">
        <f t="shared" ca="1" si="148"/>
        <v>-1842195920.3057737</v>
      </c>
      <c r="L3335" s="455">
        <f t="shared" ca="1" si="149"/>
        <v>-443969216793.69147</v>
      </c>
      <c r="M3335" s="471">
        <f t="shared" si="151"/>
        <v>0.05</v>
      </c>
      <c r="N3335" s="475">
        <f t="shared" si="152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50"/>
        <v>-443969216793.69147</v>
      </c>
      <c r="J3336" s="455">
        <f t="array" ref="J3336">IFERROR(INDEX('Retirement Calculator'!K:K,MATCH('Lorri 401b'!N3336,'Retirement Calculator'!A:A,0),0),0)</f>
        <v>0</v>
      </c>
      <c r="K3336" s="455">
        <f t="shared" ca="1" si="148"/>
        <v>-1849871736.6403811</v>
      </c>
      <c r="L3336" s="455">
        <f t="shared" ca="1" si="149"/>
        <v>-445819088530.33185</v>
      </c>
      <c r="M3336" s="471">
        <f t="shared" si="151"/>
        <v>0.05</v>
      </c>
      <c r="N3336" s="475">
        <f t="shared" si="152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50"/>
        <v>-445819088530.33185</v>
      </c>
      <c r="J3337" s="455">
        <f t="array" ref="J3337">IFERROR(INDEX('Retirement Calculator'!K:K,MATCH('Lorri 401b'!N3337,'Retirement Calculator'!A:A,0),0),0)</f>
        <v>0</v>
      </c>
      <c r="K3337" s="455">
        <f t="shared" ca="1" si="148"/>
        <v>-1857579535.5430496</v>
      </c>
      <c r="L3337" s="455">
        <f t="shared" ca="1" si="149"/>
        <v>-447676668065.87488</v>
      </c>
      <c r="M3337" s="471">
        <f t="shared" si="151"/>
        <v>0.05</v>
      </c>
      <c r="N3337" s="475">
        <f t="shared" si="152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50"/>
        <v>-447676668065.87488</v>
      </c>
      <c r="J3338" s="455">
        <f t="array" ref="J3338">IFERROR(INDEX('Retirement Calculator'!K:K,MATCH('Lorri 401b'!N3338,'Retirement Calculator'!A:A,0),0),0)</f>
        <v>0</v>
      </c>
      <c r="K3338" s="455">
        <f t="shared" ca="1" si="148"/>
        <v>-1865319450.2744787</v>
      </c>
      <c r="L3338" s="455">
        <f t="shared" ca="1" si="149"/>
        <v>-449541987516.14935</v>
      </c>
      <c r="M3338" s="471">
        <f t="shared" si="151"/>
        <v>0.05</v>
      </c>
      <c r="N3338" s="475">
        <f t="shared" si="152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50"/>
        <v>-449541987516.14935</v>
      </c>
      <c r="J3339" s="455">
        <f t="array" ref="J3339">IFERROR(INDEX('Retirement Calculator'!K:K,MATCH('Lorri 401b'!N3339,'Retirement Calculator'!A:A,0),0),0)</f>
        <v>0</v>
      </c>
      <c r="K3339" s="455">
        <f t="shared" ca="1" si="148"/>
        <v>-1873091614.6506224</v>
      </c>
      <c r="L3339" s="455">
        <f t="shared" ca="1" si="149"/>
        <v>-451415079130.79999</v>
      </c>
      <c r="M3339" s="471">
        <f t="shared" si="151"/>
        <v>0.05</v>
      </c>
      <c r="N3339" s="475">
        <f t="shared" si="152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50"/>
        <v>-451415079130.79999</v>
      </c>
      <c r="J3340" s="455">
        <f t="array" ref="J3340">IFERROR(INDEX('Retirement Calculator'!K:K,MATCH('Lorri 401b'!N3340,'Retirement Calculator'!A:A,0),0),0)</f>
        <v>0</v>
      </c>
      <c r="K3340" s="455">
        <f t="shared" ca="1" si="148"/>
        <v>-1880896163.0450001</v>
      </c>
      <c r="L3340" s="455">
        <f t="shared" ca="1" si="149"/>
        <v>-453295975293.84497</v>
      </c>
      <c r="M3340" s="471">
        <f t="shared" si="151"/>
        <v>0.05</v>
      </c>
      <c r="N3340" s="475">
        <f t="shared" si="152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50"/>
        <v>-453295975293.84497</v>
      </c>
      <c r="J3341" s="455">
        <f t="array" ref="J3341">IFERROR(INDEX('Retirement Calculator'!K:K,MATCH('Lorri 401b'!N3341,'Retirement Calculator'!A:A,0),0),0)</f>
        <v>0</v>
      </c>
      <c r="K3341" s="455">
        <f t="shared" ca="1" si="148"/>
        <v>-1888733230.3910208</v>
      </c>
      <c r="L3341" s="455">
        <f t="shared" ca="1" si="149"/>
        <v>-455184708524.23596</v>
      </c>
      <c r="M3341" s="471">
        <f t="shared" si="151"/>
        <v>0.05</v>
      </c>
      <c r="N3341" s="475">
        <f t="shared" si="152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50"/>
        <v>-455184708524.23596</v>
      </c>
      <c r="J3342" s="455">
        <f t="array" ref="J3342">IFERROR(INDEX('Retirement Calculator'!K:K,MATCH('Lorri 401b'!N3342,'Retirement Calculator'!A:A,0),0),0)</f>
        <v>0</v>
      </c>
      <c r="K3342" s="455">
        <f t="shared" ca="1" si="148"/>
        <v>-1896602952.1843164</v>
      </c>
      <c r="L3342" s="455">
        <f t="shared" ca="1" si="149"/>
        <v>-457081311476.42029</v>
      </c>
      <c r="M3342" s="471">
        <f t="shared" si="151"/>
        <v>0.05</v>
      </c>
      <c r="N3342" s="475">
        <f t="shared" si="152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50"/>
        <v>-457081311476.42029</v>
      </c>
      <c r="J3343" s="455">
        <f t="array" ref="J3343">IFERROR(INDEX('Retirement Calculator'!K:K,MATCH('Lorri 401b'!N3343,'Retirement Calculator'!A:A,0),0),0)</f>
        <v>0</v>
      </c>
      <c r="K3343" s="455">
        <f t="shared" ca="1" si="148"/>
        <v>-1904505464.4850848</v>
      </c>
      <c r="L3343" s="455">
        <f t="shared" ca="1" si="149"/>
        <v>-458985816940.9054</v>
      </c>
      <c r="M3343" s="471">
        <f t="shared" si="151"/>
        <v>0.05</v>
      </c>
      <c r="N3343" s="475">
        <f t="shared" si="152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50"/>
        <v>-458985816940.9054</v>
      </c>
      <c r="J3344" s="455">
        <f t="array" ref="J3344">IFERROR(INDEX('Retirement Calculator'!K:K,MATCH('Lorri 401b'!N3344,'Retirement Calculator'!A:A,0),0),0)</f>
        <v>0</v>
      </c>
      <c r="K3344" s="455">
        <f t="shared" ca="1" si="148"/>
        <v>-1912440903.920439</v>
      </c>
      <c r="L3344" s="455">
        <f t="shared" ca="1" si="149"/>
        <v>-460898257844.82581</v>
      </c>
      <c r="M3344" s="471">
        <f t="shared" si="151"/>
        <v>0.05</v>
      </c>
      <c r="N3344" s="475">
        <f t="shared" si="152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50"/>
        <v>-460898257844.82581</v>
      </c>
      <c r="J3345" s="455">
        <f t="array" ref="J3345">IFERROR(INDEX('Retirement Calculator'!K:K,MATCH('Lorri 401b'!N3345,'Retirement Calculator'!A:A,0),0),0)</f>
        <v>0</v>
      </c>
      <c r="K3345" s="455">
        <f t="shared" ca="1" si="148"/>
        <v>-1920409407.6867743</v>
      </c>
      <c r="L3345" s="455">
        <f t="shared" ca="1" si="149"/>
        <v>-462818667252.51257</v>
      </c>
      <c r="M3345" s="471">
        <f t="shared" si="151"/>
        <v>0.05</v>
      </c>
      <c r="N3345" s="475">
        <f t="shared" si="152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50"/>
        <v>-462818667252.51257</v>
      </c>
      <c r="J3346" s="455">
        <f t="array" ref="J3346">IFERROR(INDEX('Retirement Calculator'!K:K,MATCH('Lorri 401b'!N3346,'Retirement Calculator'!A:A,0),0),0)</f>
        <v>0</v>
      </c>
      <c r="K3346" s="455">
        <f t="shared" ca="1" si="148"/>
        <v>-1928411113.5521357</v>
      </c>
      <c r="L3346" s="455">
        <f t="shared" ca="1" si="149"/>
        <v>-464747078366.0647</v>
      </c>
      <c r="M3346" s="471">
        <f t="shared" si="151"/>
        <v>0.05</v>
      </c>
      <c r="N3346" s="475">
        <f t="shared" si="152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50"/>
        <v>-464747078366.0647</v>
      </c>
      <c r="J3347" s="455">
        <f t="array" ref="J3347">IFERROR(INDEX('Retirement Calculator'!K:K,MATCH('Lorri 401b'!N3347,'Retirement Calculator'!A:A,0),0),0)</f>
        <v>0</v>
      </c>
      <c r="K3347" s="455">
        <f t="shared" ca="1" si="148"/>
        <v>-1936446159.8586025</v>
      </c>
      <c r="L3347" s="455">
        <f t="shared" ca="1" si="149"/>
        <v>-466683524525.92328</v>
      </c>
      <c r="M3347" s="471">
        <f t="shared" si="151"/>
        <v>0.05</v>
      </c>
      <c r="N3347" s="475">
        <f t="shared" si="152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50"/>
        <v>-466683524525.92328</v>
      </c>
      <c r="J3348" s="455">
        <f t="array" ref="J3348">IFERROR(INDEX('Retirement Calculator'!K:K,MATCH('Lorri 401b'!N3348,'Retirement Calculator'!A:A,0),0),0)</f>
        <v>0</v>
      </c>
      <c r="K3348" s="455">
        <f t="shared" ca="1" si="148"/>
        <v>-1944514685.5246804</v>
      </c>
      <c r="L3348" s="455">
        <f t="shared" ca="1" si="149"/>
        <v>-468628039211.44794</v>
      </c>
      <c r="M3348" s="471">
        <f t="shared" si="151"/>
        <v>0.05</v>
      </c>
      <c r="N3348" s="475">
        <f t="shared" si="152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50"/>
        <v>-468628039211.44794</v>
      </c>
      <c r="J3349" s="455">
        <f t="array" ref="J3349">IFERROR(INDEX('Retirement Calculator'!K:K,MATCH('Lorri 401b'!N3349,'Retirement Calculator'!A:A,0),0),0)</f>
        <v>0</v>
      </c>
      <c r="K3349" s="455">
        <f t="shared" ca="1" si="148"/>
        <v>-1952616830.0476997</v>
      </c>
      <c r="L3349" s="455">
        <f t="shared" ca="1" si="149"/>
        <v>-470580656041.49567</v>
      </c>
      <c r="M3349" s="471">
        <f t="shared" si="151"/>
        <v>0.05</v>
      </c>
      <c r="N3349" s="475">
        <f t="shared" si="152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50"/>
        <v>-470580656041.49567</v>
      </c>
      <c r="J3350" s="455">
        <f t="array" ref="J3350">IFERROR(INDEX('Retirement Calculator'!K:K,MATCH('Lorri 401b'!N3350,'Retirement Calculator'!A:A,0),0),0)</f>
        <v>0</v>
      </c>
      <c r="K3350" s="455">
        <f t="shared" ca="1" si="148"/>
        <v>-1960752733.506232</v>
      </c>
      <c r="L3350" s="455">
        <f t="shared" ca="1" si="149"/>
        <v>-472541408775.00189</v>
      </c>
      <c r="M3350" s="471">
        <f t="shared" si="151"/>
        <v>0.05</v>
      </c>
      <c r="N3350" s="475">
        <f t="shared" si="152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50"/>
        <v>-472541408775.00189</v>
      </c>
      <c r="J3351" s="455">
        <f t="array" ref="J3351">IFERROR(INDEX('Retirement Calculator'!K:K,MATCH('Lorri 401b'!N3351,'Retirement Calculator'!A:A,0),0),0)</f>
        <v>0</v>
      </c>
      <c r="K3351" s="455">
        <f t="shared" ca="1" si="148"/>
        <v>-1968922536.5625081</v>
      </c>
      <c r="L3351" s="455">
        <f t="shared" ca="1" si="149"/>
        <v>-474510331311.56439</v>
      </c>
      <c r="M3351" s="471">
        <f t="shared" si="151"/>
        <v>0.05</v>
      </c>
      <c r="N3351" s="475">
        <f t="shared" si="152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50"/>
        <v>-474510331311.56439</v>
      </c>
      <c r="J3352" s="455">
        <f t="array" ref="J3352">IFERROR(INDEX('Retirement Calculator'!K:K,MATCH('Lorri 401b'!N3352,'Retirement Calculator'!A:A,0),0),0)</f>
        <v>0</v>
      </c>
      <c r="K3352" s="455">
        <f t="shared" ca="1" si="148"/>
        <v>-1977126380.4648516</v>
      </c>
      <c r="L3352" s="455">
        <f t="shared" ca="1" si="149"/>
        <v>-476487457692.02924</v>
      </c>
      <c r="M3352" s="471">
        <f t="shared" si="151"/>
        <v>0.05</v>
      </c>
      <c r="N3352" s="475">
        <f t="shared" si="152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50"/>
        <v>-476487457692.02924</v>
      </c>
      <c r="J3353" s="455">
        <f t="array" ref="J3353">IFERROR(INDEX('Retirement Calculator'!K:K,MATCH('Lorri 401b'!N3353,'Retirement Calculator'!A:A,0),0),0)</f>
        <v>0</v>
      </c>
      <c r="K3353" s="455">
        <f t="shared" ca="1" si="148"/>
        <v>-1985364407.0501218</v>
      </c>
      <c r="L3353" s="455">
        <f t="shared" ca="1" si="149"/>
        <v>-478472822099.07935</v>
      </c>
      <c r="M3353" s="471">
        <f t="shared" si="151"/>
        <v>0.05</v>
      </c>
      <c r="N3353" s="475">
        <f t="shared" si="152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50"/>
        <v>-478472822099.07935</v>
      </c>
      <c r="J3354" s="455">
        <f t="array" ref="J3354">IFERROR(INDEX('Retirement Calculator'!K:K,MATCH('Lorri 401b'!N3354,'Retirement Calculator'!A:A,0),0),0)</f>
        <v>0</v>
      </c>
      <c r="K3354" s="455">
        <f t="shared" ca="1" si="148"/>
        <v>-1993636758.7461636</v>
      </c>
      <c r="L3354" s="455">
        <f t="shared" ca="1" si="149"/>
        <v>-480466458857.8255</v>
      </c>
      <c r="M3354" s="471">
        <f t="shared" si="151"/>
        <v>0.05</v>
      </c>
      <c r="N3354" s="475">
        <f t="shared" si="152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50"/>
        <v>-480466458857.8255</v>
      </c>
      <c r="J3355" s="455">
        <f t="array" ref="J3355">IFERROR(INDEX('Retirement Calculator'!K:K,MATCH('Lorri 401b'!N3355,'Retirement Calculator'!A:A,0),0),0)</f>
        <v>0</v>
      </c>
      <c r="K3355" s="455">
        <f t="shared" ca="1" si="148"/>
        <v>-2001943578.5742726</v>
      </c>
      <c r="L3355" s="455">
        <f t="shared" ca="1" si="149"/>
        <v>-482468402436.39978</v>
      </c>
      <c r="M3355" s="471">
        <f t="shared" si="151"/>
        <v>0.05</v>
      </c>
      <c r="N3355" s="475">
        <f t="shared" si="152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50"/>
        <v>-482468402436.39978</v>
      </c>
      <c r="J3356" s="455">
        <f t="array" ref="J3356">IFERROR(INDEX('Retirement Calculator'!K:K,MATCH('Lorri 401b'!N3356,'Retirement Calculator'!A:A,0),0),0)</f>
        <v>0</v>
      </c>
      <c r="K3356" s="455">
        <f t="shared" ca="1" si="148"/>
        <v>-2010285010.1516654</v>
      </c>
      <c r="L3356" s="455">
        <f t="shared" ca="1" si="149"/>
        <v>-484478687446.55145</v>
      </c>
      <c r="M3356" s="471">
        <f t="shared" si="151"/>
        <v>0.05</v>
      </c>
      <c r="N3356" s="475">
        <f t="shared" si="152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50"/>
        <v>-484478687446.55145</v>
      </c>
      <c r="J3357" s="455">
        <f t="array" ref="J3357">IFERROR(INDEX('Retirement Calculator'!K:K,MATCH('Lorri 401b'!N3357,'Retirement Calculator'!A:A,0),0),0)</f>
        <v>0</v>
      </c>
      <c r="K3357" s="455">
        <f t="shared" ca="1" si="148"/>
        <v>-2018661197.6939642</v>
      </c>
      <c r="L3357" s="455">
        <f t="shared" ca="1" si="149"/>
        <v>-486497348644.24542</v>
      </c>
      <c r="M3357" s="471">
        <f t="shared" si="151"/>
        <v>0.05</v>
      </c>
      <c r="N3357" s="475">
        <f t="shared" si="152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50"/>
        <v>-486497348644.24542</v>
      </c>
      <c r="J3358" s="455">
        <f t="array" ref="J3358">IFERROR(INDEX('Retirement Calculator'!K:K,MATCH('Lorri 401b'!N3358,'Retirement Calculator'!A:A,0),0),0)</f>
        <v>0</v>
      </c>
      <c r="K3358" s="455">
        <f t="shared" ca="1" si="148"/>
        <v>-2027072286.017689</v>
      </c>
      <c r="L3358" s="455">
        <f t="shared" ca="1" si="149"/>
        <v>-488524420930.26312</v>
      </c>
      <c r="M3358" s="471">
        <f t="shared" si="151"/>
        <v>0.05</v>
      </c>
      <c r="N3358" s="475">
        <f t="shared" si="152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50"/>
        <v>-488524420930.26312</v>
      </c>
      <c r="J3359" s="455">
        <f t="array" ref="J3359">IFERROR(INDEX('Retirement Calculator'!K:K,MATCH('Lorri 401b'!N3359,'Retirement Calculator'!A:A,0),0),0)</f>
        <v>0</v>
      </c>
      <c r="K3359" s="455">
        <f t="shared" ca="1" si="148"/>
        <v>-2035518420.542763</v>
      </c>
      <c r="L3359" s="455">
        <f t="shared" ca="1" si="149"/>
        <v>-490559939350.80591</v>
      </c>
      <c r="M3359" s="471">
        <f t="shared" si="151"/>
        <v>0.05</v>
      </c>
      <c r="N3359" s="475">
        <f t="shared" si="152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50"/>
        <v>-490559939350.80591</v>
      </c>
      <c r="J3360" s="455">
        <f t="array" ref="J3360">IFERROR(INDEX('Retirement Calculator'!K:K,MATCH('Lorri 401b'!N3360,'Retirement Calculator'!A:A,0),0),0)</f>
        <v>0</v>
      </c>
      <c r="K3360" s="455">
        <f t="shared" ca="1" si="148"/>
        <v>-2043999747.2950249</v>
      </c>
      <c r="L3360" s="455">
        <f t="shared" ca="1" si="149"/>
        <v>-492603939098.10095</v>
      </c>
      <c r="M3360" s="471">
        <f t="shared" si="151"/>
        <v>0.05</v>
      </c>
      <c r="N3360" s="475">
        <f t="shared" si="152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50"/>
        <v>-492603939098.10095</v>
      </c>
      <c r="J3361" s="455">
        <f t="array" ref="J3361">IFERROR(INDEX('Retirement Calculator'!K:K,MATCH('Lorri 401b'!N3361,'Retirement Calculator'!A:A,0),0),0)</f>
        <v>0</v>
      </c>
      <c r="K3361" s="455">
        <f t="shared" ca="1" si="148"/>
        <v>-2052516412.9087539</v>
      </c>
      <c r="L3361" s="455">
        <f t="shared" ca="1" si="149"/>
        <v>-494656455511.0097</v>
      </c>
      <c r="M3361" s="471">
        <f t="shared" si="151"/>
        <v>0.05</v>
      </c>
      <c r="N3361" s="475">
        <f t="shared" si="152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50"/>
        <v>-494656455511.0097</v>
      </c>
      <c r="J3362" s="455">
        <f t="array" ref="J3362">IFERROR(INDEX('Retirement Calculator'!K:K,MATCH('Lorri 401b'!N3362,'Retirement Calculator'!A:A,0),0),0)</f>
        <v>0</v>
      </c>
      <c r="K3362" s="455">
        <f t="shared" ca="1" si="148"/>
        <v>-2061068564.6292071</v>
      </c>
      <c r="L3362" s="455">
        <f t="shared" ca="1" si="149"/>
        <v>-496717524075.63892</v>
      </c>
      <c r="M3362" s="471">
        <f t="shared" si="151"/>
        <v>0.05</v>
      </c>
      <c r="N3362" s="475">
        <f t="shared" si="152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50"/>
        <v>-496717524075.63892</v>
      </c>
      <c r="J3363" s="455">
        <f t="array" ref="J3363">IFERROR(INDEX('Retirement Calculator'!K:K,MATCH('Lorri 401b'!N3363,'Retirement Calculator'!A:A,0),0),0)</f>
        <v>0</v>
      </c>
      <c r="K3363" s="455">
        <f t="shared" ca="1" si="148"/>
        <v>-2069656350.3151622</v>
      </c>
      <c r="L3363" s="455">
        <f t="shared" ca="1" si="149"/>
        <v>-498787180425.9541</v>
      </c>
      <c r="M3363" s="471">
        <f t="shared" si="151"/>
        <v>0.05</v>
      </c>
      <c r="N3363" s="475">
        <f t="shared" si="152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50"/>
        <v>-498787180425.9541</v>
      </c>
      <c r="J3364" s="455">
        <f t="array" ref="J3364">IFERROR(INDEX('Retirement Calculator'!K:K,MATCH('Lorri 401b'!N3364,'Retirement Calculator'!A:A,0),0),0)</f>
        <v>0</v>
      </c>
      <c r="K3364" s="455">
        <f t="shared" ca="1" si="148"/>
        <v>-2078279918.4414754</v>
      </c>
      <c r="L3364" s="455">
        <f t="shared" ca="1" si="149"/>
        <v>-500865460344.39557</v>
      </c>
      <c r="M3364" s="471">
        <f t="shared" si="151"/>
        <v>0.05</v>
      </c>
      <c r="N3364" s="475">
        <f t="shared" si="152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50"/>
        <v>-500865460344.39557</v>
      </c>
      <c r="J3365" s="455">
        <f t="array" ref="J3365">IFERROR(INDEX('Retirement Calculator'!K:K,MATCH('Lorri 401b'!N3365,'Retirement Calculator'!A:A,0),0),0)</f>
        <v>0</v>
      </c>
      <c r="K3365" s="455">
        <f t="shared" ca="1" si="148"/>
        <v>-2086939418.1016479</v>
      </c>
      <c r="L3365" s="455">
        <f t="shared" ca="1" si="149"/>
        <v>-502952399762.49719</v>
      </c>
      <c r="M3365" s="471">
        <f t="shared" si="151"/>
        <v>0.05</v>
      </c>
      <c r="N3365" s="475">
        <f t="shared" si="152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50"/>
        <v>-502952399762.49719</v>
      </c>
      <c r="J3366" s="455">
        <f t="array" ref="J3366">IFERROR(INDEX('Retirement Calculator'!K:K,MATCH('Lorri 401b'!N3366,'Retirement Calculator'!A:A,0),0),0)</f>
        <v>0</v>
      </c>
      <c r="K3366" s="455">
        <f t="shared" ca="1" si="148"/>
        <v>-2095634999.0104053</v>
      </c>
      <c r="L3366" s="455">
        <f t="shared" ca="1" si="149"/>
        <v>-505048034761.50757</v>
      </c>
      <c r="M3366" s="471">
        <f t="shared" si="151"/>
        <v>0.05</v>
      </c>
      <c r="N3366" s="475">
        <f t="shared" si="152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50"/>
        <v>-505048034761.50757</v>
      </c>
      <c r="J3367" s="455">
        <f t="array" ref="J3367">IFERROR(INDEX('Retirement Calculator'!K:K,MATCH('Lorri 401b'!N3367,'Retirement Calculator'!A:A,0),0),0)</f>
        <v>0</v>
      </c>
      <c r="K3367" s="455">
        <f t="shared" ca="1" si="148"/>
        <v>-2104366811.5062816</v>
      </c>
      <c r="L3367" s="455">
        <f t="shared" ca="1" si="149"/>
        <v>-507152401573.01385</v>
      </c>
      <c r="M3367" s="471">
        <f t="shared" si="151"/>
        <v>0.05</v>
      </c>
      <c r="N3367" s="475">
        <f t="shared" si="152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50"/>
        <v>-507152401573.01385</v>
      </c>
      <c r="J3368" s="455">
        <f t="array" ref="J3368">IFERROR(INDEX('Retirement Calculator'!K:K,MATCH('Lorri 401b'!N3368,'Retirement Calculator'!A:A,0),0),0)</f>
        <v>0</v>
      </c>
      <c r="K3368" s="455">
        <f t="shared" ca="1" si="148"/>
        <v>-2113135006.5542243</v>
      </c>
      <c r="L3368" s="455">
        <f t="shared" ca="1" si="149"/>
        <v>-509265536579.56805</v>
      </c>
      <c r="M3368" s="471">
        <f t="shared" si="151"/>
        <v>0.05</v>
      </c>
      <c r="N3368" s="475">
        <f t="shared" si="152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50"/>
        <v>-509265536579.56805</v>
      </c>
      <c r="J3369" s="455">
        <f t="array" ref="J3369">IFERROR(INDEX('Retirement Calculator'!K:K,MATCH('Lorri 401b'!N3369,'Retirement Calculator'!A:A,0),0),0)</f>
        <v>0</v>
      </c>
      <c r="K3369" s="455">
        <f t="shared" ca="1" si="148"/>
        <v>-2121939735.7482002</v>
      </c>
      <c r="L3369" s="455">
        <f t="shared" ca="1" si="149"/>
        <v>-511387476315.31628</v>
      </c>
      <c r="M3369" s="471">
        <f t="shared" si="151"/>
        <v>0.05</v>
      </c>
      <c r="N3369" s="475">
        <f t="shared" si="152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50"/>
        <v>-511387476315.31628</v>
      </c>
      <c r="J3370" s="455">
        <f t="array" ref="J3370">IFERROR(INDEX('Retirement Calculator'!K:K,MATCH('Lorri 401b'!N3370,'Retirement Calculator'!A:A,0),0),0)</f>
        <v>0</v>
      </c>
      <c r="K3370" s="455">
        <f t="shared" ca="1" si="148"/>
        <v>-2130781151.3138177</v>
      </c>
      <c r="L3370" s="455">
        <f t="shared" ca="1" si="149"/>
        <v>-513518257466.63013</v>
      </c>
      <c r="M3370" s="471">
        <f t="shared" si="151"/>
        <v>0.05</v>
      </c>
      <c r="N3370" s="475">
        <f t="shared" si="152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50"/>
        <v>-513518257466.63013</v>
      </c>
      <c r="J3371" s="455">
        <f t="array" ref="J3371">IFERROR(INDEX('Retirement Calculator'!K:K,MATCH('Lorri 401b'!N3371,'Retirement Calculator'!A:A,0),0),0)</f>
        <v>0</v>
      </c>
      <c r="K3371" s="455">
        <f t="shared" ca="1" si="148"/>
        <v>-2139659406.1109588</v>
      </c>
      <c r="L3371" s="455">
        <f t="shared" ca="1" si="149"/>
        <v>-515657916872.74109</v>
      </c>
      <c r="M3371" s="471">
        <f t="shared" si="151"/>
        <v>0.05</v>
      </c>
      <c r="N3371" s="475">
        <f t="shared" si="152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50"/>
        <v>-515657916872.74109</v>
      </c>
      <c r="J3372" s="455">
        <f t="array" ref="J3372">IFERROR(INDEX('Retirement Calculator'!K:K,MATCH('Lorri 401b'!N3372,'Retirement Calculator'!A:A,0),0),0)</f>
        <v>0</v>
      </c>
      <c r="K3372" s="455">
        <f t="shared" ca="1" si="148"/>
        <v>-2148574653.6364207</v>
      </c>
      <c r="L3372" s="455">
        <f t="shared" ca="1" si="149"/>
        <v>-517806491526.3775</v>
      </c>
      <c r="M3372" s="471">
        <f t="shared" si="151"/>
        <v>0.05</v>
      </c>
      <c r="N3372" s="475">
        <f t="shared" si="152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50"/>
        <v>-517806491526.3775</v>
      </c>
      <c r="J3373" s="455">
        <f t="array" ref="J3373">IFERROR(INDEX('Retirement Calculator'!K:K,MATCH('Lorri 401b'!N3373,'Retirement Calculator'!A:A,0),0),0)</f>
        <v>0</v>
      </c>
      <c r="K3373" s="455">
        <f t="shared" ca="1" si="148"/>
        <v>-2157527048.0265727</v>
      </c>
      <c r="L3373" s="455">
        <f t="shared" ca="1" si="149"/>
        <v>-519964018574.40405</v>
      </c>
      <c r="M3373" s="471">
        <f t="shared" si="151"/>
        <v>0.05</v>
      </c>
      <c r="N3373" s="475">
        <f t="shared" si="152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50"/>
        <v>-519964018574.40405</v>
      </c>
      <c r="J3374" s="455">
        <f t="array" ref="J3374">IFERROR(INDEX('Retirement Calculator'!K:K,MATCH('Lorri 401b'!N3374,'Retirement Calculator'!A:A,0),0),0)</f>
        <v>0</v>
      </c>
      <c r="K3374" s="455">
        <f t="shared" ca="1" si="148"/>
        <v>-2166516744.0600166</v>
      </c>
      <c r="L3374" s="455">
        <f t="shared" ca="1" si="149"/>
        <v>-522130535318.46405</v>
      </c>
      <c r="M3374" s="471">
        <f t="shared" si="151"/>
        <v>0.05</v>
      </c>
      <c r="N3374" s="475">
        <f t="shared" si="152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50"/>
        <v>-522130535318.46405</v>
      </c>
      <c r="J3375" s="455">
        <f t="array" ref="J3375">IFERROR(INDEX('Retirement Calculator'!K:K,MATCH('Lorri 401b'!N3375,'Retirement Calculator'!A:A,0),0),0)</f>
        <v>0</v>
      </c>
      <c r="K3375" s="455">
        <f t="shared" ca="1" si="148"/>
        <v>-2175543897.1602669</v>
      </c>
      <c r="L3375" s="455">
        <f t="shared" ca="1" si="149"/>
        <v>-524306079215.62433</v>
      </c>
      <c r="M3375" s="471">
        <f t="shared" si="151"/>
        <v>0.05</v>
      </c>
      <c r="N3375" s="475">
        <f t="shared" si="152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50"/>
        <v>-524306079215.62433</v>
      </c>
      <c r="J3376" s="455">
        <f t="array" ref="J3376">IFERROR(INDEX('Retirement Calculator'!K:K,MATCH('Lorri 401b'!N3376,'Retirement Calculator'!A:A,0),0),0)</f>
        <v>0</v>
      </c>
      <c r="K3376" s="455">
        <f t="shared" ca="1" si="148"/>
        <v>-2184608663.3984346</v>
      </c>
      <c r="L3376" s="455">
        <f t="shared" ca="1" si="149"/>
        <v>-526490687879.02277</v>
      </c>
      <c r="M3376" s="471">
        <f t="shared" si="151"/>
        <v>0.05</v>
      </c>
      <c r="N3376" s="475">
        <f t="shared" si="152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50"/>
        <v>-526490687879.02277</v>
      </c>
      <c r="J3377" s="455">
        <f t="array" ref="J3377">IFERROR(INDEX('Retirement Calculator'!K:K,MATCH('Lorri 401b'!N3377,'Retirement Calculator'!A:A,0),0),0)</f>
        <v>0</v>
      </c>
      <c r="K3377" s="455">
        <f t="shared" ca="1" si="148"/>
        <v>-2193711199.4959283</v>
      </c>
      <c r="L3377" s="455">
        <f t="shared" ca="1" si="149"/>
        <v>-528684399078.51868</v>
      </c>
      <c r="M3377" s="471">
        <f t="shared" si="151"/>
        <v>0.05</v>
      </c>
      <c r="N3377" s="475">
        <f t="shared" si="152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50"/>
        <v>-528684399078.51868</v>
      </c>
      <c r="J3378" s="455">
        <f t="array" ref="J3378">IFERROR(INDEX('Retirement Calculator'!K:K,MATCH('Lorri 401b'!N3378,'Retirement Calculator'!A:A,0),0),0)</f>
        <v>0</v>
      </c>
      <c r="K3378" s="455">
        <f t="shared" ca="1" si="148"/>
        <v>-2202851662.8271613</v>
      </c>
      <c r="L3378" s="455">
        <f t="shared" ca="1" si="149"/>
        <v>-530887250741.34583</v>
      </c>
      <c r="M3378" s="471">
        <f t="shared" si="151"/>
        <v>0.05</v>
      </c>
      <c r="N3378" s="475">
        <f t="shared" si="152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50"/>
        <v>-530887250741.34583</v>
      </c>
      <c r="J3379" s="455">
        <f t="array" ref="J3379">IFERROR(INDEX('Retirement Calculator'!K:K,MATCH('Lorri 401b'!N3379,'Retirement Calculator'!A:A,0),0),0)</f>
        <v>0</v>
      </c>
      <c r="K3379" s="455">
        <f t="shared" ca="1" si="148"/>
        <v>-2212030211.4222746</v>
      </c>
      <c r="L3379" s="455">
        <f t="shared" ca="1" si="149"/>
        <v>-533099280952.76813</v>
      </c>
      <c r="M3379" s="471">
        <f t="shared" si="151"/>
        <v>0.05</v>
      </c>
      <c r="N3379" s="475">
        <f t="shared" si="152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50"/>
        <v>-533099280952.76813</v>
      </c>
      <c r="J3380" s="455">
        <f t="array" ref="J3380">IFERROR(INDEX('Retirement Calculator'!K:K,MATCH('Lorri 401b'!N3380,'Retirement Calculator'!A:A,0),0),0)</f>
        <v>0</v>
      </c>
      <c r="K3380" s="455">
        <f t="shared" ca="1" si="148"/>
        <v>-2221247003.9698672</v>
      </c>
      <c r="L3380" s="455">
        <f t="shared" ca="1" si="149"/>
        <v>-535320527956.73798</v>
      </c>
      <c r="M3380" s="471">
        <f t="shared" si="151"/>
        <v>0.05</v>
      </c>
      <c r="N3380" s="475">
        <f t="shared" si="152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50"/>
        <v>-535320527956.73798</v>
      </c>
      <c r="J3381" s="455">
        <f t="array" ref="J3381">IFERROR(INDEX('Retirement Calculator'!K:K,MATCH('Lorri 401b'!N3381,'Retirement Calculator'!A:A,0),0),0)</f>
        <v>0</v>
      </c>
      <c r="K3381" s="455">
        <f t="shared" ca="1" si="148"/>
        <v>-2230502199.8197417</v>
      </c>
      <c r="L3381" s="455">
        <f t="shared" ca="1" si="149"/>
        <v>-537551030156.55774</v>
      </c>
      <c r="M3381" s="471">
        <f t="shared" si="151"/>
        <v>0.05</v>
      </c>
      <c r="N3381" s="475">
        <f t="shared" si="152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50"/>
        <v>-537551030156.55774</v>
      </c>
      <c r="J3382" s="455">
        <f t="array" ref="J3382">IFERROR(INDEX('Retirement Calculator'!K:K,MATCH('Lorri 401b'!N3382,'Retirement Calculator'!A:A,0),0),0)</f>
        <v>0</v>
      </c>
      <c r="K3382" s="455">
        <f t="shared" ca="1" si="148"/>
        <v>-2239795958.9856572</v>
      </c>
      <c r="L3382" s="455">
        <f t="shared" ca="1" si="149"/>
        <v>-539790826115.5434</v>
      </c>
      <c r="M3382" s="471">
        <f t="shared" si="151"/>
        <v>0.05</v>
      </c>
      <c r="N3382" s="475">
        <f t="shared" si="152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50"/>
        <v>-539790826115.5434</v>
      </c>
      <c r="J3383" s="455">
        <f t="array" ref="J3383">IFERROR(INDEX('Retirement Calculator'!K:K,MATCH('Lorri 401b'!N3383,'Retirement Calculator'!A:A,0),0),0)</f>
        <v>0</v>
      </c>
      <c r="K3383" s="455">
        <f t="shared" ca="1" si="148"/>
        <v>-2249128442.1480975</v>
      </c>
      <c r="L3383" s="455">
        <f t="shared" ca="1" si="149"/>
        <v>-542039954557.69147</v>
      </c>
      <c r="M3383" s="471">
        <f t="shared" si="151"/>
        <v>0.05</v>
      </c>
      <c r="N3383" s="475">
        <f t="shared" si="152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50"/>
        <v>-542039954557.69147</v>
      </c>
      <c r="J3384" s="455">
        <f t="array" ref="J3384">IFERROR(INDEX('Retirement Calculator'!K:K,MATCH('Lorri 401b'!N3384,'Retirement Calculator'!A:A,0),0),0)</f>
        <v>0</v>
      </c>
      <c r="K3384" s="455">
        <f t="shared" ca="1" si="148"/>
        <v>-2258499810.6570477</v>
      </c>
      <c r="L3384" s="455">
        <f t="shared" ca="1" si="149"/>
        <v>-544298454368.34851</v>
      </c>
      <c r="M3384" s="471">
        <f t="shared" si="151"/>
        <v>0.05</v>
      </c>
      <c r="N3384" s="475">
        <f t="shared" si="152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50"/>
        <v>-544298454368.34851</v>
      </c>
      <c r="J3385" s="455">
        <f t="array" ref="J3385">IFERROR(INDEX('Retirement Calculator'!K:K,MATCH('Lorri 401b'!N3385,'Retirement Calculator'!A:A,0),0),0)</f>
        <v>0</v>
      </c>
      <c r="K3385" s="455">
        <f t="shared" ca="1" si="148"/>
        <v>-2267910226.5347853</v>
      </c>
      <c r="L3385" s="455">
        <f t="shared" ca="1" si="149"/>
        <v>-546566364594.8833</v>
      </c>
      <c r="M3385" s="471">
        <f t="shared" si="151"/>
        <v>0.05</v>
      </c>
      <c r="N3385" s="475">
        <f t="shared" si="152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50"/>
        <v>-546566364594.8833</v>
      </c>
      <c r="J3386" s="455">
        <f t="array" ref="J3386">IFERROR(INDEX('Retirement Calculator'!K:K,MATCH('Lorri 401b'!N3386,'Retirement Calculator'!A:A,0),0),0)</f>
        <v>0</v>
      </c>
      <c r="K3386" s="455">
        <f t="shared" ca="1" si="148"/>
        <v>-2277359852.4786806</v>
      </c>
      <c r="L3386" s="455">
        <f t="shared" ca="1" si="149"/>
        <v>-548843724447.362</v>
      </c>
      <c r="M3386" s="471">
        <f t="shared" si="151"/>
        <v>0.05</v>
      </c>
      <c r="N3386" s="475">
        <f t="shared" si="152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50"/>
        <v>-548843724447.362</v>
      </c>
      <c r="J3387" s="455">
        <f t="array" ref="J3387">IFERROR(INDEX('Retirement Calculator'!K:K,MATCH('Lorri 401b'!N3387,'Retirement Calculator'!A:A,0),0),0)</f>
        <v>0</v>
      </c>
      <c r="K3387" s="455">
        <f t="shared" ca="1" si="148"/>
        <v>-2286848851.8640084</v>
      </c>
      <c r="L3387" s="455">
        <f t="shared" ca="1" si="149"/>
        <v>-551130573299.22595</v>
      </c>
      <c r="M3387" s="471">
        <f t="shared" si="151"/>
        <v>0.05</v>
      </c>
      <c r="N3387" s="475">
        <f t="shared" si="152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50"/>
        <v>-551130573299.22595</v>
      </c>
      <c r="J3388" s="455">
        <f t="array" ref="J3388">IFERROR(INDEX('Retirement Calculator'!K:K,MATCH('Lorri 401b'!N3388,'Retirement Calculator'!A:A,0),0),0)</f>
        <v>0</v>
      </c>
      <c r="K3388" s="455">
        <f t="shared" ca="1" si="148"/>
        <v>-2296377388.7467747</v>
      </c>
      <c r="L3388" s="455">
        <f t="shared" ca="1" si="149"/>
        <v>-553426950687.97278</v>
      </c>
      <c r="M3388" s="471">
        <f t="shared" si="151"/>
        <v>0.05</v>
      </c>
      <c r="N3388" s="475">
        <f t="shared" si="152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50"/>
        <v>-553426950687.97278</v>
      </c>
      <c r="J3389" s="455">
        <f t="array" ref="J3389">IFERROR(INDEX('Retirement Calculator'!K:K,MATCH('Lorri 401b'!N3389,'Retirement Calculator'!A:A,0),0),0)</f>
        <v>0</v>
      </c>
      <c r="K3389" s="455">
        <f t="shared" ca="1" si="148"/>
        <v>-2305945627.8665533</v>
      </c>
      <c r="L3389" s="455">
        <f t="shared" ca="1" si="149"/>
        <v>-555732896315.83936</v>
      </c>
      <c r="M3389" s="471">
        <f t="shared" si="151"/>
        <v>0.05</v>
      </c>
      <c r="N3389" s="475">
        <f t="shared" si="152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50"/>
        <v>-555732896315.83936</v>
      </c>
      <c r="J3390" s="455">
        <f t="array" ref="J3390">IFERROR(INDEX('Retirement Calculator'!K:K,MATCH('Lorri 401b'!N3390,'Retirement Calculator'!A:A,0),0),0)</f>
        <v>0</v>
      </c>
      <c r="K3390" s="455">
        <f t="shared" ca="1" si="148"/>
        <v>-2315553734.6493306</v>
      </c>
      <c r="L3390" s="455">
        <f t="shared" ca="1" si="149"/>
        <v>-558048450050.48865</v>
      </c>
      <c r="M3390" s="471">
        <f t="shared" si="151"/>
        <v>0.05</v>
      </c>
      <c r="N3390" s="475">
        <f t="shared" si="152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50"/>
        <v>-558048450050.48865</v>
      </c>
      <c r="J3391" s="455">
        <f t="array" ref="J3391">IFERROR(INDEX('Retirement Calculator'!K:K,MATCH('Lorri 401b'!N3391,'Retirement Calculator'!A:A,0),0),0)</f>
        <v>0</v>
      </c>
      <c r="K3391" s="455">
        <f t="shared" ca="1" si="148"/>
        <v>-2325201875.2103691</v>
      </c>
      <c r="L3391" s="455">
        <f t="shared" ca="1" si="149"/>
        <v>-560373651925.69897</v>
      </c>
      <c r="M3391" s="471">
        <f t="shared" si="151"/>
        <v>0.05</v>
      </c>
      <c r="N3391" s="475">
        <f t="shared" si="152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50"/>
        <v>-560373651925.69897</v>
      </c>
      <c r="J3392" s="455">
        <f t="array" ref="J3392">IFERROR(INDEX('Retirement Calculator'!K:K,MATCH('Lorri 401b'!N3392,'Retirement Calculator'!A:A,0),0),0)</f>
        <v>0</v>
      </c>
      <c r="K3392" s="455">
        <f t="shared" ca="1" si="148"/>
        <v>-2334890216.357079</v>
      </c>
      <c r="L3392" s="455">
        <f t="shared" ca="1" si="149"/>
        <v>-562708542142.05603</v>
      </c>
      <c r="M3392" s="471">
        <f t="shared" si="151"/>
        <v>0.05</v>
      </c>
      <c r="N3392" s="475">
        <f t="shared" si="152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50"/>
        <v>-562708542142.05603</v>
      </c>
      <c r="J3393" s="455">
        <f t="array" ref="J3393">IFERROR(INDEX('Retirement Calculator'!K:K,MATCH('Lorri 401b'!N3393,'Retirement Calculator'!A:A,0),0),0)</f>
        <v>0</v>
      </c>
      <c r="K3393" s="455">
        <f t="shared" ca="1" si="148"/>
        <v>-2344618925.5918999</v>
      </c>
      <c r="L3393" s="455">
        <f t="shared" ca="1" si="149"/>
        <v>-565053161067.64795</v>
      </c>
      <c r="M3393" s="471">
        <f t="shared" si="151"/>
        <v>0.05</v>
      </c>
      <c r="N3393" s="475">
        <f t="shared" si="152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50"/>
        <v>-565053161067.64795</v>
      </c>
      <c r="J3394" s="455">
        <f t="array" ref="J3394">IFERROR(INDEX('Retirement Calculator'!K:K,MATCH('Lorri 401b'!N3394,'Retirement Calculator'!A:A,0),0),0)</f>
        <v>0</v>
      </c>
      <c r="K3394" s="455">
        <f t="shared" ca="1" si="148"/>
        <v>-2354388171.1151996</v>
      </c>
      <c r="L3394" s="455">
        <f t="shared" ca="1" si="149"/>
        <v>-567407549238.76318</v>
      </c>
      <c r="M3394" s="471">
        <f t="shared" si="151"/>
        <v>0.05</v>
      </c>
      <c r="N3394" s="475">
        <f t="shared" si="152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50"/>
        <v>-567407549238.76318</v>
      </c>
      <c r="J3395" s="455">
        <f t="array" ref="J3395">IFERROR(INDEX('Retirement Calculator'!K:K,MATCH('Lorri 401b'!N3395,'Retirement Calculator'!A:A,0),0),0)</f>
        <v>0</v>
      </c>
      <c r="K3395" s="455">
        <f t="shared" ca="1" si="148"/>
        <v>-2364198121.8281798</v>
      </c>
      <c r="L3395" s="455">
        <f t="shared" ca="1" si="149"/>
        <v>-569771747360.59131</v>
      </c>
      <c r="M3395" s="471">
        <f t="shared" si="151"/>
        <v>0.05</v>
      </c>
      <c r="N3395" s="475">
        <f t="shared" si="152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50"/>
        <v>-569771747360.59131</v>
      </c>
      <c r="J3396" s="455">
        <f t="array" ref="J3396">IFERROR(INDEX('Retirement Calculator'!K:K,MATCH('Lorri 401b'!N3396,'Retirement Calculator'!A:A,0),0),0)</f>
        <v>0</v>
      </c>
      <c r="K3396" s="455">
        <f t="shared" ca="1" si="148"/>
        <v>-2374048947.3357973</v>
      </c>
      <c r="L3396" s="455">
        <f t="shared" ca="1" si="149"/>
        <v>-572145796307.92712</v>
      </c>
      <c r="M3396" s="471">
        <f t="shared" si="151"/>
        <v>0.05</v>
      </c>
      <c r="N3396" s="475">
        <f t="shared" si="152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50"/>
        <v>-572145796307.92712</v>
      </c>
      <c r="J3397" s="455">
        <f t="array" ref="J3397">IFERROR(INDEX('Retirement Calculator'!K:K,MATCH('Lorri 401b'!N3397,'Retirement Calculator'!A:A,0),0),0)</f>
        <v>0</v>
      </c>
      <c r="K3397" s="455">
        <f t="shared" ca="1" si="148"/>
        <v>-2383940817.9496965</v>
      </c>
      <c r="L3397" s="455">
        <f t="shared" ca="1" si="149"/>
        <v>-574529737125.87683</v>
      </c>
      <c r="M3397" s="471">
        <f t="shared" si="151"/>
        <v>0.05</v>
      </c>
      <c r="N3397" s="475">
        <f t="shared" si="152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50"/>
        <v>-574529737125.87683</v>
      </c>
      <c r="J3398" s="455">
        <f t="array" ref="J3398">IFERROR(INDEX('Retirement Calculator'!K:K,MATCH('Lorri 401b'!N3398,'Retirement Calculator'!A:A,0),0),0)</f>
        <v>0</v>
      </c>
      <c r="K3398" s="455">
        <f t="shared" ca="1" si="148"/>
        <v>-2393873904.6911535</v>
      </c>
      <c r="L3398" s="455">
        <f t="shared" ca="1" si="149"/>
        <v>-576923611030.56799</v>
      </c>
      <c r="M3398" s="471">
        <f t="shared" si="151"/>
        <v>0.05</v>
      </c>
      <c r="N3398" s="475">
        <f t="shared" si="152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50"/>
        <v>-576923611030.56799</v>
      </c>
      <c r="J3399" s="455">
        <f t="array" ref="J3399">IFERROR(INDEX('Retirement Calculator'!K:K,MATCH('Lorri 401b'!N3399,'Retirement Calculator'!A:A,0),0),0)</f>
        <v>0</v>
      </c>
      <c r="K3399" s="455">
        <f t="shared" ca="1" si="148"/>
        <v>-2403848379.2940331</v>
      </c>
      <c r="L3399" s="455">
        <f t="shared" ca="1" si="149"/>
        <v>-579327459409.86206</v>
      </c>
      <c r="M3399" s="471">
        <f t="shared" si="151"/>
        <v>0.05</v>
      </c>
      <c r="N3399" s="475">
        <f t="shared" si="152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50"/>
        <v>-579327459409.86206</v>
      </c>
      <c r="J3400" s="455">
        <f t="array" ref="J3400">IFERROR(INDEX('Retirement Calculator'!K:K,MATCH('Lorri 401b'!N3400,'Retirement Calculator'!A:A,0),0),0)</f>
        <v>0</v>
      </c>
      <c r="K3400" s="455">
        <f t="shared" ca="1" si="148"/>
        <v>-2413864414.2077584</v>
      </c>
      <c r="L3400" s="455">
        <f t="shared" ca="1" si="149"/>
        <v>-581741323824.06982</v>
      </c>
      <c r="M3400" s="471">
        <f t="shared" si="151"/>
        <v>0.05</v>
      </c>
      <c r="N3400" s="475">
        <f t="shared" si="152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50"/>
        <v>-581741323824.06982</v>
      </c>
      <c r="J3401" s="455">
        <f t="array" ref="J3401">IFERROR(INDEX('Retirement Calculator'!K:K,MATCH('Lorri 401b'!N3401,'Retirement Calculator'!A:A,0),0),0)</f>
        <v>0</v>
      </c>
      <c r="K3401" s="455">
        <f t="shared" ca="1" si="148"/>
        <v>-2423922182.6002908</v>
      </c>
      <c r="L3401" s="455">
        <f t="shared" ca="1" si="149"/>
        <v>-584165246006.67017</v>
      </c>
      <c r="M3401" s="471">
        <f t="shared" si="151"/>
        <v>0.05</v>
      </c>
      <c r="N3401" s="475">
        <f t="shared" si="152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50"/>
        <v>-584165246006.67017</v>
      </c>
      <c r="J3402" s="455">
        <f t="array" ref="J3402">IFERROR(INDEX('Retirement Calculator'!K:K,MATCH('Lorri 401b'!N3402,'Retirement Calculator'!A:A,0),0),0)</f>
        <v>0</v>
      </c>
      <c r="K3402" s="455">
        <f t="shared" ca="1" si="148"/>
        <v>-2434021858.3611255</v>
      </c>
      <c r="L3402" s="455">
        <f t="shared" ca="1" si="149"/>
        <v>-586599267865.03125</v>
      </c>
      <c r="M3402" s="471">
        <f t="shared" si="151"/>
        <v>0.05</v>
      </c>
      <c r="N3402" s="475">
        <f t="shared" si="152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50"/>
        <v>-586599267865.03125</v>
      </c>
      <c r="J3403" s="455">
        <f t="array" ref="J3403">IFERROR(INDEX('Retirement Calculator'!K:K,MATCH('Lorri 401b'!N3403,'Retirement Calculator'!A:A,0),0),0)</f>
        <v>0</v>
      </c>
      <c r="K3403" s="455">
        <f t="shared" ca="1" si="148"/>
        <v>-2444163616.1042967</v>
      </c>
      <c r="L3403" s="455">
        <f t="shared" ca="1" si="149"/>
        <v>-589043431481.1355</v>
      </c>
      <c r="M3403" s="471">
        <f t="shared" si="151"/>
        <v>0.05</v>
      </c>
      <c r="N3403" s="475">
        <f t="shared" si="152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50"/>
        <v>-589043431481.1355</v>
      </c>
      <c r="J3404" s="455">
        <f t="array" ref="J3404">IFERROR(INDEX('Retirement Calculator'!K:K,MATCH('Lorri 401b'!N3404,'Retirement Calculator'!A:A,0),0),0)</f>
        <v>0</v>
      </c>
      <c r="K3404" s="455">
        <f t="shared" ca="1" si="148"/>
        <v>-2454347631.1713977</v>
      </c>
      <c r="L3404" s="455">
        <f t="shared" ca="1" si="149"/>
        <v>-591497779112.30688</v>
      </c>
      <c r="M3404" s="471">
        <f t="shared" si="151"/>
        <v>0.05</v>
      </c>
      <c r="N3404" s="475">
        <f t="shared" si="152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50"/>
        <v>-591497779112.30688</v>
      </c>
      <c r="J3405" s="455">
        <f t="array" ref="J3405">IFERROR(INDEX('Retirement Calculator'!K:K,MATCH('Lorri 401b'!N3405,'Retirement Calculator'!A:A,0),0),0)</f>
        <v>0</v>
      </c>
      <c r="K3405" s="455">
        <f t="shared" ca="1" si="148"/>
        <v>-2464574079.6346121</v>
      </c>
      <c r="L3405" s="455">
        <f t="shared" ca="1" si="149"/>
        <v>-593962353191.94153</v>
      </c>
      <c r="M3405" s="471">
        <f t="shared" si="151"/>
        <v>0.05</v>
      </c>
      <c r="N3405" s="475">
        <f t="shared" si="152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50"/>
        <v>-593962353191.94153</v>
      </c>
      <c r="J3406" s="455">
        <f t="array" ref="J3406">IFERROR(INDEX('Retirement Calculator'!K:K,MATCH('Lorri 401b'!N3406,'Retirement Calculator'!A:A,0),0),0)</f>
        <v>0</v>
      </c>
      <c r="K3406" s="455">
        <f t="shared" ca="1" si="148"/>
        <v>-2474843138.2997565</v>
      </c>
      <c r="L3406" s="455">
        <f t="shared" ca="1" si="149"/>
        <v>-596437196330.24133</v>
      </c>
      <c r="M3406" s="471">
        <f t="shared" si="151"/>
        <v>0.05</v>
      </c>
      <c r="N3406" s="475">
        <f t="shared" si="152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50"/>
        <v>-596437196330.24133</v>
      </c>
      <c r="J3407" s="455">
        <f t="array" ref="J3407">IFERROR(INDEX('Retirement Calculator'!K:K,MATCH('Lorri 401b'!N3407,'Retirement Calculator'!A:A,0),0),0)</f>
        <v>0</v>
      </c>
      <c r="K3407" s="455">
        <f t="shared" ca="1" si="148"/>
        <v>-2485154984.7093387</v>
      </c>
      <c r="L3407" s="455">
        <f t="shared" ca="1" si="149"/>
        <v>-598922351314.95068</v>
      </c>
      <c r="M3407" s="471">
        <f t="shared" si="151"/>
        <v>0.05</v>
      </c>
      <c r="N3407" s="475">
        <f t="shared" si="152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50"/>
        <v>-598922351314.95068</v>
      </c>
      <c r="J3408" s="455">
        <f t="array" ref="J3408">IFERROR(INDEX('Retirement Calculator'!K:K,MATCH('Lorri 401b'!N3408,'Retirement Calculator'!A:A,0),0),0)</f>
        <v>0</v>
      </c>
      <c r="K3408" s="455">
        <f t="shared" ca="1" si="148"/>
        <v>-2495509797.145628</v>
      </c>
      <c r="L3408" s="455">
        <f t="shared" ca="1" si="149"/>
        <v>-601417861112.09631</v>
      </c>
      <c r="M3408" s="471">
        <f t="shared" si="151"/>
        <v>0.05</v>
      </c>
      <c r="N3408" s="475">
        <f t="shared" si="152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50"/>
        <v>-601417861112.09631</v>
      </c>
      <c r="J3409" s="455">
        <f t="array" ref="J3409">IFERROR(INDEX('Retirement Calculator'!K:K,MATCH('Lorri 401b'!N3409,'Retirement Calculator'!A:A,0),0),0)</f>
        <v>0</v>
      </c>
      <c r="K3409" s="455">
        <f t="shared" ca="1" si="148"/>
        <v>-2505907754.6337347</v>
      </c>
      <c r="L3409" s="455">
        <f t="shared" ca="1" si="149"/>
        <v>-603923768866.7301</v>
      </c>
      <c r="M3409" s="471">
        <f t="shared" si="151"/>
        <v>0.05</v>
      </c>
      <c r="N3409" s="475">
        <f t="shared" si="152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50"/>
        <v>-603923768866.7301</v>
      </c>
      <c r="J3410" s="455">
        <f t="array" ref="J3410">IFERROR(INDEX('Retirement Calculator'!K:K,MATCH('Lorri 401b'!N3410,'Retirement Calculator'!A:A,0),0),0)</f>
        <v>0</v>
      </c>
      <c r="K3410" s="455">
        <f t="shared" ca="1" si="148"/>
        <v>-2516349036.9447088</v>
      </c>
      <c r="L3410" s="455">
        <f t="shared" ca="1" si="149"/>
        <v>-606440117903.6748</v>
      </c>
      <c r="M3410" s="471">
        <f t="shared" si="151"/>
        <v>0.05</v>
      </c>
      <c r="N3410" s="475">
        <f t="shared" si="152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50"/>
        <v>-606440117903.6748</v>
      </c>
      <c r="J3411" s="455">
        <f t="array" ref="J3411">IFERROR(INDEX('Retirement Calculator'!K:K,MATCH('Lorri 401b'!N3411,'Retirement Calculator'!A:A,0),0),0)</f>
        <v>0</v>
      </c>
      <c r="K3411" s="455">
        <f t="shared" ca="1" si="148"/>
        <v>-2526833824.5986452</v>
      </c>
      <c r="L3411" s="455">
        <f t="shared" ca="1" si="149"/>
        <v>-608966951728.27344</v>
      </c>
      <c r="M3411" s="471">
        <f t="shared" si="151"/>
        <v>0.05</v>
      </c>
      <c r="N3411" s="475">
        <f t="shared" si="152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50"/>
        <v>-608966951728.27344</v>
      </c>
      <c r="J3412" s="455">
        <f t="array" ref="J3412">IFERROR(INDEX('Retirement Calculator'!K:K,MATCH('Lorri 401b'!N3412,'Retirement Calculator'!A:A,0),0),0)</f>
        <v>0</v>
      </c>
      <c r="K3412" s="455">
        <f t="shared" ca="1" si="148"/>
        <v>-2537362298.867806</v>
      </c>
      <c r="L3412" s="455">
        <f t="shared" ca="1" si="149"/>
        <v>-611504314027.14124</v>
      </c>
      <c r="M3412" s="471">
        <f t="shared" si="151"/>
        <v>0.05</v>
      </c>
      <c r="N3412" s="475">
        <f t="shared" si="152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50"/>
        <v>-611504314027.14124</v>
      </c>
      <c r="J3413" s="455">
        <f t="array" ref="J3413">IFERROR(INDEX('Retirement Calculator'!K:K,MATCH('Lorri 401b'!N3413,'Retirement Calculator'!A:A,0),0),0)</f>
        <v>0</v>
      </c>
      <c r="K3413" s="455">
        <f t="shared" ca="1" si="148"/>
        <v>-2547934641.7797551</v>
      </c>
      <c r="L3413" s="455">
        <f t="shared" ca="1" si="149"/>
        <v>-614052248668.92102</v>
      </c>
      <c r="M3413" s="471">
        <f t="shared" si="151"/>
        <v>0.05</v>
      </c>
      <c r="N3413" s="475">
        <f t="shared" si="152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50"/>
        <v>-614052248668.92102</v>
      </c>
      <c r="J3414" s="455">
        <f t="array" ref="J3414">IFERROR(INDEX('Retirement Calculator'!K:K,MATCH('Lorri 401b'!N3414,'Retirement Calculator'!A:A,0),0),0)</f>
        <v>0</v>
      </c>
      <c r="K3414" s="455">
        <f t="shared" ca="1" si="148"/>
        <v>-2558551036.1205044</v>
      </c>
      <c r="L3414" s="455">
        <f t="shared" ca="1" si="149"/>
        <v>-616610799705.0415</v>
      </c>
      <c r="M3414" s="471">
        <f t="shared" si="151"/>
        <v>0.05</v>
      </c>
      <c r="N3414" s="475">
        <f t="shared" si="152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50"/>
        <v>-616610799705.0415</v>
      </c>
      <c r="J3415" s="455">
        <f t="array" ref="J3415">IFERROR(INDEX('Retirement Calculator'!K:K,MATCH('Lorri 401b'!N3415,'Retirement Calculator'!A:A,0),0),0)</f>
        <v>0</v>
      </c>
      <c r="K3415" s="455">
        <f t="shared" ca="1" si="148"/>
        <v>-2569211665.4376731</v>
      </c>
      <c r="L3415" s="455">
        <f t="shared" ca="1" si="149"/>
        <v>-619180011370.47913</v>
      </c>
      <c r="M3415" s="471">
        <f t="shared" si="151"/>
        <v>0.05</v>
      </c>
      <c r="N3415" s="475">
        <f t="shared" si="152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50"/>
        <v>-619180011370.47913</v>
      </c>
      <c r="J3416" s="455">
        <f t="array" ref="J3416">IFERROR(INDEX('Retirement Calculator'!K:K,MATCH('Lorri 401b'!N3416,'Retirement Calculator'!A:A,0),0),0)</f>
        <v>0</v>
      </c>
      <c r="K3416" s="455">
        <f t="shared" ca="1" si="148"/>
        <v>-2579916714.043663</v>
      </c>
      <c r="L3416" s="455">
        <f t="shared" ca="1" si="149"/>
        <v>-621759928084.52283</v>
      </c>
      <c r="M3416" s="471">
        <f t="shared" si="151"/>
        <v>0.05</v>
      </c>
      <c r="N3416" s="475">
        <f t="shared" si="152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50"/>
        <v>-621759928084.52283</v>
      </c>
      <c r="J3417" s="455">
        <f t="array" ref="J3417">IFERROR(INDEX('Retirement Calculator'!K:K,MATCH('Lorri 401b'!N3417,'Retirement Calculator'!A:A,0),0),0)</f>
        <v>0</v>
      </c>
      <c r="K3417" s="455">
        <f t="shared" ca="1" si="148"/>
        <v>-2590666367.0188451</v>
      </c>
      <c r="L3417" s="455">
        <f t="shared" ca="1" si="149"/>
        <v>-624350594451.54163</v>
      </c>
      <c r="M3417" s="471">
        <f t="shared" si="151"/>
        <v>0.05</v>
      </c>
      <c r="N3417" s="475">
        <f t="shared" si="152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50"/>
        <v>-624350594451.54163</v>
      </c>
      <c r="J3418" s="455">
        <f t="array" ref="J3418">IFERROR(INDEX('Retirement Calculator'!K:K,MATCH('Lorri 401b'!N3418,'Retirement Calculator'!A:A,0),0),0)</f>
        <v>0</v>
      </c>
      <c r="K3418" s="455">
        <f t="shared" ca="1" si="148"/>
        <v>-2601460810.214757</v>
      </c>
      <c r="L3418" s="455">
        <f t="shared" ca="1" si="149"/>
        <v>-626952055261.75635</v>
      </c>
      <c r="M3418" s="471">
        <f t="shared" si="151"/>
        <v>0.05</v>
      </c>
      <c r="N3418" s="475">
        <f t="shared" si="152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50"/>
        <v>-626952055261.75635</v>
      </c>
      <c r="J3419" s="455">
        <f t="array" ref="J3419">IFERROR(INDEX('Retirement Calculator'!K:K,MATCH('Lorri 401b'!N3419,'Retirement Calculator'!A:A,0),0),0)</f>
        <v>0</v>
      </c>
      <c r="K3419" s="455">
        <f t="shared" ca="1" si="148"/>
        <v>-2612300230.257318</v>
      </c>
      <c r="L3419" s="455">
        <f t="shared" ca="1" si="149"/>
        <v>-629564355492.01367</v>
      </c>
      <c r="M3419" s="471">
        <f t="shared" si="151"/>
        <v>0.05</v>
      </c>
      <c r="N3419" s="475">
        <f t="shared" si="152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50"/>
        <v>-629564355492.01367</v>
      </c>
      <c r="J3420" s="455">
        <f t="array" ref="J3420">IFERROR(INDEX('Retirement Calculator'!K:K,MATCH('Lorri 401b'!N3420,'Retirement Calculator'!A:A,0),0),0)</f>
        <v>0</v>
      </c>
      <c r="K3420" s="455">
        <f t="shared" ca="1" si="148"/>
        <v>-2623184814.5500569</v>
      </c>
      <c r="L3420" s="455">
        <f t="shared" ca="1" si="149"/>
        <v>-632187540306.56372</v>
      </c>
      <c r="M3420" s="471">
        <f t="shared" si="151"/>
        <v>0.05</v>
      </c>
      <c r="N3420" s="475">
        <f t="shared" si="152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50"/>
        <v>-632187540306.56372</v>
      </c>
      <c r="J3421" s="455">
        <f t="array" ref="J3421">IFERROR(INDEX('Retirement Calculator'!K:K,MATCH('Lorri 401b'!N3421,'Retirement Calculator'!A:A,0),0),0)</f>
        <v>0</v>
      </c>
      <c r="K3421" s="455">
        <f t="shared" ca="1" si="148"/>
        <v>-2634114751.277349</v>
      </c>
      <c r="L3421" s="455">
        <f t="shared" ca="1" si="149"/>
        <v>-634821655057.84106</v>
      </c>
      <c r="M3421" s="471">
        <f t="shared" si="151"/>
        <v>0.05</v>
      </c>
      <c r="N3421" s="475">
        <f t="shared" si="152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50"/>
        <v>-634821655057.84106</v>
      </c>
      <c r="J3422" s="455">
        <f t="array" ref="J3422">IFERROR(INDEX('Retirement Calculator'!K:K,MATCH('Lorri 401b'!N3422,'Retirement Calculator'!A:A,0),0),0)</f>
        <v>0</v>
      </c>
      <c r="K3422" s="455">
        <f t="shared" ca="1" si="148"/>
        <v>-2645090229.407671</v>
      </c>
      <c r="L3422" s="455">
        <f t="shared" ca="1" si="149"/>
        <v>-637466745287.24878</v>
      </c>
      <c r="M3422" s="471">
        <f t="shared" si="151"/>
        <v>0.05</v>
      </c>
      <c r="N3422" s="475">
        <f t="shared" si="152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50"/>
        <v>-637466745287.24878</v>
      </c>
      <c r="J3423" s="455">
        <f t="array" ref="J3423">IFERROR(INDEX('Retirement Calculator'!K:K,MATCH('Lorri 401b'!N3423,'Retirement Calculator'!A:A,0),0),0)</f>
        <v>0</v>
      </c>
      <c r="K3423" s="455">
        <f t="shared" ca="1" si="148"/>
        <v>-2656111438.6968699</v>
      </c>
      <c r="L3423" s="455">
        <f t="shared" ca="1" si="149"/>
        <v>-640122856725.94568</v>
      </c>
      <c r="M3423" s="471">
        <f t="shared" si="151"/>
        <v>0.05</v>
      </c>
      <c r="N3423" s="475">
        <f t="shared" si="152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50"/>
        <v>-640122856725.94568</v>
      </c>
      <c r="J3424" s="455">
        <f t="array" ref="J3424">IFERROR(INDEX('Retirement Calculator'!K:K,MATCH('Lorri 401b'!N3424,'Retirement Calculator'!A:A,0),0),0)</f>
        <v>0</v>
      </c>
      <c r="K3424" s="455">
        <f t="shared" ca="1" si="148"/>
        <v>-2667178569.6914401</v>
      </c>
      <c r="L3424" s="455">
        <f t="shared" ca="1" si="149"/>
        <v>-642790035295.63708</v>
      </c>
      <c r="M3424" s="471">
        <f t="shared" si="151"/>
        <v>0.05</v>
      </c>
      <c r="N3424" s="475">
        <f t="shared" si="152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50"/>
        <v>-642790035295.63708</v>
      </c>
      <c r="J3425" s="455">
        <f t="array" ref="J3425">IFERROR(INDEX('Retirement Calculator'!K:K,MATCH('Lorri 401b'!N3425,'Retirement Calculator'!A:A,0),0),0)</f>
        <v>0</v>
      </c>
      <c r="K3425" s="455">
        <f t="shared" ca="1" si="148"/>
        <v>-2678291813.7318211</v>
      </c>
      <c r="L3425" s="455">
        <f t="shared" ca="1" si="149"/>
        <v>-645468327109.3689</v>
      </c>
      <c r="M3425" s="471">
        <f t="shared" si="151"/>
        <v>0.05</v>
      </c>
      <c r="N3425" s="475">
        <f t="shared" si="152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50"/>
        <v>-645468327109.3689</v>
      </c>
      <c r="J3426" s="455">
        <f t="array" ref="J3426">IFERROR(INDEX('Retirement Calculator'!K:K,MATCH('Lorri 401b'!N3426,'Retirement Calculator'!A:A,0),0),0)</f>
        <v>0</v>
      </c>
      <c r="K3426" s="455">
        <f t="shared" ca="1" si="148"/>
        <v>-2689451362.9557037</v>
      </c>
      <c r="L3426" s="455">
        <f t="shared" ca="1" si="149"/>
        <v>-648157778472.32458</v>
      </c>
      <c r="M3426" s="471">
        <f t="shared" si="151"/>
        <v>0.05</v>
      </c>
      <c r="N3426" s="475">
        <f t="shared" si="152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50"/>
        <v>-648157778472.32458</v>
      </c>
      <c r="J3427" s="455">
        <f t="array" ref="J3427">IFERROR(INDEX('Retirement Calculator'!K:K,MATCH('Lorri 401b'!N3427,'Retirement Calculator'!A:A,0),0),0)</f>
        <v>0</v>
      </c>
      <c r="K3427" s="455">
        <f t="shared" ca="1" si="148"/>
        <v>-2700657410.3013525</v>
      </c>
      <c r="L3427" s="455">
        <f t="shared" ca="1" si="149"/>
        <v>-650858435882.62598</v>
      </c>
      <c r="M3427" s="471">
        <f t="shared" si="151"/>
        <v>0.05</v>
      </c>
      <c r="N3427" s="475">
        <f t="shared" si="152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50"/>
        <v>-650858435882.62598</v>
      </c>
      <c r="J3428" s="455">
        <f t="array" ref="J3428">IFERROR(INDEX('Retirement Calculator'!K:K,MATCH('Lorri 401b'!N3428,'Retirement Calculator'!A:A,0),0),0)</f>
        <v>0</v>
      </c>
      <c r="K3428" s="455">
        <f t="shared" ca="1" si="148"/>
        <v>-2711910149.5109415</v>
      </c>
      <c r="L3428" s="455">
        <f t="shared" ca="1" si="149"/>
        <v>-653570346032.13696</v>
      </c>
      <c r="M3428" s="471">
        <f t="shared" si="151"/>
        <v>0.05</v>
      </c>
      <c r="N3428" s="475">
        <f t="shared" si="152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50"/>
        <v>-653570346032.13696</v>
      </c>
      <c r="J3429" s="455">
        <f t="array" ref="J3429">IFERROR(INDEX('Retirement Calculator'!K:K,MATCH('Lorri 401b'!N3429,'Retirement Calculator'!A:A,0),0),0)</f>
        <v>0</v>
      </c>
      <c r="K3429" s="455">
        <f t="shared" ca="1" si="148"/>
        <v>-2723209775.133904</v>
      </c>
      <c r="L3429" s="455">
        <f t="shared" ca="1" si="149"/>
        <v>-656293555807.27087</v>
      </c>
      <c r="M3429" s="471">
        <f t="shared" si="151"/>
        <v>0.05</v>
      </c>
      <c r="N3429" s="475">
        <f t="shared" si="152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50"/>
        <v>-656293555807.27087</v>
      </c>
      <c r="J3430" s="455">
        <f t="array" ref="J3430">IFERROR(INDEX('Retirement Calculator'!K:K,MATCH('Lorri 401b'!N3430,'Retirement Calculator'!A:A,0),0),0)</f>
        <v>0</v>
      </c>
      <c r="K3430" s="455">
        <f t="shared" ca="1" si="148"/>
        <v>-2734556482.5302954</v>
      </c>
      <c r="L3430" s="455">
        <f t="shared" ca="1" si="149"/>
        <v>-659028112289.80115</v>
      </c>
      <c r="M3430" s="471">
        <f t="shared" si="151"/>
        <v>0.05</v>
      </c>
      <c r="N3430" s="475">
        <f t="shared" si="152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50"/>
        <v>-659028112289.80115</v>
      </c>
      <c r="J3431" s="455">
        <f t="array" ref="J3431">IFERROR(INDEX('Retirement Calculator'!K:K,MATCH('Lorri 401b'!N3431,'Retirement Calculator'!A:A,0),0),0)</f>
        <v>0</v>
      </c>
      <c r="K3431" s="455">
        <f t="shared" ca="1" si="148"/>
        <v>-2745950467.8741713</v>
      </c>
      <c r="L3431" s="455">
        <f t="shared" ca="1" si="149"/>
        <v>-661774062757.67529</v>
      </c>
      <c r="M3431" s="471">
        <f t="shared" si="151"/>
        <v>0.05</v>
      </c>
      <c r="N3431" s="475">
        <f t="shared" si="152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50"/>
        <v>-661774062757.67529</v>
      </c>
      <c r="J3432" s="455">
        <f t="array" ref="J3432">IFERROR(INDEX('Retirement Calculator'!K:K,MATCH('Lorri 401b'!N3432,'Retirement Calculator'!A:A,0),0),0)</f>
        <v>0</v>
      </c>
      <c r="K3432" s="455">
        <f t="shared" ca="1" si="148"/>
        <v>-2757391928.1569805</v>
      </c>
      <c r="L3432" s="455">
        <f t="shared" ca="1" si="149"/>
        <v>-664531454685.83228</v>
      </c>
      <c r="M3432" s="471">
        <f t="shared" si="151"/>
        <v>0.05</v>
      </c>
      <c r="N3432" s="475">
        <f t="shared" si="152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50"/>
        <v>-664531454685.83228</v>
      </c>
      <c r="J3433" s="455">
        <f t="array" ref="J3433">IFERROR(INDEX('Retirement Calculator'!K:K,MATCH('Lorri 401b'!N3433,'Retirement Calculator'!A:A,0),0),0)</f>
        <v>0</v>
      </c>
      <c r="K3433" s="455">
        <f t="shared" ca="1" si="148"/>
        <v>-2768881061.1909676</v>
      </c>
      <c r="L3433" s="455">
        <f t="shared" ca="1" si="149"/>
        <v>-667300335747.02319</v>
      </c>
      <c r="M3433" s="471">
        <f t="shared" si="151"/>
        <v>0.05</v>
      </c>
      <c r="N3433" s="475">
        <f t="shared" si="152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50"/>
        <v>-667300335747.02319</v>
      </c>
      <c r="J3434" s="455">
        <f t="array" ref="J3434">IFERROR(INDEX('Retirement Calculator'!K:K,MATCH('Lorri 401b'!N3434,'Retirement Calculator'!A:A,0),0),0)</f>
        <v>0</v>
      </c>
      <c r="K3434" s="455">
        <f t="shared" ca="1" si="148"/>
        <v>-2780418065.6125965</v>
      </c>
      <c r="L3434" s="455">
        <f t="shared" ca="1" si="149"/>
        <v>-670080753812.63574</v>
      </c>
      <c r="M3434" s="471">
        <f t="shared" si="151"/>
        <v>0.05</v>
      </c>
      <c r="N3434" s="475">
        <f t="shared" si="152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50"/>
        <v>-670080753812.63574</v>
      </c>
      <c r="J3435" s="455">
        <f t="array" ref="J3435">IFERROR(INDEX('Retirement Calculator'!K:K,MATCH('Lorri 401b'!N3435,'Retirement Calculator'!A:A,0),0),0)</f>
        <v>0</v>
      </c>
      <c r="K3435" s="455">
        <f t="shared" ca="1" si="148"/>
        <v>-2792003140.885982</v>
      </c>
      <c r="L3435" s="455">
        <f t="shared" ca="1" si="149"/>
        <v>-672872756953.52173</v>
      </c>
      <c r="M3435" s="471">
        <f t="shared" si="151"/>
        <v>0.05</v>
      </c>
      <c r="N3435" s="475">
        <f t="shared" si="152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50"/>
        <v>-672872756953.52173</v>
      </c>
      <c r="J3436" s="455">
        <f t="array" ref="J3436">IFERROR(INDEX('Retirement Calculator'!K:K,MATCH('Lorri 401b'!N3436,'Retirement Calculator'!A:A,0),0),0)</f>
        <v>0</v>
      </c>
      <c r="K3436" s="455">
        <f t="shared" ca="1" si="148"/>
        <v>-2803636487.3063407</v>
      </c>
      <c r="L3436" s="455">
        <f t="shared" ca="1" si="149"/>
        <v>-675676393440.82813</v>
      </c>
      <c r="M3436" s="471">
        <f t="shared" si="151"/>
        <v>0.05</v>
      </c>
      <c r="N3436" s="475">
        <f t="shared" si="152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50"/>
        <v>-675676393440.82813</v>
      </c>
      <c r="J3437" s="455">
        <f t="array" ref="J3437">IFERROR(INDEX('Retirement Calculator'!K:K,MATCH('Lorri 401b'!N3437,'Retirement Calculator'!A:A,0),0),0)</f>
        <v>0</v>
      </c>
      <c r="K3437" s="455">
        <f t="shared" ca="1" si="148"/>
        <v>-2815318306.0034504</v>
      </c>
      <c r="L3437" s="455">
        <f t="shared" ca="1" si="149"/>
        <v>-678491711746.83154</v>
      </c>
      <c r="M3437" s="471">
        <f t="shared" si="151"/>
        <v>0.05</v>
      </c>
      <c r="N3437" s="475">
        <f t="shared" si="152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50"/>
        <v>-678491711746.83154</v>
      </c>
      <c r="J3438" s="455">
        <f t="array" ref="J3438">IFERROR(INDEX('Retirement Calculator'!K:K,MATCH('Lorri 401b'!N3438,'Retirement Calculator'!A:A,0),0),0)</f>
        <v>0</v>
      </c>
      <c r="K3438" s="455">
        <f t="shared" ca="1" si="148"/>
        <v>-2827048798.9451313</v>
      </c>
      <c r="L3438" s="455">
        <f t="shared" ca="1" si="149"/>
        <v>-681318760545.77673</v>
      </c>
      <c r="M3438" s="471">
        <f t="shared" si="151"/>
        <v>0.05</v>
      </c>
      <c r="N3438" s="475">
        <f t="shared" si="152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50"/>
        <v>-681318760545.77673</v>
      </c>
      <c r="J3439" s="455">
        <f t="array" ref="J3439">IFERROR(INDEX('Retirement Calculator'!K:K,MATCH('Lorri 401b'!N3439,'Retirement Calculator'!A:A,0),0),0)</f>
        <v>0</v>
      </c>
      <c r="K3439" s="455">
        <f t="shared" ca="1" si="148"/>
        <v>-2838828168.9407363</v>
      </c>
      <c r="L3439" s="455">
        <f t="shared" ca="1" si="149"/>
        <v>-684157588714.71753</v>
      </c>
      <c r="M3439" s="471">
        <f t="shared" si="151"/>
        <v>0.05</v>
      </c>
      <c r="N3439" s="475">
        <f t="shared" si="152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50"/>
        <v>-684157588714.71753</v>
      </c>
      <c r="J3440" s="455">
        <f t="array" ref="J3440">IFERROR(INDEX('Retirement Calculator'!K:K,MATCH('Lorri 401b'!N3440,'Retirement Calculator'!A:A,0),0),0)</f>
        <v>0</v>
      </c>
      <c r="K3440" s="455">
        <f t="shared" ca="1" si="148"/>
        <v>-2850656619.6446562</v>
      </c>
      <c r="L3440" s="455">
        <f t="shared" ca="1" si="149"/>
        <v>-687008245334.36218</v>
      </c>
      <c r="M3440" s="471">
        <f t="shared" si="151"/>
        <v>0.05</v>
      </c>
      <c r="N3440" s="475">
        <f t="shared" si="152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50"/>
        <v>-687008245334.36218</v>
      </c>
      <c r="J3441" s="455">
        <f t="array" ref="J3441">IFERROR(INDEX('Retirement Calculator'!K:K,MATCH('Lorri 401b'!N3441,'Retirement Calculator'!A:A,0),0),0)</f>
        <v>0</v>
      </c>
      <c r="K3441" s="455">
        <f t="shared" ca="1" si="148"/>
        <v>-2862534355.5598426</v>
      </c>
      <c r="L3441" s="455">
        <f t="shared" ca="1" si="149"/>
        <v>-689870779689.922</v>
      </c>
      <c r="M3441" s="471">
        <f t="shared" si="151"/>
        <v>0.05</v>
      </c>
      <c r="N3441" s="475">
        <f t="shared" si="152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50"/>
        <v>-689870779689.922</v>
      </c>
      <c r="J3442" s="455">
        <f t="array" ref="J3442">IFERROR(INDEX('Retirement Calculator'!K:K,MATCH('Lorri 401b'!N3442,'Retirement Calculator'!A:A,0),0),0)</f>
        <v>0</v>
      </c>
      <c r="K3442" s="455">
        <f t="shared" ca="1" si="148"/>
        <v>-2874461582.0413418</v>
      </c>
      <c r="L3442" s="455">
        <f t="shared" ca="1" si="149"/>
        <v>-692745241271.96338</v>
      </c>
      <c r="M3442" s="471">
        <f t="shared" si="151"/>
        <v>0.05</v>
      </c>
      <c r="N3442" s="475">
        <f t="shared" si="152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50"/>
        <v>-692745241271.96338</v>
      </c>
      <c r="J3443" s="455">
        <f t="array" ref="J3443">IFERROR(INDEX('Retirement Calculator'!K:K,MATCH('Lorri 401b'!N3443,'Retirement Calculator'!A:A,0),0),0)</f>
        <v>0</v>
      </c>
      <c r="K3443" s="455">
        <f t="shared" ca="1" si="148"/>
        <v>-2886438505.2998476</v>
      </c>
      <c r="L3443" s="455">
        <f t="shared" ca="1" si="149"/>
        <v>-695631679777.26318</v>
      </c>
      <c r="M3443" s="471">
        <f t="shared" si="151"/>
        <v>0.05</v>
      </c>
      <c r="N3443" s="475">
        <f t="shared" si="152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50"/>
        <v>-695631679777.26318</v>
      </c>
      <c r="J3444" s="455">
        <f t="array" ref="J3444">IFERROR(INDEX('Retirement Calculator'!K:K,MATCH('Lorri 401b'!N3444,'Retirement Calculator'!A:A,0),0),0)</f>
        <v>0</v>
      </c>
      <c r="K3444" s="455">
        <f t="shared" ca="1" si="148"/>
        <v>-2898465332.4052634</v>
      </c>
      <c r="L3444" s="455">
        <f t="shared" ca="1" si="149"/>
        <v>-698530145109.66846</v>
      </c>
      <c r="M3444" s="471">
        <f t="shared" si="151"/>
        <v>0.05</v>
      </c>
      <c r="N3444" s="475">
        <f t="shared" si="152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50"/>
        <v>-698530145109.66846</v>
      </c>
      <c r="J3445" s="455">
        <f t="array" ref="J3445">IFERROR(INDEX('Retirement Calculator'!K:K,MATCH('Lorri 401b'!N3445,'Retirement Calculator'!A:A,0),0),0)</f>
        <v>0</v>
      </c>
      <c r="K3445" s="455">
        <f t="shared" ca="1" si="148"/>
        <v>-2910542271.2902851</v>
      </c>
      <c r="L3445" s="455">
        <f t="shared" ca="1" si="149"/>
        <v>-701440687380.95874</v>
      </c>
      <c r="M3445" s="471">
        <f t="shared" si="151"/>
        <v>0.05</v>
      </c>
      <c r="N3445" s="475">
        <f t="shared" si="152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50"/>
        <v>-701440687380.95874</v>
      </c>
      <c r="J3446" s="455">
        <f t="array" ref="J3446">IFERROR(INDEX('Retirement Calculator'!K:K,MATCH('Lorri 401b'!N3446,'Retirement Calculator'!A:A,0),0),0)</f>
        <v>0</v>
      </c>
      <c r="K3446" s="455">
        <f t="shared" ca="1" si="148"/>
        <v>-2922669530.7539949</v>
      </c>
      <c r="L3446" s="455">
        <f t="shared" ca="1" si="149"/>
        <v>-704363356911.71277</v>
      </c>
      <c r="M3446" s="471">
        <f t="shared" si="151"/>
        <v>0.05</v>
      </c>
      <c r="N3446" s="475">
        <f t="shared" si="152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50"/>
        <v>-704363356911.71277</v>
      </c>
      <c r="J3447" s="455">
        <f t="array" ref="J3447">IFERROR(INDEX('Retirement Calculator'!K:K,MATCH('Lorri 401b'!N3447,'Retirement Calculator'!A:A,0),0),0)</f>
        <v>0</v>
      </c>
      <c r="K3447" s="455">
        <f t="shared" ca="1" si="148"/>
        <v>-2934847320.4654698</v>
      </c>
      <c r="L3447" s="455">
        <f t="shared" ca="1" si="149"/>
        <v>-707298204232.17822</v>
      </c>
      <c r="M3447" s="471">
        <f t="shared" si="151"/>
        <v>0.05</v>
      </c>
      <c r="N3447" s="475">
        <f t="shared" si="152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50"/>
        <v>-707298204232.17822</v>
      </c>
      <c r="J3448" s="455">
        <f t="array" ref="J3448">IFERROR(INDEX('Retirement Calculator'!K:K,MATCH('Lorri 401b'!N3448,'Retirement Calculator'!A:A,0),0),0)</f>
        <v>0</v>
      </c>
      <c r="K3448" s="455">
        <f t="shared" ca="1" si="148"/>
        <v>-2947075850.9674091</v>
      </c>
      <c r="L3448" s="455">
        <f t="shared" ca="1" si="149"/>
        <v>-710245280083.14563</v>
      </c>
      <c r="M3448" s="471">
        <f t="shared" si="151"/>
        <v>0.05</v>
      </c>
      <c r="N3448" s="475">
        <f t="shared" si="152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50"/>
        <v>-710245280083.14563</v>
      </c>
      <c r="J3449" s="455">
        <f t="array" ref="J3449">IFERROR(INDEX('Retirement Calculator'!K:K,MATCH('Lorri 401b'!N3449,'Retirement Calculator'!A:A,0),0),0)</f>
        <v>0</v>
      </c>
      <c r="K3449" s="455">
        <f t="shared" ca="1" si="148"/>
        <v>-2959355333.6797733</v>
      </c>
      <c r="L3449" s="455">
        <f t="shared" ca="1" si="149"/>
        <v>-713204635416.82544</v>
      </c>
      <c r="M3449" s="471">
        <f t="shared" si="151"/>
        <v>0.05</v>
      </c>
      <c r="N3449" s="475">
        <f t="shared" si="152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50"/>
        <v>-713204635416.82544</v>
      </c>
      <c r="J3450" s="455">
        <f t="array" ref="J3450">IFERROR(INDEX('Retirement Calculator'!K:K,MATCH('Lorri 401b'!N3450,'Retirement Calculator'!A:A,0),0),0)</f>
        <v>0</v>
      </c>
      <c r="K3450" s="455">
        <f t="shared" ca="1" si="148"/>
        <v>-2971685980.9034395</v>
      </c>
      <c r="L3450" s="455">
        <f t="shared" ca="1" si="149"/>
        <v>-716176321397.72888</v>
      </c>
      <c r="M3450" s="471">
        <f t="shared" si="151"/>
        <v>0.05</v>
      </c>
      <c r="N3450" s="475">
        <f t="shared" si="152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50"/>
        <v>-716176321397.72888</v>
      </c>
      <c r="J3451" s="455">
        <f t="array" ref="J3451">IFERROR(INDEX('Retirement Calculator'!K:K,MATCH('Lorri 401b'!N3451,'Retirement Calculator'!A:A,0),0),0)</f>
        <v>0</v>
      </c>
      <c r="K3451" s="455">
        <f t="shared" ca="1" si="148"/>
        <v>-2984068005.8238702</v>
      </c>
      <c r="L3451" s="455">
        <f t="shared" ca="1" si="149"/>
        <v>-719160389403.55273</v>
      </c>
      <c r="M3451" s="471">
        <f t="shared" si="151"/>
        <v>0.05</v>
      </c>
      <c r="N3451" s="475">
        <f t="shared" si="152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50"/>
        <v>-719160389403.55273</v>
      </c>
      <c r="J3452" s="455">
        <f t="array" ref="J3452">IFERROR(INDEX('Retirement Calculator'!K:K,MATCH('Lorri 401b'!N3452,'Retirement Calculator'!A:A,0),0),0)</f>
        <v>0</v>
      </c>
      <c r="K3452" s="455">
        <f t="shared" ca="1" si="148"/>
        <v>-2996501622.5148029</v>
      </c>
      <c r="L3452" s="455">
        <f t="shared" ca="1" si="149"/>
        <v>-722156891026.0675</v>
      </c>
      <c r="M3452" s="471">
        <f t="shared" si="151"/>
        <v>0.05</v>
      </c>
      <c r="N3452" s="475">
        <f t="shared" si="152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50"/>
        <v>-722156891026.0675</v>
      </c>
      <c r="J3453" s="455">
        <f t="array" ref="J3453">IFERROR(INDEX('Retirement Calculator'!K:K,MATCH('Lorri 401b'!N3453,'Retirement Calculator'!A:A,0),0),0)</f>
        <v>0</v>
      </c>
      <c r="K3453" s="455">
        <f t="shared" ca="1" si="148"/>
        <v>-3008987045.9419479</v>
      </c>
      <c r="L3453" s="455">
        <f t="shared" ca="1" si="149"/>
        <v>-725165878072.0094</v>
      </c>
      <c r="M3453" s="471">
        <f t="shared" si="151"/>
        <v>0.05</v>
      </c>
      <c r="N3453" s="475">
        <f t="shared" si="152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50"/>
        <v>-725165878072.0094</v>
      </c>
      <c r="J3454" s="455">
        <f t="array" ref="J3454">IFERROR(INDEX('Retirement Calculator'!K:K,MATCH('Lorri 401b'!N3454,'Retirement Calculator'!A:A,0),0),0)</f>
        <v>0</v>
      </c>
      <c r="K3454" s="455">
        <f t="shared" ca="1" si="148"/>
        <v>-3021524491.9667058</v>
      </c>
      <c r="L3454" s="455">
        <f t="shared" ca="1" si="149"/>
        <v>-728187402563.97607</v>
      </c>
      <c r="M3454" s="471">
        <f t="shared" si="151"/>
        <v>0.05</v>
      </c>
      <c r="N3454" s="475">
        <f t="shared" si="152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50"/>
        <v>-728187402563.97607</v>
      </c>
      <c r="J3455" s="455">
        <f t="array" ref="J3455">IFERROR(INDEX('Retirement Calculator'!K:K,MATCH('Lorri 401b'!N3455,'Retirement Calculator'!A:A,0),0),0)</f>
        <v>0</v>
      </c>
      <c r="K3455" s="455">
        <f t="shared" ca="1" si="148"/>
        <v>-3034114177.3499002</v>
      </c>
      <c r="L3455" s="455">
        <f t="shared" ca="1" si="149"/>
        <v>-731221516741.32593</v>
      </c>
      <c r="M3455" s="471">
        <f t="shared" si="151"/>
        <v>0.05</v>
      </c>
      <c r="N3455" s="475">
        <f t="shared" si="152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50"/>
        <v>-731221516741.32593</v>
      </c>
      <c r="J3456" s="455">
        <f t="array" ref="J3456">IFERROR(INDEX('Retirement Calculator'!K:K,MATCH('Lorri 401b'!N3456,'Retirement Calculator'!A:A,0),0),0)</f>
        <v>0</v>
      </c>
      <c r="K3456" s="455">
        <f t="shared" ca="1" si="148"/>
        <v>-3046756319.7555246</v>
      </c>
      <c r="L3456" s="455">
        <f t="shared" ca="1" si="149"/>
        <v>-734268273061.08142</v>
      </c>
      <c r="M3456" s="471">
        <f t="shared" si="151"/>
        <v>0.05</v>
      </c>
      <c r="N3456" s="475">
        <f t="shared" si="152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50"/>
        <v>-734268273061.08142</v>
      </c>
      <c r="J3457" s="455">
        <f t="array" ref="J3457">IFERROR(INDEX('Retirement Calculator'!K:K,MATCH('Lorri 401b'!N3457,'Retirement Calculator'!A:A,0),0),0)</f>
        <v>0</v>
      </c>
      <c r="K3457" s="455">
        <f t="shared" ca="1" si="148"/>
        <v>-3059451137.7545061</v>
      </c>
      <c r="L3457" s="455">
        <f t="shared" ca="1" si="149"/>
        <v>-737327724198.83594</v>
      </c>
      <c r="M3457" s="471">
        <f t="shared" si="151"/>
        <v>0.05</v>
      </c>
      <c r="N3457" s="475">
        <f t="shared" si="152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50"/>
        <v>-737327724198.83594</v>
      </c>
      <c r="J3458" s="455">
        <f t="array" ref="J3458">IFERROR(INDEX('Retirement Calculator'!K:K,MATCH('Lorri 401b'!N3458,'Retirement Calculator'!A:A,0),0),0)</f>
        <v>0</v>
      </c>
      <c r="K3458" s="455">
        <f t="shared" ca="1" si="148"/>
        <v>-3072198850.8284831</v>
      </c>
      <c r="L3458" s="455">
        <f t="shared" ca="1" si="149"/>
        <v>-740399923049.66443</v>
      </c>
      <c r="M3458" s="471">
        <f t="shared" si="151"/>
        <v>0.05</v>
      </c>
      <c r="N3458" s="475">
        <f t="shared" si="152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50"/>
        <v>-740399923049.66443</v>
      </c>
      <c r="J3459" s="455">
        <f t="array" ref="J3459">IFERROR(INDEX('Retirement Calculator'!K:K,MATCH('Lorri 401b'!N3459,'Retirement Calculator'!A:A,0),0),0)</f>
        <v>0</v>
      </c>
      <c r="K3459" s="455">
        <f t="shared" ca="1" si="148"/>
        <v>-3084999679.3736019</v>
      </c>
      <c r="L3459" s="455">
        <f t="shared" ca="1" si="149"/>
        <v>-743484922729.03809</v>
      </c>
      <c r="M3459" s="471">
        <f t="shared" si="151"/>
        <v>0.05</v>
      </c>
      <c r="N3459" s="475">
        <f t="shared" si="152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50"/>
        <v>-743484922729.03809</v>
      </c>
      <c r="J3460" s="455">
        <f t="array" ref="J3460">IFERROR(INDEX('Retirement Calculator'!K:K,MATCH('Lorri 401b'!N3460,'Retirement Calculator'!A:A,0),0),0)</f>
        <v>0</v>
      </c>
      <c r="K3460" s="455">
        <f t="shared" ca="1" si="148"/>
        <v>-3097853844.7043252</v>
      </c>
      <c r="L3460" s="455">
        <f t="shared" ca="1" si="149"/>
        <v>-746582776573.74243</v>
      </c>
      <c r="M3460" s="471">
        <f t="shared" si="151"/>
        <v>0.05</v>
      </c>
      <c r="N3460" s="475">
        <f t="shared" si="152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50"/>
        <v>-746582776573.74243</v>
      </c>
      <c r="J3461" s="455">
        <f t="array" ref="J3461">IFERROR(INDEX('Retirement Calculator'!K:K,MATCH('Lorri 401b'!N3461,'Retirement Calculator'!A:A,0),0),0)</f>
        <v>0</v>
      </c>
      <c r="K3461" s="455">
        <f t="shared" ca="1" si="148"/>
        <v>-3110761569.05726</v>
      </c>
      <c r="L3461" s="455">
        <f t="shared" ca="1" si="149"/>
        <v>-749693538142.79968</v>
      </c>
      <c r="M3461" s="471">
        <f t="shared" si="151"/>
        <v>0.05</v>
      </c>
      <c r="N3461" s="475">
        <f t="shared" si="152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50"/>
        <v>-749693538142.79968</v>
      </c>
      <c r="J3462" s="455">
        <f t="array" ref="J3462">IFERROR(INDEX('Retirement Calculator'!K:K,MATCH('Lorri 401b'!N3462,'Retirement Calculator'!A:A,0),0),0)</f>
        <v>0</v>
      </c>
      <c r="K3462" s="455">
        <f t="shared" ca="1" si="148"/>
        <v>-3123723075.5949988</v>
      </c>
      <c r="L3462" s="455">
        <f t="shared" ca="1" si="149"/>
        <v>-752817261218.39465</v>
      </c>
      <c r="M3462" s="471">
        <f t="shared" si="151"/>
        <v>0.05</v>
      </c>
      <c r="N3462" s="475">
        <f t="shared" si="152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50"/>
        <v>-752817261218.39465</v>
      </c>
      <c r="J3463" s="455">
        <f t="array" ref="J3463">IFERROR(INDEX('Retirement Calculator'!K:K,MATCH('Lorri 401b'!N3463,'Retirement Calculator'!A:A,0),0),0)</f>
        <v>0</v>
      </c>
      <c r="K3463" s="455">
        <f t="shared" ca="1" si="148"/>
        <v>-3136738588.4099779</v>
      </c>
      <c r="L3463" s="455">
        <f t="shared" ca="1" si="149"/>
        <v>-755953999806.80469</v>
      </c>
      <c r="M3463" s="471">
        <f t="shared" si="151"/>
        <v>0.05</v>
      </c>
      <c r="N3463" s="475">
        <f t="shared" si="152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50"/>
        <v>-755953999806.80469</v>
      </c>
      <c r="J3464" s="455">
        <f t="array" ref="J3464">IFERROR(INDEX('Retirement Calculator'!K:K,MATCH('Lorri 401b'!N3464,'Retirement Calculator'!A:A,0),0),0)</f>
        <v>0</v>
      </c>
      <c r="K3464" s="455">
        <f t="shared" ca="1" si="148"/>
        <v>-3149808332.5283527</v>
      </c>
      <c r="L3464" s="455">
        <f t="shared" ca="1" si="149"/>
        <v>-759103808139.33301</v>
      </c>
      <c r="M3464" s="471">
        <f t="shared" si="151"/>
        <v>0.05</v>
      </c>
      <c r="N3464" s="475">
        <f t="shared" si="152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50"/>
        <v>-759103808139.33301</v>
      </c>
      <c r="J3465" s="455">
        <f t="array" ref="J3465">IFERROR(INDEX('Retirement Calculator'!K:K,MATCH('Lorri 401b'!N3465,'Retirement Calculator'!A:A,0),0),0)</f>
        <v>0</v>
      </c>
      <c r="K3465" s="455">
        <f t="shared" ca="1" si="148"/>
        <v>-3162932533.9138875</v>
      </c>
      <c r="L3465" s="455">
        <f t="shared" ca="1" si="149"/>
        <v>-762266740673.24695</v>
      </c>
      <c r="M3465" s="471">
        <f t="shared" si="151"/>
        <v>0.05</v>
      </c>
      <c r="N3465" s="475">
        <f t="shared" si="152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50"/>
        <v>-762266740673.24695</v>
      </c>
      <c r="J3466" s="455">
        <f t="array" ref="J3466">IFERROR(INDEX('Retirement Calculator'!K:K,MATCH('Lorri 401b'!N3466,'Retirement Calculator'!A:A,0),0),0)</f>
        <v>0</v>
      </c>
      <c r="K3466" s="455">
        <f t="shared" ca="1" si="148"/>
        <v>-3176111419.4718623</v>
      </c>
      <c r="L3466" s="455">
        <f t="shared" ca="1" si="149"/>
        <v>-765442852092.71875</v>
      </c>
      <c r="M3466" s="471">
        <f t="shared" si="151"/>
        <v>0.05</v>
      </c>
      <c r="N3466" s="475">
        <f t="shared" si="152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50"/>
        <v>-765442852092.71875</v>
      </c>
      <c r="J3467" s="455">
        <f t="array" ref="J3467">IFERROR(INDEX('Retirement Calculator'!K:K,MATCH('Lorri 401b'!N3467,'Retirement Calculator'!A:A,0),0),0)</f>
        <v>0</v>
      </c>
      <c r="K3467" s="455">
        <f t="shared" ca="1" si="148"/>
        <v>-3189345217.0529947</v>
      </c>
      <c r="L3467" s="455">
        <f t="shared" ca="1" si="149"/>
        <v>-768632197309.77173</v>
      </c>
      <c r="M3467" s="471">
        <f t="shared" si="151"/>
        <v>0.05</v>
      </c>
      <c r="N3467" s="475">
        <f t="shared" si="152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50"/>
        <v>-768632197309.77173</v>
      </c>
      <c r="J3468" s="455">
        <f t="array" ref="J3468">IFERROR(INDEX('Retirement Calculator'!K:K,MATCH('Lorri 401b'!N3468,'Retirement Calculator'!A:A,0),0),0)</f>
        <v>0</v>
      </c>
      <c r="K3468" s="455">
        <f t="shared" ca="1" si="148"/>
        <v>-3202634155.4573822</v>
      </c>
      <c r="L3468" s="455">
        <f t="shared" ca="1" si="149"/>
        <v>-771834831465.22913</v>
      </c>
      <c r="M3468" s="471">
        <f t="shared" si="151"/>
        <v>0.05</v>
      </c>
      <c r="N3468" s="475">
        <f t="shared" si="152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50"/>
        <v>-771834831465.22913</v>
      </c>
      <c r="J3469" s="455">
        <f t="array" ref="J3469">IFERROR(INDEX('Retirement Calculator'!K:K,MATCH('Lorri 401b'!N3469,'Retirement Calculator'!A:A,0),0),0)</f>
        <v>0</v>
      </c>
      <c r="K3469" s="455">
        <f t="shared" ca="1" si="148"/>
        <v>-3215978464.4384546</v>
      </c>
      <c r="L3469" s="455">
        <f t="shared" ca="1" si="149"/>
        <v>-775050809929.6676</v>
      </c>
      <c r="M3469" s="471">
        <f t="shared" si="151"/>
        <v>0.05</v>
      </c>
      <c r="N3469" s="475">
        <f t="shared" si="152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50"/>
        <v>-775050809929.6676</v>
      </c>
      <c r="J3470" s="455">
        <f t="array" ref="J3470">IFERROR(INDEX('Retirement Calculator'!K:K,MATCH('Lorri 401b'!N3470,'Retirement Calculator'!A:A,0),0),0)</f>
        <v>0</v>
      </c>
      <c r="K3470" s="455">
        <f t="shared" ca="1" si="148"/>
        <v>-3229378374.7069483</v>
      </c>
      <c r="L3470" s="455">
        <f t="shared" ca="1" si="149"/>
        <v>-778280188304.37451</v>
      </c>
      <c r="M3470" s="471">
        <f t="shared" si="151"/>
        <v>0.05</v>
      </c>
      <c r="N3470" s="475">
        <f t="shared" si="152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50"/>
        <v>-778280188304.37451</v>
      </c>
      <c r="J3471" s="455">
        <f t="array" ref="J3471">IFERROR(INDEX('Retirement Calculator'!K:K,MATCH('Lorri 401b'!N3471,'Retirement Calculator'!A:A,0),0),0)</f>
        <v>0</v>
      </c>
      <c r="K3471" s="455">
        <f t="shared" ca="1" si="148"/>
        <v>-3242834117.9348936</v>
      </c>
      <c r="L3471" s="455">
        <f t="shared" ca="1" si="149"/>
        <v>-781523022422.30945</v>
      </c>
      <c r="M3471" s="471">
        <f t="shared" si="151"/>
        <v>0.05</v>
      </c>
      <c r="N3471" s="475">
        <f t="shared" si="152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50"/>
        <v>-781523022422.30945</v>
      </c>
      <c r="J3472" s="455">
        <f t="array" ref="J3472">IFERROR(INDEX('Retirement Calculator'!K:K,MATCH('Lorri 401b'!N3472,'Retirement Calculator'!A:A,0),0),0)</f>
        <v>0</v>
      </c>
      <c r="K3472" s="455">
        <f t="shared" ca="1" si="148"/>
        <v>-3256345926.7596226</v>
      </c>
      <c r="L3472" s="455">
        <f t="shared" ca="1" si="149"/>
        <v>-784779368349.06909</v>
      </c>
      <c r="M3472" s="471">
        <f t="shared" si="151"/>
        <v>0.05</v>
      </c>
      <c r="N3472" s="475">
        <f t="shared" si="152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50"/>
        <v>-784779368349.06909</v>
      </c>
      <c r="J3473" s="455">
        <f t="array" ref="J3473">IFERROR(INDEX('Retirement Calculator'!K:K,MATCH('Lorri 401b'!N3473,'Retirement Calculator'!A:A,0),0),0)</f>
        <v>0</v>
      </c>
      <c r="K3473" s="455">
        <f t="shared" ca="1" si="148"/>
        <v>-3269914034.7877879</v>
      </c>
      <c r="L3473" s="455">
        <f t="shared" ca="1" si="149"/>
        <v>-788049282383.85693</v>
      </c>
      <c r="M3473" s="471">
        <f t="shared" si="151"/>
        <v>0.05</v>
      </c>
      <c r="N3473" s="475">
        <f t="shared" si="152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50"/>
        <v>-788049282383.85693</v>
      </c>
      <c r="J3474" s="455">
        <f t="array" ref="J3474">IFERROR(INDEX('Retirement Calculator'!K:K,MATCH('Lorri 401b'!N3474,'Retirement Calculator'!A:A,0),0),0)</f>
        <v>0</v>
      </c>
      <c r="K3474" s="455">
        <f t="shared" ca="1" si="148"/>
        <v>-3283538676.5994039</v>
      </c>
      <c r="L3474" s="455">
        <f t="shared" ca="1" si="149"/>
        <v>-791332821060.4563</v>
      </c>
      <c r="M3474" s="471">
        <f t="shared" si="151"/>
        <v>0.05</v>
      </c>
      <c r="N3474" s="475">
        <f t="shared" si="152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50"/>
        <v>-791332821060.4563</v>
      </c>
      <c r="J3475" s="455">
        <f t="array" ref="J3475">IFERROR(INDEX('Retirement Calculator'!K:K,MATCH('Lorri 401b'!N3475,'Retirement Calculator'!A:A,0),0),0)</f>
        <v>0</v>
      </c>
      <c r="K3475" s="455">
        <f t="shared" ca="1" si="148"/>
        <v>-3297220087.7519011</v>
      </c>
      <c r="L3475" s="455">
        <f t="shared" ca="1" si="149"/>
        <v>-794630041148.20825</v>
      </c>
      <c r="M3475" s="471">
        <f t="shared" si="151"/>
        <v>0.05</v>
      </c>
      <c r="N3475" s="475">
        <f t="shared" si="152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50"/>
        <v>-794630041148.20825</v>
      </c>
      <c r="J3476" s="455">
        <f t="array" ref="J3476">IFERROR(INDEX('Retirement Calculator'!K:K,MATCH('Lorri 401b'!N3476,'Retirement Calculator'!A:A,0),0),0)</f>
        <v>0</v>
      </c>
      <c r="K3476" s="455">
        <f t="shared" ca="1" si="148"/>
        <v>-3310958504.7842011</v>
      </c>
      <c r="L3476" s="455">
        <f t="shared" ca="1" si="149"/>
        <v>-797940999652.99243</v>
      </c>
      <c r="M3476" s="471">
        <f t="shared" si="151"/>
        <v>0.05</v>
      </c>
      <c r="N3476" s="475">
        <f t="shared" si="152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50"/>
        <v>-797940999652.99243</v>
      </c>
      <c r="J3477" s="455">
        <f t="array" ref="J3477">IFERROR(INDEX('Retirement Calculator'!K:K,MATCH('Lorri 401b'!N3477,'Retirement Calculator'!A:A,0),0),0)</f>
        <v>0</v>
      </c>
      <c r="K3477" s="455">
        <f t="shared" ca="1" si="148"/>
        <v>-3324754165.2208018</v>
      </c>
      <c r="L3477" s="455">
        <f t="shared" ca="1" si="149"/>
        <v>-801265753818.21326</v>
      </c>
      <c r="M3477" s="471">
        <f t="shared" si="151"/>
        <v>0.05</v>
      </c>
      <c r="N3477" s="475">
        <f t="shared" si="152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50"/>
        <v>-801265753818.21326</v>
      </c>
      <c r="J3478" s="455">
        <f t="array" ref="J3478">IFERROR(INDEX('Retirement Calculator'!K:K,MATCH('Lorri 401b'!N3478,'Retirement Calculator'!A:A,0),0),0)</f>
        <v>0</v>
      </c>
      <c r="K3478" s="455">
        <f t="shared" ca="1" si="148"/>
        <v>-3338607307.5758886</v>
      </c>
      <c r="L3478" s="455">
        <f t="shared" ca="1" si="149"/>
        <v>-804604361125.78918</v>
      </c>
      <c r="M3478" s="471">
        <f t="shared" si="151"/>
        <v>0.05</v>
      </c>
      <c r="N3478" s="475">
        <f t="shared" si="152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50"/>
        <v>-804604361125.78918</v>
      </c>
      <c r="J3479" s="455">
        <f t="array" ref="J3479">IFERROR(INDEX('Retirement Calculator'!K:K,MATCH('Lorri 401b'!N3479,'Retirement Calculator'!A:A,0),0),0)</f>
        <v>0</v>
      </c>
      <c r="K3479" s="455">
        <f t="shared" ca="1" si="148"/>
        <v>-3352518171.3574548</v>
      </c>
      <c r="L3479" s="455">
        <f t="shared" ca="1" si="149"/>
        <v>-807956879297.14661</v>
      </c>
      <c r="M3479" s="471">
        <f t="shared" si="151"/>
        <v>0.05</v>
      </c>
      <c r="N3479" s="475">
        <f t="shared" si="152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50"/>
        <v>-807956879297.14661</v>
      </c>
      <c r="J3480" s="455">
        <f t="array" ref="J3480">IFERROR(INDEX('Retirement Calculator'!K:K,MATCH('Lorri 401b'!N3480,'Retirement Calculator'!A:A,0),0),0)</f>
        <v>0</v>
      </c>
      <c r="K3480" s="455">
        <f t="shared" ca="1" si="148"/>
        <v>-3366486997.071444</v>
      </c>
      <c r="L3480" s="455">
        <f t="shared" ca="1" si="149"/>
        <v>-811323366294.21802</v>
      </c>
      <c r="M3480" s="471">
        <f t="shared" si="151"/>
        <v>0.05</v>
      </c>
      <c r="N3480" s="475">
        <f t="shared" si="152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50"/>
        <v>-811323366294.21802</v>
      </c>
      <c r="J3481" s="455">
        <f t="array" ref="J3481">IFERROR(INDEX('Retirement Calculator'!K:K,MATCH('Lorri 401b'!N3481,'Retirement Calculator'!A:A,0),0),0)</f>
        <v>0</v>
      </c>
      <c r="K3481" s="455">
        <f t="shared" ca="1" si="148"/>
        <v>-3380514026.2259083</v>
      </c>
      <c r="L3481" s="455">
        <f t="shared" ca="1" si="149"/>
        <v>-814703880320.44397</v>
      </c>
      <c r="M3481" s="471">
        <f t="shared" si="151"/>
        <v>0.05</v>
      </c>
      <c r="N3481" s="475">
        <f t="shared" si="152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50"/>
        <v>-814703880320.44397</v>
      </c>
      <c r="J3482" s="455">
        <f t="array" ref="J3482">IFERROR(INDEX('Retirement Calculator'!K:K,MATCH('Lorri 401b'!N3482,'Retirement Calculator'!A:A,0),0),0)</f>
        <v>0</v>
      </c>
      <c r="K3482" s="455">
        <f t="shared" ca="1" si="148"/>
        <v>-3394599501.3351831</v>
      </c>
      <c r="L3482" s="455">
        <f t="shared" ca="1" si="149"/>
        <v>-818098479821.77917</v>
      </c>
      <c r="M3482" s="471">
        <f t="shared" si="151"/>
        <v>0.05</v>
      </c>
      <c r="N3482" s="475">
        <f t="shared" si="152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50"/>
        <v>-818098479821.77917</v>
      </c>
      <c r="J3483" s="455">
        <f t="array" ref="J3483">IFERROR(INDEX('Retirement Calculator'!K:K,MATCH('Lorri 401b'!N3483,'Retirement Calculator'!A:A,0),0),0)</f>
        <v>0</v>
      </c>
      <c r="K3483" s="455">
        <f t="shared" ca="1" si="148"/>
        <v>-3408743665.9240799</v>
      </c>
      <c r="L3483" s="455">
        <f t="shared" ca="1" si="149"/>
        <v>-821507223487.70325</v>
      </c>
      <c r="M3483" s="471">
        <f t="shared" si="151"/>
        <v>0.05</v>
      </c>
      <c r="N3483" s="475">
        <f t="shared" si="152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50"/>
        <v>-821507223487.70325</v>
      </c>
      <c r="J3484" s="455">
        <f t="array" ref="J3484">IFERROR(INDEX('Retirement Calculator'!K:K,MATCH('Lorri 401b'!N3484,'Retirement Calculator'!A:A,0),0),0)</f>
        <v>0</v>
      </c>
      <c r="K3484" s="455">
        <f t="shared" ca="1" si="148"/>
        <v>-3422946764.5320969</v>
      </c>
      <c r="L3484" s="455">
        <f t="shared" ca="1" si="149"/>
        <v>-824930170252.23535</v>
      </c>
      <c r="M3484" s="471">
        <f t="shared" si="151"/>
        <v>0.05</v>
      </c>
      <c r="N3484" s="475">
        <f t="shared" si="152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50"/>
        <v>-824930170252.23535</v>
      </c>
      <c r="J3485" s="455">
        <f t="array" ref="J3485">IFERROR(INDEX('Retirement Calculator'!K:K,MATCH('Lorri 401b'!N3485,'Retirement Calculator'!A:A,0),0),0)</f>
        <v>0</v>
      </c>
      <c r="K3485" s="455">
        <f t="shared" ca="1" si="148"/>
        <v>-3437209042.7176471</v>
      </c>
      <c r="L3485" s="455">
        <f t="shared" ca="1" si="149"/>
        <v>-828367379294.953</v>
      </c>
      <c r="M3485" s="471">
        <f t="shared" si="151"/>
        <v>0.05</v>
      </c>
      <c r="N3485" s="475">
        <f t="shared" si="152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50"/>
        <v>-828367379294.953</v>
      </c>
      <c r="J3486" s="455">
        <f t="array" ref="J3486">IFERROR(INDEX('Retirement Calculator'!K:K,MATCH('Lorri 401b'!N3486,'Retirement Calculator'!A:A,0),0),0)</f>
        <v>0</v>
      </c>
      <c r="K3486" s="455">
        <f t="shared" ca="1" si="148"/>
        <v>-3451530747.062304</v>
      </c>
      <c r="L3486" s="455">
        <f t="shared" ca="1" si="149"/>
        <v>-831818910042.01526</v>
      </c>
      <c r="M3486" s="471">
        <f t="shared" si="151"/>
        <v>0.05</v>
      </c>
      <c r="N3486" s="475">
        <f t="shared" si="152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50"/>
        <v>-831818910042.01526</v>
      </c>
      <c r="J3487" s="455">
        <f t="array" ref="J3487">IFERROR(INDEX('Retirement Calculator'!K:K,MATCH('Lorri 401b'!N3487,'Retirement Calculator'!A:A,0),0),0)</f>
        <v>0</v>
      </c>
      <c r="K3487" s="455">
        <f t="shared" ca="1" si="148"/>
        <v>-3465912125.1750636</v>
      </c>
      <c r="L3487" s="455">
        <f t="shared" ca="1" si="149"/>
        <v>-835284822167.19031</v>
      </c>
      <c r="M3487" s="471">
        <f t="shared" si="151"/>
        <v>0.05</v>
      </c>
      <c r="N3487" s="475">
        <f t="shared" si="152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50"/>
        <v>-835284822167.19031</v>
      </c>
      <c r="J3488" s="455">
        <f t="array" ref="J3488">IFERROR(INDEX('Retirement Calculator'!K:K,MATCH('Lorri 401b'!N3488,'Retirement Calculator'!A:A,0),0),0)</f>
        <v>0</v>
      </c>
      <c r="K3488" s="455">
        <f t="shared" ca="1" si="148"/>
        <v>-3480353425.6966262</v>
      </c>
      <c r="L3488" s="455">
        <f t="shared" ca="1" si="149"/>
        <v>-838765175592.88696</v>
      </c>
      <c r="M3488" s="471">
        <f t="shared" si="151"/>
        <v>0.05</v>
      </c>
      <c r="N3488" s="475">
        <f t="shared" si="152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50"/>
        <v>-838765175592.88696</v>
      </c>
      <c r="J3489" s="455">
        <f t="array" ref="J3489">IFERROR(INDEX('Retirement Calculator'!K:K,MATCH('Lorri 401b'!N3489,'Retirement Calculator'!A:A,0),0),0)</f>
        <v>0</v>
      </c>
      <c r="K3489" s="455">
        <f t="shared" ca="1" si="148"/>
        <v>-3494854898.3036957</v>
      </c>
      <c r="L3489" s="455">
        <f t="shared" ca="1" si="149"/>
        <v>-842260030491.19067</v>
      </c>
      <c r="M3489" s="471">
        <f t="shared" si="151"/>
        <v>0.05</v>
      </c>
      <c r="N3489" s="475">
        <f t="shared" si="152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50"/>
        <v>-842260030491.19067</v>
      </c>
      <c r="J3490" s="455">
        <f t="array" ref="J3490">IFERROR(INDEX('Retirement Calculator'!K:K,MATCH('Lorri 401b'!N3490,'Retirement Calculator'!A:A,0),0),0)</f>
        <v>0</v>
      </c>
      <c r="K3490" s="455">
        <f t="shared" ca="1" si="148"/>
        <v>-3509416793.7132945</v>
      </c>
      <c r="L3490" s="455">
        <f t="shared" ca="1" si="149"/>
        <v>-845769447284.90393</v>
      </c>
      <c r="M3490" s="471">
        <f t="shared" si="151"/>
        <v>0.05</v>
      </c>
      <c r="N3490" s="475">
        <f t="shared" si="152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50"/>
        <v>-845769447284.90393</v>
      </c>
      <c r="J3491" s="455">
        <f t="array" ref="J3491">IFERROR(INDEX('Retirement Calculator'!K:K,MATCH('Lorri 401b'!N3491,'Retirement Calculator'!A:A,0),0),0)</f>
        <v>0</v>
      </c>
      <c r="K3491" s="455">
        <f t="shared" ca="1" si="148"/>
        <v>-3524039363.6870995</v>
      </c>
      <c r="L3491" s="455">
        <f t="shared" ca="1" si="149"/>
        <v>-849293486648.59106</v>
      </c>
      <c r="M3491" s="471">
        <f t="shared" si="151"/>
        <v>0.05</v>
      </c>
      <c r="N3491" s="475">
        <f t="shared" si="152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50"/>
        <v>-849293486648.59106</v>
      </c>
      <c r="J3492" s="455">
        <f t="array" ref="J3492">IFERROR(INDEX('Retirement Calculator'!K:K,MATCH('Lorri 401b'!N3492,'Retirement Calculator'!A:A,0),0),0)</f>
        <v>0</v>
      </c>
      <c r="K3492" s="455">
        <f t="shared" ca="1" si="148"/>
        <v>-3538722861.0357962</v>
      </c>
      <c r="L3492" s="455">
        <f t="shared" ca="1" si="149"/>
        <v>-852832209509.62683</v>
      </c>
      <c r="M3492" s="471">
        <f t="shared" si="151"/>
        <v>0.05</v>
      </c>
      <c r="N3492" s="475">
        <f t="shared" si="152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50"/>
        <v>-852832209509.62683</v>
      </c>
      <c r="J3493" s="455">
        <f t="array" ref="J3493">IFERROR(INDEX('Retirement Calculator'!K:K,MATCH('Lorri 401b'!N3493,'Retirement Calculator'!A:A,0),0),0)</f>
        <v>0</v>
      </c>
      <c r="K3493" s="455">
        <f t="shared" ca="1" si="148"/>
        <v>-3553467539.623445</v>
      </c>
      <c r="L3493" s="455">
        <f t="shared" ca="1" si="149"/>
        <v>-856385677049.25024</v>
      </c>
      <c r="M3493" s="471">
        <f t="shared" si="151"/>
        <v>0.05</v>
      </c>
      <c r="N3493" s="475">
        <f t="shared" si="152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50"/>
        <v>-856385677049.25024</v>
      </c>
      <c r="J3494" s="455">
        <f t="array" ref="J3494">IFERROR(INDEX('Retirement Calculator'!K:K,MATCH('Lorri 401b'!N3494,'Retirement Calculator'!A:A,0),0),0)</f>
        <v>0</v>
      </c>
      <c r="K3494" s="455">
        <f t="shared" ca="1" si="148"/>
        <v>-3568273654.3718758</v>
      </c>
      <c r="L3494" s="455">
        <f t="shared" ca="1" si="149"/>
        <v>-859953950703.62207</v>
      </c>
      <c r="M3494" s="471">
        <f t="shared" si="151"/>
        <v>0.05</v>
      </c>
      <c r="N3494" s="475">
        <f t="shared" si="152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50"/>
        <v>-859953950703.62207</v>
      </c>
      <c r="J3495" s="455">
        <f t="array" ref="J3495">IFERROR(INDEX('Retirement Calculator'!K:K,MATCH('Lorri 401b'!N3495,'Retirement Calculator'!A:A,0),0),0)</f>
        <v>0</v>
      </c>
      <c r="K3495" s="455">
        <f t="shared" ca="1" si="148"/>
        <v>-3583141461.2650914</v>
      </c>
      <c r="L3495" s="455">
        <f t="shared" ca="1" si="149"/>
        <v>-863537092164.88721</v>
      </c>
      <c r="M3495" s="471">
        <f t="shared" si="151"/>
        <v>0.05</v>
      </c>
      <c r="N3495" s="475">
        <f t="shared" si="152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50"/>
        <v>-863537092164.88721</v>
      </c>
      <c r="J3496" s="455">
        <f t="array" ref="J3496">IFERROR(INDEX('Retirement Calculator'!K:K,MATCH('Lorri 401b'!N3496,'Retirement Calculator'!A:A,0),0),0)</f>
        <v>0</v>
      </c>
      <c r="K3496" s="455">
        <f t="shared" ca="1" si="148"/>
        <v>-3598071217.3536963</v>
      </c>
      <c r="L3496" s="455">
        <f t="shared" ca="1" si="149"/>
        <v>-867135163382.24084</v>
      </c>
      <c r="M3496" s="471">
        <f t="shared" si="151"/>
        <v>0.05</v>
      </c>
      <c r="N3496" s="475">
        <f t="shared" si="152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50"/>
        <v>-867135163382.24084</v>
      </c>
      <c r="J3497" s="455">
        <f t="array" ref="J3497">IFERROR(INDEX('Retirement Calculator'!K:K,MATCH('Lorri 401b'!N3497,'Retirement Calculator'!A:A,0),0),0)</f>
        <v>0</v>
      </c>
      <c r="K3497" s="455">
        <f t="shared" ca="1" si="148"/>
        <v>-3613063180.7593369</v>
      </c>
      <c r="L3497" s="455">
        <f t="shared" ca="1" si="149"/>
        <v>-870748226563.00012</v>
      </c>
      <c r="M3497" s="471">
        <f t="shared" si="151"/>
        <v>0.05</v>
      </c>
      <c r="N3497" s="475">
        <f t="shared" si="152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50"/>
        <v>-870748226563.00012</v>
      </c>
      <c r="J3498" s="455">
        <f t="array" ref="J3498">IFERROR(INDEX('Retirement Calculator'!K:K,MATCH('Lorri 401b'!N3498,'Retirement Calculator'!A:A,0),0),0)</f>
        <v>0</v>
      </c>
      <c r="K3498" s="455">
        <f t="shared" ca="1" si="148"/>
        <v>-3628117610.6791673</v>
      </c>
      <c r="L3498" s="455">
        <f t="shared" ca="1" si="149"/>
        <v>-874376344173.67932</v>
      </c>
      <c r="M3498" s="471">
        <f t="shared" si="151"/>
        <v>0.05</v>
      </c>
      <c r="N3498" s="475">
        <f t="shared" si="152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50"/>
        <v>-874376344173.67932</v>
      </c>
      <c r="J3499" s="455">
        <f t="array" ref="J3499">IFERROR(INDEX('Retirement Calculator'!K:K,MATCH('Lorri 401b'!N3499,'Retirement Calculator'!A:A,0),0),0)</f>
        <v>0</v>
      </c>
      <c r="K3499" s="455">
        <f t="shared" ca="1" si="148"/>
        <v>-3643234767.3903298</v>
      </c>
      <c r="L3499" s="455">
        <f t="shared" ca="1" si="149"/>
        <v>-878019578941.0697</v>
      </c>
      <c r="M3499" s="471">
        <f t="shared" si="151"/>
        <v>0.05</v>
      </c>
      <c r="N3499" s="475">
        <f t="shared" si="152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50"/>
        <v>-878019578941.0697</v>
      </c>
      <c r="J3500" s="455">
        <f t="array" ref="J3500">IFERROR(INDEX('Retirement Calculator'!K:K,MATCH('Lorri 401b'!N3500,'Retirement Calculator'!A:A,0),0),0)</f>
        <v>0</v>
      </c>
      <c r="K3500" s="455">
        <f t="shared" ca="1" si="148"/>
        <v>-3658414912.254457</v>
      </c>
      <c r="L3500" s="455">
        <f t="shared" ca="1" si="149"/>
        <v>-881677993853.32422</v>
      </c>
      <c r="M3500" s="471">
        <f t="shared" si="151"/>
        <v>0.05</v>
      </c>
      <c r="N3500" s="475">
        <f t="shared" si="152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50"/>
        <v>-881677993853.32422</v>
      </c>
      <c r="J3501" s="455">
        <f t="array" ref="J3501">IFERROR(INDEX('Retirement Calculator'!K:K,MATCH('Lorri 401b'!N3501,'Retirement Calculator'!A:A,0),0),0)</f>
        <v>0</v>
      </c>
      <c r="K3501" s="455">
        <f t="shared" ca="1" si="148"/>
        <v>-3673658307.7221842</v>
      </c>
      <c r="L3501" s="455">
        <f t="shared" ca="1" si="149"/>
        <v>-885351652161.04639</v>
      </c>
      <c r="M3501" s="471">
        <f t="shared" si="151"/>
        <v>0.05</v>
      </c>
      <c r="N3501" s="475">
        <f t="shared" si="152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50"/>
        <v>-885351652161.04639</v>
      </c>
      <c r="J3502" s="455">
        <f t="array" ref="J3502">IFERROR(INDEX('Retirement Calculator'!K:K,MATCH('Lorri 401b'!N3502,'Retirement Calculator'!A:A,0),0),0)</f>
        <v>0</v>
      </c>
      <c r="K3502" s="455">
        <f t="shared" ca="1" si="148"/>
        <v>-3688965217.3376932</v>
      </c>
      <c r="L3502" s="455">
        <f t="shared" ca="1" si="149"/>
        <v>-889040617378.38403</v>
      </c>
      <c r="M3502" s="471">
        <f t="shared" si="151"/>
        <v>0.05</v>
      </c>
      <c r="N3502" s="475">
        <f t="shared" si="152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50"/>
        <v>-889040617378.38403</v>
      </c>
      <c r="J3503" s="455">
        <f t="array" ref="J3503">IFERROR(INDEX('Retirement Calculator'!K:K,MATCH('Lorri 401b'!N3503,'Retirement Calculator'!A:A,0),0),0)</f>
        <v>0</v>
      </c>
      <c r="K3503" s="455">
        <f t="shared" ca="1" si="148"/>
        <v>-3704335905.7432666</v>
      </c>
      <c r="L3503" s="455">
        <f t="shared" ca="1" si="149"/>
        <v>-892744953284.12732</v>
      </c>
      <c r="M3503" s="471">
        <f t="shared" si="151"/>
        <v>0.05</v>
      </c>
      <c r="N3503" s="475">
        <f t="shared" si="152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50"/>
        <v>-892744953284.12732</v>
      </c>
      <c r="J3504" s="455">
        <f t="array" ref="J3504">IFERROR(INDEX('Retirement Calculator'!K:K,MATCH('Lorri 401b'!N3504,'Retirement Calculator'!A:A,0),0),0)</f>
        <v>0</v>
      </c>
      <c r="K3504" s="455">
        <f t="shared" ca="1" si="148"/>
        <v>-3719770638.6838632</v>
      </c>
      <c r="L3504" s="455">
        <f t="shared" ca="1" si="149"/>
        <v>-896464723922.81116</v>
      </c>
      <c r="M3504" s="471">
        <f t="shared" si="151"/>
        <v>0.05</v>
      </c>
      <c r="N3504" s="475">
        <f t="shared" si="152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50"/>
        <v>-896464723922.81116</v>
      </c>
      <c r="J3505" s="455">
        <f t="array" ref="J3505">IFERROR(INDEX('Retirement Calculator'!K:K,MATCH('Lorri 401b'!N3505,'Retirement Calculator'!A:A,0),0),0)</f>
        <v>0</v>
      </c>
      <c r="K3505" s="455">
        <f t="shared" ca="1" si="148"/>
        <v>-3735269683.0117135</v>
      </c>
      <c r="L3505" s="455">
        <f t="shared" ca="1" si="149"/>
        <v>-900199993605.82288</v>
      </c>
      <c r="M3505" s="471">
        <f t="shared" si="151"/>
        <v>0.05</v>
      </c>
      <c r="N3505" s="475">
        <f t="shared" si="152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50"/>
        <v>-900199993605.82288</v>
      </c>
      <c r="J3506" s="455">
        <f t="array" ref="J3506">IFERROR(INDEX('Retirement Calculator'!K:K,MATCH('Lorri 401b'!N3506,'Retirement Calculator'!A:A,0),0),0)</f>
        <v>0</v>
      </c>
      <c r="K3506" s="455">
        <f t="shared" ca="1" si="148"/>
        <v>-3750833306.6909285</v>
      </c>
      <c r="L3506" s="455">
        <f t="shared" ca="1" si="149"/>
        <v>-903950826912.51379</v>
      </c>
      <c r="M3506" s="471">
        <f t="shared" si="151"/>
        <v>0.05</v>
      </c>
      <c r="N3506" s="475">
        <f t="shared" si="152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50"/>
        <v>-903950826912.51379</v>
      </c>
      <c r="J3507" s="455">
        <f t="array" ref="J3507">IFERROR(INDEX('Retirement Calculator'!K:K,MATCH('Lorri 401b'!N3507,'Retirement Calculator'!A:A,0),0),0)</f>
        <v>0</v>
      </c>
      <c r="K3507" s="455">
        <f t="shared" ca="1" si="148"/>
        <v>-3766461778.8021407</v>
      </c>
      <c r="L3507" s="455">
        <f t="shared" ca="1" si="149"/>
        <v>-907717288691.31592</v>
      </c>
      <c r="M3507" s="471">
        <f t="shared" si="151"/>
        <v>0.05</v>
      </c>
      <c r="N3507" s="475">
        <f t="shared" si="152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50"/>
        <v>-907717288691.31592</v>
      </c>
      <c r="J3508" s="455">
        <f t="array" ref="J3508">IFERROR(INDEX('Retirement Calculator'!K:K,MATCH('Lorri 401b'!N3508,'Retirement Calculator'!A:A,0),0),0)</f>
        <v>0</v>
      </c>
      <c r="K3508" s="455">
        <f t="shared" ca="1" si="148"/>
        <v>-3782155369.5471497</v>
      </c>
      <c r="L3508" s="455">
        <f t="shared" ca="1" si="149"/>
        <v>-911499444060.86304</v>
      </c>
      <c r="M3508" s="471">
        <f t="shared" si="151"/>
        <v>0.05</v>
      </c>
      <c r="N3508" s="475">
        <f t="shared" si="152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50"/>
        <v>-911499444060.86304</v>
      </c>
      <c r="J3509" s="455">
        <f t="array" ref="J3509">IFERROR(INDEX('Retirement Calculator'!K:K,MATCH('Lorri 401b'!N3509,'Retirement Calculator'!A:A,0),0),0)</f>
        <v>0</v>
      </c>
      <c r="K3509" s="455">
        <f t="shared" ca="1" si="148"/>
        <v>-3797914350.2535958</v>
      </c>
      <c r="L3509" s="455">
        <f t="shared" ca="1" si="149"/>
        <v>-915297358411.11658</v>
      </c>
      <c r="M3509" s="471">
        <f t="shared" si="151"/>
        <v>0.05</v>
      </c>
      <c r="N3509" s="475">
        <f t="shared" si="152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50"/>
        <v>-915297358411.11658</v>
      </c>
      <c r="J3510" s="455">
        <f t="array" ref="J3510">IFERROR(INDEX('Retirement Calculator'!K:K,MATCH('Lorri 401b'!N3510,'Retirement Calculator'!A:A,0),0),0)</f>
        <v>0</v>
      </c>
      <c r="K3510" s="455">
        <f t="shared" ca="1" si="148"/>
        <v>-3813738993.3796525</v>
      </c>
      <c r="L3510" s="455">
        <f t="shared" ca="1" si="149"/>
        <v>-919111097404.49622</v>
      </c>
      <c r="M3510" s="471">
        <f t="shared" si="151"/>
        <v>0.05</v>
      </c>
      <c r="N3510" s="475">
        <f t="shared" si="152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50"/>
        <v>-919111097404.49622</v>
      </c>
      <c r="J3511" s="455">
        <f t="array" ref="J3511">IFERROR(INDEX('Retirement Calculator'!K:K,MATCH('Lorri 401b'!N3511,'Retirement Calculator'!A:A,0),0),0)</f>
        <v>0</v>
      </c>
      <c r="K3511" s="455">
        <f t="shared" ca="1" si="148"/>
        <v>-3829629572.518734</v>
      </c>
      <c r="L3511" s="455">
        <f t="shared" ca="1" si="149"/>
        <v>-922940726977.01489</v>
      </c>
      <c r="M3511" s="471">
        <f t="shared" si="151"/>
        <v>0.05</v>
      </c>
      <c r="N3511" s="475">
        <f t="shared" si="152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50"/>
        <v>-922940726977.01489</v>
      </c>
      <c r="J3512" s="455">
        <f t="array" ref="J3512">IFERROR(INDEX('Retirement Calculator'!K:K,MATCH('Lorri 401b'!N3512,'Retirement Calculator'!A:A,0),0),0)</f>
        <v>0</v>
      </c>
      <c r="K3512" s="455">
        <f t="shared" ca="1" si="148"/>
        <v>-3845586362.4042287</v>
      </c>
      <c r="L3512" s="455">
        <f t="shared" ca="1" si="149"/>
        <v>-926786313339.41907</v>
      </c>
      <c r="M3512" s="471">
        <f t="shared" si="151"/>
        <v>0.05</v>
      </c>
      <c r="N3512" s="475">
        <f t="shared" si="152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50"/>
        <v>-926786313339.41907</v>
      </c>
      <c r="J3513" s="455">
        <f t="array" ref="J3513">IFERROR(INDEX('Retirement Calculator'!K:K,MATCH('Lorri 401b'!N3513,'Retirement Calculator'!A:A,0),0),0)</f>
        <v>0</v>
      </c>
      <c r="K3513" s="455">
        <f t="shared" ca="1" si="148"/>
        <v>-3861609638.9142466</v>
      </c>
      <c r="L3513" s="455">
        <f t="shared" ca="1" si="149"/>
        <v>-930647922978.33337</v>
      </c>
      <c r="M3513" s="471">
        <f t="shared" si="151"/>
        <v>0.05</v>
      </c>
      <c r="N3513" s="475">
        <f t="shared" si="152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50"/>
        <v>-930647922978.33337</v>
      </c>
      <c r="J3514" s="455">
        <f t="array" ref="J3514">IFERROR(INDEX('Retirement Calculator'!K:K,MATCH('Lorri 401b'!N3514,'Retirement Calculator'!A:A,0),0),0)</f>
        <v>0</v>
      </c>
      <c r="K3514" s="455">
        <f t="shared" ca="1" si="148"/>
        <v>-3877699679.0763888</v>
      </c>
      <c r="L3514" s="455">
        <f t="shared" ca="1" si="149"/>
        <v>-934525622657.40979</v>
      </c>
      <c r="M3514" s="471">
        <f t="shared" si="151"/>
        <v>0.05</v>
      </c>
      <c r="N3514" s="475">
        <f t="shared" si="152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50"/>
        <v>-934525622657.40979</v>
      </c>
      <c r="J3515" s="455">
        <f t="array" ref="J3515">IFERROR(INDEX('Retirement Calculator'!K:K,MATCH('Lorri 401b'!N3515,'Retirement Calculator'!A:A,0),0),0)</f>
        <v>0</v>
      </c>
      <c r="K3515" s="455">
        <f t="shared" ca="1" si="148"/>
        <v>-3893856761.0725408</v>
      </c>
      <c r="L3515" s="455">
        <f t="shared" ca="1" si="149"/>
        <v>-938419479418.4823</v>
      </c>
      <c r="M3515" s="471">
        <f t="shared" si="151"/>
        <v>0.05</v>
      </c>
      <c r="N3515" s="475">
        <f t="shared" si="152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50"/>
        <v>-938419479418.4823</v>
      </c>
      <c r="J3516" s="455">
        <f t="array" ref="J3516">IFERROR(INDEX('Retirement Calculator'!K:K,MATCH('Lorri 401b'!N3516,'Retirement Calculator'!A:A,0),0),0)</f>
        <v>0</v>
      </c>
      <c r="K3516" s="455">
        <f t="shared" ca="1" si="148"/>
        <v>-3910081164.2436762</v>
      </c>
      <c r="L3516" s="455">
        <f t="shared" ca="1" si="149"/>
        <v>-942329560582.72595</v>
      </c>
      <c r="M3516" s="471">
        <f t="shared" si="151"/>
        <v>0.05</v>
      </c>
      <c r="N3516" s="475">
        <f t="shared" si="152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50"/>
        <v>-942329560582.72595</v>
      </c>
      <c r="J3517" s="455">
        <f t="array" ref="J3517">IFERROR(INDEX('Retirement Calculator'!K:K,MATCH('Lorri 401b'!N3517,'Retirement Calculator'!A:A,0),0),0)</f>
        <v>0</v>
      </c>
      <c r="K3517" s="455">
        <f t="shared" ca="1" si="148"/>
        <v>-3926373169.0946908</v>
      </c>
      <c r="L3517" s="455">
        <f t="shared" ca="1" si="149"/>
        <v>-946255933751.82068</v>
      </c>
      <c r="M3517" s="471">
        <f t="shared" si="151"/>
        <v>0.05</v>
      </c>
      <c r="N3517" s="475">
        <f t="shared" si="152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50"/>
        <v>-946255933751.82068</v>
      </c>
      <c r="J3518" s="455">
        <f t="array" ref="J3518">IFERROR(INDEX('Retirement Calculator'!K:K,MATCH('Lorri 401b'!N3518,'Retirement Calculator'!A:A,0),0),0)</f>
        <v>0</v>
      </c>
      <c r="K3518" s="455">
        <f t="shared" ca="1" si="148"/>
        <v>-3942733057.299252</v>
      </c>
      <c r="L3518" s="455">
        <f t="shared" ca="1" si="149"/>
        <v>-950198666809.11987</v>
      </c>
      <c r="M3518" s="471">
        <f t="shared" si="151"/>
        <v>0.05</v>
      </c>
      <c r="N3518" s="475">
        <f t="shared" si="152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50"/>
        <v>-950198666809.11987</v>
      </c>
      <c r="J3519" s="455">
        <f t="array" ref="J3519">IFERROR(INDEX('Retirement Calculator'!K:K,MATCH('Lorri 401b'!N3519,'Retirement Calculator'!A:A,0),0),0)</f>
        <v>0</v>
      </c>
      <c r="K3519" s="455">
        <f t="shared" ca="1" si="148"/>
        <v>-3959161111.7046657</v>
      </c>
      <c r="L3519" s="455">
        <f t="shared" ca="1" si="149"/>
        <v>-954157827920.82458</v>
      </c>
      <c r="M3519" s="471">
        <f t="shared" si="151"/>
        <v>0.05</v>
      </c>
      <c r="N3519" s="475">
        <f t="shared" si="152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50"/>
        <v>-954157827920.82458</v>
      </c>
      <c r="J3520" s="455">
        <f t="array" ref="J3520">IFERROR(INDEX('Retirement Calculator'!K:K,MATCH('Lorri 401b'!N3520,'Retirement Calculator'!A:A,0),0),0)</f>
        <v>0</v>
      </c>
      <c r="K3520" s="455">
        <f t="shared" ca="1" si="148"/>
        <v>-3975657616.3367686</v>
      </c>
      <c r="L3520" s="455">
        <f t="shared" ca="1" si="149"/>
        <v>-958133485537.16138</v>
      </c>
      <c r="M3520" s="471">
        <f t="shared" si="151"/>
        <v>0.05</v>
      </c>
      <c r="N3520" s="475">
        <f t="shared" si="152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50"/>
        <v>-958133485537.16138</v>
      </c>
      <c r="J3521" s="455">
        <f t="array" ref="J3521">IFERROR(INDEX('Retirement Calculator'!K:K,MATCH('Lorri 401b'!N3521,'Retirement Calculator'!A:A,0),0),0)</f>
        <v>0</v>
      </c>
      <c r="K3521" s="455">
        <f t="shared" ca="1" si="148"/>
        <v>-3992222856.4048395</v>
      </c>
      <c r="L3521" s="455">
        <f t="shared" ca="1" si="149"/>
        <v>-962125708393.56616</v>
      </c>
      <c r="M3521" s="471">
        <f t="shared" si="151"/>
        <v>0.05</v>
      </c>
      <c r="N3521" s="475">
        <f t="shared" si="152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50"/>
        <v>-962125708393.56616</v>
      </c>
      <c r="J3522" s="455">
        <f t="array" ref="J3522">IFERROR(INDEX('Retirement Calculator'!K:K,MATCH('Lorri 401b'!N3522,'Retirement Calculator'!A:A,0),0),0)</f>
        <v>0</v>
      </c>
      <c r="K3522" s="455">
        <f t="shared" ca="1" si="148"/>
        <v>-4008857118.3065252</v>
      </c>
      <c r="L3522" s="455">
        <f t="shared" ca="1" si="149"/>
        <v>-966134565511.87268</v>
      </c>
      <c r="M3522" s="471">
        <f t="shared" si="151"/>
        <v>0.05</v>
      </c>
      <c r="N3522" s="475">
        <f t="shared" si="152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50"/>
        <v>-966134565511.87268</v>
      </c>
      <c r="J3523" s="455">
        <f t="array" ref="J3523">IFERROR(INDEX('Retirement Calculator'!K:K,MATCH('Lorri 401b'!N3523,'Retirement Calculator'!A:A,0),0),0)</f>
        <v>0</v>
      </c>
      <c r="K3523" s="455">
        <f t="shared" ca="1" si="148"/>
        <v>-4025560689.632803</v>
      </c>
      <c r="L3523" s="455">
        <f t="shared" ca="1" si="149"/>
        <v>-970160126201.50549</v>
      </c>
      <c r="M3523" s="471">
        <f t="shared" si="151"/>
        <v>0.05</v>
      </c>
      <c r="N3523" s="475">
        <f t="shared" si="152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50"/>
        <v>-970160126201.50549</v>
      </c>
      <c r="J3524" s="455">
        <f t="array" ref="J3524">IFERROR(INDEX('Retirement Calculator'!K:K,MATCH('Lorri 401b'!N3524,'Retirement Calculator'!A:A,0),0),0)</f>
        <v>0</v>
      </c>
      <c r="K3524" s="455">
        <f t="shared" ca="1" si="148"/>
        <v>-4042333859.1729393</v>
      </c>
      <c r="L3524" s="455">
        <f t="shared" ca="1" si="149"/>
        <v>-974202460060.67847</v>
      </c>
      <c r="M3524" s="471">
        <f t="shared" si="151"/>
        <v>0.05</v>
      </c>
      <c r="N3524" s="475">
        <f t="shared" si="152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50"/>
        <v>-974202460060.67847</v>
      </c>
      <c r="J3525" s="455">
        <f t="array" ref="J3525">IFERROR(INDEX('Retirement Calculator'!K:K,MATCH('Lorri 401b'!N3525,'Retirement Calculator'!A:A,0),0),0)</f>
        <v>0</v>
      </c>
      <c r="K3525" s="455">
        <f t="shared" ca="1" si="148"/>
        <v>-4059176916.9194942</v>
      </c>
      <c r="L3525" s="455">
        <f t="shared" ca="1" si="149"/>
        <v>-978261636977.5979</v>
      </c>
      <c r="M3525" s="471">
        <f t="shared" si="151"/>
        <v>0.05</v>
      </c>
      <c r="N3525" s="475">
        <f t="shared" si="152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50"/>
        <v>-978261636977.5979</v>
      </c>
      <c r="J3526" s="455">
        <f t="array" ref="J3526">IFERROR(INDEX('Retirement Calculator'!K:K,MATCH('Lorri 401b'!N3526,'Retirement Calculator'!A:A,0),0),0)</f>
        <v>0</v>
      </c>
      <c r="K3526" s="455">
        <f t="shared" ca="1" si="148"/>
        <v>-4076090154.0733247</v>
      </c>
      <c r="L3526" s="455">
        <f t="shared" ca="1" si="149"/>
        <v>-982337727131.67126</v>
      </c>
      <c r="M3526" s="471">
        <f t="shared" si="151"/>
        <v>0.05</v>
      </c>
      <c r="N3526" s="475">
        <f t="shared" si="152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50"/>
        <v>-982337727131.67126</v>
      </c>
      <c r="J3527" s="455">
        <f t="array" ref="J3527">IFERROR(INDEX('Retirement Calculator'!K:K,MATCH('Lorri 401b'!N3527,'Retirement Calculator'!A:A,0),0),0)</f>
        <v>0</v>
      </c>
      <c r="K3527" s="455">
        <f t="shared" ca="1" si="148"/>
        <v>-4093073863.0486307</v>
      </c>
      <c r="L3527" s="455">
        <f t="shared" ca="1" si="149"/>
        <v>-986430800994.71985</v>
      </c>
      <c r="M3527" s="471">
        <f t="shared" si="151"/>
        <v>0.05</v>
      </c>
      <c r="N3527" s="475">
        <f t="shared" si="152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50"/>
        <v>-986430800994.71985</v>
      </c>
      <c r="J3528" s="455">
        <f t="array" ref="J3528">IFERROR(INDEX('Retirement Calculator'!K:K,MATCH('Lorri 401b'!N3528,'Retirement Calculator'!A:A,0),0),0)</f>
        <v>0</v>
      </c>
      <c r="K3528" s="455">
        <f t="shared" ca="1" si="148"/>
        <v>-4110128337.4779992</v>
      </c>
      <c r="L3528" s="455">
        <f t="shared" ca="1" si="149"/>
        <v>-990540929332.19788</v>
      </c>
      <c r="M3528" s="471">
        <f t="shared" si="151"/>
        <v>0.05</v>
      </c>
      <c r="N3528" s="475">
        <f t="shared" si="152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50"/>
        <v>-990540929332.19788</v>
      </c>
      <c r="J3529" s="455">
        <f t="array" ref="J3529">IFERROR(INDEX('Retirement Calculator'!K:K,MATCH('Lorri 401b'!N3529,'Retirement Calculator'!A:A,0),0),0)</f>
        <v>0</v>
      </c>
      <c r="K3529" s="455">
        <f t="shared" ca="1" si="148"/>
        <v>-4127253872.2174911</v>
      </c>
      <c r="L3529" s="455">
        <f t="shared" ca="1" si="149"/>
        <v>-994668183204.41541</v>
      </c>
      <c r="M3529" s="471">
        <f t="shared" si="151"/>
        <v>0.05</v>
      </c>
      <c r="N3529" s="475">
        <f t="shared" si="152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50"/>
        <v>-994668183204.41541</v>
      </c>
      <c r="J3530" s="455">
        <f t="array" ref="J3530">IFERROR(INDEX('Retirement Calculator'!K:K,MATCH('Lorri 401b'!N3530,'Retirement Calculator'!A:A,0),0),0)</f>
        <v>0</v>
      </c>
      <c r="K3530" s="455">
        <f t="shared" ca="1" si="148"/>
        <v>-4144450763.3517308</v>
      </c>
      <c r="L3530" s="455">
        <f t="shared" ca="1" si="149"/>
        <v>-998812633967.76709</v>
      </c>
      <c r="M3530" s="471">
        <f t="shared" si="151"/>
        <v>0.05</v>
      </c>
      <c r="N3530" s="475">
        <f t="shared" si="152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50"/>
        <v>-998812633967.76709</v>
      </c>
      <c r="J3531" s="455">
        <f t="array" ref="J3531">IFERROR(INDEX('Retirement Calculator'!K:K,MATCH('Lorri 401b'!N3531,'Retirement Calculator'!A:A,0),0),0)</f>
        <v>0</v>
      </c>
      <c r="K3531" s="455">
        <f t="shared" ca="1" si="148"/>
        <v>-4161719308.1990294</v>
      </c>
      <c r="L3531" s="455">
        <f t="shared" ca="1" si="149"/>
        <v>-1002974353275.9661</v>
      </c>
      <c r="M3531" s="471">
        <f t="shared" si="151"/>
        <v>0.05</v>
      </c>
      <c r="N3531" s="475">
        <f t="shared" si="152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50"/>
        <v>-1002974353275.9661</v>
      </c>
      <c r="J3532" s="455">
        <f t="array" ref="J3532">IFERROR(INDEX('Retirement Calculator'!K:K,MATCH('Lorri 401b'!N3532,'Retirement Calculator'!A:A,0),0),0)</f>
        <v>0</v>
      </c>
      <c r="K3532" s="455">
        <f t="shared" ca="1" si="148"/>
        <v>-4179059805.316525</v>
      </c>
      <c r="L3532" s="455">
        <f t="shared" ca="1" si="149"/>
        <v>-1007153413081.2826</v>
      </c>
      <c r="M3532" s="471">
        <f t="shared" si="151"/>
        <v>0.05</v>
      </c>
      <c r="N3532" s="475">
        <f t="shared" si="152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50"/>
        <v>-1007153413081.2826</v>
      </c>
      <c r="J3533" s="455">
        <f t="array" ref="J3533">IFERROR(INDEX('Retirement Calculator'!K:K,MATCH('Lorri 401b'!N3533,'Retirement Calculator'!A:A,0),0),0)</f>
        <v>0</v>
      </c>
      <c r="K3533" s="455">
        <f t="shared" ca="1" si="148"/>
        <v>-4196472554.5053434</v>
      </c>
      <c r="L3533" s="455">
        <f t="shared" ca="1" si="149"/>
        <v>-1011349885635.788</v>
      </c>
      <c r="M3533" s="471">
        <f t="shared" si="151"/>
        <v>0.05</v>
      </c>
      <c r="N3533" s="475">
        <f t="shared" si="152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50"/>
        <v>-1011349885635.788</v>
      </c>
      <c r="J3534" s="455">
        <f t="array" ref="J3534">IFERROR(INDEX('Retirement Calculator'!K:K,MATCH('Lorri 401b'!N3534,'Retirement Calculator'!A:A,0),0),0)</f>
        <v>0</v>
      </c>
      <c r="K3534" s="455">
        <f t="shared" ca="1" si="148"/>
        <v>-4213957856.815783</v>
      </c>
      <c r="L3534" s="455">
        <f t="shared" ca="1" si="149"/>
        <v>-1015563843492.6038</v>
      </c>
      <c r="M3534" s="471">
        <f t="shared" si="151"/>
        <v>0.05</v>
      </c>
      <c r="N3534" s="475">
        <f t="shared" si="152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50"/>
        <v>-1015563843492.6038</v>
      </c>
      <c r="J3535" s="455">
        <f t="array" ref="J3535">IFERROR(INDEX('Retirement Calculator'!K:K,MATCH('Lorri 401b'!N3535,'Retirement Calculator'!A:A,0),0),0)</f>
        <v>0</v>
      </c>
      <c r="K3535" s="455">
        <f t="shared" ca="1" si="148"/>
        <v>-4231516014.552516</v>
      </c>
      <c r="L3535" s="455">
        <f t="shared" ca="1" si="149"/>
        <v>-1019795359507.1563</v>
      </c>
      <c r="M3535" s="471">
        <f t="shared" si="151"/>
        <v>0.05</v>
      </c>
      <c r="N3535" s="475">
        <f t="shared" si="152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50"/>
        <v>-1019795359507.1563</v>
      </c>
      <c r="J3536" s="455">
        <f t="array" ref="J3536">IFERROR(INDEX('Retirement Calculator'!K:K,MATCH('Lorri 401b'!N3536,'Retirement Calculator'!A:A,0),0),0)</f>
        <v>0</v>
      </c>
      <c r="K3536" s="455">
        <f t="shared" ca="1" si="148"/>
        <v>-4249147331.2798176</v>
      </c>
      <c r="L3536" s="455">
        <f t="shared" ca="1" si="149"/>
        <v>-1024044506838.436</v>
      </c>
      <c r="M3536" s="471">
        <f t="shared" si="151"/>
        <v>0.05</v>
      </c>
      <c r="N3536" s="475">
        <f t="shared" si="152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50"/>
        <v>-1024044506838.436</v>
      </c>
      <c r="J3537" s="455">
        <f t="array" ref="J3537">IFERROR(INDEX('Retirement Calculator'!K:K,MATCH('Lorri 401b'!N3537,'Retirement Calculator'!A:A,0),0),0)</f>
        <v>0</v>
      </c>
      <c r="K3537" s="455">
        <f t="shared" ca="1" si="148"/>
        <v>-4266852111.8268166</v>
      </c>
      <c r="L3537" s="455">
        <f t="shared" ca="1" si="149"/>
        <v>-1028311358950.2628</v>
      </c>
      <c r="M3537" s="471">
        <f t="shared" si="151"/>
        <v>0.05</v>
      </c>
      <c r="N3537" s="475">
        <f t="shared" si="152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50"/>
        <v>-1028311358950.2628</v>
      </c>
      <c r="J3538" s="455">
        <f t="array" ref="J3538">IFERROR(INDEX('Retirement Calculator'!K:K,MATCH('Lorri 401b'!N3538,'Retirement Calculator'!A:A,0),0),0)</f>
        <v>0</v>
      </c>
      <c r="K3538" s="455">
        <f t="shared" ca="1" si="148"/>
        <v>-4284630662.2927618</v>
      </c>
      <c r="L3538" s="455">
        <f t="shared" ca="1" si="149"/>
        <v>-1032595989612.5555</v>
      </c>
      <c r="M3538" s="471">
        <f t="shared" si="151"/>
        <v>0.05</v>
      </c>
      <c r="N3538" s="475">
        <f t="shared" si="152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50"/>
        <v>-1032595989612.5555</v>
      </c>
      <c r="J3539" s="455">
        <f t="array" ref="J3539">IFERROR(INDEX('Retirement Calculator'!K:K,MATCH('Lorri 401b'!N3539,'Retirement Calculator'!A:A,0),0),0)</f>
        <v>0</v>
      </c>
      <c r="K3539" s="455">
        <f t="shared" ca="1" si="148"/>
        <v>-4302483290.0523148</v>
      </c>
      <c r="L3539" s="455">
        <f t="shared" ca="1" si="149"/>
        <v>-1036898472902.6079</v>
      </c>
      <c r="M3539" s="471">
        <f t="shared" si="151"/>
        <v>0.05</v>
      </c>
      <c r="N3539" s="475">
        <f t="shared" si="152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50"/>
        <v>-1036898472902.6079</v>
      </c>
      <c r="J3540" s="455">
        <f t="array" ref="J3540">IFERROR(INDEX('Retirement Calculator'!K:K,MATCH('Lorri 401b'!N3540,'Retirement Calculator'!A:A,0),0),0)</f>
        <v>0</v>
      </c>
      <c r="K3540" s="455">
        <f t="shared" ca="1" si="148"/>
        <v>-4320410303.7608662</v>
      </c>
      <c r="L3540" s="455">
        <f t="shared" ca="1" si="149"/>
        <v>-1041218883206.3688</v>
      </c>
      <c r="M3540" s="471">
        <f t="shared" si="151"/>
        <v>0.05</v>
      </c>
      <c r="N3540" s="475">
        <f t="shared" si="152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50"/>
        <v>-1041218883206.3688</v>
      </c>
      <c r="J3541" s="455">
        <f t="array" ref="J3541">IFERROR(INDEX('Retirement Calculator'!K:K,MATCH('Lorri 401b'!N3541,'Retirement Calculator'!A:A,0),0),0)</f>
        <v>0</v>
      </c>
      <c r="K3541" s="455">
        <f t="shared" ca="1" si="148"/>
        <v>-4338412013.35987</v>
      </c>
      <c r="L3541" s="455">
        <f t="shared" ca="1" si="149"/>
        <v>-1045557295219.7286</v>
      </c>
      <c r="M3541" s="471">
        <f t="shared" si="151"/>
        <v>0.05</v>
      </c>
      <c r="N3541" s="475">
        <f t="shared" si="152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50"/>
        <v>-1045557295219.7286</v>
      </c>
      <c r="J3542" s="455">
        <f t="array" ref="J3542">IFERROR(INDEX('Retirement Calculator'!K:K,MATCH('Lorri 401b'!N3542,'Retirement Calculator'!A:A,0),0),0)</f>
        <v>0</v>
      </c>
      <c r="K3542" s="455">
        <f t="shared" ca="1" si="148"/>
        <v>-4356488730.0822029</v>
      </c>
      <c r="L3542" s="455">
        <f t="shared" ca="1" si="149"/>
        <v>-1049913783949.8108</v>
      </c>
      <c r="M3542" s="471">
        <f t="shared" si="151"/>
        <v>0.05</v>
      </c>
      <c r="N3542" s="475">
        <f t="shared" si="152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50"/>
        <v>-1049913783949.8108</v>
      </c>
      <c r="J3543" s="455">
        <f t="array" ref="J3543">IFERROR(INDEX('Retirement Calculator'!K:K,MATCH('Lorri 401b'!N3543,'Retirement Calculator'!A:A,0),0),0)</f>
        <v>0</v>
      </c>
      <c r="K3543" s="455">
        <f t="shared" ca="1" si="148"/>
        <v>-4374640766.4575453</v>
      </c>
      <c r="L3543" s="455">
        <f t="shared" ca="1" si="149"/>
        <v>-1054288424716.2683</v>
      </c>
      <c r="M3543" s="471">
        <f t="shared" si="151"/>
        <v>0.05</v>
      </c>
      <c r="N3543" s="475">
        <f t="shared" si="152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50"/>
        <v>-1054288424716.2683</v>
      </c>
      <c r="J3544" s="455">
        <f t="array" ref="J3544">IFERROR(INDEX('Retirement Calculator'!K:K,MATCH('Lorri 401b'!N3544,'Retirement Calculator'!A:A,0),0),0)</f>
        <v>0</v>
      </c>
      <c r="K3544" s="455">
        <f t="shared" ca="1" si="148"/>
        <v>-4392868436.3177843</v>
      </c>
      <c r="L3544" s="455">
        <f t="shared" ca="1" si="149"/>
        <v>-1058681293152.5861</v>
      </c>
      <c r="M3544" s="471">
        <f t="shared" si="151"/>
        <v>0.05</v>
      </c>
      <c r="N3544" s="475">
        <f t="shared" si="152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50"/>
        <v>-1058681293152.5861</v>
      </c>
      <c r="J3545" s="455">
        <f t="array" ref="J3545">IFERROR(INDEX('Retirement Calculator'!K:K,MATCH('Lorri 401b'!N3545,'Retirement Calculator'!A:A,0),0),0)</f>
        <v>0</v>
      </c>
      <c r="K3545" s="455">
        <f t="shared" ca="1" si="148"/>
        <v>-4411172054.8024416</v>
      </c>
      <c r="L3545" s="455">
        <f t="shared" ca="1" si="149"/>
        <v>-1063092465207.3885</v>
      </c>
      <c r="M3545" s="471">
        <f t="shared" si="151"/>
        <v>0.05</v>
      </c>
      <c r="N3545" s="475">
        <f t="shared" si="152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50"/>
        <v>-1063092465207.3885</v>
      </c>
      <c r="J3546" s="455">
        <f t="array" ref="J3546">IFERROR(INDEX('Retirement Calculator'!K:K,MATCH('Lorri 401b'!N3546,'Retirement Calculator'!A:A,0),0),0)</f>
        <v>0</v>
      </c>
      <c r="K3546" s="455">
        <f t="shared" ca="1" si="148"/>
        <v>-4429551938.3641186</v>
      </c>
      <c r="L3546" s="455">
        <f t="shared" ca="1" si="149"/>
        <v>-1067522017145.7527</v>
      </c>
      <c r="M3546" s="471">
        <f t="shared" si="151"/>
        <v>0.05</v>
      </c>
      <c r="N3546" s="475">
        <f t="shared" si="152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50"/>
        <v>-1067522017145.7527</v>
      </c>
      <c r="J3547" s="455">
        <f t="array" ref="J3547">IFERROR(INDEX('Retirement Calculator'!K:K,MATCH('Lorri 401b'!N3547,'Retirement Calculator'!A:A,0),0),0)</f>
        <v>0</v>
      </c>
      <c r="K3547" s="455">
        <f t="shared" ca="1" si="148"/>
        <v>-4448008404.7739697</v>
      </c>
      <c r="L3547" s="455">
        <f t="shared" ca="1" si="149"/>
        <v>-1071970025550.5266</v>
      </c>
      <c r="M3547" s="471">
        <f t="shared" si="151"/>
        <v>0.05</v>
      </c>
      <c r="N3547" s="475">
        <f t="shared" si="152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50"/>
        <v>-1071970025550.5266</v>
      </c>
      <c r="J3548" s="455">
        <f t="array" ref="J3548">IFERROR(INDEX('Retirement Calculator'!K:K,MATCH('Lorri 401b'!N3548,'Retirement Calculator'!A:A,0),0),0)</f>
        <v>0</v>
      </c>
      <c r="K3548" s="455">
        <f t="shared" ca="1" si="148"/>
        <v>-4466541773.1271944</v>
      </c>
      <c r="L3548" s="455">
        <f t="shared" ca="1" si="149"/>
        <v>-1076436567323.6538</v>
      </c>
      <c r="M3548" s="471">
        <f t="shared" si="151"/>
        <v>0.05</v>
      </c>
      <c r="N3548" s="475">
        <f t="shared" si="152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50"/>
        <v>-1076436567323.6538</v>
      </c>
      <c r="J3549" s="455">
        <f t="array" ref="J3549">IFERROR(INDEX('Retirement Calculator'!K:K,MATCH('Lorri 401b'!N3549,'Retirement Calculator'!A:A,0),0),0)</f>
        <v>0</v>
      </c>
      <c r="K3549" s="455">
        <f t="shared" ca="1" si="148"/>
        <v>-4485152363.8485584</v>
      </c>
      <c r="L3549" s="455">
        <f t="shared" ca="1" si="149"/>
        <v>-1080921719687.5023</v>
      </c>
      <c r="M3549" s="471">
        <f t="shared" si="151"/>
        <v>0.05</v>
      </c>
      <c r="N3549" s="475">
        <f t="shared" si="152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50"/>
        <v>-1080921719687.5023</v>
      </c>
      <c r="J3550" s="455">
        <f t="array" ref="J3550">IFERROR(INDEX('Retirement Calculator'!K:K,MATCH('Lorri 401b'!N3550,'Retirement Calculator'!A:A,0),0),0)</f>
        <v>0</v>
      </c>
      <c r="K3550" s="455">
        <f t="shared" ca="1" si="148"/>
        <v>-4503840498.6979265</v>
      </c>
      <c r="L3550" s="455">
        <f t="shared" ca="1" si="149"/>
        <v>-1085425560186.2002</v>
      </c>
      <c r="M3550" s="471">
        <f t="shared" si="151"/>
        <v>0.05</v>
      </c>
      <c r="N3550" s="475">
        <f t="shared" si="152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50"/>
        <v>-1085425560186.2002</v>
      </c>
      <c r="J3551" s="455">
        <f t="array" ref="J3551">IFERROR(INDEX('Retirement Calculator'!K:K,MATCH('Lorri 401b'!N3551,'Retirement Calculator'!A:A,0),0),0)</f>
        <v>0</v>
      </c>
      <c r="K3551" s="455">
        <f t="shared" ca="1" si="148"/>
        <v>-4522606500.775835</v>
      </c>
      <c r="L3551" s="455">
        <f t="shared" ca="1" si="149"/>
        <v>-1089948166686.9761</v>
      </c>
      <c r="M3551" s="471">
        <f t="shared" si="151"/>
        <v>0.05</v>
      </c>
      <c r="N3551" s="475">
        <f t="shared" si="152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50"/>
        <v>-1089948166686.9761</v>
      </c>
      <c r="J3552" s="455">
        <f t="array" ref="J3552">IFERROR(INDEX('Retirement Calculator'!K:K,MATCH('Lorri 401b'!N3552,'Retirement Calculator'!A:A,0),0),0)</f>
        <v>0</v>
      </c>
      <c r="K3552" s="455">
        <f t="shared" ca="1" si="148"/>
        <v>-4541450694.529067</v>
      </c>
      <c r="L3552" s="455">
        <f t="shared" ca="1" si="149"/>
        <v>-1094489617381.5051</v>
      </c>
      <c r="M3552" s="471">
        <f t="shared" si="151"/>
        <v>0.05</v>
      </c>
      <c r="N3552" s="475">
        <f t="shared" si="152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50"/>
        <v>-1094489617381.5051</v>
      </c>
      <c r="J3553" s="455">
        <f t="array" ref="J3553">IFERROR(INDEX('Retirement Calculator'!K:K,MATCH('Lorri 401b'!N3553,'Retirement Calculator'!A:A,0),0),0)</f>
        <v>0</v>
      </c>
      <c r="K3553" s="455">
        <f t="shared" ca="1" si="148"/>
        <v>-4560373405.7562714</v>
      </c>
      <c r="L3553" s="455">
        <f t="shared" ca="1" si="149"/>
        <v>-1099049990787.2614</v>
      </c>
      <c r="M3553" s="471">
        <f t="shared" si="151"/>
        <v>0.05</v>
      </c>
      <c r="N3553" s="475">
        <f t="shared" si="152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50"/>
        <v>-1099049990787.2614</v>
      </c>
      <c r="J3554" s="455">
        <f t="array" ref="J3554">IFERROR(INDEX('Retirement Calculator'!K:K,MATCH('Lorri 401b'!N3554,'Retirement Calculator'!A:A,0),0),0)</f>
        <v>0</v>
      </c>
      <c r="K3554" s="455">
        <f t="shared" ca="1" si="148"/>
        <v>-4579374961.6135893</v>
      </c>
      <c r="L3554" s="455">
        <f t="shared" ca="1" si="149"/>
        <v>-1103629365748.875</v>
      </c>
      <c r="M3554" s="471">
        <f t="shared" si="151"/>
        <v>0.05</v>
      </c>
      <c r="N3554" s="475">
        <f t="shared" si="152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50"/>
        <v>-1103629365748.875</v>
      </c>
      <c r="J3555" s="455">
        <f t="array" ref="J3555">IFERROR(INDEX('Retirement Calculator'!K:K,MATCH('Lorri 401b'!N3555,'Retirement Calculator'!A:A,0),0),0)</f>
        <v>0</v>
      </c>
      <c r="K3555" s="455">
        <f t="shared" ca="1" si="148"/>
        <v>-4598455690.6203127</v>
      </c>
      <c r="L3555" s="455">
        <f t="shared" ca="1" si="149"/>
        <v>-1108227821439.4954</v>
      </c>
      <c r="M3555" s="471">
        <f t="shared" si="151"/>
        <v>0.05</v>
      </c>
      <c r="N3555" s="475">
        <f t="shared" si="152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50"/>
        <v>-1108227821439.4954</v>
      </c>
      <c r="J3556" s="455">
        <f t="array" ref="J3556">IFERROR(INDEX('Retirement Calculator'!K:K,MATCH('Lorri 401b'!N3556,'Retirement Calculator'!A:A,0),0),0)</f>
        <v>0</v>
      </c>
      <c r="K3556" s="455">
        <f t="shared" ca="1" si="148"/>
        <v>-4617615922.6645641</v>
      </c>
      <c r="L3556" s="455">
        <f t="shared" ca="1" si="149"/>
        <v>-1112845437362.1599</v>
      </c>
      <c r="M3556" s="471">
        <f t="shared" si="151"/>
        <v>0.05</v>
      </c>
      <c r="N3556" s="475">
        <f t="shared" si="152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50"/>
        <v>-1112845437362.1599</v>
      </c>
      <c r="J3557" s="455">
        <f t="array" ref="J3557">IFERROR(INDEX('Retirement Calculator'!K:K,MATCH('Lorri 401b'!N3557,'Retirement Calculator'!A:A,0),0),0)</f>
        <v>0</v>
      </c>
      <c r="K3557" s="455">
        <f t="shared" ca="1" si="148"/>
        <v>-4636855989.0089998</v>
      </c>
      <c r="L3557" s="455">
        <f t="shared" ca="1" si="149"/>
        <v>-1117482293351.1689</v>
      </c>
      <c r="M3557" s="471">
        <f t="shared" si="151"/>
        <v>0.05</v>
      </c>
      <c r="N3557" s="475">
        <f t="shared" si="152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50"/>
        <v>-1117482293351.1689</v>
      </c>
      <c r="J3558" s="455">
        <f t="array" ref="J3558">IFERROR(INDEX('Retirement Calculator'!K:K,MATCH('Lorri 401b'!N3558,'Retirement Calculator'!A:A,0),0),0)</f>
        <v>0</v>
      </c>
      <c r="K3558" s="455">
        <f t="shared" ca="1" si="148"/>
        <v>-4656176222.2965374</v>
      </c>
      <c r="L3558" s="455">
        <f t="shared" ca="1" si="149"/>
        <v>-1122138469573.4656</v>
      </c>
      <c r="M3558" s="471">
        <f t="shared" si="151"/>
        <v>0.05</v>
      </c>
      <c r="N3558" s="475">
        <f t="shared" si="152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50"/>
        <v>-1122138469573.4656</v>
      </c>
      <c r="J3559" s="455">
        <f t="array" ref="J3559">IFERROR(INDEX('Retirement Calculator'!K:K,MATCH('Lorri 401b'!N3559,'Retirement Calculator'!A:A,0),0),0)</f>
        <v>0</v>
      </c>
      <c r="K3559" s="455">
        <f t="shared" ca="1" si="148"/>
        <v>-4675576956.5561066</v>
      </c>
      <c r="L3559" s="455">
        <f t="shared" ca="1" si="149"/>
        <v>-1126814046530.0217</v>
      </c>
      <c r="M3559" s="471">
        <f t="shared" si="151"/>
        <v>0.05</v>
      </c>
      <c r="N3559" s="475">
        <f t="shared" si="152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50"/>
        <v>-1126814046530.0217</v>
      </c>
      <c r="J3560" s="455">
        <f t="array" ref="J3560">IFERROR(INDEX('Retirement Calculator'!K:K,MATCH('Lorri 401b'!N3560,'Retirement Calculator'!A:A,0),0),0)</f>
        <v>0</v>
      </c>
      <c r="K3560" s="455">
        <f t="shared" ca="1" si="148"/>
        <v>-4695058527.2084236</v>
      </c>
      <c r="L3560" s="455">
        <f t="shared" ca="1" si="149"/>
        <v>-1131509105057.2302</v>
      </c>
      <c r="M3560" s="471">
        <f t="shared" si="151"/>
        <v>0.05</v>
      </c>
      <c r="N3560" s="475">
        <f t="shared" si="152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50"/>
        <v>-1131509105057.2302</v>
      </c>
      <c r="J3561" s="455">
        <f t="array" ref="J3561">IFERROR(INDEX('Retirement Calculator'!K:K,MATCH('Lorri 401b'!N3561,'Retirement Calculator'!A:A,0),0),0)</f>
        <v>0</v>
      </c>
      <c r="K3561" s="455">
        <f t="shared" ca="1" si="148"/>
        <v>-4714621271.0717926</v>
      </c>
      <c r="L3561" s="455">
        <f t="shared" ca="1" si="149"/>
        <v>-1136223726328.302</v>
      </c>
      <c r="M3561" s="471">
        <f t="shared" si="151"/>
        <v>0.05</v>
      </c>
      <c r="N3561" s="475">
        <f t="shared" si="152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50"/>
        <v>-1136223726328.302</v>
      </c>
      <c r="J3562" s="455">
        <f t="array" ref="J3562">IFERROR(INDEX('Retirement Calculator'!K:K,MATCH('Lorri 401b'!N3562,'Retirement Calculator'!A:A,0),0),0)</f>
        <v>0</v>
      </c>
      <c r="K3562" s="455">
        <f t="shared" ca="1" si="148"/>
        <v>-4734265526.3679247</v>
      </c>
      <c r="L3562" s="455">
        <f t="shared" ca="1" si="149"/>
        <v>-1140957991854.6699</v>
      </c>
      <c r="M3562" s="471">
        <f t="shared" si="151"/>
        <v>0.05</v>
      </c>
      <c r="N3562" s="475">
        <f t="shared" si="152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50"/>
        <v>-1140957991854.6699</v>
      </c>
      <c r="J3563" s="455">
        <f t="array" ref="J3563">IFERROR(INDEX('Retirement Calculator'!K:K,MATCH('Lorri 401b'!N3563,'Retirement Calculator'!A:A,0),0),0)</f>
        <v>0</v>
      </c>
      <c r="K3563" s="455">
        <f t="shared" ca="1" si="148"/>
        <v>-4753991632.7277908</v>
      </c>
      <c r="L3563" s="455">
        <f t="shared" ca="1" si="149"/>
        <v>-1145711983487.3977</v>
      </c>
      <c r="M3563" s="471">
        <f t="shared" si="151"/>
        <v>0.05</v>
      </c>
      <c r="N3563" s="475">
        <f t="shared" si="152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50"/>
        <v>-1145711983487.3977</v>
      </c>
      <c r="J3564" s="455">
        <f t="array" ref="J3564">IFERROR(INDEX('Retirement Calculator'!K:K,MATCH('Lorri 401b'!N3564,'Retirement Calculator'!A:A,0),0),0)</f>
        <v>0</v>
      </c>
      <c r="K3564" s="455">
        <f t="shared" ca="1" si="148"/>
        <v>-4773799931.1974907</v>
      </c>
      <c r="L3564" s="455">
        <f t="shared" ca="1" si="149"/>
        <v>-1150485783418.5952</v>
      </c>
      <c r="M3564" s="471">
        <f t="shared" si="151"/>
        <v>0.05</v>
      </c>
      <c r="N3564" s="475">
        <f t="shared" si="152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50"/>
        <v>-1150485783418.5952</v>
      </c>
      <c r="J3565" s="455">
        <f t="array" ref="J3565">IFERROR(INDEX('Retirement Calculator'!K:K,MATCH('Lorri 401b'!N3565,'Retirement Calculator'!A:A,0),0),0)</f>
        <v>0</v>
      </c>
      <c r="K3565" s="455">
        <f t="shared" ca="1" si="148"/>
        <v>-4793690764.2441463</v>
      </c>
      <c r="L3565" s="455">
        <f t="shared" ca="1" si="149"/>
        <v>-1155279474182.8394</v>
      </c>
      <c r="M3565" s="471">
        <f t="shared" si="151"/>
        <v>0.05</v>
      </c>
      <c r="N3565" s="475">
        <f t="shared" si="152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50"/>
        <v>-1155279474182.8394</v>
      </c>
      <c r="J3566" s="455">
        <f t="array" ref="J3566">IFERROR(INDEX('Retirement Calculator'!K:K,MATCH('Lorri 401b'!N3566,'Retirement Calculator'!A:A,0),0),0)</f>
        <v>0</v>
      </c>
      <c r="K3566" s="455">
        <f t="shared" ca="1" si="148"/>
        <v>-4813664475.7618303</v>
      </c>
      <c r="L3566" s="455">
        <f t="shared" ca="1" si="149"/>
        <v>-1160093138658.6011</v>
      </c>
      <c r="M3566" s="471">
        <f t="shared" si="151"/>
        <v>0.05</v>
      </c>
      <c r="N3566" s="475">
        <f t="shared" si="152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50"/>
        <v>-1160093138658.6011</v>
      </c>
      <c r="J3567" s="455">
        <f t="array" ref="J3567">IFERROR(INDEX('Retirement Calculator'!K:K,MATCH('Lorri 401b'!N3567,'Retirement Calculator'!A:A,0),0),0)</f>
        <v>0</v>
      </c>
      <c r="K3567" s="455">
        <f t="shared" ca="1" si="148"/>
        <v>-4833721411.0775042</v>
      </c>
      <c r="L3567" s="455">
        <f t="shared" ca="1" si="149"/>
        <v>-1164926860069.6785</v>
      </c>
      <c r="M3567" s="471">
        <f t="shared" si="151"/>
        <v>0.05</v>
      </c>
      <c r="N3567" s="475">
        <f t="shared" si="152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50"/>
        <v>-1164926860069.6785</v>
      </c>
      <c r="J3568" s="455">
        <f t="array" ref="J3568">IFERROR(INDEX('Retirement Calculator'!K:K,MATCH('Lorri 401b'!N3568,'Retirement Calculator'!A:A,0),0),0)</f>
        <v>0</v>
      </c>
      <c r="K3568" s="455">
        <f t="shared" ca="1" si="148"/>
        <v>-4853861916.9569931</v>
      </c>
      <c r="L3568" s="455">
        <f t="shared" ca="1" si="149"/>
        <v>-1169780721986.6355</v>
      </c>
      <c r="M3568" s="471">
        <f t="shared" si="151"/>
        <v>0.05</v>
      </c>
      <c r="N3568" s="475">
        <f t="shared" si="152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50"/>
        <v>-1169780721986.6355</v>
      </c>
      <c r="J3569" s="455">
        <f t="array" ref="J3569">IFERROR(INDEX('Retirement Calculator'!K:K,MATCH('Lorri 401b'!N3569,'Retirement Calculator'!A:A,0),0),0)</f>
        <v>0</v>
      </c>
      <c r="K3569" s="455">
        <f t="shared" ca="1" si="148"/>
        <v>-4874086341.610981</v>
      </c>
      <c r="L3569" s="455">
        <f t="shared" ca="1" si="149"/>
        <v>-1174654808328.2466</v>
      </c>
      <c r="M3569" s="471">
        <f t="shared" si="151"/>
        <v>0.05</v>
      </c>
      <c r="N3569" s="475">
        <f t="shared" si="152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50"/>
        <v>-1174654808328.2466</v>
      </c>
      <c r="J3570" s="455">
        <f t="array" ref="J3570">IFERROR(INDEX('Retirement Calculator'!K:K,MATCH('Lorri 401b'!N3570,'Retirement Calculator'!A:A,0),0),0)</f>
        <v>0</v>
      </c>
      <c r="K3570" s="455">
        <f t="shared" ca="1" si="148"/>
        <v>-4894395034.7010269</v>
      </c>
      <c r="L3570" s="455">
        <f t="shared" ca="1" si="149"/>
        <v>-1179549203362.9475</v>
      </c>
      <c r="M3570" s="471">
        <f t="shared" si="151"/>
        <v>0.05</v>
      </c>
      <c r="N3570" s="475">
        <f t="shared" si="152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50"/>
        <v>-1179549203362.9475</v>
      </c>
      <c r="J3571" s="455">
        <f t="array" ref="J3571">IFERROR(INDEX('Retirement Calculator'!K:K,MATCH('Lorri 401b'!N3571,'Retirement Calculator'!A:A,0),0),0)</f>
        <v>0</v>
      </c>
      <c r="K3571" s="455">
        <f t="shared" ca="1" si="148"/>
        <v>-4914788347.3456144</v>
      </c>
      <c r="L3571" s="455">
        <f t="shared" ca="1" si="149"/>
        <v>-1184463991710.2932</v>
      </c>
      <c r="M3571" s="471">
        <f t="shared" si="151"/>
        <v>0.05</v>
      </c>
      <c r="N3571" s="475">
        <f t="shared" si="152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50"/>
        <v>-1184463991710.2932</v>
      </c>
      <c r="J3572" s="455">
        <f t="array" ref="J3572">IFERROR(INDEX('Retirement Calculator'!K:K,MATCH('Lorri 401b'!N3572,'Retirement Calculator'!A:A,0),0),0)</f>
        <v>0</v>
      </c>
      <c r="K3572" s="455">
        <f t="shared" ca="1" si="148"/>
        <v>-4935266632.1262217</v>
      </c>
      <c r="L3572" s="455">
        <f t="shared" ca="1" si="149"/>
        <v>-1189399258342.4194</v>
      </c>
      <c r="M3572" s="471">
        <f t="shared" si="151"/>
        <v>0.05</v>
      </c>
      <c r="N3572" s="475">
        <f t="shared" si="152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50"/>
        <v>-1189399258342.4194</v>
      </c>
      <c r="J3573" s="455">
        <f t="array" ref="J3573">IFERROR(INDEX('Retirement Calculator'!K:K,MATCH('Lorri 401b'!N3573,'Retirement Calculator'!A:A,0),0),0)</f>
        <v>0</v>
      </c>
      <c r="K3573" s="455">
        <f t="shared" ca="1" si="148"/>
        <v>-4955830243.0934143</v>
      </c>
      <c r="L3573" s="455">
        <f t="shared" ca="1" si="149"/>
        <v>-1194355088585.5129</v>
      </c>
      <c r="M3573" s="471">
        <f t="shared" si="151"/>
        <v>0.05</v>
      </c>
      <c r="N3573" s="475">
        <f t="shared" si="152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50"/>
        <v>-1194355088585.5129</v>
      </c>
      <c r="J3574" s="455">
        <f t="array" ref="J3574">IFERROR(INDEX('Retirement Calculator'!K:K,MATCH('Lorri 401b'!N3574,'Retirement Calculator'!A:A,0),0),0)</f>
        <v>0</v>
      </c>
      <c r="K3574" s="455">
        <f t="shared" ca="1" si="148"/>
        <v>-4976479535.7729702</v>
      </c>
      <c r="L3574" s="455">
        <f t="shared" ca="1" si="149"/>
        <v>-1199331568121.2859</v>
      </c>
      <c r="M3574" s="471">
        <f t="shared" si="151"/>
        <v>0.05</v>
      </c>
      <c r="N3574" s="475">
        <f t="shared" si="152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50"/>
        <v>-1199331568121.2859</v>
      </c>
      <c r="J3575" s="455">
        <f t="array" ref="J3575">IFERROR(INDEX('Retirement Calculator'!K:K,MATCH('Lorri 401b'!N3575,'Retirement Calculator'!A:A,0),0),0)</f>
        <v>0</v>
      </c>
      <c r="K3575" s="455">
        <f t="shared" ca="1" si="148"/>
        <v>-4997214867.1720247</v>
      </c>
      <c r="L3575" s="455">
        <f t="shared" ca="1" si="149"/>
        <v>-1204328782988.458</v>
      </c>
      <c r="M3575" s="471">
        <f t="shared" si="151"/>
        <v>0.05</v>
      </c>
      <c r="N3575" s="475">
        <f t="shared" si="152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50"/>
        <v>-1204328782988.458</v>
      </c>
      <c r="J3576" s="455">
        <f t="array" ref="J3576">IFERROR(INDEX('Retirement Calculator'!K:K,MATCH('Lorri 401b'!N3576,'Retirement Calculator'!A:A,0),0),0)</f>
        <v>0</v>
      </c>
      <c r="K3576" s="455">
        <f t="shared" ca="1" si="148"/>
        <v>-5018036595.7852421</v>
      </c>
      <c r="L3576" s="455">
        <f t="shared" ca="1" si="149"/>
        <v>-1209346819584.2432</v>
      </c>
      <c r="M3576" s="471">
        <f t="shared" si="151"/>
        <v>0.05</v>
      </c>
      <c r="N3576" s="475">
        <f t="shared" si="152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50"/>
        <v>-1209346819584.2432</v>
      </c>
      <c r="J3577" s="455">
        <f t="array" ref="J3577">IFERROR(INDEX('Retirement Calculator'!K:K,MATCH('Lorri 401b'!N3577,'Retirement Calculator'!A:A,0),0),0)</f>
        <v>0</v>
      </c>
      <c r="K3577" s="455">
        <f t="shared" ca="1" si="148"/>
        <v>-5038945081.6010132</v>
      </c>
      <c r="L3577" s="455">
        <f t="shared" ca="1" si="149"/>
        <v>-1214385764665.8442</v>
      </c>
      <c r="M3577" s="471">
        <f t="shared" si="151"/>
        <v>0.05</v>
      </c>
      <c r="N3577" s="475">
        <f t="shared" si="152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50"/>
        <v>-1214385764665.8442</v>
      </c>
      <c r="J3578" s="455">
        <f t="array" ref="J3578">IFERROR(INDEX('Retirement Calculator'!K:K,MATCH('Lorri 401b'!N3578,'Retirement Calculator'!A:A,0),0),0)</f>
        <v>0</v>
      </c>
      <c r="K3578" s="455">
        <f t="shared" ref="K3578:K3832" ca="1" si="153">IPMT(M3578/12,1,12,-I3578+J3578,,0)</f>
        <v>-5059940686.1076841</v>
      </c>
      <c r="L3578" s="455">
        <f t="shared" ref="L3578:L3832" ca="1" si="154">I3578-J3578+K3578</f>
        <v>-1219445705351.9519</v>
      </c>
      <c r="M3578" s="471">
        <f t="shared" si="151"/>
        <v>0.05</v>
      </c>
      <c r="N3578" s="475">
        <f t="shared" si="152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55">L3578</f>
        <v>-1219445705351.9519</v>
      </c>
      <c r="J3579" s="455">
        <f t="array" ref="J3579">IFERROR(INDEX('Retirement Calculator'!K:K,MATCH('Lorri 401b'!N3579,'Retirement Calculator'!A:A,0),0),0)</f>
        <v>0</v>
      </c>
      <c r="K3579" s="455">
        <f t="shared" ca="1" si="153"/>
        <v>-5081023772.2997999</v>
      </c>
      <c r="L3579" s="455">
        <f t="shared" ca="1" si="154"/>
        <v>-1224526729124.2517</v>
      </c>
      <c r="M3579" s="471">
        <f t="shared" ref="M3579:M3833" si="156">M3578</f>
        <v>0.05</v>
      </c>
      <c r="N3579" s="475">
        <f t="shared" ref="N3579:N3833" si="157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55"/>
        <v>-1224526729124.2517</v>
      </c>
      <c r="J3580" s="455">
        <f t="array" ref="J3580">IFERROR(INDEX('Retirement Calculator'!K:K,MATCH('Lorri 401b'!N3580,'Retirement Calculator'!A:A,0),0),0)</f>
        <v>0</v>
      </c>
      <c r="K3580" s="455">
        <f t="shared" ca="1" si="153"/>
        <v>-5102194704.6843824</v>
      </c>
      <c r="L3580" s="455">
        <f t="shared" ca="1" si="154"/>
        <v>-1229628923828.936</v>
      </c>
      <c r="M3580" s="471">
        <f t="shared" si="156"/>
        <v>0.05</v>
      </c>
      <c r="N3580" s="475">
        <f t="shared" si="157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55"/>
        <v>-1229628923828.936</v>
      </c>
      <c r="J3581" s="455">
        <f t="array" ref="J3581">IFERROR(INDEX('Retirement Calculator'!K:K,MATCH('Lorri 401b'!N3581,'Retirement Calculator'!A:A,0),0),0)</f>
        <v>0</v>
      </c>
      <c r="K3581" s="455">
        <f t="shared" ca="1" si="153"/>
        <v>-5123453849.2872334</v>
      </c>
      <c r="L3581" s="455">
        <f t="shared" ca="1" si="154"/>
        <v>-1234752377678.2234</v>
      </c>
      <c r="M3581" s="471">
        <f t="shared" si="156"/>
        <v>0.05</v>
      </c>
      <c r="N3581" s="475">
        <f t="shared" si="157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55"/>
        <v>-1234752377678.2234</v>
      </c>
      <c r="J3582" s="455">
        <f t="array" ref="J3582">IFERROR(INDEX('Retirement Calculator'!K:K,MATCH('Lorri 401b'!N3582,'Retirement Calculator'!A:A,0),0),0)</f>
        <v>0</v>
      </c>
      <c r="K3582" s="455">
        <f t="shared" ca="1" si="153"/>
        <v>-5144801573.6592636</v>
      </c>
      <c r="L3582" s="455">
        <f t="shared" ca="1" si="154"/>
        <v>-1239897179251.8826</v>
      </c>
      <c r="M3582" s="471">
        <f t="shared" si="156"/>
        <v>0.05</v>
      </c>
      <c r="N3582" s="475">
        <f t="shared" si="157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55"/>
        <v>-1239897179251.8826</v>
      </c>
      <c r="J3583" s="455">
        <f t="array" ref="J3583">IFERROR(INDEX('Retirement Calculator'!K:K,MATCH('Lorri 401b'!N3583,'Retirement Calculator'!A:A,0),0),0)</f>
        <v>0</v>
      </c>
      <c r="K3583" s="455">
        <f t="shared" ca="1" si="153"/>
        <v>-5166238246.882844</v>
      </c>
      <c r="L3583" s="455">
        <f t="shared" ca="1" si="154"/>
        <v>-1245063417498.7654</v>
      </c>
      <c r="M3583" s="471">
        <f t="shared" si="156"/>
        <v>0.05</v>
      </c>
      <c r="N3583" s="475">
        <f t="shared" si="157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55"/>
        <v>-1245063417498.7654</v>
      </c>
      <c r="J3584" s="455">
        <f t="array" ref="J3584">IFERROR(INDEX('Retirement Calculator'!K:K,MATCH('Lorri 401b'!N3584,'Retirement Calculator'!A:A,0),0),0)</f>
        <v>0</v>
      </c>
      <c r="K3584" s="455">
        <f t="shared" ca="1" si="153"/>
        <v>-5187764239.5781889</v>
      </c>
      <c r="L3584" s="455">
        <f t="shared" ca="1" si="154"/>
        <v>-1250251181738.3435</v>
      </c>
      <c r="M3584" s="471">
        <f t="shared" si="156"/>
        <v>0.05</v>
      </c>
      <c r="N3584" s="475">
        <f t="shared" si="157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55"/>
        <v>-1250251181738.3435</v>
      </c>
      <c r="J3585" s="455">
        <f t="array" ref="J3585">IFERROR(INDEX('Retirement Calculator'!K:K,MATCH('Lorri 401b'!N3585,'Retirement Calculator'!A:A,0),0),0)</f>
        <v>0</v>
      </c>
      <c r="K3585" s="455">
        <f t="shared" ca="1" si="153"/>
        <v>-5209379923.9097643</v>
      </c>
      <c r="L3585" s="455">
        <f t="shared" ca="1" si="154"/>
        <v>-1255460561662.2532</v>
      </c>
      <c r="M3585" s="471">
        <f t="shared" si="156"/>
        <v>0.05</v>
      </c>
      <c r="N3585" s="475">
        <f t="shared" si="157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55"/>
        <v>-1255460561662.2532</v>
      </c>
      <c r="J3586" s="455">
        <f t="array" ref="J3586">IFERROR(INDEX('Retirement Calculator'!K:K,MATCH('Lorri 401b'!N3586,'Retirement Calculator'!A:A,0),0),0)</f>
        <v>0</v>
      </c>
      <c r="K3586" s="455">
        <f t="shared" ca="1" si="153"/>
        <v>-5231085673.5927219</v>
      </c>
      <c r="L3586" s="455">
        <f t="shared" ca="1" si="154"/>
        <v>-1260691647335.8459</v>
      </c>
      <c r="M3586" s="471">
        <f t="shared" si="156"/>
        <v>0.05</v>
      </c>
      <c r="N3586" s="475">
        <f t="shared" si="157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55"/>
        <v>-1260691647335.8459</v>
      </c>
      <c r="J3587" s="455">
        <f t="array" ref="J3587">IFERROR(INDEX('Retirement Calculator'!K:K,MATCH('Lorri 401b'!N3587,'Retirement Calculator'!A:A,0),0),0)</f>
        <v>0</v>
      </c>
      <c r="K3587" s="455">
        <f t="shared" ca="1" si="153"/>
        <v>-5252881863.8993578</v>
      </c>
      <c r="L3587" s="455">
        <f t="shared" ca="1" si="154"/>
        <v>-1265944529199.7454</v>
      </c>
      <c r="M3587" s="471">
        <f t="shared" si="156"/>
        <v>0.05</v>
      </c>
      <c r="N3587" s="475">
        <f t="shared" si="157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55"/>
        <v>-1265944529199.7454</v>
      </c>
      <c r="J3588" s="455">
        <f t="array" ref="J3588">IFERROR(INDEX('Retirement Calculator'!K:K,MATCH('Lorri 401b'!N3588,'Retirement Calculator'!A:A,0),0),0)</f>
        <v>0</v>
      </c>
      <c r="K3588" s="455">
        <f t="shared" ca="1" si="153"/>
        <v>-5274768871.6656055</v>
      </c>
      <c r="L3588" s="455">
        <f t="shared" ca="1" si="154"/>
        <v>-1271219298071.4109</v>
      </c>
      <c r="M3588" s="471">
        <f t="shared" si="156"/>
        <v>0.05</v>
      </c>
      <c r="N3588" s="475">
        <f t="shared" si="157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55"/>
        <v>-1271219298071.4109</v>
      </c>
      <c r="J3589" s="455">
        <f t="array" ref="J3589">IFERROR(INDEX('Retirement Calculator'!K:K,MATCH('Lorri 401b'!N3589,'Retirement Calculator'!A:A,0),0),0)</f>
        <v>0</v>
      </c>
      <c r="K3589" s="455">
        <f t="shared" ca="1" si="153"/>
        <v>-5296747075.2975454</v>
      </c>
      <c r="L3589" s="455">
        <f t="shared" ca="1" si="154"/>
        <v>-1276516045146.7085</v>
      </c>
      <c r="M3589" s="471">
        <f t="shared" si="156"/>
        <v>0.05</v>
      </c>
      <c r="N3589" s="475">
        <f t="shared" si="157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55"/>
        <v>-1276516045146.7085</v>
      </c>
      <c r="J3590" s="455">
        <f t="array" ref="J3590">IFERROR(INDEX('Retirement Calculator'!K:K,MATCH('Lorri 401b'!N3590,'Retirement Calculator'!A:A,0),0),0)</f>
        <v>0</v>
      </c>
      <c r="K3590" s="455">
        <f t="shared" ca="1" si="153"/>
        <v>-5318816854.7779522</v>
      </c>
      <c r="L3590" s="455">
        <f t="shared" ca="1" si="154"/>
        <v>-1281834862001.4863</v>
      </c>
      <c r="M3590" s="471">
        <f t="shared" si="156"/>
        <v>0.05</v>
      </c>
      <c r="N3590" s="475">
        <f t="shared" si="157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55"/>
        <v>-1281834862001.4863</v>
      </c>
      <c r="J3591" s="455">
        <f t="array" ref="J3591">IFERROR(INDEX('Retirement Calculator'!K:K,MATCH('Lorri 401b'!N3591,'Retirement Calculator'!A:A,0),0),0)</f>
        <v>0</v>
      </c>
      <c r="K3591" s="455">
        <f t="shared" ca="1" si="153"/>
        <v>-5340978591.6728592</v>
      </c>
      <c r="L3591" s="455">
        <f t="shared" ca="1" si="154"/>
        <v>-1287175840593.1592</v>
      </c>
      <c r="M3591" s="471">
        <f t="shared" si="156"/>
        <v>0.05</v>
      </c>
      <c r="N3591" s="475">
        <f t="shared" si="157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55"/>
        <v>-1287175840593.1592</v>
      </c>
      <c r="J3592" s="455">
        <f t="array" ref="J3592">IFERROR(INDEX('Retirement Calculator'!K:K,MATCH('Lorri 401b'!N3592,'Retirement Calculator'!A:A,0),0),0)</f>
        <v>0</v>
      </c>
      <c r="K3592" s="455">
        <f t="shared" ca="1" si="153"/>
        <v>-5363232669.1381636</v>
      </c>
      <c r="L3592" s="455">
        <f t="shared" ca="1" si="154"/>
        <v>-1292539073262.2974</v>
      </c>
      <c r="M3592" s="471">
        <f t="shared" si="156"/>
        <v>0.05</v>
      </c>
      <c r="N3592" s="475">
        <f t="shared" si="157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55"/>
        <v>-1292539073262.2974</v>
      </c>
      <c r="J3593" s="455">
        <f t="array" ref="J3593">IFERROR(INDEX('Retirement Calculator'!K:K,MATCH('Lorri 401b'!N3593,'Retirement Calculator'!A:A,0),0),0)</f>
        <v>0</v>
      </c>
      <c r="K3593" s="455">
        <f t="shared" ca="1" si="153"/>
        <v>-5385579471.926239</v>
      </c>
      <c r="L3593" s="455">
        <f t="shared" ca="1" si="154"/>
        <v>-1297924652734.2236</v>
      </c>
      <c r="M3593" s="471">
        <f t="shared" si="156"/>
        <v>0.05</v>
      </c>
      <c r="N3593" s="475">
        <f t="shared" si="157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55"/>
        <v>-1297924652734.2236</v>
      </c>
      <c r="J3594" s="455">
        <f t="array" ref="J3594">IFERROR(INDEX('Retirement Calculator'!K:K,MATCH('Lorri 401b'!N3594,'Retirement Calculator'!A:A,0),0),0)</f>
        <v>0</v>
      </c>
      <c r="K3594" s="455">
        <f t="shared" ca="1" si="153"/>
        <v>-5408019386.3925982</v>
      </c>
      <c r="L3594" s="455">
        <f t="shared" ca="1" si="154"/>
        <v>-1303332672120.6162</v>
      </c>
      <c r="M3594" s="471">
        <f t="shared" si="156"/>
        <v>0.05</v>
      </c>
      <c r="N3594" s="475">
        <f t="shared" si="157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55"/>
        <v>-1303332672120.6162</v>
      </c>
      <c r="J3595" s="455">
        <f t="array" ref="J3595">IFERROR(INDEX('Retirement Calculator'!K:K,MATCH('Lorri 401b'!N3595,'Retirement Calculator'!A:A,0),0),0)</f>
        <v>0</v>
      </c>
      <c r="K3595" s="455">
        <f t="shared" ca="1" si="153"/>
        <v>-5430552800.5025673</v>
      </c>
      <c r="L3595" s="455">
        <f t="shared" ca="1" si="154"/>
        <v>-1308763224921.1189</v>
      </c>
      <c r="M3595" s="471">
        <f t="shared" si="156"/>
        <v>0.05</v>
      </c>
      <c r="N3595" s="475">
        <f t="shared" si="157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55"/>
        <v>-1308763224921.1189</v>
      </c>
      <c r="J3596" s="455">
        <f t="array" ref="J3596">IFERROR(INDEX('Retirement Calculator'!K:K,MATCH('Lorri 401b'!N3596,'Retirement Calculator'!A:A,0),0),0)</f>
        <v>0</v>
      </c>
      <c r="K3596" s="455">
        <f t="shared" ca="1" si="153"/>
        <v>-5453180103.8379955</v>
      </c>
      <c r="L3596" s="455">
        <f t="shared" ca="1" si="154"/>
        <v>-1314216405024.9568</v>
      </c>
      <c r="M3596" s="471">
        <f t="shared" si="156"/>
        <v>0.05</v>
      </c>
      <c r="N3596" s="475">
        <f t="shared" si="157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55"/>
        <v>-1314216405024.9568</v>
      </c>
      <c r="J3597" s="455">
        <f t="array" ref="J3597">IFERROR(INDEX('Retirement Calculator'!K:K,MATCH('Lorri 401b'!N3597,'Retirement Calculator'!A:A,0),0),0)</f>
        <v>0</v>
      </c>
      <c r="K3597" s="455">
        <f t="shared" ca="1" si="153"/>
        <v>-5475901687.6039867</v>
      </c>
      <c r="L3597" s="455">
        <f t="shared" ca="1" si="154"/>
        <v>-1319692306712.5608</v>
      </c>
      <c r="M3597" s="471">
        <f t="shared" si="156"/>
        <v>0.05</v>
      </c>
      <c r="N3597" s="475">
        <f t="shared" si="157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55"/>
        <v>-1319692306712.5608</v>
      </c>
      <c r="J3598" s="455">
        <f t="array" ref="J3598">IFERROR(INDEX('Retirement Calculator'!K:K,MATCH('Lorri 401b'!N3598,'Retirement Calculator'!A:A,0),0),0)</f>
        <v>0</v>
      </c>
      <c r="K3598" s="455">
        <f t="shared" ca="1" si="153"/>
        <v>-5498717944.6356697</v>
      </c>
      <c r="L3598" s="455">
        <f t="shared" ca="1" si="154"/>
        <v>-1325191024657.1965</v>
      </c>
      <c r="M3598" s="471">
        <f t="shared" si="156"/>
        <v>0.05</v>
      </c>
      <c r="N3598" s="475">
        <f t="shared" si="157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55"/>
        <v>-1325191024657.1965</v>
      </c>
      <c r="J3599" s="455">
        <f t="array" ref="J3599">IFERROR(INDEX('Retirement Calculator'!K:K,MATCH('Lorri 401b'!N3599,'Retirement Calculator'!A:A,0),0),0)</f>
        <v>0</v>
      </c>
      <c r="K3599" s="455">
        <f t="shared" ca="1" si="153"/>
        <v>-5521629269.4049854</v>
      </c>
      <c r="L3599" s="455">
        <f t="shared" ca="1" si="154"/>
        <v>-1330712653926.6016</v>
      </c>
      <c r="M3599" s="471">
        <f t="shared" si="156"/>
        <v>0.05</v>
      </c>
      <c r="N3599" s="475">
        <f t="shared" si="157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55"/>
        <v>-1330712653926.6016</v>
      </c>
      <c r="J3600" s="455">
        <f t="array" ref="J3600">IFERROR(INDEX('Retirement Calculator'!K:K,MATCH('Lorri 401b'!N3600,'Retirement Calculator'!A:A,0),0),0)</f>
        <v>0</v>
      </c>
      <c r="K3600" s="455">
        <f t="shared" ca="1" si="153"/>
        <v>-5544636058.0275068</v>
      </c>
      <c r="L3600" s="455">
        <f t="shared" ca="1" si="154"/>
        <v>-1336257289984.6292</v>
      </c>
      <c r="M3600" s="471">
        <f t="shared" si="156"/>
        <v>0.05</v>
      </c>
      <c r="N3600" s="475">
        <f t="shared" si="157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55"/>
        <v>-1336257289984.6292</v>
      </c>
      <c r="J3601" s="455">
        <f t="array" ref="J3601">IFERROR(INDEX('Retirement Calculator'!K:K,MATCH('Lorri 401b'!N3601,'Retirement Calculator'!A:A,0),0),0)</f>
        <v>0</v>
      </c>
      <c r="K3601" s="455">
        <f t="shared" ca="1" si="153"/>
        <v>-5567738708.2692881</v>
      </c>
      <c r="L3601" s="455">
        <f t="shared" ca="1" si="154"/>
        <v>-1341825028692.8984</v>
      </c>
      <c r="M3601" s="471">
        <f t="shared" si="156"/>
        <v>0.05</v>
      </c>
      <c r="N3601" s="475">
        <f t="shared" si="157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55"/>
        <v>-1341825028692.8984</v>
      </c>
      <c r="J3602" s="455">
        <f t="array" ref="J3602">IFERROR(INDEX('Retirement Calculator'!K:K,MATCH('Lorri 401b'!N3602,'Retirement Calculator'!A:A,0),0),0)</f>
        <v>0</v>
      </c>
      <c r="K3602" s="455">
        <f t="shared" ca="1" si="153"/>
        <v>-5590937619.5537434</v>
      </c>
      <c r="L3602" s="455">
        <f t="shared" ca="1" si="154"/>
        <v>-1347415966312.4521</v>
      </c>
      <c r="M3602" s="471">
        <f t="shared" si="156"/>
        <v>0.05</v>
      </c>
      <c r="N3602" s="475">
        <f t="shared" si="157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55"/>
        <v>-1347415966312.4521</v>
      </c>
      <c r="J3603" s="455">
        <f t="array" ref="J3603">IFERROR(INDEX('Retirement Calculator'!K:K,MATCH('Lorri 401b'!N3603,'Retirement Calculator'!A:A,0),0),0)</f>
        <v>0</v>
      </c>
      <c r="K3603" s="455">
        <f t="shared" ca="1" si="153"/>
        <v>-5614233192.9685507</v>
      </c>
      <c r="L3603" s="455">
        <f t="shared" ca="1" si="154"/>
        <v>-1353030199505.4207</v>
      </c>
      <c r="M3603" s="471">
        <f t="shared" si="156"/>
        <v>0.05</v>
      </c>
      <c r="N3603" s="475">
        <f t="shared" si="157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55"/>
        <v>-1353030199505.4207</v>
      </c>
      <c r="J3604" s="455">
        <f t="array" ref="J3604">IFERROR(INDEX('Retirement Calculator'!K:K,MATCH('Lorri 401b'!N3604,'Retirement Calculator'!A:A,0),0),0)</f>
        <v>0</v>
      </c>
      <c r="K3604" s="455">
        <f t="shared" ca="1" si="153"/>
        <v>-5637625831.2725859</v>
      </c>
      <c r="L3604" s="455">
        <f t="shared" ca="1" si="154"/>
        <v>-1358667825336.6934</v>
      </c>
      <c r="M3604" s="471">
        <f t="shared" si="156"/>
        <v>0.05</v>
      </c>
      <c r="N3604" s="475">
        <f t="shared" si="157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55"/>
        <v>-1358667825336.6934</v>
      </c>
      <c r="J3605" s="455">
        <f t="array" ref="J3605">IFERROR(INDEX('Retirement Calculator'!K:K,MATCH('Lorri 401b'!N3605,'Retirement Calculator'!A:A,0),0),0)</f>
        <v>0</v>
      </c>
      <c r="K3605" s="455">
        <f t="shared" ca="1" si="153"/>
        <v>-5661115938.9028893</v>
      </c>
      <c r="L3605" s="455">
        <f t="shared" ca="1" si="154"/>
        <v>-1364328941275.5962</v>
      </c>
      <c r="M3605" s="471">
        <f t="shared" si="156"/>
        <v>0.05</v>
      </c>
      <c r="N3605" s="475">
        <f t="shared" si="157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55"/>
        <v>-1364328941275.5962</v>
      </c>
      <c r="J3606" s="455">
        <f t="array" ref="J3606">IFERROR(INDEX('Retirement Calculator'!K:K,MATCH('Lorri 401b'!N3606,'Retirement Calculator'!A:A,0),0),0)</f>
        <v>0</v>
      </c>
      <c r="K3606" s="455">
        <f t="shared" ca="1" si="153"/>
        <v>-5684703921.9816504</v>
      </c>
      <c r="L3606" s="455">
        <f t="shared" ca="1" si="154"/>
        <v>-1370013645197.5779</v>
      </c>
      <c r="M3606" s="471">
        <f t="shared" si="156"/>
        <v>0.05</v>
      </c>
      <c r="N3606" s="475">
        <f t="shared" si="157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55"/>
        <v>-1370013645197.5779</v>
      </c>
      <c r="J3607" s="455">
        <f t="array" ref="J3607">IFERROR(INDEX('Retirement Calculator'!K:K,MATCH('Lorri 401b'!N3607,'Retirement Calculator'!A:A,0),0),0)</f>
        <v>0</v>
      </c>
      <c r="K3607" s="455">
        <f t="shared" ca="1" si="153"/>
        <v>-5708390188.3232412</v>
      </c>
      <c r="L3607" s="455">
        <f t="shared" ca="1" si="154"/>
        <v>-1375722035385.9011</v>
      </c>
      <c r="M3607" s="471">
        <f t="shared" si="156"/>
        <v>0.05</v>
      </c>
      <c r="N3607" s="475">
        <f t="shared" si="157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55"/>
        <v>-1375722035385.9011</v>
      </c>
      <c r="J3608" s="455">
        <f t="array" ref="J3608">IFERROR(INDEX('Retirement Calculator'!K:K,MATCH('Lorri 401b'!N3608,'Retirement Calculator'!A:A,0),0),0)</f>
        <v>0</v>
      </c>
      <c r="K3608" s="455">
        <f t="shared" ca="1" si="153"/>
        <v>-5732175147.4412546</v>
      </c>
      <c r="L3608" s="455">
        <f t="shared" ca="1" si="154"/>
        <v>-1381454210533.3423</v>
      </c>
      <c r="M3608" s="471">
        <f t="shared" si="156"/>
        <v>0.05</v>
      </c>
      <c r="N3608" s="475">
        <f t="shared" si="157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55"/>
        <v>-1381454210533.3423</v>
      </c>
      <c r="J3609" s="455">
        <f t="array" ref="J3609">IFERROR(INDEX('Retirement Calculator'!K:K,MATCH('Lorri 401b'!N3609,'Retirement Calculator'!A:A,0),0),0)</f>
        <v>0</v>
      </c>
      <c r="K3609" s="455">
        <f t="shared" ca="1" si="153"/>
        <v>-5756059210.5555925</v>
      </c>
      <c r="L3609" s="455">
        <f t="shared" ca="1" si="154"/>
        <v>-1387210269743.8979</v>
      </c>
      <c r="M3609" s="471">
        <f t="shared" si="156"/>
        <v>0.05</v>
      </c>
      <c r="N3609" s="475">
        <f t="shared" si="157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55"/>
        <v>-1387210269743.8979</v>
      </c>
      <c r="J3610" s="455">
        <f t="array" ref="J3610">IFERROR(INDEX('Retirement Calculator'!K:K,MATCH('Lorri 401b'!N3610,'Retirement Calculator'!A:A,0),0),0)</f>
        <v>0</v>
      </c>
      <c r="K3610" s="455">
        <f t="shared" ca="1" si="153"/>
        <v>-5780042790.599575</v>
      </c>
      <c r="L3610" s="455">
        <f t="shared" ca="1" si="154"/>
        <v>-1392990312534.4976</v>
      </c>
      <c r="M3610" s="471">
        <f t="shared" si="156"/>
        <v>0.05</v>
      </c>
      <c r="N3610" s="475">
        <f t="shared" si="157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55"/>
        <v>-1392990312534.4976</v>
      </c>
      <c r="J3611" s="455">
        <f t="array" ref="J3611">IFERROR(INDEX('Retirement Calculator'!K:K,MATCH('Lorri 401b'!N3611,'Retirement Calculator'!A:A,0),0),0)</f>
        <v>0</v>
      </c>
      <c r="K3611" s="455">
        <f t="shared" ca="1" si="153"/>
        <v>-5804126302.2270727</v>
      </c>
      <c r="L3611" s="455">
        <f t="shared" ca="1" si="154"/>
        <v>-1398794438836.7246</v>
      </c>
      <c r="M3611" s="471">
        <f t="shared" si="156"/>
        <v>0.05</v>
      </c>
      <c r="N3611" s="475">
        <f t="shared" si="157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55"/>
        <v>-1398794438836.7246</v>
      </c>
      <c r="J3612" s="455">
        <f t="array" ref="J3612">IFERROR(INDEX('Retirement Calculator'!K:K,MATCH('Lorri 401b'!N3612,'Retirement Calculator'!A:A,0),0),0)</f>
        <v>0</v>
      </c>
      <c r="K3612" s="455">
        <f t="shared" ca="1" si="153"/>
        <v>-5828310161.8196859</v>
      </c>
      <c r="L3612" s="455">
        <f t="shared" ca="1" si="154"/>
        <v>-1404622748998.5442</v>
      </c>
      <c r="M3612" s="471">
        <f t="shared" si="156"/>
        <v>0.05</v>
      </c>
      <c r="N3612" s="475">
        <f t="shared" si="157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55"/>
        <v>-1404622748998.5442</v>
      </c>
      <c r="J3613" s="455">
        <f t="array" ref="J3613">IFERROR(INDEX('Retirement Calculator'!K:K,MATCH('Lorri 401b'!N3613,'Retirement Calculator'!A:A,0),0),0)</f>
        <v>0</v>
      </c>
      <c r="K3613" s="455">
        <f t="shared" ca="1" si="153"/>
        <v>-5852594787.4939337</v>
      </c>
      <c r="L3613" s="455">
        <f t="shared" ca="1" si="154"/>
        <v>-1410475343786.0381</v>
      </c>
      <c r="M3613" s="471">
        <f t="shared" si="156"/>
        <v>0.05</v>
      </c>
      <c r="N3613" s="475">
        <f t="shared" si="157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55"/>
        <v>-1410475343786.0381</v>
      </c>
      <c r="J3614" s="455">
        <f t="array" ref="J3614">IFERROR(INDEX('Retirement Calculator'!K:K,MATCH('Lorri 401b'!N3614,'Retirement Calculator'!A:A,0),0),0)</f>
        <v>0</v>
      </c>
      <c r="K3614" s="455">
        <f t="shared" ca="1" si="153"/>
        <v>-5876980599.1084919</v>
      </c>
      <c r="L3614" s="455">
        <f t="shared" ca="1" si="154"/>
        <v>-1416352324385.1465</v>
      </c>
      <c r="M3614" s="471">
        <f t="shared" si="156"/>
        <v>0.05</v>
      </c>
      <c r="N3614" s="475">
        <f t="shared" si="157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55"/>
        <v>-1416352324385.1465</v>
      </c>
      <c r="J3615" s="455">
        <f t="array" ref="J3615">IFERROR(INDEX('Retirement Calculator'!K:K,MATCH('Lorri 401b'!N3615,'Retirement Calculator'!A:A,0),0),0)</f>
        <v>0</v>
      </c>
      <c r="K3615" s="455">
        <f t="shared" ca="1" si="153"/>
        <v>-5901468018.2714434</v>
      </c>
      <c r="L3615" s="455">
        <f t="shared" ca="1" si="154"/>
        <v>-1422253792403.418</v>
      </c>
      <c r="M3615" s="471">
        <f t="shared" si="156"/>
        <v>0.05</v>
      </c>
      <c r="N3615" s="475">
        <f t="shared" si="157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55"/>
        <v>-1422253792403.418</v>
      </c>
      <c r="J3616" s="455">
        <f t="array" ref="J3616">IFERROR(INDEX('Retirement Calculator'!K:K,MATCH('Lorri 401b'!N3616,'Retirement Calculator'!A:A,0),0),0)</f>
        <v>0</v>
      </c>
      <c r="K3616" s="455">
        <f t="shared" ca="1" si="153"/>
        <v>-5926057468.3475752</v>
      </c>
      <c r="L3616" s="455">
        <f t="shared" ca="1" si="154"/>
        <v>-1428179849871.7656</v>
      </c>
      <c r="M3616" s="471">
        <f t="shared" si="156"/>
        <v>0.05</v>
      </c>
      <c r="N3616" s="475">
        <f t="shared" si="157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55"/>
        <v>-1428179849871.7656</v>
      </c>
      <c r="J3617" s="455">
        <f t="array" ref="J3617">IFERROR(INDEX('Retirement Calculator'!K:K,MATCH('Lorri 401b'!N3617,'Retirement Calculator'!A:A,0),0),0)</f>
        <v>0</v>
      </c>
      <c r="K3617" s="455">
        <f t="shared" ca="1" si="153"/>
        <v>-5950749374.4656897</v>
      </c>
      <c r="L3617" s="455">
        <f t="shared" ca="1" si="154"/>
        <v>-1434130599246.2312</v>
      </c>
      <c r="M3617" s="471">
        <f t="shared" si="156"/>
        <v>0.05</v>
      </c>
      <c r="N3617" s="475">
        <f t="shared" si="157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55"/>
        <v>-1434130599246.2312</v>
      </c>
      <c r="J3618" s="455">
        <f t="array" ref="J3618">IFERROR(INDEX('Retirement Calculator'!K:K,MATCH('Lorri 401b'!N3618,'Retirement Calculator'!A:A,0),0),0)</f>
        <v>0</v>
      </c>
      <c r="K3618" s="455">
        <f t="shared" ca="1" si="153"/>
        <v>-5975544163.5259628</v>
      </c>
      <c r="L3618" s="455">
        <f t="shared" ca="1" si="154"/>
        <v>-1440106143409.7571</v>
      </c>
      <c r="M3618" s="471">
        <f t="shared" si="156"/>
        <v>0.05</v>
      </c>
      <c r="N3618" s="475">
        <f t="shared" si="157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55"/>
        <v>-1440106143409.7571</v>
      </c>
      <c r="J3619" s="455">
        <f t="array" ref="J3619">IFERROR(INDEX('Retirement Calculator'!K:K,MATCH('Lorri 401b'!N3619,'Retirement Calculator'!A:A,0),0),0)</f>
        <v>0</v>
      </c>
      <c r="K3619" s="455">
        <f t="shared" ca="1" si="153"/>
        <v>-6000442264.2073212</v>
      </c>
      <c r="L3619" s="455">
        <f t="shared" ca="1" si="154"/>
        <v>-1446106585673.9644</v>
      </c>
      <c r="M3619" s="471">
        <f t="shared" si="156"/>
        <v>0.05</v>
      </c>
      <c r="N3619" s="475">
        <f t="shared" si="157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55"/>
        <v>-1446106585673.9644</v>
      </c>
      <c r="J3620" s="455">
        <f t="array" ref="J3620">IFERROR(INDEX('Retirement Calculator'!K:K,MATCH('Lorri 401b'!N3620,'Retirement Calculator'!A:A,0),0),0)</f>
        <v>0</v>
      </c>
      <c r="K3620" s="455">
        <f t="shared" ca="1" si="153"/>
        <v>-6025444106.9748516</v>
      </c>
      <c r="L3620" s="455">
        <f t="shared" ca="1" si="154"/>
        <v>-1452132029780.9392</v>
      </c>
      <c r="M3620" s="471">
        <f t="shared" si="156"/>
        <v>0.05</v>
      </c>
      <c r="N3620" s="475">
        <f t="shared" si="157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55"/>
        <v>-1452132029780.9392</v>
      </c>
      <c r="J3621" s="455">
        <f t="array" ref="J3621">IFERROR(INDEX('Retirement Calculator'!K:K,MATCH('Lorri 401b'!N3621,'Retirement Calculator'!A:A,0),0),0)</f>
        <v>0</v>
      </c>
      <c r="K3621" s="455">
        <f t="shared" ca="1" si="153"/>
        <v>-6050550124.0872469</v>
      </c>
      <c r="L3621" s="455">
        <f t="shared" ca="1" si="154"/>
        <v>-1458182579905.0264</v>
      </c>
      <c r="M3621" s="471">
        <f t="shared" si="156"/>
        <v>0.05</v>
      </c>
      <c r="N3621" s="475">
        <f t="shared" si="157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55"/>
        <v>-1458182579905.0264</v>
      </c>
      <c r="J3622" s="455">
        <f t="array" ref="J3622">IFERROR(INDEX('Retirement Calculator'!K:K,MATCH('Lorri 401b'!N3622,'Retirement Calculator'!A:A,0),0),0)</f>
        <v>0</v>
      </c>
      <c r="K3622" s="455">
        <f t="shared" ca="1" si="153"/>
        <v>-6075760749.6042767</v>
      </c>
      <c r="L3622" s="455">
        <f t="shared" ca="1" si="154"/>
        <v>-1464258340654.6306</v>
      </c>
      <c r="M3622" s="471">
        <f t="shared" si="156"/>
        <v>0.05</v>
      </c>
      <c r="N3622" s="475">
        <f t="shared" si="157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55"/>
        <v>-1464258340654.6306</v>
      </c>
      <c r="J3623" s="455">
        <f t="array" ref="J3623">IFERROR(INDEX('Retirement Calculator'!K:K,MATCH('Lorri 401b'!N3623,'Retirement Calculator'!A:A,0),0),0)</f>
        <v>0</v>
      </c>
      <c r="K3623" s="455">
        <f t="shared" ca="1" si="153"/>
        <v>-6101076419.3942938</v>
      </c>
      <c r="L3623" s="455">
        <f t="shared" ca="1" si="154"/>
        <v>-1470359417074.0249</v>
      </c>
      <c r="M3623" s="471">
        <f t="shared" si="156"/>
        <v>0.05</v>
      </c>
      <c r="N3623" s="475">
        <f t="shared" si="157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55"/>
        <v>-1470359417074.0249</v>
      </c>
      <c r="J3624" s="455">
        <f t="array" ref="J3624">IFERROR(INDEX('Retirement Calculator'!K:K,MATCH('Lorri 401b'!N3624,'Retirement Calculator'!A:A,0),0),0)</f>
        <v>0</v>
      </c>
      <c r="K3624" s="455">
        <f t="shared" ca="1" si="153"/>
        <v>-6126497571.1417704</v>
      </c>
      <c r="L3624" s="455">
        <f t="shared" ca="1" si="154"/>
        <v>-1476485914645.1667</v>
      </c>
      <c r="M3624" s="471">
        <f t="shared" si="156"/>
        <v>0.05</v>
      </c>
      <c r="N3624" s="475">
        <f t="shared" si="157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55"/>
        <v>-1476485914645.1667</v>
      </c>
      <c r="J3625" s="455">
        <f t="array" ref="J3625">IFERROR(INDEX('Retirement Calculator'!K:K,MATCH('Lorri 401b'!N3625,'Retirement Calculator'!A:A,0),0),0)</f>
        <v>0</v>
      </c>
      <c r="K3625" s="455">
        <f t="shared" ca="1" si="153"/>
        <v>-6152024644.3548613</v>
      </c>
      <c r="L3625" s="455">
        <f t="shared" ca="1" si="154"/>
        <v>-1482637939289.5217</v>
      </c>
      <c r="M3625" s="471">
        <f t="shared" si="156"/>
        <v>0.05</v>
      </c>
      <c r="N3625" s="475">
        <f t="shared" si="157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55"/>
        <v>-1482637939289.5217</v>
      </c>
      <c r="J3626" s="455">
        <f t="array" ref="J3626">IFERROR(INDEX('Retirement Calculator'!K:K,MATCH('Lorri 401b'!N3626,'Retirement Calculator'!A:A,0),0),0)</f>
        <v>0</v>
      </c>
      <c r="K3626" s="455">
        <f t="shared" ca="1" si="153"/>
        <v>-6177658080.3730068</v>
      </c>
      <c r="L3626" s="455">
        <f t="shared" ca="1" si="154"/>
        <v>-1488815597369.8948</v>
      </c>
      <c r="M3626" s="471">
        <f t="shared" si="156"/>
        <v>0.05</v>
      </c>
      <c r="N3626" s="475">
        <f t="shared" si="157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55"/>
        <v>-1488815597369.8948</v>
      </c>
      <c r="J3627" s="455">
        <f t="array" ref="J3627">IFERROR(INDEX('Retirement Calculator'!K:K,MATCH('Lorri 401b'!N3627,'Retirement Calculator'!A:A,0),0),0)</f>
        <v>0</v>
      </c>
      <c r="K3627" s="455">
        <f t="shared" ca="1" si="153"/>
        <v>-6203398322.3745613</v>
      </c>
      <c r="L3627" s="455">
        <f t="shared" ca="1" si="154"/>
        <v>-1495018995692.2693</v>
      </c>
      <c r="M3627" s="471">
        <f t="shared" si="156"/>
        <v>0.05</v>
      </c>
      <c r="N3627" s="475">
        <f t="shared" si="157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55"/>
        <v>-1495018995692.2693</v>
      </c>
      <c r="J3628" s="455">
        <f t="array" ref="J3628">IFERROR(INDEX('Retirement Calculator'!K:K,MATCH('Lorri 401b'!N3628,'Retirement Calculator'!A:A,0),0),0)</f>
        <v>0</v>
      </c>
      <c r="K3628" s="455">
        <f t="shared" ca="1" si="153"/>
        <v>-6229245815.3844557</v>
      </c>
      <c r="L3628" s="455">
        <f t="shared" ca="1" si="154"/>
        <v>-1501248241507.6538</v>
      </c>
      <c r="M3628" s="471">
        <f t="shared" si="156"/>
        <v>0.05</v>
      </c>
      <c r="N3628" s="475">
        <f t="shared" si="157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55"/>
        <v>-1501248241507.6538</v>
      </c>
      <c r="J3629" s="455">
        <f t="array" ref="J3629">IFERROR(INDEX('Retirement Calculator'!K:K,MATCH('Lorri 401b'!N3629,'Retirement Calculator'!A:A,0),0),0)</f>
        <v>0</v>
      </c>
      <c r="K3629" s="455">
        <f t="shared" ca="1" si="153"/>
        <v>-6255201006.2818909</v>
      </c>
      <c r="L3629" s="455">
        <f t="shared" ca="1" si="154"/>
        <v>-1507503442513.9358</v>
      </c>
      <c r="M3629" s="471">
        <f t="shared" si="156"/>
        <v>0.05</v>
      </c>
      <c r="N3629" s="475">
        <f t="shared" si="157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55"/>
        <v>-1507503442513.9358</v>
      </c>
      <c r="J3630" s="455">
        <f t="array" ref="J3630">IFERROR(INDEX('Retirement Calculator'!K:K,MATCH('Lorri 401b'!N3630,'Retirement Calculator'!A:A,0),0),0)</f>
        <v>0</v>
      </c>
      <c r="K3630" s="455">
        <f t="shared" ca="1" si="153"/>
        <v>-6281264343.8080654</v>
      </c>
      <c r="L3630" s="455">
        <f t="shared" ca="1" si="154"/>
        <v>-1513784706857.7439</v>
      </c>
      <c r="M3630" s="471">
        <f t="shared" si="156"/>
        <v>0.05</v>
      </c>
      <c r="N3630" s="475">
        <f t="shared" si="157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55"/>
        <v>-1513784706857.7439</v>
      </c>
      <c r="J3631" s="455">
        <f t="array" ref="J3631">IFERROR(INDEX('Retirement Calculator'!K:K,MATCH('Lorri 401b'!N3631,'Retirement Calculator'!A:A,0),0),0)</f>
        <v>0</v>
      </c>
      <c r="K3631" s="455">
        <f t="shared" ca="1" si="153"/>
        <v>-6307436278.5739326</v>
      </c>
      <c r="L3631" s="455">
        <f t="shared" ca="1" si="154"/>
        <v>-1520092143136.3179</v>
      </c>
      <c r="M3631" s="471">
        <f t="shared" si="156"/>
        <v>0.05</v>
      </c>
      <c r="N3631" s="475">
        <f t="shared" si="157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55"/>
        <v>-1520092143136.3179</v>
      </c>
      <c r="J3632" s="455">
        <f t="array" ref="J3632">IFERROR(INDEX('Retirement Calculator'!K:K,MATCH('Lorri 401b'!N3632,'Retirement Calculator'!A:A,0),0),0)</f>
        <v>0</v>
      </c>
      <c r="K3632" s="455">
        <f t="shared" ca="1" si="153"/>
        <v>-6333717263.0679913</v>
      </c>
      <c r="L3632" s="455">
        <f t="shared" ca="1" si="154"/>
        <v>-1526425860399.3857</v>
      </c>
      <c r="M3632" s="471">
        <f t="shared" si="156"/>
        <v>0.05</v>
      </c>
      <c r="N3632" s="475">
        <f t="shared" si="157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55"/>
        <v>-1526425860399.3857</v>
      </c>
      <c r="J3633" s="455">
        <f t="array" ref="J3633">IFERROR(INDEX('Retirement Calculator'!K:K,MATCH('Lorri 401b'!N3633,'Retirement Calculator'!A:A,0),0),0)</f>
        <v>0</v>
      </c>
      <c r="K3633" s="455">
        <f t="shared" ca="1" si="153"/>
        <v>-6360107751.6641073</v>
      </c>
      <c r="L3633" s="455">
        <f t="shared" ca="1" si="154"/>
        <v>-1532785968151.0498</v>
      </c>
      <c r="M3633" s="471">
        <f t="shared" si="156"/>
        <v>0.05</v>
      </c>
      <c r="N3633" s="475">
        <f t="shared" si="157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55"/>
        <v>-1532785968151.0498</v>
      </c>
      <c r="J3634" s="455">
        <f t="array" ref="J3634">IFERROR(INDEX('Retirement Calculator'!K:K,MATCH('Lorri 401b'!N3634,'Retirement Calculator'!A:A,0),0),0)</f>
        <v>0</v>
      </c>
      <c r="K3634" s="455">
        <f t="shared" ca="1" si="153"/>
        <v>-6386608200.6293745</v>
      </c>
      <c r="L3634" s="455">
        <f t="shared" ca="1" si="154"/>
        <v>-1539172576351.6792</v>
      </c>
      <c r="M3634" s="471">
        <f t="shared" si="156"/>
        <v>0.05</v>
      </c>
      <c r="N3634" s="475">
        <f t="shared" si="157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55"/>
        <v>-1539172576351.6792</v>
      </c>
      <c r="J3635" s="455">
        <f t="array" ref="J3635">IFERROR(INDEX('Retirement Calculator'!K:K,MATCH('Lorri 401b'!N3635,'Retirement Calculator'!A:A,0),0),0)</f>
        <v>0</v>
      </c>
      <c r="K3635" s="455">
        <f t="shared" ca="1" si="153"/>
        <v>-6413219068.1319962</v>
      </c>
      <c r="L3635" s="455">
        <f t="shared" ca="1" si="154"/>
        <v>-1545585795419.8113</v>
      </c>
      <c r="M3635" s="471">
        <f t="shared" si="156"/>
        <v>0.05</v>
      </c>
      <c r="N3635" s="475">
        <f t="shared" si="157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55"/>
        <v>-1545585795419.8113</v>
      </c>
      <c r="J3636" s="455">
        <f t="array" ref="J3636">IFERROR(INDEX('Retirement Calculator'!K:K,MATCH('Lorri 401b'!N3636,'Retirement Calculator'!A:A,0),0),0)</f>
        <v>0</v>
      </c>
      <c r="K3636" s="455">
        <f t="shared" ca="1" si="153"/>
        <v>-6439940814.2492132</v>
      </c>
      <c r="L3636" s="455">
        <f t="shared" ca="1" si="154"/>
        <v>-1552025736234.0605</v>
      </c>
      <c r="M3636" s="471">
        <f t="shared" si="156"/>
        <v>0.05</v>
      </c>
      <c r="N3636" s="475">
        <f t="shared" si="157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55"/>
        <v>-1552025736234.0605</v>
      </c>
      <c r="J3637" s="455">
        <f t="array" ref="J3637">IFERROR(INDEX('Retirement Calculator'!K:K,MATCH('Lorri 401b'!N3637,'Retirement Calculator'!A:A,0),0),0)</f>
        <v>0</v>
      </c>
      <c r="K3637" s="455">
        <f t="shared" ca="1" si="153"/>
        <v>-6466773900.9752522</v>
      </c>
      <c r="L3637" s="455">
        <f t="shared" ca="1" si="154"/>
        <v>-1558492510135.0359</v>
      </c>
      <c r="M3637" s="471">
        <f t="shared" si="156"/>
        <v>0.05</v>
      </c>
      <c r="N3637" s="475">
        <f t="shared" si="157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55"/>
        <v>-1558492510135.0359</v>
      </c>
      <c r="J3638" s="455">
        <f t="array" ref="J3638">IFERROR(INDEX('Retirement Calculator'!K:K,MATCH('Lorri 401b'!N3638,'Retirement Calculator'!A:A,0),0),0)</f>
        <v>0</v>
      </c>
      <c r="K3638" s="455">
        <f t="shared" ca="1" si="153"/>
        <v>-6493718792.2293158</v>
      </c>
      <c r="L3638" s="455">
        <f t="shared" ca="1" si="154"/>
        <v>-1564986228927.2651</v>
      </c>
      <c r="M3638" s="471">
        <f t="shared" si="156"/>
        <v>0.05</v>
      </c>
      <c r="N3638" s="475">
        <f t="shared" si="157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55"/>
        <v>-1564986228927.2651</v>
      </c>
      <c r="J3639" s="455">
        <f t="array" ref="J3639">IFERROR(INDEX('Retirement Calculator'!K:K,MATCH('Lorri 401b'!N3639,'Retirement Calculator'!A:A,0),0),0)</f>
        <v>0</v>
      </c>
      <c r="K3639" s="455">
        <f t="shared" ca="1" si="153"/>
        <v>-6520775953.8636045</v>
      </c>
      <c r="L3639" s="455">
        <f t="shared" ca="1" si="154"/>
        <v>-1571507004881.1287</v>
      </c>
      <c r="M3639" s="471">
        <f t="shared" si="156"/>
        <v>0.05</v>
      </c>
      <c r="N3639" s="475">
        <f t="shared" si="157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55"/>
        <v>-1571507004881.1287</v>
      </c>
      <c r="J3640" s="455">
        <f t="array" ref="J3640">IFERROR(INDEX('Retirement Calculator'!K:K,MATCH('Lorri 401b'!N3640,'Retirement Calculator'!A:A,0),0),0)</f>
        <v>0</v>
      </c>
      <c r="K3640" s="455">
        <f t="shared" ca="1" si="153"/>
        <v>-6547945853.6713696</v>
      </c>
      <c r="L3640" s="455">
        <f t="shared" ca="1" si="154"/>
        <v>-1578054950734.8</v>
      </c>
      <c r="M3640" s="471">
        <f t="shared" si="156"/>
        <v>0.05</v>
      </c>
      <c r="N3640" s="475">
        <f t="shared" si="157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55"/>
        <v>-1578054950734.8</v>
      </c>
      <c r="J3641" s="455">
        <f t="array" ref="J3641">IFERROR(INDEX('Retirement Calculator'!K:K,MATCH('Lorri 401b'!N3641,'Retirement Calculator'!A:A,0),0),0)</f>
        <v>0</v>
      </c>
      <c r="K3641" s="455">
        <f t="shared" ca="1" si="153"/>
        <v>-6575228961.3950005</v>
      </c>
      <c r="L3641" s="455">
        <f t="shared" ca="1" si="154"/>
        <v>-1584630179696.1951</v>
      </c>
      <c r="M3641" s="471">
        <f t="shared" si="156"/>
        <v>0.05</v>
      </c>
      <c r="N3641" s="475">
        <f t="shared" si="157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55"/>
        <v>-1584630179696.1951</v>
      </c>
      <c r="J3642" s="455">
        <f t="array" ref="J3642">IFERROR(INDEX('Retirement Calculator'!K:K,MATCH('Lorri 401b'!N3642,'Retirement Calculator'!A:A,0),0),0)</f>
        <v>0</v>
      </c>
      <c r="K3642" s="455">
        <f t="shared" ca="1" si="153"/>
        <v>-6602625748.7341461</v>
      </c>
      <c r="L3642" s="455">
        <f t="shared" ca="1" si="154"/>
        <v>-1591232805444.9292</v>
      </c>
      <c r="M3642" s="471">
        <f t="shared" si="156"/>
        <v>0.05</v>
      </c>
      <c r="N3642" s="475">
        <f t="shared" si="157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55"/>
        <v>-1591232805444.9292</v>
      </c>
      <c r="J3643" s="455">
        <f t="array" ref="J3643">IFERROR(INDEX('Retirement Calculator'!K:K,MATCH('Lorri 401b'!N3643,'Retirement Calculator'!A:A,0),0),0)</f>
        <v>0</v>
      </c>
      <c r="K3643" s="455">
        <f t="shared" ca="1" si="153"/>
        <v>-6630136689.3538713</v>
      </c>
      <c r="L3643" s="455">
        <f t="shared" ca="1" si="154"/>
        <v>-1597862942134.283</v>
      </c>
      <c r="M3643" s="471">
        <f t="shared" si="156"/>
        <v>0.05</v>
      </c>
      <c r="N3643" s="475">
        <f t="shared" si="157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55"/>
        <v>-1597862942134.283</v>
      </c>
      <c r="J3644" s="455">
        <f t="array" ref="J3644">IFERROR(INDEX('Retirement Calculator'!K:K,MATCH('Lorri 401b'!N3644,'Retirement Calculator'!A:A,0),0),0)</f>
        <v>0</v>
      </c>
      <c r="K3644" s="455">
        <f t="shared" ca="1" si="153"/>
        <v>-6657762258.8928452</v>
      </c>
      <c r="L3644" s="455">
        <f t="shared" ca="1" si="154"/>
        <v>-1604520704393.1758</v>
      </c>
      <c r="M3644" s="471">
        <f t="shared" si="156"/>
        <v>0.05</v>
      </c>
      <c r="N3644" s="475">
        <f t="shared" si="157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55"/>
        <v>-1604520704393.1758</v>
      </c>
      <c r="J3645" s="455">
        <f t="array" ref="J3645">IFERROR(INDEX('Retirement Calculator'!K:K,MATCH('Lorri 401b'!N3645,'Retirement Calculator'!A:A,0),0),0)</f>
        <v>0</v>
      </c>
      <c r="K3645" s="455">
        <f t="shared" ca="1" si="153"/>
        <v>-6685502934.9715652</v>
      </c>
      <c r="L3645" s="455">
        <f t="shared" ca="1" si="154"/>
        <v>-1611206207328.1475</v>
      </c>
      <c r="M3645" s="471">
        <f t="shared" si="156"/>
        <v>0.05</v>
      </c>
      <c r="N3645" s="475">
        <f t="shared" si="157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55"/>
        <v>-1611206207328.1475</v>
      </c>
      <c r="J3646" s="455">
        <f t="array" ref="J3646">IFERROR(INDEX('Retirement Calculator'!K:K,MATCH('Lorri 401b'!N3646,'Retirement Calculator'!A:A,0),0),0)</f>
        <v>0</v>
      </c>
      <c r="K3646" s="455">
        <f t="shared" ca="1" si="153"/>
        <v>-6713359197.200614</v>
      </c>
      <c r="L3646" s="455">
        <f t="shared" ca="1" si="154"/>
        <v>-1617919566525.3481</v>
      </c>
      <c r="M3646" s="471">
        <f t="shared" si="156"/>
        <v>0.05</v>
      </c>
      <c r="N3646" s="475">
        <f t="shared" si="157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55"/>
        <v>-1617919566525.3481</v>
      </c>
      <c r="J3647" s="455">
        <f t="array" ref="J3647">IFERROR(INDEX('Retirement Calculator'!K:K,MATCH('Lorri 401b'!N3647,'Retirement Calculator'!A:A,0),0),0)</f>
        <v>0</v>
      </c>
      <c r="K3647" s="455">
        <f t="shared" ca="1" si="153"/>
        <v>-6741331527.1889505</v>
      </c>
      <c r="L3647" s="455">
        <f t="shared" ca="1" si="154"/>
        <v>-1624660898052.5371</v>
      </c>
      <c r="M3647" s="471">
        <f t="shared" si="156"/>
        <v>0.05</v>
      </c>
      <c r="N3647" s="475">
        <f t="shared" si="157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55"/>
        <v>-1624660898052.5371</v>
      </c>
      <c r="J3648" s="455">
        <f t="array" ref="J3648">IFERROR(INDEX('Retirement Calculator'!K:K,MATCH('Lorri 401b'!N3648,'Retirement Calculator'!A:A,0),0),0)</f>
        <v>0</v>
      </c>
      <c r="K3648" s="455">
        <f t="shared" ca="1" si="153"/>
        <v>-6769420408.5522375</v>
      </c>
      <c r="L3648" s="455">
        <f t="shared" ca="1" si="154"/>
        <v>-1631430318461.0894</v>
      </c>
      <c r="M3648" s="471">
        <f t="shared" si="156"/>
        <v>0.05</v>
      </c>
      <c r="N3648" s="475">
        <f t="shared" si="157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55"/>
        <v>-1631430318461.0894</v>
      </c>
      <c r="J3649" s="455">
        <f t="array" ref="J3649">IFERROR(INDEX('Retirement Calculator'!K:K,MATCH('Lorri 401b'!N3649,'Retirement Calculator'!A:A,0),0),0)</f>
        <v>0</v>
      </c>
      <c r="K3649" s="455">
        <f t="shared" ca="1" si="153"/>
        <v>-6797626326.9212055</v>
      </c>
      <c r="L3649" s="455">
        <f t="shared" ca="1" si="154"/>
        <v>-1638227944788.0105</v>
      </c>
      <c r="M3649" s="471">
        <f t="shared" si="156"/>
        <v>0.05</v>
      </c>
      <c r="N3649" s="475">
        <f t="shared" si="157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55"/>
        <v>-1638227944788.0105</v>
      </c>
      <c r="J3650" s="455">
        <f t="array" ref="J3650">IFERROR(INDEX('Retirement Calculator'!K:K,MATCH('Lorri 401b'!N3650,'Retirement Calculator'!A:A,0),0),0)</f>
        <v>0</v>
      </c>
      <c r="K3650" s="455">
        <f t="shared" ca="1" si="153"/>
        <v>-6825949769.9500437</v>
      </c>
      <c r="L3650" s="455">
        <f t="shared" ca="1" si="154"/>
        <v>-1645053894557.9604</v>
      </c>
      <c r="M3650" s="471">
        <f t="shared" si="156"/>
        <v>0.05</v>
      </c>
      <c r="N3650" s="475">
        <f t="shared" si="157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55"/>
        <v>-1645053894557.9604</v>
      </c>
      <c r="J3651" s="455">
        <f t="array" ref="J3651">IFERROR(INDEX('Retirement Calculator'!K:K,MATCH('Lorri 401b'!N3651,'Retirement Calculator'!A:A,0),0),0)</f>
        <v>0</v>
      </c>
      <c r="K3651" s="455">
        <f t="shared" ca="1" si="153"/>
        <v>-6854391227.3248348</v>
      </c>
      <c r="L3651" s="455">
        <f t="shared" ca="1" si="154"/>
        <v>-1651908285785.2854</v>
      </c>
      <c r="M3651" s="471">
        <f t="shared" si="156"/>
        <v>0.05</v>
      </c>
      <c r="N3651" s="475">
        <f t="shared" si="157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55"/>
        <v>-1651908285785.2854</v>
      </c>
      <c r="J3652" s="455">
        <f t="array" ref="J3652">IFERROR(INDEX('Retirement Calculator'!K:K,MATCH('Lorri 401b'!N3652,'Retirement Calculator'!A:A,0),0),0)</f>
        <v>0</v>
      </c>
      <c r="K3652" s="455">
        <f t="shared" ca="1" si="153"/>
        <v>-6882951190.7720222</v>
      </c>
      <c r="L3652" s="455">
        <f t="shared" ca="1" si="154"/>
        <v>-1658791236976.0574</v>
      </c>
      <c r="M3652" s="471">
        <f t="shared" si="156"/>
        <v>0.05</v>
      </c>
      <c r="N3652" s="475">
        <f t="shared" si="157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55"/>
        <v>-1658791236976.0574</v>
      </c>
      <c r="J3653" s="455">
        <f t="array" ref="J3653">IFERROR(INDEX('Retirement Calculator'!K:K,MATCH('Lorri 401b'!N3653,'Retirement Calculator'!A:A,0),0),0)</f>
        <v>0</v>
      </c>
      <c r="K3653" s="455">
        <f t="shared" ca="1" si="153"/>
        <v>-6911630154.066906</v>
      </c>
      <c r="L3653" s="455">
        <f t="shared" ca="1" si="154"/>
        <v>-1665702867130.1243</v>
      </c>
      <c r="M3653" s="471">
        <f t="shared" si="156"/>
        <v>0.05</v>
      </c>
      <c r="N3653" s="475">
        <f t="shared" si="157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55"/>
        <v>-1665702867130.1243</v>
      </c>
      <c r="J3654" s="455">
        <f t="array" ref="J3654">IFERROR(INDEX('Retirement Calculator'!K:K,MATCH('Lorri 401b'!N3654,'Retirement Calculator'!A:A,0),0),0)</f>
        <v>0</v>
      </c>
      <c r="K3654" s="455">
        <f t="shared" ca="1" si="153"/>
        <v>-6940428613.0421839</v>
      </c>
      <c r="L3654" s="455">
        <f t="shared" ca="1" si="154"/>
        <v>-1672643295743.1665</v>
      </c>
      <c r="M3654" s="471">
        <f t="shared" si="156"/>
        <v>0.05</v>
      </c>
      <c r="N3654" s="475">
        <f t="shared" si="157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55"/>
        <v>-1672643295743.1665</v>
      </c>
      <c r="J3655" s="455">
        <f t="array" ref="J3655">IFERROR(INDEX('Retirement Calculator'!K:K,MATCH('Lorri 401b'!N3655,'Retirement Calculator'!A:A,0),0),0)</f>
        <v>0</v>
      </c>
      <c r="K3655" s="455">
        <f t="shared" ca="1" si="153"/>
        <v>-6969347065.5965271</v>
      </c>
      <c r="L3655" s="455">
        <f t="shared" ca="1" si="154"/>
        <v>-1679612642808.7629</v>
      </c>
      <c r="M3655" s="471">
        <f t="shared" si="156"/>
        <v>0.05</v>
      </c>
      <c r="N3655" s="475">
        <f t="shared" si="157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55"/>
        <v>-1679612642808.7629</v>
      </c>
      <c r="J3656" s="455">
        <f t="array" ref="J3656">IFERROR(INDEX('Retirement Calculator'!K:K,MATCH('Lorri 401b'!N3656,'Retirement Calculator'!A:A,0),0),0)</f>
        <v>0</v>
      </c>
      <c r="K3656" s="455">
        <f t="shared" ca="1" si="153"/>
        <v>-6998386011.7031784</v>
      </c>
      <c r="L3656" s="455">
        <f t="shared" ca="1" si="154"/>
        <v>-1686611028820.4661</v>
      </c>
      <c r="M3656" s="471">
        <f t="shared" si="156"/>
        <v>0.05</v>
      </c>
      <c r="N3656" s="475">
        <f t="shared" si="157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55"/>
        <v>-1686611028820.4661</v>
      </c>
      <c r="J3657" s="455">
        <f t="array" ref="J3657">IFERROR(INDEX('Retirement Calculator'!K:K,MATCH('Lorri 401b'!N3657,'Retirement Calculator'!A:A,0),0),0)</f>
        <v>0</v>
      </c>
      <c r="K3657" s="455">
        <f t="shared" ca="1" si="153"/>
        <v>-7027545953.4186087</v>
      </c>
      <c r="L3657" s="455">
        <f t="shared" ca="1" si="154"/>
        <v>-1693638574773.8848</v>
      </c>
      <c r="M3657" s="471">
        <f t="shared" si="156"/>
        <v>0.05</v>
      </c>
      <c r="N3657" s="475">
        <f t="shared" si="157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55"/>
        <v>-1693638574773.8848</v>
      </c>
      <c r="J3658" s="455">
        <f t="array" ref="J3658">IFERROR(INDEX('Retirement Calculator'!K:K,MATCH('Lorri 401b'!N3658,'Retirement Calculator'!A:A,0),0),0)</f>
        <v>0</v>
      </c>
      <c r="K3658" s="455">
        <f t="shared" ca="1" si="153"/>
        <v>-7056827394.8911867</v>
      </c>
      <c r="L3658" s="455">
        <f t="shared" ca="1" si="154"/>
        <v>-1700695402168.7759</v>
      </c>
      <c r="M3658" s="471">
        <f t="shared" si="156"/>
        <v>0.05</v>
      </c>
      <c r="N3658" s="475">
        <f t="shared" si="157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55"/>
        <v>-1700695402168.7759</v>
      </c>
      <c r="J3659" s="455">
        <f t="array" ref="J3659">IFERROR(INDEX('Retirement Calculator'!K:K,MATCH('Lorri 401b'!N3659,'Retirement Calculator'!A:A,0),0),0)</f>
        <v>0</v>
      </c>
      <c r="K3659" s="455">
        <f t="shared" ca="1" si="153"/>
        <v>-7086230842.3698997</v>
      </c>
      <c r="L3659" s="455">
        <f t="shared" ca="1" si="154"/>
        <v>-1707781633011.1458</v>
      </c>
      <c r="M3659" s="471">
        <f t="shared" si="156"/>
        <v>0.05</v>
      </c>
      <c r="N3659" s="475">
        <f t="shared" si="157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55"/>
        <v>-1707781633011.1458</v>
      </c>
      <c r="J3660" s="455">
        <f t="array" ref="J3660">IFERROR(INDEX('Retirement Calculator'!K:K,MATCH('Lorri 401b'!N3660,'Retirement Calculator'!A:A,0),0),0)</f>
        <v>0</v>
      </c>
      <c r="K3660" s="455">
        <f t="shared" ca="1" si="153"/>
        <v>-7115756804.2131071</v>
      </c>
      <c r="L3660" s="455">
        <f t="shared" ca="1" si="154"/>
        <v>-1714897389815.3589</v>
      </c>
      <c r="M3660" s="471">
        <f t="shared" si="156"/>
        <v>0.05</v>
      </c>
      <c r="N3660" s="475">
        <f t="shared" si="157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55"/>
        <v>-1714897389815.3589</v>
      </c>
      <c r="J3661" s="455">
        <f t="array" ref="J3661">IFERROR(INDEX('Retirement Calculator'!K:K,MATCH('Lorri 401b'!N3661,'Retirement Calculator'!A:A,0),0),0)</f>
        <v>0</v>
      </c>
      <c r="K3661" s="455">
        <f t="shared" ca="1" si="153"/>
        <v>-7145405790.8973274</v>
      </c>
      <c r="L3661" s="455">
        <f t="shared" ca="1" si="154"/>
        <v>-1722042795606.2561</v>
      </c>
      <c r="M3661" s="471">
        <f t="shared" si="156"/>
        <v>0.05</v>
      </c>
      <c r="N3661" s="475">
        <f t="shared" si="157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55"/>
        <v>-1722042795606.2561</v>
      </c>
      <c r="J3662" s="455">
        <f t="array" ref="J3662">IFERROR(INDEX('Retirement Calculator'!K:K,MATCH('Lorri 401b'!N3662,'Retirement Calculator'!A:A,0),0),0)</f>
        <v>0</v>
      </c>
      <c r="K3662" s="455">
        <f t="shared" ca="1" si="153"/>
        <v>-7175178315.0260668</v>
      </c>
      <c r="L3662" s="455">
        <f t="shared" ca="1" si="154"/>
        <v>-1729217973921.2822</v>
      </c>
      <c r="M3662" s="471">
        <f t="shared" si="156"/>
        <v>0.05</v>
      </c>
      <c r="N3662" s="475">
        <f t="shared" si="157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55"/>
        <v>-1729217973921.2822</v>
      </c>
      <c r="J3663" s="455">
        <f t="array" ref="J3663">IFERROR(INDEX('Retirement Calculator'!K:K,MATCH('Lorri 401b'!N3663,'Retirement Calculator'!A:A,0),0),0)</f>
        <v>0</v>
      </c>
      <c r="K3663" s="455">
        <f t="shared" ca="1" si="153"/>
        <v>-7205074891.3386745</v>
      </c>
      <c r="L3663" s="455">
        <f t="shared" ca="1" si="154"/>
        <v>-1736423048812.6208</v>
      </c>
      <c r="M3663" s="471">
        <f t="shared" si="156"/>
        <v>0.05</v>
      </c>
      <c r="N3663" s="475">
        <f t="shared" si="157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55"/>
        <v>-1736423048812.6208</v>
      </c>
      <c r="J3664" s="455">
        <f t="array" ref="J3664">IFERROR(INDEX('Retirement Calculator'!K:K,MATCH('Lorri 401b'!N3664,'Retirement Calculator'!A:A,0),0),0)</f>
        <v>0</v>
      </c>
      <c r="K3664" s="455">
        <f t="shared" ca="1" si="153"/>
        <v>-7235096036.7192535</v>
      </c>
      <c r="L3664" s="455">
        <f t="shared" ca="1" si="154"/>
        <v>-1743658144849.3401</v>
      </c>
      <c r="M3664" s="471">
        <f t="shared" si="156"/>
        <v>0.05</v>
      </c>
      <c r="N3664" s="475">
        <f t="shared" si="157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55"/>
        <v>-1743658144849.3401</v>
      </c>
      <c r="J3665" s="455">
        <f t="array" ref="J3665">IFERROR(INDEX('Retirement Calculator'!K:K,MATCH('Lorri 401b'!N3665,'Retirement Calculator'!A:A,0),0),0)</f>
        <v>0</v>
      </c>
      <c r="K3665" s="455">
        <f t="shared" ca="1" si="153"/>
        <v>-7265242270.2055826</v>
      </c>
      <c r="L3665" s="455">
        <f t="shared" ca="1" si="154"/>
        <v>-1750923387119.5457</v>
      </c>
      <c r="M3665" s="471">
        <f t="shared" si="156"/>
        <v>0.05</v>
      </c>
      <c r="N3665" s="475">
        <f t="shared" si="157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55"/>
        <v>-1750923387119.5457</v>
      </c>
      <c r="J3666" s="455">
        <f t="array" ref="J3666">IFERROR(INDEX('Retirement Calculator'!K:K,MATCH('Lorri 401b'!N3666,'Retirement Calculator'!A:A,0),0),0)</f>
        <v>0</v>
      </c>
      <c r="K3666" s="455">
        <f t="shared" ca="1" si="153"/>
        <v>-7295514112.998107</v>
      </c>
      <c r="L3666" s="455">
        <f t="shared" ca="1" si="154"/>
        <v>-1758218901232.5437</v>
      </c>
      <c r="M3666" s="471">
        <f t="shared" si="156"/>
        <v>0.05</v>
      </c>
      <c r="N3666" s="475">
        <f t="shared" si="157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55"/>
        <v>-1758218901232.5437</v>
      </c>
      <c r="J3667" s="455">
        <f t="array" ref="J3667">IFERROR(INDEX('Retirement Calculator'!K:K,MATCH('Lorri 401b'!N3667,'Retirement Calculator'!A:A,0),0),0)</f>
        <v>0</v>
      </c>
      <c r="K3667" s="455">
        <f t="shared" ca="1" si="153"/>
        <v>-7325912088.4689322</v>
      </c>
      <c r="L3667" s="455">
        <f t="shared" ca="1" si="154"/>
        <v>-1765544813321.0127</v>
      </c>
      <c r="M3667" s="471">
        <f t="shared" si="156"/>
        <v>0.05</v>
      </c>
      <c r="N3667" s="475">
        <f t="shared" si="157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55"/>
        <v>-1765544813321.0127</v>
      </c>
      <c r="J3668" s="455">
        <f t="array" ref="J3668">IFERROR(INDEX('Retirement Calculator'!K:K,MATCH('Lorri 401b'!N3668,'Retirement Calculator'!A:A,0),0),0)</f>
        <v>0</v>
      </c>
      <c r="K3668" s="455">
        <f t="shared" ca="1" si="153"/>
        <v>-7356436722.170887</v>
      </c>
      <c r="L3668" s="455">
        <f t="shared" ca="1" si="154"/>
        <v>-1772901250043.1836</v>
      </c>
      <c r="M3668" s="471">
        <f t="shared" si="156"/>
        <v>0.05</v>
      </c>
      <c r="N3668" s="475">
        <f t="shared" si="157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55"/>
        <v>-1772901250043.1836</v>
      </c>
      <c r="J3669" s="455">
        <f t="array" ref="J3669">IFERROR(INDEX('Retirement Calculator'!K:K,MATCH('Lorri 401b'!N3669,'Retirement Calculator'!A:A,0),0),0)</f>
        <v>0</v>
      </c>
      <c r="K3669" s="455">
        <f t="shared" ca="1" si="153"/>
        <v>-7387088541.8465996</v>
      </c>
      <c r="L3669" s="455">
        <f t="shared" ca="1" si="154"/>
        <v>-1780288338585.0303</v>
      </c>
      <c r="M3669" s="471">
        <f t="shared" si="156"/>
        <v>0.05</v>
      </c>
      <c r="N3669" s="475">
        <f t="shared" si="157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55"/>
        <v>-1780288338585.0303</v>
      </c>
      <c r="J3670" s="455">
        <f t="array" ref="J3670">IFERROR(INDEX('Retirement Calculator'!K:K,MATCH('Lorri 401b'!N3670,'Retirement Calculator'!A:A,0),0),0)</f>
        <v>0</v>
      </c>
      <c r="K3670" s="455">
        <f t="shared" ca="1" si="153"/>
        <v>-7417868077.4376259</v>
      </c>
      <c r="L3670" s="455">
        <f t="shared" ca="1" si="154"/>
        <v>-1787706206662.468</v>
      </c>
      <c r="M3670" s="471">
        <f t="shared" si="156"/>
        <v>0.05</v>
      </c>
      <c r="N3670" s="475">
        <f t="shared" si="157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55"/>
        <v>-1787706206662.468</v>
      </c>
      <c r="J3671" s="455">
        <f t="array" ref="J3671">IFERROR(INDEX('Retirement Calculator'!K:K,MATCH('Lorri 401b'!N3671,'Retirement Calculator'!A:A,0),0),0)</f>
        <v>0</v>
      </c>
      <c r="K3671" s="455">
        <f t="shared" ca="1" si="153"/>
        <v>-7448775861.0936165</v>
      </c>
      <c r="L3671" s="455">
        <f t="shared" ca="1" si="154"/>
        <v>-1795154982523.5615</v>
      </c>
      <c r="M3671" s="471">
        <f t="shared" si="156"/>
        <v>0.05</v>
      </c>
      <c r="N3671" s="475">
        <f t="shared" si="157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55"/>
        <v>-1795154982523.5615</v>
      </c>
      <c r="J3672" s="455">
        <f t="array" ref="J3672">IFERROR(INDEX('Retirement Calculator'!K:K,MATCH('Lorri 401b'!N3672,'Retirement Calculator'!A:A,0),0),0)</f>
        <v>0</v>
      </c>
      <c r="K3672" s="455">
        <f t="shared" ca="1" si="153"/>
        <v>-7479812427.1815062</v>
      </c>
      <c r="L3672" s="455">
        <f t="shared" ca="1" si="154"/>
        <v>-1802634794950.7429</v>
      </c>
      <c r="M3672" s="471">
        <f t="shared" si="156"/>
        <v>0.05</v>
      </c>
      <c r="N3672" s="475">
        <f t="shared" si="157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55"/>
        <v>-1802634794950.7429</v>
      </c>
      <c r="J3673" s="455">
        <f t="array" ref="J3673">IFERROR(INDEX('Retirement Calculator'!K:K,MATCH('Lorri 401b'!N3673,'Retirement Calculator'!A:A,0),0),0)</f>
        <v>0</v>
      </c>
      <c r="K3673" s="455">
        <f t="shared" ca="1" si="153"/>
        <v>-7510978312.2947617</v>
      </c>
      <c r="L3673" s="455">
        <f t="shared" ca="1" si="154"/>
        <v>-1810145773263.0376</v>
      </c>
      <c r="M3673" s="471">
        <f t="shared" si="156"/>
        <v>0.05</v>
      </c>
      <c r="N3673" s="475">
        <f t="shared" si="157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55"/>
        <v>-1810145773263.0376</v>
      </c>
      <c r="J3674" s="455">
        <f t="array" ref="J3674">IFERROR(INDEX('Retirement Calculator'!K:K,MATCH('Lorri 401b'!N3674,'Retirement Calculator'!A:A,0),0),0)</f>
        <v>0</v>
      </c>
      <c r="K3674" s="455">
        <f t="shared" ca="1" si="153"/>
        <v>-7542274055.2626562</v>
      </c>
      <c r="L3674" s="455">
        <f t="shared" ca="1" si="154"/>
        <v>-1817688047318.3003</v>
      </c>
      <c r="M3674" s="471">
        <f t="shared" si="156"/>
        <v>0.05</v>
      </c>
      <c r="N3674" s="475">
        <f t="shared" si="157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55"/>
        <v>-1817688047318.3003</v>
      </c>
      <c r="J3675" s="455">
        <f t="array" ref="J3675">IFERROR(INDEX('Retirement Calculator'!K:K,MATCH('Lorri 401b'!N3675,'Retirement Calculator'!A:A,0),0),0)</f>
        <v>0</v>
      </c>
      <c r="K3675" s="455">
        <f t="shared" ca="1" si="153"/>
        <v>-7573700197.1595831</v>
      </c>
      <c r="L3675" s="455">
        <f t="shared" ca="1" si="154"/>
        <v>-1825261747515.46</v>
      </c>
      <c r="M3675" s="471">
        <f t="shared" si="156"/>
        <v>0.05</v>
      </c>
      <c r="N3675" s="475">
        <f t="shared" si="157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55"/>
        <v>-1825261747515.46</v>
      </c>
      <c r="J3676" s="455">
        <f t="array" ref="J3676">IFERROR(INDEX('Retirement Calculator'!K:K,MATCH('Lorri 401b'!N3676,'Retirement Calculator'!A:A,0),0),0)</f>
        <v>0</v>
      </c>
      <c r="K3676" s="455">
        <f t="shared" ca="1" si="153"/>
        <v>-7605257281.3144159</v>
      </c>
      <c r="L3676" s="455">
        <f t="shared" ca="1" si="154"/>
        <v>-1832867004796.7744</v>
      </c>
      <c r="M3676" s="471">
        <f t="shared" si="156"/>
        <v>0.05</v>
      </c>
      <c r="N3676" s="475">
        <f t="shared" si="157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55"/>
        <v>-1832867004796.7744</v>
      </c>
      <c r="J3677" s="455">
        <f t="array" ref="J3677">IFERROR(INDEX('Retirement Calculator'!K:K,MATCH('Lorri 401b'!N3677,'Retirement Calculator'!A:A,0),0),0)</f>
        <v>0</v>
      </c>
      <c r="K3677" s="455">
        <f t="shared" ca="1" si="153"/>
        <v>-7636945853.3198929</v>
      </c>
      <c r="L3677" s="455">
        <f t="shared" ca="1" si="154"/>
        <v>-1840503950650.0942</v>
      </c>
      <c r="M3677" s="471">
        <f t="shared" si="156"/>
        <v>0.05</v>
      </c>
      <c r="N3677" s="475">
        <f t="shared" si="157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55"/>
        <v>-1840503950650.0942</v>
      </c>
      <c r="J3678" s="455">
        <f t="array" ref="J3678">IFERROR(INDEX('Retirement Calculator'!K:K,MATCH('Lorri 401b'!N3678,'Retirement Calculator'!A:A,0),0),0)</f>
        <v>0</v>
      </c>
      <c r="K3678" s="455">
        <f t="shared" ca="1" si="153"/>
        <v>-7668766461.0420589</v>
      </c>
      <c r="L3678" s="455">
        <f t="shared" ca="1" si="154"/>
        <v>-1848172717111.1362</v>
      </c>
      <c r="M3678" s="471">
        <f t="shared" si="156"/>
        <v>0.05</v>
      </c>
      <c r="N3678" s="475">
        <f t="shared" si="157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55"/>
        <v>-1848172717111.1362</v>
      </c>
      <c r="J3679" s="455">
        <f t="array" ref="J3679">IFERROR(INDEX('Retirement Calculator'!K:K,MATCH('Lorri 401b'!N3679,'Retirement Calculator'!A:A,0),0),0)</f>
        <v>0</v>
      </c>
      <c r="K3679" s="455">
        <f t="shared" ca="1" si="153"/>
        <v>-7700719654.629734</v>
      </c>
      <c r="L3679" s="455">
        <f t="shared" ca="1" si="154"/>
        <v>-1855873436765.7659</v>
      </c>
      <c r="M3679" s="471">
        <f t="shared" si="156"/>
        <v>0.05</v>
      </c>
      <c r="N3679" s="475">
        <f t="shared" si="157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55"/>
        <v>-1855873436765.7659</v>
      </c>
      <c r="J3680" s="455">
        <f t="array" ref="J3680">IFERROR(INDEX('Retirement Calculator'!K:K,MATCH('Lorri 401b'!N3680,'Retirement Calculator'!A:A,0),0),0)</f>
        <v>0</v>
      </c>
      <c r="K3680" s="455">
        <f t="shared" ca="1" si="153"/>
        <v>-7732805986.524024</v>
      </c>
      <c r="L3680" s="455">
        <f t="shared" ca="1" si="154"/>
        <v>-1863606242752.2898</v>
      </c>
      <c r="M3680" s="471">
        <f t="shared" si="156"/>
        <v>0.05</v>
      </c>
      <c r="N3680" s="475">
        <f t="shared" si="157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55"/>
        <v>-1863606242752.2898</v>
      </c>
      <c r="J3681" s="455">
        <f t="array" ref="J3681">IFERROR(INDEX('Retirement Calculator'!K:K,MATCH('Lorri 401b'!N3681,'Retirement Calculator'!A:A,0),0),0)</f>
        <v>0</v>
      </c>
      <c r="K3681" s="455">
        <f t="shared" ca="1" si="153"/>
        <v>-7765026011.4678736</v>
      </c>
      <c r="L3681" s="455">
        <f t="shared" ca="1" si="154"/>
        <v>-1871371268763.7576</v>
      </c>
      <c r="M3681" s="471">
        <f t="shared" si="156"/>
        <v>0.05</v>
      </c>
      <c r="N3681" s="475">
        <f t="shared" si="157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55"/>
        <v>-1871371268763.7576</v>
      </c>
      <c r="J3682" s="455">
        <f t="array" ref="J3682">IFERROR(INDEX('Retirement Calculator'!K:K,MATCH('Lorri 401b'!N3682,'Retirement Calculator'!A:A,0),0),0)</f>
        <v>0</v>
      </c>
      <c r="K3682" s="455">
        <f t="shared" ca="1" si="153"/>
        <v>-7797380286.5156565</v>
      </c>
      <c r="L3682" s="455">
        <f t="shared" ca="1" si="154"/>
        <v>-1879168649050.2732</v>
      </c>
      <c r="M3682" s="471">
        <f t="shared" si="156"/>
        <v>0.05</v>
      </c>
      <c r="N3682" s="475">
        <f t="shared" si="157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55"/>
        <v>-1879168649050.2732</v>
      </c>
      <c r="J3683" s="455">
        <f t="array" ref="J3683">IFERROR(INDEX('Retirement Calculator'!K:K,MATCH('Lorri 401b'!N3683,'Retirement Calculator'!A:A,0),0),0)</f>
        <v>0</v>
      </c>
      <c r="K3683" s="455">
        <f t="shared" ca="1" si="153"/>
        <v>-7829869371.0428057</v>
      </c>
      <c r="L3683" s="455">
        <f t="shared" ca="1" si="154"/>
        <v>-1886998518421.3159</v>
      </c>
      <c r="M3683" s="471">
        <f t="shared" si="156"/>
        <v>0.05</v>
      </c>
      <c r="N3683" s="475">
        <f t="shared" si="157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55"/>
        <v>-1886998518421.3159</v>
      </c>
      <c r="J3684" s="455">
        <f t="array" ref="J3684">IFERROR(INDEX('Retirement Calculator'!K:K,MATCH('Lorri 401b'!N3684,'Retirement Calculator'!A:A,0),0),0)</f>
        <v>0</v>
      </c>
      <c r="K3684" s="455">
        <f t="shared" ca="1" si="153"/>
        <v>-7862493826.7554827</v>
      </c>
      <c r="L3684" s="455">
        <f t="shared" ca="1" si="154"/>
        <v>-1894861012248.0713</v>
      </c>
      <c r="M3684" s="471">
        <f t="shared" si="156"/>
        <v>0.05</v>
      </c>
      <c r="N3684" s="475">
        <f t="shared" si="157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55"/>
        <v>-1894861012248.0713</v>
      </c>
      <c r="J3685" s="455">
        <f t="array" ref="J3685">IFERROR(INDEX('Retirement Calculator'!K:K,MATCH('Lorri 401b'!N3685,'Retirement Calculator'!A:A,0),0),0)</f>
        <v>0</v>
      </c>
      <c r="K3685" s="455">
        <f t="shared" ca="1" si="153"/>
        <v>-7895254217.7002974</v>
      </c>
      <c r="L3685" s="455">
        <f t="shared" ca="1" si="154"/>
        <v>-1902756266465.7715</v>
      </c>
      <c r="M3685" s="471">
        <f t="shared" si="156"/>
        <v>0.05</v>
      </c>
      <c r="N3685" s="475">
        <f t="shared" si="157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55"/>
        <v>-1902756266465.7715</v>
      </c>
      <c r="J3686" s="455">
        <f t="array" ref="J3686">IFERROR(INDEX('Retirement Calculator'!K:K,MATCH('Lorri 401b'!N3686,'Retirement Calculator'!A:A,0),0),0)</f>
        <v>0</v>
      </c>
      <c r="K3686" s="455">
        <f t="shared" ca="1" si="153"/>
        <v>-7928151110.2740488</v>
      </c>
      <c r="L3686" s="455">
        <f t="shared" ca="1" si="154"/>
        <v>-1910684417576.0457</v>
      </c>
      <c r="M3686" s="471">
        <f t="shared" si="156"/>
        <v>0.05</v>
      </c>
      <c r="N3686" s="475">
        <f t="shared" si="157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55"/>
        <v>-1910684417576.0457</v>
      </c>
      <c r="J3687" s="455">
        <f t="array" ref="J3687">IFERROR(INDEX('Retirement Calculator'!K:K,MATCH('Lorri 401b'!N3687,'Retirement Calculator'!A:A,0),0),0)</f>
        <v>0</v>
      </c>
      <c r="K3687" s="455">
        <f t="shared" ca="1" si="153"/>
        <v>-7961185073.2335234</v>
      </c>
      <c r="L3687" s="455">
        <f t="shared" ca="1" si="154"/>
        <v>-1918645602649.2793</v>
      </c>
      <c r="M3687" s="471">
        <f t="shared" si="156"/>
        <v>0.05</v>
      </c>
      <c r="N3687" s="475">
        <f t="shared" si="157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55"/>
        <v>-1918645602649.2793</v>
      </c>
      <c r="J3688" s="455">
        <f t="array" ref="J3688">IFERROR(INDEX('Retirement Calculator'!K:K,MATCH('Lorri 401b'!N3688,'Retirement Calculator'!A:A,0),0),0)</f>
        <v>0</v>
      </c>
      <c r="K3688" s="455">
        <f t="shared" ca="1" si="153"/>
        <v>-7994356677.7053289</v>
      </c>
      <c r="L3688" s="455">
        <f t="shared" ca="1" si="154"/>
        <v>-1926639959326.9846</v>
      </c>
      <c r="M3688" s="471">
        <f t="shared" si="156"/>
        <v>0.05</v>
      </c>
      <c r="N3688" s="475">
        <f t="shared" si="157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55"/>
        <v>-1926639959326.9846</v>
      </c>
      <c r="J3689" s="455">
        <f t="array" ref="J3689">IFERROR(INDEX('Retirement Calculator'!K:K,MATCH('Lorri 401b'!N3689,'Retirement Calculator'!A:A,0),0),0)</f>
        <v>0</v>
      </c>
      <c r="K3689" s="455">
        <f t="shared" ca="1" si="153"/>
        <v>-8027666497.1957684</v>
      </c>
      <c r="L3689" s="455">
        <f t="shared" ca="1" si="154"/>
        <v>-1934667625824.1804</v>
      </c>
      <c r="M3689" s="471">
        <f t="shared" si="156"/>
        <v>0.05</v>
      </c>
      <c r="N3689" s="475">
        <f t="shared" si="157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55"/>
        <v>-1934667625824.1804</v>
      </c>
      <c r="J3690" s="455">
        <f t="array" ref="J3690">IFERROR(INDEX('Retirement Calculator'!K:K,MATCH('Lorri 401b'!N3690,'Retirement Calculator'!A:A,0),0),0)</f>
        <v>0</v>
      </c>
      <c r="K3690" s="455">
        <f t="shared" ca="1" si="153"/>
        <v>-8061115107.6007519</v>
      </c>
      <c r="L3690" s="455">
        <f t="shared" ca="1" si="154"/>
        <v>-1942728740931.7813</v>
      </c>
      <c r="M3690" s="471">
        <f t="shared" si="156"/>
        <v>0.05</v>
      </c>
      <c r="N3690" s="475">
        <f t="shared" si="157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55"/>
        <v>-1942728740931.7813</v>
      </c>
      <c r="J3691" s="455">
        <f t="array" ref="J3691">IFERROR(INDEX('Retirement Calculator'!K:K,MATCH('Lorri 401b'!N3691,'Retirement Calculator'!A:A,0),0),0)</f>
        <v>0</v>
      </c>
      <c r="K3691" s="455">
        <f t="shared" ca="1" si="153"/>
        <v>-8094703087.2157564</v>
      </c>
      <c r="L3691" s="455">
        <f t="shared" ca="1" si="154"/>
        <v>-1950823444018.9971</v>
      </c>
      <c r="M3691" s="471">
        <f t="shared" si="156"/>
        <v>0.05</v>
      </c>
      <c r="N3691" s="475">
        <f t="shared" si="157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55"/>
        <v>-1950823444018.9971</v>
      </c>
      <c r="J3692" s="455">
        <f t="array" ref="J3692">IFERROR(INDEX('Retirement Calculator'!K:K,MATCH('Lorri 401b'!N3692,'Retirement Calculator'!A:A,0),0),0)</f>
        <v>0</v>
      </c>
      <c r="K3692" s="455">
        <f t="shared" ca="1" si="153"/>
        <v>-8128431016.745822</v>
      </c>
      <c r="L3692" s="455">
        <f t="shared" ca="1" si="154"/>
        <v>-1958951875035.7429</v>
      </c>
      <c r="M3692" s="471">
        <f t="shared" si="156"/>
        <v>0.05</v>
      </c>
      <c r="N3692" s="475">
        <f t="shared" si="157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55"/>
        <v>-1958951875035.7429</v>
      </c>
      <c r="J3693" s="455">
        <f t="array" ref="J3693">IFERROR(INDEX('Retirement Calculator'!K:K,MATCH('Lorri 401b'!N3693,'Retirement Calculator'!A:A,0),0),0)</f>
        <v>0</v>
      </c>
      <c r="K3693" s="455">
        <f t="shared" ca="1" si="153"/>
        <v>-8162299479.3155956</v>
      </c>
      <c r="L3693" s="455">
        <f t="shared" ca="1" si="154"/>
        <v>-1967114174515.0586</v>
      </c>
      <c r="M3693" s="471">
        <f t="shared" si="156"/>
        <v>0.05</v>
      </c>
      <c r="N3693" s="475">
        <f t="shared" si="157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55"/>
        <v>-1967114174515.0586</v>
      </c>
      <c r="J3694" s="455">
        <f t="array" ref="J3694">IFERROR(INDEX('Retirement Calculator'!K:K,MATCH('Lorri 401b'!N3694,'Retirement Calculator'!A:A,0),0),0)</f>
        <v>0</v>
      </c>
      <c r="K3694" s="455">
        <f t="shared" ca="1" si="153"/>
        <v>-8196309060.4794111</v>
      </c>
      <c r="L3694" s="455">
        <f t="shared" ca="1" si="154"/>
        <v>-1975310483575.5381</v>
      </c>
      <c r="M3694" s="471">
        <f t="shared" si="156"/>
        <v>0.05</v>
      </c>
      <c r="N3694" s="475">
        <f t="shared" si="157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55"/>
        <v>-1975310483575.5381</v>
      </c>
      <c r="J3695" s="455">
        <f t="array" ref="J3695">IFERROR(INDEX('Retirement Calculator'!K:K,MATCH('Lorri 401b'!N3695,'Retirement Calculator'!A:A,0),0),0)</f>
        <v>0</v>
      </c>
      <c r="K3695" s="455">
        <f t="shared" ca="1" si="153"/>
        <v>-8230460348.2314081</v>
      </c>
      <c r="L3695" s="455">
        <f t="shared" ca="1" si="154"/>
        <v>-1983540943923.7695</v>
      </c>
      <c r="M3695" s="471">
        <f t="shared" si="156"/>
        <v>0.05</v>
      </c>
      <c r="N3695" s="475">
        <f t="shared" si="157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55"/>
        <v>-1983540943923.7695</v>
      </c>
      <c r="J3696" s="455">
        <f t="array" ref="J3696">IFERROR(INDEX('Retirement Calculator'!K:K,MATCH('Lorri 401b'!N3696,'Retirement Calculator'!A:A,0),0),0)</f>
        <v>0</v>
      </c>
      <c r="K3696" s="455">
        <f t="shared" ca="1" si="153"/>
        <v>-8264753933.0157061</v>
      </c>
      <c r="L3696" s="455">
        <f t="shared" ca="1" si="154"/>
        <v>-1991805697856.7852</v>
      </c>
      <c r="M3696" s="471">
        <f t="shared" si="156"/>
        <v>0.05</v>
      </c>
      <c r="N3696" s="475">
        <f t="shared" si="157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55"/>
        <v>-1991805697856.7852</v>
      </c>
      <c r="J3697" s="455">
        <f t="array" ref="J3697">IFERROR(INDEX('Retirement Calculator'!K:K,MATCH('Lorri 401b'!N3697,'Retirement Calculator'!A:A,0),0),0)</f>
        <v>0</v>
      </c>
      <c r="K3697" s="455">
        <f t="shared" ca="1" si="153"/>
        <v>-8299190407.7366056</v>
      </c>
      <c r="L3697" s="455">
        <f t="shared" ca="1" si="154"/>
        <v>-2000104888264.5217</v>
      </c>
      <c r="M3697" s="471">
        <f t="shared" si="156"/>
        <v>0.05</v>
      </c>
      <c r="N3697" s="475">
        <f t="shared" si="157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55"/>
        <v>-2000104888264.5217</v>
      </c>
      <c r="J3698" s="455">
        <f t="array" ref="J3698">IFERROR(INDEX('Retirement Calculator'!K:K,MATCH('Lorri 401b'!N3698,'Retirement Calculator'!A:A,0),0),0)</f>
        <v>0</v>
      </c>
      <c r="K3698" s="455">
        <f t="shared" ca="1" si="153"/>
        <v>-8333770367.7688408</v>
      </c>
      <c r="L3698" s="455">
        <f t="shared" ca="1" si="154"/>
        <v>-2008438658632.2905</v>
      </c>
      <c r="M3698" s="471">
        <f t="shared" si="156"/>
        <v>0.05</v>
      </c>
      <c r="N3698" s="475">
        <f t="shared" si="157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55"/>
        <v>-2008438658632.2905</v>
      </c>
      <c r="J3699" s="455">
        <f t="array" ref="J3699">IFERROR(INDEX('Retirement Calculator'!K:K,MATCH('Lorri 401b'!N3699,'Retirement Calculator'!A:A,0),0),0)</f>
        <v>0</v>
      </c>
      <c r="K3699" s="455">
        <f t="shared" ca="1" si="153"/>
        <v>-8368494410.9678774</v>
      </c>
      <c r="L3699" s="455">
        <f t="shared" ca="1" si="154"/>
        <v>-2016807153043.2583</v>
      </c>
      <c r="M3699" s="471">
        <f t="shared" si="156"/>
        <v>0.05</v>
      </c>
      <c r="N3699" s="475">
        <f t="shared" si="157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55"/>
        <v>-2016807153043.2583</v>
      </c>
      <c r="J3700" s="455">
        <f t="array" ref="J3700">IFERROR(INDEX('Retirement Calculator'!K:K,MATCH('Lorri 401b'!N3700,'Retirement Calculator'!A:A,0),0),0)</f>
        <v>0</v>
      </c>
      <c r="K3700" s="455">
        <f t="shared" ca="1" si="153"/>
        <v>-8403363137.6802425</v>
      </c>
      <c r="L3700" s="455">
        <f t="shared" ca="1" si="154"/>
        <v>-2025210516180.9385</v>
      </c>
      <c r="M3700" s="471">
        <f t="shared" si="156"/>
        <v>0.05</v>
      </c>
      <c r="N3700" s="475">
        <f t="shared" si="157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55"/>
        <v>-2025210516180.9385</v>
      </c>
      <c r="J3701" s="455">
        <f t="array" ref="J3701">IFERROR(INDEX('Retirement Calculator'!K:K,MATCH('Lorri 401b'!N3701,'Retirement Calculator'!A:A,0),0),0)</f>
        <v>0</v>
      </c>
      <c r="K3701" s="455">
        <f t="shared" ca="1" si="153"/>
        <v>-8438377150.7539101</v>
      </c>
      <c r="L3701" s="455">
        <f t="shared" ca="1" si="154"/>
        <v>-2033648893331.6924</v>
      </c>
      <c r="M3701" s="471">
        <f t="shared" si="156"/>
        <v>0.05</v>
      </c>
      <c r="N3701" s="475">
        <f t="shared" si="157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55"/>
        <v>-2033648893331.6924</v>
      </c>
      <c r="J3702" s="455">
        <f t="array" ref="J3702">IFERROR(INDEX('Retirement Calculator'!K:K,MATCH('Lorri 401b'!N3702,'Retirement Calculator'!A:A,0),0),0)</f>
        <v>0</v>
      </c>
      <c r="K3702" s="455">
        <f t="shared" ca="1" si="153"/>
        <v>-8473537055.5487194</v>
      </c>
      <c r="L3702" s="455">
        <f t="shared" ca="1" si="154"/>
        <v>-2042122430387.2412</v>
      </c>
      <c r="M3702" s="471">
        <f t="shared" si="156"/>
        <v>0.05</v>
      </c>
      <c r="N3702" s="475">
        <f t="shared" si="157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55"/>
        <v>-2042122430387.2412</v>
      </c>
      <c r="J3703" s="455">
        <f t="array" ref="J3703">IFERROR(INDEX('Retirement Calculator'!K:K,MATCH('Lorri 401b'!N3703,'Retirement Calculator'!A:A,0),0),0)</f>
        <v>0</v>
      </c>
      <c r="K3703" s="455">
        <f t="shared" ca="1" si="153"/>
        <v>-8508843459.9468393</v>
      </c>
      <c r="L3703" s="455">
        <f t="shared" ca="1" si="154"/>
        <v>-2050631273847.188</v>
      </c>
      <c r="M3703" s="471">
        <f t="shared" si="156"/>
        <v>0.05</v>
      </c>
      <c r="N3703" s="475">
        <f t="shared" si="157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55"/>
        <v>-2050631273847.188</v>
      </c>
      <c r="J3704" s="455">
        <f t="array" ref="J3704">IFERROR(INDEX('Retirement Calculator'!K:K,MATCH('Lorri 401b'!N3704,'Retirement Calculator'!A:A,0),0),0)</f>
        <v>0</v>
      </c>
      <c r="K3704" s="455">
        <f t="shared" ca="1" si="153"/>
        <v>-8544296974.3632841</v>
      </c>
      <c r="L3704" s="455">
        <f t="shared" ca="1" si="154"/>
        <v>-2059175570821.5513</v>
      </c>
      <c r="M3704" s="471">
        <f t="shared" si="156"/>
        <v>0.05</v>
      </c>
      <c r="N3704" s="475">
        <f t="shared" si="157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55"/>
        <v>-2059175570821.5513</v>
      </c>
      <c r="J3705" s="455">
        <f t="array" ref="J3705">IFERROR(INDEX('Retirement Calculator'!K:K,MATCH('Lorri 401b'!N3705,'Retirement Calculator'!A:A,0),0),0)</f>
        <v>0</v>
      </c>
      <c r="K3705" s="455">
        <f t="shared" ca="1" si="153"/>
        <v>-8579898211.756465</v>
      </c>
      <c r="L3705" s="455">
        <f t="shared" ca="1" si="154"/>
        <v>-2067755469033.3076</v>
      </c>
      <c r="M3705" s="471">
        <f t="shared" si="156"/>
        <v>0.05</v>
      </c>
      <c r="N3705" s="475">
        <f t="shared" si="157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55"/>
        <v>-2067755469033.3076</v>
      </c>
      <c r="J3706" s="455">
        <f t="array" ref="J3706">IFERROR(INDEX('Retirement Calculator'!K:K,MATCH('Lorri 401b'!N3706,'Retirement Calculator'!A:A,0),0),0)</f>
        <v>0</v>
      </c>
      <c r="K3706" s="455">
        <f t="shared" ca="1" si="153"/>
        <v>-8615647787.6387825</v>
      </c>
      <c r="L3706" s="455">
        <f t="shared" ca="1" si="154"/>
        <v>-2076371116820.9463</v>
      </c>
      <c r="M3706" s="471">
        <f t="shared" si="156"/>
        <v>0.05</v>
      </c>
      <c r="N3706" s="475">
        <f t="shared" si="157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55"/>
        <v>-2076371116820.9463</v>
      </c>
      <c r="J3707" s="455">
        <f t="array" ref="J3707">IFERROR(INDEX('Retirement Calculator'!K:K,MATCH('Lorri 401b'!N3707,'Retirement Calculator'!A:A,0),0),0)</f>
        <v>0</v>
      </c>
      <c r="K3707" s="455">
        <f t="shared" ca="1" si="153"/>
        <v>-8651546320.0872765</v>
      </c>
      <c r="L3707" s="455">
        <f t="shared" ca="1" si="154"/>
        <v>-2085022663141.0334</v>
      </c>
      <c r="M3707" s="471">
        <f t="shared" si="156"/>
        <v>0.05</v>
      </c>
      <c r="N3707" s="475">
        <f t="shared" si="157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55"/>
        <v>-2085022663141.0334</v>
      </c>
      <c r="J3708" s="455">
        <f t="array" ref="J3708">IFERROR(INDEX('Retirement Calculator'!K:K,MATCH('Lorri 401b'!N3708,'Retirement Calculator'!A:A,0),0),0)</f>
        <v>0</v>
      </c>
      <c r="K3708" s="455">
        <f t="shared" ca="1" si="153"/>
        <v>-8687594429.7543049</v>
      </c>
      <c r="L3708" s="455">
        <f t="shared" ca="1" si="154"/>
        <v>-2093710257570.7878</v>
      </c>
      <c r="M3708" s="471">
        <f t="shared" si="156"/>
        <v>0.05</v>
      </c>
      <c r="N3708" s="475">
        <f t="shared" si="157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55"/>
        <v>-2093710257570.7878</v>
      </c>
      <c r="J3709" s="455">
        <f t="array" ref="J3709">IFERROR(INDEX('Retirement Calculator'!K:K,MATCH('Lorri 401b'!N3709,'Retirement Calculator'!A:A,0),0),0)</f>
        <v>0</v>
      </c>
      <c r="K3709" s="455">
        <f t="shared" ca="1" si="153"/>
        <v>-8723792739.8782825</v>
      </c>
      <c r="L3709" s="455">
        <f t="shared" ca="1" si="154"/>
        <v>-2102434050310.666</v>
      </c>
      <c r="M3709" s="471">
        <f t="shared" si="156"/>
        <v>0.05</v>
      </c>
      <c r="N3709" s="475">
        <f t="shared" si="157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55"/>
        <v>-2102434050310.666</v>
      </c>
      <c r="J3710" s="455">
        <f t="array" ref="J3710">IFERROR(INDEX('Retirement Calculator'!K:K,MATCH('Lorri 401b'!N3710,'Retirement Calculator'!A:A,0),0),0)</f>
        <v>0</v>
      </c>
      <c r="K3710" s="455">
        <f t="shared" ca="1" si="153"/>
        <v>-8760141876.2944412</v>
      </c>
      <c r="L3710" s="455">
        <f t="shared" ca="1" si="154"/>
        <v>-2111194192186.9604</v>
      </c>
      <c r="M3710" s="471">
        <f t="shared" si="156"/>
        <v>0.05</v>
      </c>
      <c r="N3710" s="475">
        <f t="shared" si="157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55"/>
        <v>-2111194192186.9604</v>
      </c>
      <c r="J3711" s="455">
        <f t="array" ref="J3711">IFERROR(INDEX('Retirement Calculator'!K:K,MATCH('Lorri 401b'!N3711,'Retirement Calculator'!A:A,0),0),0)</f>
        <v>0</v>
      </c>
      <c r="K3711" s="455">
        <f t="shared" ca="1" si="153"/>
        <v>-8796642467.4456692</v>
      </c>
      <c r="L3711" s="455">
        <f t="shared" ca="1" si="154"/>
        <v>-2119990834654.406</v>
      </c>
      <c r="M3711" s="471">
        <f t="shared" si="156"/>
        <v>0.05</v>
      </c>
      <c r="N3711" s="475">
        <f t="shared" si="157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55"/>
        <v>-2119990834654.406</v>
      </c>
      <c r="J3712" s="455">
        <f t="array" ref="J3712">IFERROR(INDEX('Retirement Calculator'!K:K,MATCH('Lorri 401b'!N3712,'Retirement Calculator'!A:A,0),0),0)</f>
        <v>0</v>
      </c>
      <c r="K3712" s="455">
        <f t="shared" ca="1" si="153"/>
        <v>-8833295144.3933601</v>
      </c>
      <c r="L3712" s="455">
        <f t="shared" ca="1" si="154"/>
        <v>-2128824129798.7993</v>
      </c>
      <c r="M3712" s="471">
        <f t="shared" si="156"/>
        <v>0.05</v>
      </c>
      <c r="N3712" s="475">
        <f t="shared" si="157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55"/>
        <v>-2128824129798.7993</v>
      </c>
      <c r="J3713" s="455">
        <f t="array" ref="J3713">IFERROR(INDEX('Retirement Calculator'!K:K,MATCH('Lorri 401b'!N3713,'Retirement Calculator'!A:A,0),0),0)</f>
        <v>0</v>
      </c>
      <c r="K3713" s="455">
        <f t="shared" ca="1" si="153"/>
        <v>-8870100540.828331</v>
      </c>
      <c r="L3713" s="455">
        <f t="shared" ca="1" si="154"/>
        <v>-2137694230339.6277</v>
      </c>
      <c r="M3713" s="471">
        <f t="shared" si="156"/>
        <v>0.05</v>
      </c>
      <c r="N3713" s="475">
        <f t="shared" si="157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55"/>
        <v>-2137694230339.6277</v>
      </c>
      <c r="J3714" s="455">
        <f t="array" ref="J3714">IFERROR(INDEX('Retirement Calculator'!K:K,MATCH('Lorri 401b'!N3714,'Retirement Calculator'!A:A,0),0),0)</f>
        <v>0</v>
      </c>
      <c r="K3714" s="455">
        <f t="shared" ca="1" si="153"/>
        <v>-8907059293.0817814</v>
      </c>
      <c r="L3714" s="455">
        <f t="shared" ca="1" si="154"/>
        <v>-2146601289632.7095</v>
      </c>
      <c r="M3714" s="471">
        <f t="shared" si="156"/>
        <v>0.05</v>
      </c>
      <c r="N3714" s="475">
        <f t="shared" si="157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55"/>
        <v>-2146601289632.7095</v>
      </c>
      <c r="J3715" s="455">
        <f t="array" ref="J3715">IFERROR(INDEX('Retirement Calculator'!K:K,MATCH('Lorri 401b'!N3715,'Retirement Calculator'!A:A,0),0),0)</f>
        <v>0</v>
      </c>
      <c r="K3715" s="455">
        <f t="shared" ca="1" si="153"/>
        <v>-8944172040.1362896</v>
      </c>
      <c r="L3715" s="455">
        <f t="shared" ca="1" si="154"/>
        <v>-2155545461672.8457</v>
      </c>
      <c r="M3715" s="471">
        <f t="shared" si="156"/>
        <v>0.05</v>
      </c>
      <c r="N3715" s="475">
        <f t="shared" si="157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55"/>
        <v>-2155545461672.8457</v>
      </c>
      <c r="J3716" s="455">
        <f t="array" ref="J3716">IFERROR(INDEX('Retirement Calculator'!K:K,MATCH('Lorri 401b'!N3716,'Retirement Calculator'!A:A,0),0),0)</f>
        <v>0</v>
      </c>
      <c r="K3716" s="455">
        <f t="shared" ca="1" si="153"/>
        <v>-8981439423.6368561</v>
      </c>
      <c r="L3716" s="455">
        <f t="shared" ca="1" si="154"/>
        <v>-2164526901096.4827</v>
      </c>
      <c r="M3716" s="471">
        <f t="shared" si="156"/>
        <v>0.05</v>
      </c>
      <c r="N3716" s="475">
        <f t="shared" si="157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55"/>
        <v>-2164526901096.4827</v>
      </c>
      <c r="J3717" s="455">
        <f t="array" ref="J3717">IFERROR(INDEX('Retirement Calculator'!K:K,MATCH('Lorri 401b'!N3717,'Retirement Calculator'!A:A,0),0),0)</f>
        <v>0</v>
      </c>
      <c r="K3717" s="455">
        <f t="shared" ca="1" si="153"/>
        <v>-9018862087.9020119</v>
      </c>
      <c r="L3717" s="455">
        <f t="shared" ca="1" si="154"/>
        <v>-2173545763184.3848</v>
      </c>
      <c r="M3717" s="471">
        <f t="shared" si="156"/>
        <v>0.05</v>
      </c>
      <c r="N3717" s="475">
        <f t="shared" si="157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55"/>
        <v>-2173545763184.3848</v>
      </c>
      <c r="J3718" s="455">
        <f t="array" ref="J3718">IFERROR(INDEX('Retirement Calculator'!K:K,MATCH('Lorri 401b'!N3718,'Retirement Calculator'!A:A,0),0),0)</f>
        <v>0</v>
      </c>
      <c r="K3718" s="455">
        <f t="shared" ca="1" si="153"/>
        <v>-9056440679.9349346</v>
      </c>
      <c r="L3718" s="455">
        <f t="shared" ca="1" si="154"/>
        <v>-2182602203864.3196</v>
      </c>
      <c r="M3718" s="471">
        <f t="shared" si="156"/>
        <v>0.05</v>
      </c>
      <c r="N3718" s="475">
        <f t="shared" si="157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55"/>
        <v>-2182602203864.3196</v>
      </c>
      <c r="J3719" s="455">
        <f t="array" ref="J3719">IFERROR(INDEX('Retirement Calculator'!K:K,MATCH('Lorri 401b'!N3719,'Retirement Calculator'!A:A,0),0),0)</f>
        <v>0</v>
      </c>
      <c r="K3719" s="455">
        <f t="shared" ca="1" si="153"/>
        <v>-9094175849.4346657</v>
      </c>
      <c r="L3719" s="455">
        <f t="shared" ca="1" si="154"/>
        <v>-2191696379713.7542</v>
      </c>
      <c r="M3719" s="471">
        <f t="shared" si="156"/>
        <v>0.05</v>
      </c>
      <c r="N3719" s="475">
        <f t="shared" si="157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55"/>
        <v>-2191696379713.7542</v>
      </c>
      <c r="J3720" s="455">
        <f t="array" ref="J3720">IFERROR(INDEX('Retirement Calculator'!K:K,MATCH('Lorri 401b'!N3720,'Retirement Calculator'!A:A,0),0),0)</f>
        <v>0</v>
      </c>
      <c r="K3720" s="455">
        <f t="shared" ca="1" si="153"/>
        <v>-9132068248.8073082</v>
      </c>
      <c r="L3720" s="455">
        <f t="shared" ca="1" si="154"/>
        <v>-2200828447962.5615</v>
      </c>
      <c r="M3720" s="471">
        <f t="shared" si="156"/>
        <v>0.05</v>
      </c>
      <c r="N3720" s="475">
        <f t="shared" si="157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55"/>
        <v>-2200828447962.5615</v>
      </c>
      <c r="J3721" s="455">
        <f t="array" ref="J3721">IFERROR(INDEX('Retirement Calculator'!K:K,MATCH('Lorri 401b'!N3721,'Retirement Calculator'!A:A,0),0),0)</f>
        <v>0</v>
      </c>
      <c r="K3721" s="455">
        <f t="shared" ca="1" si="153"/>
        <v>-9170118533.1773396</v>
      </c>
      <c r="L3721" s="455">
        <f t="shared" ca="1" si="154"/>
        <v>-2209998566495.7388</v>
      </c>
      <c r="M3721" s="471">
        <f t="shared" si="156"/>
        <v>0.05</v>
      </c>
      <c r="N3721" s="475">
        <f t="shared" si="157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55"/>
        <v>-2209998566495.7388</v>
      </c>
      <c r="J3722" s="455">
        <f t="array" ref="J3722">IFERROR(INDEX('Retirement Calculator'!K:K,MATCH('Lorri 401b'!N3722,'Retirement Calculator'!A:A,0),0),0)</f>
        <v>0</v>
      </c>
      <c r="K3722" s="455">
        <f t="shared" ca="1" si="153"/>
        <v>-9208327360.3989105</v>
      </c>
      <c r="L3722" s="455">
        <f t="shared" ca="1" si="154"/>
        <v>-2219206893856.1377</v>
      </c>
      <c r="M3722" s="471">
        <f t="shared" si="156"/>
        <v>0.05</v>
      </c>
      <c r="N3722" s="475">
        <f t="shared" si="157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55"/>
        <v>-2219206893856.1377</v>
      </c>
      <c r="J3723" s="455">
        <f t="array" ref="J3723">IFERROR(INDEX('Retirement Calculator'!K:K,MATCH('Lorri 401b'!N3723,'Retirement Calculator'!A:A,0),0),0)</f>
        <v>0</v>
      </c>
      <c r="K3723" s="455">
        <f t="shared" ca="1" si="153"/>
        <v>-9246695391.0672398</v>
      </c>
      <c r="L3723" s="455">
        <f t="shared" ca="1" si="154"/>
        <v>-2228453589247.2051</v>
      </c>
      <c r="M3723" s="471">
        <f t="shared" si="156"/>
        <v>0.05</v>
      </c>
      <c r="N3723" s="475">
        <f t="shared" si="157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55"/>
        <v>-2228453589247.2051</v>
      </c>
      <c r="J3724" s="455">
        <f t="array" ref="J3724">IFERROR(INDEX('Retirement Calculator'!K:K,MATCH('Lorri 401b'!N3724,'Retirement Calculator'!A:A,0),0),0)</f>
        <v>0</v>
      </c>
      <c r="K3724" s="455">
        <f t="shared" ca="1" si="153"/>
        <v>-9285223288.5300217</v>
      </c>
      <c r="L3724" s="455">
        <f t="shared" ca="1" si="154"/>
        <v>-2237738812535.7349</v>
      </c>
      <c r="M3724" s="471">
        <f t="shared" si="156"/>
        <v>0.05</v>
      </c>
      <c r="N3724" s="475">
        <f t="shared" si="157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55"/>
        <v>-2237738812535.7349</v>
      </c>
      <c r="J3725" s="455">
        <f t="array" ref="J3725">IFERROR(INDEX('Retirement Calculator'!K:K,MATCH('Lorri 401b'!N3725,'Retirement Calculator'!A:A,0),0),0)</f>
        <v>0</v>
      </c>
      <c r="K3725" s="455">
        <f t="shared" ca="1" si="153"/>
        <v>-9323911718.8988953</v>
      </c>
      <c r="L3725" s="455">
        <f t="shared" ca="1" si="154"/>
        <v>-2247062724254.6338</v>
      </c>
      <c r="M3725" s="471">
        <f t="shared" si="156"/>
        <v>0.05</v>
      </c>
      <c r="N3725" s="475">
        <f t="shared" si="157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55"/>
        <v>-2247062724254.6338</v>
      </c>
      <c r="J3726" s="455">
        <f t="array" ref="J3726">IFERROR(INDEX('Retirement Calculator'!K:K,MATCH('Lorri 401b'!N3726,'Retirement Calculator'!A:A,0),0),0)</f>
        <v>0</v>
      </c>
      <c r="K3726" s="455">
        <f t="shared" ca="1" si="153"/>
        <v>-9362761351.0609741</v>
      </c>
      <c r="L3726" s="455">
        <f t="shared" ca="1" si="154"/>
        <v>-2256425485605.6948</v>
      </c>
      <c r="M3726" s="471">
        <f t="shared" si="156"/>
        <v>0.05</v>
      </c>
      <c r="N3726" s="475">
        <f t="shared" si="157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55"/>
        <v>-2256425485605.6948</v>
      </c>
      <c r="J3727" s="455">
        <f t="array" ref="J3727">IFERROR(INDEX('Retirement Calculator'!K:K,MATCH('Lorri 401b'!N3727,'Retirement Calculator'!A:A,0),0),0)</f>
        <v>0</v>
      </c>
      <c r="K3727" s="455">
        <f t="shared" ca="1" si="153"/>
        <v>-9401772856.6903954</v>
      </c>
      <c r="L3727" s="455">
        <f t="shared" ca="1" si="154"/>
        <v>-2265827258462.3853</v>
      </c>
      <c r="M3727" s="471">
        <f t="shared" si="156"/>
        <v>0.05</v>
      </c>
      <c r="N3727" s="475">
        <f t="shared" si="157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55"/>
        <v>-2265827258462.3853</v>
      </c>
      <c r="J3728" s="455">
        <f t="array" ref="J3728">IFERROR(INDEX('Retirement Calculator'!K:K,MATCH('Lorri 401b'!N3728,'Retirement Calculator'!A:A,0),0),0)</f>
        <v>0</v>
      </c>
      <c r="K3728" s="455">
        <f t="shared" ca="1" si="153"/>
        <v>-9440946910.2599392</v>
      </c>
      <c r="L3728" s="455">
        <f t="shared" ca="1" si="154"/>
        <v>-2275268205372.645</v>
      </c>
      <c r="M3728" s="471">
        <f t="shared" si="156"/>
        <v>0.05</v>
      </c>
      <c r="N3728" s="475">
        <f t="shared" si="157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55"/>
        <v>-2275268205372.645</v>
      </c>
      <c r="J3729" s="455">
        <f t="array" ref="J3729">IFERROR(INDEX('Retirement Calculator'!K:K,MATCH('Lorri 401b'!N3729,'Retirement Calculator'!A:A,0),0),0)</f>
        <v>0</v>
      </c>
      <c r="K3729" s="455">
        <f t="shared" ca="1" si="153"/>
        <v>-9480284189.0526867</v>
      </c>
      <c r="L3729" s="455">
        <f t="shared" ca="1" si="154"/>
        <v>-2284748489561.6978</v>
      </c>
      <c r="M3729" s="471">
        <f t="shared" si="156"/>
        <v>0.05</v>
      </c>
      <c r="N3729" s="475">
        <f t="shared" si="157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55"/>
        <v>-2284748489561.6978</v>
      </c>
      <c r="J3730" s="455">
        <f t="array" ref="J3730">IFERROR(INDEX('Retirement Calculator'!K:K,MATCH('Lorri 401b'!N3730,'Retirement Calculator'!A:A,0),0),0)</f>
        <v>0</v>
      </c>
      <c r="K3730" s="455">
        <f t="shared" ca="1" si="153"/>
        <v>-9519785373.1737404</v>
      </c>
      <c r="L3730" s="455">
        <f t="shared" ca="1" si="154"/>
        <v>-2294268274934.8716</v>
      </c>
      <c r="M3730" s="471">
        <f t="shared" si="156"/>
        <v>0.05</v>
      </c>
      <c r="N3730" s="475">
        <f t="shared" si="157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55"/>
        <v>-2294268274934.8716</v>
      </c>
      <c r="J3731" s="455">
        <f t="array" ref="J3731">IFERROR(INDEX('Retirement Calculator'!K:K,MATCH('Lorri 401b'!N3731,'Retirement Calculator'!A:A,0),0),0)</f>
        <v>0</v>
      </c>
      <c r="K3731" s="455">
        <f t="shared" ca="1" si="153"/>
        <v>-9559451145.561964</v>
      </c>
      <c r="L3731" s="455">
        <f t="shared" ca="1" si="154"/>
        <v>-2303827726080.4336</v>
      </c>
      <c r="M3731" s="471">
        <f t="shared" si="156"/>
        <v>0.05</v>
      </c>
      <c r="N3731" s="475">
        <f t="shared" si="157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55"/>
        <v>-2303827726080.4336</v>
      </c>
      <c r="J3732" s="455">
        <f t="array" ref="J3732">IFERROR(INDEX('Retirement Calculator'!K:K,MATCH('Lorri 401b'!N3732,'Retirement Calculator'!A:A,0),0),0)</f>
        <v>0</v>
      </c>
      <c r="K3732" s="455">
        <f t="shared" ca="1" si="153"/>
        <v>-9599282192.0018063</v>
      </c>
      <c r="L3732" s="455">
        <f t="shared" ca="1" si="154"/>
        <v>-2313427008272.4355</v>
      </c>
      <c r="M3732" s="471">
        <f t="shared" si="156"/>
        <v>0.05</v>
      </c>
      <c r="N3732" s="475">
        <f t="shared" si="157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55"/>
        <v>-2313427008272.4355</v>
      </c>
      <c r="J3733" s="455">
        <f t="array" ref="J3733">IFERROR(INDEX('Retirement Calculator'!K:K,MATCH('Lorri 401b'!N3733,'Retirement Calculator'!A:A,0),0),0)</f>
        <v>0</v>
      </c>
      <c r="K3733" s="455">
        <f t="shared" ca="1" si="153"/>
        <v>-9639279201.1351471</v>
      </c>
      <c r="L3733" s="455">
        <f t="shared" ca="1" si="154"/>
        <v>-2323066287473.5708</v>
      </c>
      <c r="M3733" s="471">
        <f t="shared" si="156"/>
        <v>0.05</v>
      </c>
      <c r="N3733" s="475">
        <f t="shared" si="157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55"/>
        <v>-2323066287473.5708</v>
      </c>
      <c r="J3734" s="455">
        <f t="array" ref="J3734">IFERROR(INDEX('Retirement Calculator'!K:K,MATCH('Lorri 401b'!N3734,'Retirement Calculator'!A:A,0),0),0)</f>
        <v>0</v>
      </c>
      <c r="K3734" s="455">
        <f t="shared" ca="1" si="153"/>
        <v>-9679442864.4732113</v>
      </c>
      <c r="L3734" s="455">
        <f t="shared" ca="1" si="154"/>
        <v>-2332745730338.0439</v>
      </c>
      <c r="M3734" s="471">
        <f t="shared" si="156"/>
        <v>0.05</v>
      </c>
      <c r="N3734" s="475">
        <f t="shared" si="157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55"/>
        <v>-2332745730338.0439</v>
      </c>
      <c r="J3735" s="455">
        <f t="array" ref="J3735">IFERROR(INDEX('Retirement Calculator'!K:K,MATCH('Lorri 401b'!N3735,'Retirement Calculator'!A:A,0),0),0)</f>
        <v>0</v>
      </c>
      <c r="K3735" s="455">
        <f t="shared" ca="1" si="153"/>
        <v>-9719773876.4085159</v>
      </c>
      <c r="L3735" s="455">
        <f t="shared" ca="1" si="154"/>
        <v>-2342465504214.4526</v>
      </c>
      <c r="M3735" s="471">
        <f t="shared" si="156"/>
        <v>0.05</v>
      </c>
      <c r="N3735" s="475">
        <f t="shared" si="157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55"/>
        <v>-2342465504214.4526</v>
      </c>
      <c r="J3736" s="455">
        <f t="array" ref="J3736">IFERROR(INDEX('Retirement Calculator'!K:K,MATCH('Lorri 401b'!N3736,'Retirement Calculator'!A:A,0),0),0)</f>
        <v>0</v>
      </c>
      <c r="K3736" s="455">
        <f t="shared" ca="1" si="153"/>
        <v>-9760272934.2268867</v>
      </c>
      <c r="L3736" s="455">
        <f t="shared" ca="1" si="154"/>
        <v>-2352225777148.6797</v>
      </c>
      <c r="M3736" s="471">
        <f t="shared" si="156"/>
        <v>0.05</v>
      </c>
      <c r="N3736" s="475">
        <f t="shared" si="157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55"/>
        <v>-2352225777148.6797</v>
      </c>
      <c r="J3737" s="455">
        <f t="array" ref="J3737">IFERROR(INDEX('Retirement Calculator'!K:K,MATCH('Lorri 401b'!N3737,'Retirement Calculator'!A:A,0),0),0)</f>
        <v>0</v>
      </c>
      <c r="K3737" s="455">
        <f t="shared" ca="1" si="153"/>
        <v>-9800940738.1194992</v>
      </c>
      <c r="L3737" s="455">
        <f t="shared" ca="1" si="154"/>
        <v>-2362026717886.7993</v>
      </c>
      <c r="M3737" s="471">
        <f t="shared" si="156"/>
        <v>0.05</v>
      </c>
      <c r="N3737" s="475">
        <f t="shared" si="157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55"/>
        <v>-2362026717886.7993</v>
      </c>
      <c r="J3738" s="455">
        <f t="array" ref="J3738">IFERROR(INDEX('Retirement Calculator'!K:K,MATCH('Lorri 401b'!N3738,'Retirement Calculator'!A:A,0),0),0)</f>
        <v>0</v>
      </c>
      <c r="K3738" s="455">
        <f t="shared" ca="1" si="153"/>
        <v>-9841777991.1949978</v>
      </c>
      <c r="L3738" s="455">
        <f t="shared" ca="1" si="154"/>
        <v>-2371868495877.9941</v>
      </c>
      <c r="M3738" s="471">
        <f t="shared" si="156"/>
        <v>0.05</v>
      </c>
      <c r="N3738" s="475">
        <f t="shared" si="157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55"/>
        <v>-2371868495877.9941</v>
      </c>
      <c r="J3739" s="455">
        <f t="array" ref="J3739">IFERROR(INDEX('Retirement Calculator'!K:K,MATCH('Lorri 401b'!N3739,'Retirement Calculator'!A:A,0),0),0)</f>
        <v>0</v>
      </c>
      <c r="K3739" s="455">
        <f t="shared" ca="1" si="153"/>
        <v>-9882785399.491642</v>
      </c>
      <c r="L3739" s="455">
        <f t="shared" ca="1" si="154"/>
        <v>-2381751281277.4858</v>
      </c>
      <c r="M3739" s="471">
        <f t="shared" si="156"/>
        <v>0.05</v>
      </c>
      <c r="N3739" s="475">
        <f t="shared" si="157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55"/>
        <v>-2381751281277.4858</v>
      </c>
      <c r="J3740" s="455">
        <f t="array" ref="J3740">IFERROR(INDEX('Retirement Calculator'!K:K,MATCH('Lorri 401b'!N3740,'Retirement Calculator'!A:A,0),0),0)</f>
        <v>0</v>
      </c>
      <c r="K3740" s="455">
        <f t="shared" ca="1" si="153"/>
        <v>-9923963671.9895248</v>
      </c>
      <c r="L3740" s="455">
        <f t="shared" ca="1" si="154"/>
        <v>-2391675244949.4756</v>
      </c>
      <c r="M3740" s="471">
        <f t="shared" si="156"/>
        <v>0.05</v>
      </c>
      <c r="N3740" s="475">
        <f t="shared" si="157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55"/>
        <v>-2391675244949.4756</v>
      </c>
      <c r="J3741" s="455">
        <f t="array" ref="J3741">IFERROR(INDEX('Retirement Calculator'!K:K,MATCH('Lorri 401b'!N3741,'Retirement Calculator'!A:A,0),0),0)</f>
        <v>0</v>
      </c>
      <c r="K3741" s="455">
        <f t="shared" ca="1" si="153"/>
        <v>-9965313520.6228142</v>
      </c>
      <c r="L3741" s="455">
        <f t="shared" ca="1" si="154"/>
        <v>-2401640558470.0986</v>
      </c>
      <c r="M3741" s="471">
        <f t="shared" si="156"/>
        <v>0.05</v>
      </c>
      <c r="N3741" s="475">
        <f t="shared" si="157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55"/>
        <v>-2401640558470.0986</v>
      </c>
      <c r="J3742" s="455">
        <f t="array" ref="J3742">IFERROR(INDEX('Retirement Calculator'!K:K,MATCH('Lorri 401b'!N3742,'Retirement Calculator'!A:A,0),0),0)</f>
        <v>0</v>
      </c>
      <c r="K3742" s="455">
        <f t="shared" ca="1" si="153"/>
        <v>-10006835660.292078</v>
      </c>
      <c r="L3742" s="455">
        <f t="shared" ca="1" si="154"/>
        <v>-2411647394130.3906</v>
      </c>
      <c r="M3742" s="471">
        <f t="shared" si="156"/>
        <v>0.05</v>
      </c>
      <c r="N3742" s="475">
        <f t="shared" si="157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55"/>
        <v>-2411647394130.3906</v>
      </c>
      <c r="J3743" s="455">
        <f t="array" ref="J3743">IFERROR(INDEX('Retirement Calculator'!K:K,MATCH('Lorri 401b'!N3743,'Retirement Calculator'!A:A,0),0),0)</f>
        <v>0</v>
      </c>
      <c r="K3743" s="455">
        <f t="shared" ca="1" si="153"/>
        <v>-10048530808.876627</v>
      </c>
      <c r="L3743" s="455">
        <f t="shared" ca="1" si="154"/>
        <v>-2421695924939.2671</v>
      </c>
      <c r="M3743" s="471">
        <f t="shared" si="156"/>
        <v>0.05</v>
      </c>
      <c r="N3743" s="475">
        <f t="shared" si="157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55"/>
        <v>-2421695924939.2671</v>
      </c>
      <c r="J3744" s="455">
        <f t="array" ref="J3744">IFERROR(INDEX('Retirement Calculator'!K:K,MATCH('Lorri 401b'!N3744,'Retirement Calculator'!A:A,0),0),0)</f>
        <v>0</v>
      </c>
      <c r="K3744" s="455">
        <f t="shared" ca="1" si="153"/>
        <v>-10090399687.246946</v>
      </c>
      <c r="L3744" s="455">
        <f t="shared" ca="1" si="154"/>
        <v>-2431786324626.5142</v>
      </c>
      <c r="M3744" s="471">
        <f t="shared" si="156"/>
        <v>0.05</v>
      </c>
      <c r="N3744" s="475">
        <f t="shared" si="157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55"/>
        <v>-2431786324626.5142</v>
      </c>
      <c r="J3745" s="455">
        <f t="array" ref="J3745">IFERROR(INDEX('Retirement Calculator'!K:K,MATCH('Lorri 401b'!N3745,'Retirement Calculator'!A:A,0),0),0)</f>
        <v>0</v>
      </c>
      <c r="K3745" s="455">
        <f t="shared" ca="1" si="153"/>
        <v>-10132443019.277142</v>
      </c>
      <c r="L3745" s="455">
        <f t="shared" ca="1" si="154"/>
        <v>-2441918767645.7915</v>
      </c>
      <c r="M3745" s="471">
        <f t="shared" si="156"/>
        <v>0.05</v>
      </c>
      <c r="N3745" s="475">
        <f t="shared" si="157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55"/>
        <v>-2441918767645.7915</v>
      </c>
      <c r="J3746" s="455">
        <f t="array" ref="J3746">IFERROR(INDEX('Retirement Calculator'!K:K,MATCH('Lorri 401b'!N3746,'Retirement Calculator'!A:A,0),0),0)</f>
        <v>0</v>
      </c>
      <c r="K3746" s="455">
        <f t="shared" ca="1" si="153"/>
        <v>-10174661531.857464</v>
      </c>
      <c r="L3746" s="455">
        <f t="shared" ca="1" si="154"/>
        <v>-2452093429177.6489</v>
      </c>
      <c r="M3746" s="471">
        <f t="shared" si="156"/>
        <v>0.05</v>
      </c>
      <c r="N3746" s="475">
        <f t="shared" si="157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55"/>
        <v>-2452093429177.6489</v>
      </c>
      <c r="J3747" s="455">
        <f t="array" ref="J3747">IFERROR(INDEX('Retirement Calculator'!K:K,MATCH('Lorri 401b'!N3747,'Retirement Calculator'!A:A,0),0),0)</f>
        <v>0</v>
      </c>
      <c r="K3747" s="455">
        <f t="shared" ca="1" si="153"/>
        <v>-10217055954.90687</v>
      </c>
      <c r="L3747" s="455">
        <f t="shared" ca="1" si="154"/>
        <v>-2462310485132.5557</v>
      </c>
      <c r="M3747" s="471">
        <f t="shared" si="156"/>
        <v>0.05</v>
      </c>
      <c r="N3747" s="475">
        <f t="shared" si="157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55"/>
        <v>-2462310485132.5557</v>
      </c>
      <c r="J3748" s="455">
        <f t="array" ref="J3748">IFERROR(INDEX('Retirement Calculator'!K:K,MATCH('Lorri 401b'!N3748,'Retirement Calculator'!A:A,0),0),0)</f>
        <v>0</v>
      </c>
      <c r="K3748" s="455">
        <f t="shared" ca="1" si="153"/>
        <v>-10259627021.385649</v>
      </c>
      <c r="L3748" s="455">
        <f t="shared" ca="1" si="154"/>
        <v>-2472570112153.9414</v>
      </c>
      <c r="M3748" s="471">
        <f t="shared" si="156"/>
        <v>0.05</v>
      </c>
      <c r="N3748" s="475">
        <f t="shared" si="157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55"/>
        <v>-2472570112153.9414</v>
      </c>
      <c r="J3749" s="455">
        <f t="array" ref="J3749">IFERROR(INDEX('Retirement Calculator'!K:K,MATCH('Lorri 401b'!N3749,'Retirement Calculator'!A:A,0),0),0)</f>
        <v>0</v>
      </c>
      <c r="K3749" s="455">
        <f t="shared" ca="1" si="153"/>
        <v>-10302375467.308088</v>
      </c>
      <c r="L3749" s="455">
        <f t="shared" ca="1" si="154"/>
        <v>-2482872487621.2495</v>
      </c>
      <c r="M3749" s="471">
        <f t="shared" si="156"/>
        <v>0.05</v>
      </c>
      <c r="N3749" s="475">
        <f t="shared" si="157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55"/>
        <v>-2482872487621.2495</v>
      </c>
      <c r="J3750" s="455">
        <f t="array" ref="J3750">IFERROR(INDEX('Retirement Calculator'!K:K,MATCH('Lorri 401b'!N3750,'Retirement Calculator'!A:A,0),0),0)</f>
        <v>0</v>
      </c>
      <c r="K3750" s="455">
        <f t="shared" ca="1" si="153"/>
        <v>-10345302031.755207</v>
      </c>
      <c r="L3750" s="455">
        <f t="shared" ca="1" si="154"/>
        <v>-2493217789653.0049</v>
      </c>
      <c r="M3750" s="471">
        <f t="shared" si="156"/>
        <v>0.05</v>
      </c>
      <c r="N3750" s="475">
        <f t="shared" si="157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55"/>
        <v>-2493217789653.0049</v>
      </c>
      <c r="J3751" s="455">
        <f t="array" ref="J3751">IFERROR(INDEX('Retirement Calculator'!K:K,MATCH('Lorri 401b'!N3751,'Retirement Calculator'!A:A,0),0),0)</f>
        <v>0</v>
      </c>
      <c r="K3751" s="455">
        <f t="shared" ca="1" si="153"/>
        <v>-10388407456.88752</v>
      </c>
      <c r="L3751" s="455">
        <f t="shared" ca="1" si="154"/>
        <v>-2503606197109.8926</v>
      </c>
      <c r="M3751" s="471">
        <f t="shared" si="156"/>
        <v>0.05</v>
      </c>
      <c r="N3751" s="475">
        <f t="shared" si="157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55"/>
        <v>-2503606197109.8926</v>
      </c>
      <c r="J3752" s="455">
        <f t="array" ref="J3752">IFERROR(INDEX('Retirement Calculator'!K:K,MATCH('Lorri 401b'!N3752,'Retirement Calculator'!A:A,0),0),0)</f>
        <v>0</v>
      </c>
      <c r="K3752" s="455">
        <f t="shared" ca="1" si="153"/>
        <v>-10431692487.957886</v>
      </c>
      <c r="L3752" s="455">
        <f t="shared" ca="1" si="154"/>
        <v>-2514037889597.8506</v>
      </c>
      <c r="M3752" s="471">
        <f t="shared" si="156"/>
        <v>0.05</v>
      </c>
      <c r="N3752" s="475">
        <f t="shared" si="157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55"/>
        <v>-2514037889597.8506</v>
      </c>
      <c r="J3753" s="455">
        <f t="array" ref="J3753">IFERROR(INDEX('Retirement Calculator'!K:K,MATCH('Lorri 401b'!N3753,'Retirement Calculator'!A:A,0),0),0)</f>
        <v>0</v>
      </c>
      <c r="K3753" s="455">
        <f t="shared" ca="1" si="153"/>
        <v>-10475157873.324377</v>
      </c>
      <c r="L3753" s="455">
        <f t="shared" ca="1" si="154"/>
        <v>-2524513047471.1748</v>
      </c>
      <c r="M3753" s="471">
        <f t="shared" si="156"/>
        <v>0.05</v>
      </c>
      <c r="N3753" s="475">
        <f t="shared" si="157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55"/>
        <v>-2524513047471.1748</v>
      </c>
      <c r="J3754" s="455">
        <f t="array" ref="J3754">IFERROR(INDEX('Retirement Calculator'!K:K,MATCH('Lorri 401b'!N3754,'Retirement Calculator'!A:A,0),0),0)</f>
        <v>0</v>
      </c>
      <c r="K3754" s="455">
        <f t="shared" ca="1" si="153"/>
        <v>-10518804364.463228</v>
      </c>
      <c r="L3754" s="455">
        <f t="shared" ca="1" si="154"/>
        <v>-2535031851835.6382</v>
      </c>
      <c r="M3754" s="471">
        <f t="shared" si="156"/>
        <v>0.05</v>
      </c>
      <c r="N3754" s="475">
        <f t="shared" si="157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55"/>
        <v>-2535031851835.6382</v>
      </c>
      <c r="J3755" s="455">
        <f t="array" ref="J3755">IFERROR(INDEX('Retirement Calculator'!K:K,MATCH('Lorri 401b'!N3755,'Retirement Calculator'!A:A,0),0),0)</f>
        <v>0</v>
      </c>
      <c r="K3755" s="455">
        <f t="shared" ca="1" si="153"/>
        <v>-10562632715.981825</v>
      </c>
      <c r="L3755" s="455">
        <f t="shared" ca="1" si="154"/>
        <v>-2545594484551.6201</v>
      </c>
      <c r="M3755" s="471">
        <f t="shared" si="156"/>
        <v>0.05</v>
      </c>
      <c r="N3755" s="475">
        <f t="shared" si="157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55"/>
        <v>-2545594484551.6201</v>
      </c>
      <c r="J3756" s="455">
        <f t="array" ref="J3756">IFERROR(INDEX('Retirement Calculator'!K:K,MATCH('Lorri 401b'!N3756,'Retirement Calculator'!A:A,0),0),0)</f>
        <v>0</v>
      </c>
      <c r="K3756" s="455">
        <f t="shared" ca="1" si="153"/>
        <v>-10606643685.63175</v>
      </c>
      <c r="L3756" s="455">
        <f t="shared" ca="1" si="154"/>
        <v>-2556201128237.252</v>
      </c>
      <c r="M3756" s="471">
        <f t="shared" si="156"/>
        <v>0.05</v>
      </c>
      <c r="N3756" s="475">
        <f t="shared" si="157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55"/>
        <v>-2556201128237.252</v>
      </c>
      <c r="J3757" s="455">
        <f t="array" ref="J3757">IFERROR(INDEX('Retirement Calculator'!K:K,MATCH('Lorri 401b'!N3757,'Retirement Calculator'!A:A,0),0),0)</f>
        <v>0</v>
      </c>
      <c r="K3757" s="455">
        <f t="shared" ca="1" si="153"/>
        <v>-10650838034.321882</v>
      </c>
      <c r="L3757" s="455">
        <f t="shared" ca="1" si="154"/>
        <v>-2566851966271.5737</v>
      </c>
      <c r="M3757" s="471">
        <f t="shared" si="156"/>
        <v>0.05</v>
      </c>
      <c r="N3757" s="475">
        <f t="shared" si="157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55"/>
        <v>-2566851966271.5737</v>
      </c>
      <c r="J3758" s="455">
        <f t="array" ref="J3758">IFERROR(INDEX('Retirement Calculator'!K:K,MATCH('Lorri 401b'!N3758,'Retirement Calculator'!A:A,0),0),0)</f>
        <v>0</v>
      </c>
      <c r="K3758" s="455">
        <f t="shared" ca="1" si="153"/>
        <v>-10695216526.131557</v>
      </c>
      <c r="L3758" s="455">
        <f t="shared" ca="1" si="154"/>
        <v>-2577547182797.7051</v>
      </c>
      <c r="M3758" s="471">
        <f t="shared" si="156"/>
        <v>0.05</v>
      </c>
      <c r="N3758" s="475">
        <f t="shared" si="157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55"/>
        <v>-2577547182797.7051</v>
      </c>
      <c r="J3759" s="455">
        <f t="array" ref="J3759">IFERROR(INDEX('Retirement Calculator'!K:K,MATCH('Lorri 401b'!N3759,'Retirement Calculator'!A:A,0),0),0)</f>
        <v>0</v>
      </c>
      <c r="K3759" s="455">
        <f t="shared" ca="1" si="153"/>
        <v>-10739779928.323771</v>
      </c>
      <c r="L3759" s="455">
        <f t="shared" ca="1" si="154"/>
        <v>-2588286962726.0288</v>
      </c>
      <c r="M3759" s="471">
        <f t="shared" si="156"/>
        <v>0.05</v>
      </c>
      <c r="N3759" s="475">
        <f t="shared" si="157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55"/>
        <v>-2588286962726.0288</v>
      </c>
      <c r="J3760" s="455">
        <f t="array" ref="J3760">IFERROR(INDEX('Retirement Calculator'!K:K,MATCH('Lorri 401b'!N3760,'Retirement Calculator'!A:A,0),0),0)</f>
        <v>0</v>
      </c>
      <c r="K3760" s="455">
        <f t="shared" ca="1" si="153"/>
        <v>-10784529011.358454</v>
      </c>
      <c r="L3760" s="455">
        <f t="shared" ca="1" si="154"/>
        <v>-2599071491737.3872</v>
      </c>
      <c r="M3760" s="471">
        <f t="shared" si="156"/>
        <v>0.05</v>
      </c>
      <c r="N3760" s="475">
        <f t="shared" si="157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55"/>
        <v>-2599071491737.3872</v>
      </c>
      <c r="J3761" s="455">
        <f t="array" ref="J3761">IFERROR(INDEX('Retirement Calculator'!K:K,MATCH('Lorri 401b'!N3761,'Retirement Calculator'!A:A,0),0),0)</f>
        <v>0</v>
      </c>
      <c r="K3761" s="455">
        <f t="shared" ca="1" si="153"/>
        <v>-10829464548.905781</v>
      </c>
      <c r="L3761" s="455">
        <f t="shared" ca="1" si="154"/>
        <v>-2609900956286.293</v>
      </c>
      <c r="M3761" s="471">
        <f t="shared" si="156"/>
        <v>0.05</v>
      </c>
      <c r="N3761" s="475">
        <f t="shared" si="157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55"/>
        <v>-2609900956286.293</v>
      </c>
      <c r="J3762" s="455">
        <f t="array" ref="J3762">IFERROR(INDEX('Retirement Calculator'!K:K,MATCH('Lorri 401b'!N3762,'Retirement Calculator'!A:A,0),0),0)</f>
        <v>0</v>
      </c>
      <c r="K3762" s="455">
        <f t="shared" ca="1" si="153"/>
        <v>-10874587317.859554</v>
      </c>
      <c r="L3762" s="455">
        <f t="shared" ca="1" si="154"/>
        <v>-2620775543604.1523</v>
      </c>
      <c r="M3762" s="471">
        <f t="shared" si="156"/>
        <v>0.05</v>
      </c>
      <c r="N3762" s="475">
        <f t="shared" si="157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55"/>
        <v>-2620775543604.1523</v>
      </c>
      <c r="J3763" s="455">
        <f t="array" ref="J3763">IFERROR(INDEX('Retirement Calculator'!K:K,MATCH('Lorri 401b'!N3763,'Retirement Calculator'!A:A,0),0),0)</f>
        <v>0</v>
      </c>
      <c r="K3763" s="455">
        <f t="shared" ca="1" si="153"/>
        <v>-10919898098.350636</v>
      </c>
      <c r="L3763" s="455">
        <f t="shared" ca="1" si="154"/>
        <v>-2631695441702.5029</v>
      </c>
      <c r="M3763" s="471">
        <f t="shared" si="156"/>
        <v>0.05</v>
      </c>
      <c r="N3763" s="475">
        <f t="shared" si="157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55"/>
        <v>-2631695441702.5029</v>
      </c>
      <c r="J3764" s="455">
        <f t="array" ref="J3764">IFERROR(INDEX('Retirement Calculator'!K:K,MATCH('Lorri 401b'!N3764,'Retirement Calculator'!A:A,0),0),0)</f>
        <v>0</v>
      </c>
      <c r="K3764" s="455">
        <f t="shared" ca="1" si="153"/>
        <v>-10965397673.760429</v>
      </c>
      <c r="L3764" s="455">
        <f t="shared" ca="1" si="154"/>
        <v>-2642660839376.2632</v>
      </c>
      <c r="M3764" s="471">
        <f t="shared" si="156"/>
        <v>0.05</v>
      </c>
      <c r="N3764" s="475">
        <f t="shared" si="157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55"/>
        <v>-2642660839376.2632</v>
      </c>
      <c r="J3765" s="455">
        <f t="array" ref="J3765">IFERROR(INDEX('Retirement Calculator'!K:K,MATCH('Lorri 401b'!N3765,'Retirement Calculator'!A:A,0),0),0)</f>
        <v>0</v>
      </c>
      <c r="K3765" s="455">
        <f t="shared" ca="1" si="153"/>
        <v>-11011086830.73443</v>
      </c>
      <c r="L3765" s="455">
        <f t="shared" ca="1" si="154"/>
        <v>-2653671926206.9976</v>
      </c>
      <c r="M3765" s="471">
        <f t="shared" si="156"/>
        <v>0.05</v>
      </c>
      <c r="N3765" s="475">
        <f t="shared" si="157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55"/>
        <v>-2653671926206.9976</v>
      </c>
      <c r="J3766" s="455">
        <f t="array" ref="J3766">IFERROR(INDEX('Retirement Calculator'!K:K,MATCH('Lorri 401b'!N3766,'Retirement Calculator'!A:A,0),0),0)</f>
        <v>0</v>
      </c>
      <c r="K3766" s="455">
        <f t="shared" ca="1" si="153"/>
        <v>-11056966359.195824</v>
      </c>
      <c r="L3766" s="455">
        <f t="shared" ca="1" si="154"/>
        <v>-2664728892566.1934</v>
      </c>
      <c r="M3766" s="471">
        <f t="shared" si="156"/>
        <v>0.05</v>
      </c>
      <c r="N3766" s="475">
        <f t="shared" si="157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55"/>
        <v>-2664728892566.1934</v>
      </c>
      <c r="J3767" s="455">
        <f t="array" ref="J3767">IFERROR(INDEX('Retirement Calculator'!K:K,MATCH('Lorri 401b'!N3767,'Retirement Calculator'!A:A,0),0),0)</f>
        <v>0</v>
      </c>
      <c r="K3767" s="455">
        <f t="shared" ca="1" si="153"/>
        <v>-11103037052.359138</v>
      </c>
      <c r="L3767" s="455">
        <f t="shared" ca="1" si="154"/>
        <v>-2675831929618.5527</v>
      </c>
      <c r="M3767" s="471">
        <f t="shared" si="156"/>
        <v>0.05</v>
      </c>
      <c r="N3767" s="475">
        <f t="shared" si="157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55"/>
        <v>-2675831929618.5527</v>
      </c>
      <c r="J3768" s="455">
        <f t="array" ref="J3768">IFERROR(INDEX('Retirement Calculator'!K:K,MATCH('Lorri 401b'!N3768,'Retirement Calculator'!A:A,0),0),0)</f>
        <v>0</v>
      </c>
      <c r="K3768" s="455">
        <f t="shared" ca="1" si="153"/>
        <v>-11149299706.743969</v>
      </c>
      <c r="L3768" s="455">
        <f t="shared" ca="1" si="154"/>
        <v>-2686981229325.2969</v>
      </c>
      <c r="M3768" s="471">
        <f t="shared" si="156"/>
        <v>0.05</v>
      </c>
      <c r="N3768" s="475">
        <f t="shared" si="157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55"/>
        <v>-2686981229325.2969</v>
      </c>
      <c r="J3769" s="455">
        <f t="array" ref="J3769">IFERROR(INDEX('Retirement Calculator'!K:K,MATCH('Lorri 401b'!N3769,'Retirement Calculator'!A:A,0),0),0)</f>
        <v>0</v>
      </c>
      <c r="K3769" s="455">
        <f t="shared" ca="1" si="153"/>
        <v>-11195755122.188736</v>
      </c>
      <c r="L3769" s="455">
        <f t="shared" ca="1" si="154"/>
        <v>-2698176984447.4858</v>
      </c>
      <c r="M3769" s="471">
        <f t="shared" si="156"/>
        <v>0.05</v>
      </c>
      <c r="N3769" s="475">
        <f t="shared" si="157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55"/>
        <v>-2698176984447.4858</v>
      </c>
      <c r="J3770" s="455">
        <f t="array" ref="J3770">IFERROR(INDEX('Retirement Calculator'!K:K,MATCH('Lorri 401b'!N3770,'Retirement Calculator'!A:A,0),0),0)</f>
        <v>0</v>
      </c>
      <c r="K3770" s="455">
        <f t="shared" ca="1" si="153"/>
        <v>-11242404101.864525</v>
      </c>
      <c r="L3770" s="455">
        <f t="shared" ca="1" si="154"/>
        <v>-2709419388549.3506</v>
      </c>
      <c r="M3770" s="471">
        <f t="shared" si="156"/>
        <v>0.05</v>
      </c>
      <c r="N3770" s="475">
        <f t="shared" si="157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55"/>
        <v>-2709419388549.3506</v>
      </c>
      <c r="J3771" s="455">
        <f t="array" ref="J3771">IFERROR(INDEX('Retirement Calculator'!K:K,MATCH('Lorri 401b'!N3771,'Retirement Calculator'!A:A,0),0),0)</f>
        <v>0</v>
      </c>
      <c r="K3771" s="455">
        <f t="shared" ca="1" si="153"/>
        <v>-11289247452.288961</v>
      </c>
      <c r="L3771" s="455">
        <f t="shared" ca="1" si="154"/>
        <v>-2720708636001.6396</v>
      </c>
      <c r="M3771" s="471">
        <f t="shared" si="156"/>
        <v>0.05</v>
      </c>
      <c r="N3771" s="475">
        <f t="shared" si="157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55"/>
        <v>-2720708636001.6396</v>
      </c>
      <c r="J3772" s="455">
        <f t="array" ref="J3772">IFERROR(INDEX('Retirement Calculator'!K:K,MATCH('Lorri 401b'!N3772,'Retirement Calculator'!A:A,0),0),0)</f>
        <v>0</v>
      </c>
      <c r="K3772" s="455">
        <f t="shared" ca="1" si="153"/>
        <v>-11336285983.340164</v>
      </c>
      <c r="L3772" s="455">
        <f t="shared" ca="1" si="154"/>
        <v>-2732044921984.98</v>
      </c>
      <c r="M3772" s="471">
        <f t="shared" si="156"/>
        <v>0.05</v>
      </c>
      <c r="N3772" s="475">
        <f t="shared" si="157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55"/>
        <v>-2732044921984.98</v>
      </c>
      <c r="J3773" s="455">
        <f t="array" ref="J3773">IFERROR(INDEX('Retirement Calculator'!K:K,MATCH('Lorri 401b'!N3773,'Retirement Calculator'!A:A,0),0),0)</f>
        <v>0</v>
      </c>
      <c r="K3773" s="455">
        <f t="shared" ca="1" si="153"/>
        <v>-11383520508.27075</v>
      </c>
      <c r="L3773" s="455">
        <f t="shared" ca="1" si="154"/>
        <v>-2743428442493.2505</v>
      </c>
      <c r="M3773" s="471">
        <f t="shared" si="156"/>
        <v>0.05</v>
      </c>
      <c r="N3773" s="475">
        <f t="shared" si="157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55"/>
        <v>-2743428442493.2505</v>
      </c>
      <c r="J3774" s="455">
        <f t="array" ref="J3774">IFERROR(INDEX('Retirement Calculator'!K:K,MATCH('Lorri 401b'!N3774,'Retirement Calculator'!A:A,0),0),0)</f>
        <v>0</v>
      </c>
      <c r="K3774" s="455">
        <f t="shared" ca="1" si="153"/>
        <v>-11430951843.721876</v>
      </c>
      <c r="L3774" s="455">
        <f t="shared" ca="1" si="154"/>
        <v>-2754859394336.9722</v>
      </c>
      <c r="M3774" s="471">
        <f t="shared" si="156"/>
        <v>0.05</v>
      </c>
      <c r="N3774" s="475">
        <f t="shared" si="157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55"/>
        <v>-2754859394336.9722</v>
      </c>
      <c r="J3775" s="455">
        <f t="array" ref="J3775">IFERROR(INDEX('Retirement Calculator'!K:K,MATCH('Lorri 401b'!N3775,'Retirement Calculator'!A:A,0),0),0)</f>
        <v>0</v>
      </c>
      <c r="K3775" s="455">
        <f t="shared" ca="1" si="153"/>
        <v>-11478580809.737385</v>
      </c>
      <c r="L3775" s="455">
        <f t="shared" ca="1" si="154"/>
        <v>-2766337975146.7095</v>
      </c>
      <c r="M3775" s="471">
        <f t="shared" si="156"/>
        <v>0.05</v>
      </c>
      <c r="N3775" s="475">
        <f t="shared" si="157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55"/>
        <v>-2766337975146.7095</v>
      </c>
      <c r="J3776" s="455">
        <f t="array" ref="J3776">IFERROR(INDEX('Retirement Calculator'!K:K,MATCH('Lorri 401b'!N3776,'Retirement Calculator'!A:A,0),0),0)</f>
        <v>0</v>
      </c>
      <c r="K3776" s="455">
        <f t="shared" ca="1" si="153"/>
        <v>-11526408229.777956</v>
      </c>
      <c r="L3776" s="455">
        <f t="shared" ca="1" si="154"/>
        <v>-2777864383376.4873</v>
      </c>
      <c r="M3776" s="471">
        <f t="shared" si="156"/>
        <v>0.05</v>
      </c>
      <c r="N3776" s="475">
        <f t="shared" si="157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55"/>
        <v>-2777864383376.4873</v>
      </c>
      <c r="J3777" s="455">
        <f t="array" ref="J3777">IFERROR(INDEX('Retirement Calculator'!K:K,MATCH('Lorri 401b'!N3777,'Retirement Calculator'!A:A,0),0),0)</f>
        <v>0</v>
      </c>
      <c r="K3777" s="455">
        <f t="shared" ca="1" si="153"/>
        <v>-11574434930.735363</v>
      </c>
      <c r="L3777" s="455">
        <f t="shared" ca="1" si="154"/>
        <v>-2789438818307.2227</v>
      </c>
      <c r="M3777" s="471">
        <f t="shared" si="156"/>
        <v>0.05</v>
      </c>
      <c r="N3777" s="475">
        <f t="shared" si="157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55"/>
        <v>-2789438818307.2227</v>
      </c>
      <c r="J3778" s="455">
        <f t="array" ref="J3778">IFERROR(INDEX('Retirement Calculator'!K:K,MATCH('Lorri 401b'!N3778,'Retirement Calculator'!A:A,0),0),0)</f>
        <v>0</v>
      </c>
      <c r="K3778" s="455">
        <f t="shared" ca="1" si="153"/>
        <v>-11622661742.94676</v>
      </c>
      <c r="L3778" s="455">
        <f t="shared" ca="1" si="154"/>
        <v>-2801061480050.1694</v>
      </c>
      <c r="M3778" s="471">
        <f t="shared" si="156"/>
        <v>0.05</v>
      </c>
      <c r="N3778" s="475">
        <f t="shared" si="157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55"/>
        <v>-2801061480050.1694</v>
      </c>
      <c r="J3779" s="455">
        <f t="array" ref="J3779">IFERROR(INDEX('Retirement Calculator'!K:K,MATCH('Lorri 401b'!N3779,'Retirement Calculator'!A:A,0),0),0)</f>
        <v>0</v>
      </c>
      <c r="K3779" s="455">
        <f t="shared" ca="1" si="153"/>
        <v>-11671089500.20904</v>
      </c>
      <c r="L3779" s="455">
        <f t="shared" ca="1" si="154"/>
        <v>-2812732569550.3784</v>
      </c>
      <c r="M3779" s="471">
        <f t="shared" si="156"/>
        <v>0.05</v>
      </c>
      <c r="N3779" s="475">
        <f t="shared" si="157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55"/>
        <v>-2812732569550.3784</v>
      </c>
      <c r="J3780" s="455">
        <f t="array" ref="J3780">IFERROR(INDEX('Retirement Calculator'!K:K,MATCH('Lorri 401b'!N3780,'Retirement Calculator'!A:A,0),0),0)</f>
        <v>0</v>
      </c>
      <c r="K3780" s="455">
        <f t="shared" ca="1" si="153"/>
        <v>-11719719039.793243</v>
      </c>
      <c r="L3780" s="455">
        <f t="shared" ca="1" si="154"/>
        <v>-2824452288590.1719</v>
      </c>
      <c r="M3780" s="471">
        <f t="shared" si="156"/>
        <v>0.05</v>
      </c>
      <c r="N3780" s="475">
        <f t="shared" si="157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55"/>
        <v>-2824452288590.1719</v>
      </c>
      <c r="J3781" s="455">
        <f t="array" ref="J3781">IFERROR(INDEX('Retirement Calculator'!K:K,MATCH('Lorri 401b'!N3781,'Retirement Calculator'!A:A,0),0),0)</f>
        <v>0</v>
      </c>
      <c r="K3781" s="455">
        <f t="shared" ca="1" si="153"/>
        <v>-11768551202.459049</v>
      </c>
      <c r="L3781" s="455">
        <f t="shared" ca="1" si="154"/>
        <v>-2836220839792.6309</v>
      </c>
      <c r="M3781" s="471">
        <f t="shared" si="156"/>
        <v>0.05</v>
      </c>
      <c r="N3781" s="475">
        <f t="shared" si="157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55"/>
        <v>-2836220839792.6309</v>
      </c>
      <c r="J3782" s="455">
        <f t="array" ref="J3782">IFERROR(INDEX('Retirement Calculator'!K:K,MATCH('Lorri 401b'!N3782,'Retirement Calculator'!A:A,0),0),0)</f>
        <v>0</v>
      </c>
      <c r="K3782" s="455">
        <f t="shared" ca="1" si="153"/>
        <v>-11817586832.469296</v>
      </c>
      <c r="L3782" s="455">
        <f t="shared" ca="1" si="154"/>
        <v>-2848038426625.1001</v>
      </c>
      <c r="M3782" s="471">
        <f t="shared" si="156"/>
        <v>0.05</v>
      </c>
      <c r="N3782" s="475">
        <f t="shared" si="157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55"/>
        <v>-2848038426625.1001</v>
      </c>
      <c r="J3783" s="455">
        <f t="array" ref="J3783">IFERROR(INDEX('Retirement Calculator'!K:K,MATCH('Lorri 401b'!N3783,'Retirement Calculator'!A:A,0),0),0)</f>
        <v>0</v>
      </c>
      <c r="K3783" s="455">
        <f t="shared" ca="1" si="153"/>
        <v>-11866826777.604584</v>
      </c>
      <c r="L3783" s="455">
        <f t="shared" ca="1" si="154"/>
        <v>-2859905253402.7046</v>
      </c>
      <c r="M3783" s="471">
        <f t="shared" si="156"/>
        <v>0.05</v>
      </c>
      <c r="N3783" s="475">
        <f t="shared" si="157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55"/>
        <v>-2859905253402.7046</v>
      </c>
      <c r="J3784" s="455">
        <f t="array" ref="J3784">IFERROR(INDEX('Retirement Calculator'!K:K,MATCH('Lorri 401b'!N3784,'Retirement Calculator'!A:A,0),0),0)</f>
        <v>0</v>
      </c>
      <c r="K3784" s="455">
        <f t="shared" ca="1" si="153"/>
        <v>-11916271889.177937</v>
      </c>
      <c r="L3784" s="455">
        <f t="shared" ca="1" si="154"/>
        <v>-2871821525291.8823</v>
      </c>
      <c r="M3784" s="471">
        <f t="shared" si="156"/>
        <v>0.05</v>
      </c>
      <c r="N3784" s="475">
        <f t="shared" si="157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55"/>
        <v>-2871821525291.8823</v>
      </c>
      <c r="J3785" s="455">
        <f t="array" ref="J3785">IFERROR(INDEX('Retirement Calculator'!K:K,MATCH('Lorri 401b'!N3785,'Retirement Calculator'!A:A,0),0),0)</f>
        <v>0</v>
      </c>
      <c r="K3785" s="455">
        <f t="shared" ca="1" si="153"/>
        <v>-11965923022.049509</v>
      </c>
      <c r="L3785" s="455">
        <f t="shared" ca="1" si="154"/>
        <v>-2883787448313.9316</v>
      </c>
      <c r="M3785" s="471">
        <f t="shared" si="156"/>
        <v>0.05</v>
      </c>
      <c r="N3785" s="475">
        <f t="shared" si="157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55"/>
        <v>-2883787448313.9316</v>
      </c>
      <c r="J3786" s="455">
        <f t="array" ref="J3786">IFERROR(INDEX('Retirement Calculator'!K:K,MATCH('Lorri 401b'!N3786,'Retirement Calculator'!A:A,0),0),0)</f>
        <v>0</v>
      </c>
      <c r="K3786" s="455">
        <f t="shared" ca="1" si="153"/>
        <v>-12015781034.641382</v>
      </c>
      <c r="L3786" s="455">
        <f t="shared" ca="1" si="154"/>
        <v>-2895803229348.5732</v>
      </c>
      <c r="M3786" s="471">
        <f t="shared" si="156"/>
        <v>0.05</v>
      </c>
      <c r="N3786" s="475">
        <f t="shared" si="157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55"/>
        <v>-2895803229348.5732</v>
      </c>
      <c r="J3787" s="455">
        <f t="array" ref="J3787">IFERROR(INDEX('Retirement Calculator'!K:K,MATCH('Lorri 401b'!N3787,'Retirement Calculator'!A:A,0),0),0)</f>
        <v>0</v>
      </c>
      <c r="K3787" s="455">
        <f t="shared" ca="1" si="153"/>
        <v>-12065846788.952389</v>
      </c>
      <c r="L3787" s="455">
        <f t="shared" ca="1" si="154"/>
        <v>-2907869076137.5254</v>
      </c>
      <c r="M3787" s="471">
        <f t="shared" si="156"/>
        <v>0.05</v>
      </c>
      <c r="N3787" s="475">
        <f t="shared" si="157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55"/>
        <v>-2907869076137.5254</v>
      </c>
      <c r="J3788" s="455">
        <f t="array" ref="J3788">IFERROR(INDEX('Retirement Calculator'!K:K,MATCH('Lorri 401b'!N3788,'Retirement Calculator'!A:A,0),0),0)</f>
        <v>0</v>
      </c>
      <c r="K3788" s="455">
        <f t="shared" ca="1" si="153"/>
        <v>-12116121150.573023</v>
      </c>
      <c r="L3788" s="455">
        <f t="shared" ca="1" si="154"/>
        <v>-2919985197288.0986</v>
      </c>
      <c r="M3788" s="471">
        <f t="shared" si="156"/>
        <v>0.05</v>
      </c>
      <c r="N3788" s="475">
        <f t="shared" si="157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55"/>
        <v>-2919985197288.0986</v>
      </c>
      <c r="J3789" s="455">
        <f t="array" ref="J3789">IFERROR(INDEX('Retirement Calculator'!K:K,MATCH('Lorri 401b'!N3789,'Retirement Calculator'!A:A,0),0),0)</f>
        <v>0</v>
      </c>
      <c r="K3789" s="455">
        <f t="shared" ca="1" si="153"/>
        <v>-12166604988.700411</v>
      </c>
      <c r="L3789" s="455">
        <f t="shared" ca="1" si="154"/>
        <v>-2932151802276.7988</v>
      </c>
      <c r="M3789" s="471">
        <f t="shared" si="156"/>
        <v>0.05</v>
      </c>
      <c r="N3789" s="475">
        <f t="shared" si="157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55"/>
        <v>-2932151802276.7988</v>
      </c>
      <c r="J3790" s="455">
        <f t="array" ref="J3790">IFERROR(INDEX('Retirement Calculator'!K:K,MATCH('Lorri 401b'!N3790,'Retirement Calculator'!A:A,0),0),0)</f>
        <v>0</v>
      </c>
      <c r="K3790" s="455">
        <f t="shared" ca="1" si="153"/>
        <v>-12217299176.153328</v>
      </c>
      <c r="L3790" s="455">
        <f t="shared" ca="1" si="154"/>
        <v>-2944369101452.9521</v>
      </c>
      <c r="M3790" s="471">
        <f t="shared" si="156"/>
        <v>0.05</v>
      </c>
      <c r="N3790" s="475">
        <f t="shared" si="157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55"/>
        <v>-2944369101452.9521</v>
      </c>
      <c r="J3791" s="455">
        <f t="array" ref="J3791">IFERROR(INDEX('Retirement Calculator'!K:K,MATCH('Lorri 401b'!N3791,'Retirement Calculator'!A:A,0),0),0)</f>
        <v>0</v>
      </c>
      <c r="K3791" s="455">
        <f t="shared" ca="1" si="153"/>
        <v>-12268204589.3873</v>
      </c>
      <c r="L3791" s="455">
        <f t="shared" ca="1" si="154"/>
        <v>-2956637306042.3394</v>
      </c>
      <c r="M3791" s="471">
        <f t="shared" si="156"/>
        <v>0.05</v>
      </c>
      <c r="N3791" s="475">
        <f t="shared" si="157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55"/>
        <v>-2956637306042.3394</v>
      </c>
      <c r="J3792" s="455">
        <f t="array" ref="J3792">IFERROR(INDEX('Retirement Calculator'!K:K,MATCH('Lorri 401b'!N3792,'Retirement Calculator'!A:A,0),0),0)</f>
        <v>0</v>
      </c>
      <c r="K3792" s="455">
        <f t="shared" ca="1" si="153"/>
        <v>-12319322108.509747</v>
      </c>
      <c r="L3792" s="455">
        <f t="shared" ca="1" si="154"/>
        <v>-2968956628150.8491</v>
      </c>
      <c r="M3792" s="471">
        <f t="shared" si="156"/>
        <v>0.05</v>
      </c>
      <c r="N3792" s="475">
        <f t="shared" si="157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55"/>
        <v>-2968956628150.8491</v>
      </c>
      <c r="J3793" s="455">
        <f t="array" ref="J3793">IFERROR(INDEX('Retirement Calculator'!K:K,MATCH('Lorri 401b'!N3793,'Retirement Calculator'!A:A,0),0),0)</f>
        <v>0</v>
      </c>
      <c r="K3793" s="455">
        <f t="shared" ca="1" si="153"/>
        <v>-12370652617.295204</v>
      </c>
      <c r="L3793" s="455">
        <f t="shared" ca="1" si="154"/>
        <v>-2981327280768.1445</v>
      </c>
      <c r="M3793" s="471">
        <f t="shared" si="156"/>
        <v>0.05</v>
      </c>
      <c r="N3793" s="475">
        <f t="shared" si="157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55"/>
        <v>-2981327280768.1445</v>
      </c>
      <c r="J3794" s="455">
        <f t="array" ref="J3794">IFERROR(INDEX('Retirement Calculator'!K:K,MATCH('Lorri 401b'!N3794,'Retirement Calculator'!A:A,0),0),0)</f>
        <v>0</v>
      </c>
      <c r="K3794" s="455">
        <f t="shared" ca="1" si="153"/>
        <v>-12422197003.200602</v>
      </c>
      <c r="L3794" s="455">
        <f t="shared" ca="1" si="154"/>
        <v>-2993749477771.3452</v>
      </c>
      <c r="M3794" s="471">
        <f t="shared" si="156"/>
        <v>0.05</v>
      </c>
      <c r="N3794" s="475">
        <f t="shared" si="157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55"/>
        <v>-2993749477771.3452</v>
      </c>
      <c r="J3795" s="455">
        <f t="array" ref="J3795">IFERROR(INDEX('Retirement Calculator'!K:K,MATCH('Lorri 401b'!N3795,'Retirement Calculator'!A:A,0),0),0)</f>
        <v>0</v>
      </c>
      <c r="K3795" s="455">
        <f t="shared" ca="1" si="153"/>
        <v>-12473956157.380606</v>
      </c>
      <c r="L3795" s="455">
        <f t="shared" ca="1" si="154"/>
        <v>-3006223433928.7256</v>
      </c>
      <c r="M3795" s="471">
        <f t="shared" si="156"/>
        <v>0.05</v>
      </c>
      <c r="N3795" s="475">
        <f t="shared" si="157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55"/>
        <v>-3006223433928.7256</v>
      </c>
      <c r="J3796" s="455">
        <f t="array" ref="J3796">IFERROR(INDEX('Retirement Calculator'!K:K,MATCH('Lorri 401b'!N3796,'Retirement Calculator'!A:A,0),0),0)</f>
        <v>0</v>
      </c>
      <c r="K3796" s="455">
        <f t="shared" ca="1" si="153"/>
        <v>-12525930974.703024</v>
      </c>
      <c r="L3796" s="455">
        <f t="shared" ca="1" si="154"/>
        <v>-3018749364903.4287</v>
      </c>
      <c r="M3796" s="471">
        <f t="shared" si="156"/>
        <v>0.05</v>
      </c>
      <c r="N3796" s="475">
        <f t="shared" si="157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55"/>
        <v>-3018749364903.4287</v>
      </c>
      <c r="J3797" s="455">
        <f t="array" ref="J3797">IFERROR(INDEX('Retirement Calculator'!K:K,MATCH('Lorri 401b'!N3797,'Retirement Calculator'!A:A,0),0),0)</f>
        <v>0</v>
      </c>
      <c r="K3797" s="455">
        <f t="shared" ca="1" si="153"/>
        <v>-12578122353.764286</v>
      </c>
      <c r="L3797" s="455">
        <f t="shared" ca="1" si="154"/>
        <v>-3031327487257.1929</v>
      </c>
      <c r="M3797" s="471">
        <f t="shared" si="156"/>
        <v>0.05</v>
      </c>
      <c r="N3797" s="475">
        <f t="shared" si="157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55"/>
        <v>-3031327487257.1929</v>
      </c>
      <c r="J3798" s="455">
        <f t="array" ref="J3798">IFERROR(INDEX('Retirement Calculator'!K:K,MATCH('Lorri 401b'!N3798,'Retirement Calculator'!A:A,0),0),0)</f>
        <v>0</v>
      </c>
      <c r="K3798" s="455">
        <f t="shared" ca="1" si="153"/>
        <v>-12630531196.90497</v>
      </c>
      <c r="L3798" s="455">
        <f t="shared" ca="1" si="154"/>
        <v>-3043958018454.0977</v>
      </c>
      <c r="M3798" s="471">
        <f t="shared" si="156"/>
        <v>0.05</v>
      </c>
      <c r="N3798" s="475">
        <f t="shared" si="157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55"/>
        <v>-3043958018454.0977</v>
      </c>
      <c r="J3799" s="455">
        <f t="array" ref="J3799">IFERROR(INDEX('Retirement Calculator'!K:K,MATCH('Lorri 401b'!N3799,'Retirement Calculator'!A:A,0),0),0)</f>
        <v>0</v>
      </c>
      <c r="K3799" s="455">
        <f t="shared" ca="1" si="153"/>
        <v>-12683158410.225407</v>
      </c>
      <c r="L3799" s="455">
        <f t="shared" ca="1" si="154"/>
        <v>-3056641176864.3232</v>
      </c>
      <c r="M3799" s="471">
        <f t="shared" si="156"/>
        <v>0.05</v>
      </c>
      <c r="N3799" s="475">
        <f t="shared" si="157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55"/>
        <v>-3056641176864.3232</v>
      </c>
      <c r="J3800" s="455">
        <f t="array" ref="J3800">IFERROR(INDEX('Retirement Calculator'!K:K,MATCH('Lorri 401b'!N3800,'Retirement Calculator'!A:A,0),0),0)</f>
        <v>0</v>
      </c>
      <c r="K3800" s="455">
        <f t="shared" ca="1" si="153"/>
        <v>-12736004903.601347</v>
      </c>
      <c r="L3800" s="455">
        <f t="shared" ca="1" si="154"/>
        <v>-3069377181767.9248</v>
      </c>
      <c r="M3800" s="471">
        <f t="shared" si="156"/>
        <v>0.05</v>
      </c>
      <c r="N3800" s="475">
        <f t="shared" si="157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55"/>
        <v>-3069377181767.9248</v>
      </c>
      <c r="J3801" s="455">
        <f t="array" ref="J3801">IFERROR(INDEX('Retirement Calculator'!K:K,MATCH('Lorri 401b'!N3801,'Retirement Calculator'!A:A,0),0),0)</f>
        <v>0</v>
      </c>
      <c r="K3801" s="455">
        <f t="shared" ca="1" si="153"/>
        <v>-12789071590.699686</v>
      </c>
      <c r="L3801" s="455">
        <f t="shared" ca="1" si="154"/>
        <v>-3082166253358.6245</v>
      </c>
      <c r="M3801" s="471">
        <f t="shared" si="156"/>
        <v>0.05</v>
      </c>
      <c r="N3801" s="475">
        <f t="shared" si="157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55"/>
        <v>-3082166253358.6245</v>
      </c>
      <c r="J3802" s="455">
        <f t="array" ref="J3802">IFERROR(INDEX('Retirement Calculator'!K:K,MATCH('Lorri 401b'!N3802,'Retirement Calculator'!A:A,0),0),0)</f>
        <v>0</v>
      </c>
      <c r="K3802" s="455">
        <f t="shared" ca="1" si="153"/>
        <v>-12842359388.994268</v>
      </c>
      <c r="L3802" s="455">
        <f t="shared" ca="1" si="154"/>
        <v>-3095008612747.6187</v>
      </c>
      <c r="M3802" s="471">
        <f t="shared" si="156"/>
        <v>0.05</v>
      </c>
      <c r="N3802" s="475">
        <f t="shared" si="157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55"/>
        <v>-3095008612747.6187</v>
      </c>
      <c r="J3803" s="455">
        <f t="array" ref="J3803">IFERROR(INDEX('Retirement Calculator'!K:K,MATCH('Lorri 401b'!N3803,'Retirement Calculator'!A:A,0),0),0)</f>
        <v>0</v>
      </c>
      <c r="K3803" s="455">
        <f t="shared" ca="1" si="153"/>
        <v>-12895869219.781744</v>
      </c>
      <c r="L3803" s="455">
        <f t="shared" ca="1" si="154"/>
        <v>-3107904481967.4004</v>
      </c>
      <c r="M3803" s="471">
        <f t="shared" si="156"/>
        <v>0.05</v>
      </c>
      <c r="N3803" s="475">
        <f t="shared" si="157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55"/>
        <v>-3107904481967.4004</v>
      </c>
      <c r="J3804" s="455">
        <f t="array" ref="J3804">IFERROR(INDEX('Retirement Calculator'!K:K,MATCH('Lorri 401b'!N3804,'Retirement Calculator'!A:A,0),0),0)</f>
        <v>0</v>
      </c>
      <c r="K3804" s="455">
        <f t="shared" ca="1" si="153"/>
        <v>-12949602008.197502</v>
      </c>
      <c r="L3804" s="455">
        <f t="shared" ca="1" si="154"/>
        <v>-3120854083975.5977</v>
      </c>
      <c r="M3804" s="471">
        <f t="shared" si="156"/>
        <v>0.05</v>
      </c>
      <c r="N3804" s="475">
        <f t="shared" si="157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55"/>
        <v>-3120854083975.5977</v>
      </c>
      <c r="J3805" s="455">
        <f t="array" ref="J3805">IFERROR(INDEX('Retirement Calculator'!K:K,MATCH('Lorri 401b'!N3805,'Retirement Calculator'!A:A,0),0),0)</f>
        <v>0</v>
      </c>
      <c r="K3805" s="455">
        <f t="shared" ca="1" si="153"/>
        <v>-13003558683.231657</v>
      </c>
      <c r="L3805" s="455">
        <f t="shared" ca="1" si="154"/>
        <v>-3133857642658.8291</v>
      </c>
      <c r="M3805" s="471">
        <f t="shared" si="156"/>
        <v>0.05</v>
      </c>
      <c r="N3805" s="475">
        <f t="shared" si="157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55"/>
        <v>-3133857642658.8291</v>
      </c>
      <c r="J3806" s="455">
        <f t="array" ref="J3806">IFERROR(INDEX('Retirement Calculator'!K:K,MATCH('Lorri 401b'!N3806,'Retirement Calculator'!A:A,0),0),0)</f>
        <v>0</v>
      </c>
      <c r="K3806" s="455">
        <f t="shared" ca="1" si="153"/>
        <v>-13057740177.745121</v>
      </c>
      <c r="L3806" s="455">
        <f t="shared" ca="1" si="154"/>
        <v>-3146915382836.5742</v>
      </c>
      <c r="M3806" s="471">
        <f t="shared" si="156"/>
        <v>0.05</v>
      </c>
      <c r="N3806" s="475">
        <f t="shared" si="157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55"/>
        <v>-3146915382836.5742</v>
      </c>
      <c r="J3807" s="455">
        <f t="array" ref="J3807">IFERROR(INDEX('Retirement Calculator'!K:K,MATCH('Lorri 401b'!N3807,'Retirement Calculator'!A:A,0),0),0)</f>
        <v>0</v>
      </c>
      <c r="K3807" s="455">
        <f t="shared" ca="1" si="153"/>
        <v>-13112147428.485725</v>
      </c>
      <c r="L3807" s="455">
        <f t="shared" ca="1" si="154"/>
        <v>-3160027530265.0601</v>
      </c>
      <c r="M3807" s="471">
        <f t="shared" si="156"/>
        <v>0.05</v>
      </c>
      <c r="N3807" s="475">
        <f t="shared" si="157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55"/>
        <v>-3160027530265.0601</v>
      </c>
      <c r="J3808" s="455">
        <f t="array" ref="J3808">IFERROR(INDEX('Retirement Calculator'!K:K,MATCH('Lorri 401b'!N3808,'Retirement Calculator'!A:A,0),0),0)</f>
        <v>0</v>
      </c>
      <c r="K3808" s="455">
        <f t="shared" ca="1" si="153"/>
        <v>-13166781376.104416</v>
      </c>
      <c r="L3808" s="455">
        <f t="shared" ca="1" si="154"/>
        <v>-3173194311641.1646</v>
      </c>
      <c r="M3808" s="471">
        <f t="shared" si="156"/>
        <v>0.05</v>
      </c>
      <c r="N3808" s="475">
        <f t="shared" si="157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55"/>
        <v>-3173194311641.1646</v>
      </c>
      <c r="J3809" s="455">
        <f t="array" ref="J3809">IFERROR(INDEX('Retirement Calculator'!K:K,MATCH('Lorri 401b'!N3809,'Retirement Calculator'!A:A,0),0),0)</f>
        <v>0</v>
      </c>
      <c r="K3809" s="455">
        <f t="shared" ca="1" si="153"/>
        <v>-13221642965.171518</v>
      </c>
      <c r="L3809" s="455">
        <f t="shared" ca="1" si="154"/>
        <v>-3186415954606.3359</v>
      </c>
      <c r="M3809" s="471">
        <f t="shared" si="156"/>
        <v>0.05</v>
      </c>
      <c r="N3809" s="475">
        <f t="shared" si="157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55"/>
        <v>-3186415954606.3359</v>
      </c>
      <c r="J3810" s="455">
        <f t="array" ref="J3810">IFERROR(INDEX('Retirement Calculator'!K:K,MATCH('Lorri 401b'!N3810,'Retirement Calculator'!A:A,0),0),0)</f>
        <v>0</v>
      </c>
      <c r="K3810" s="455">
        <f t="shared" ca="1" si="153"/>
        <v>-13276733144.193066</v>
      </c>
      <c r="L3810" s="455">
        <f t="shared" ca="1" si="154"/>
        <v>-3199692687750.5288</v>
      </c>
      <c r="M3810" s="471">
        <f t="shared" si="156"/>
        <v>0.05</v>
      </c>
      <c r="N3810" s="475">
        <f t="shared" si="157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55"/>
        <v>-3199692687750.5288</v>
      </c>
      <c r="J3811" s="455">
        <f t="array" ref="J3811">IFERROR(INDEX('Retirement Calculator'!K:K,MATCH('Lorri 401b'!N3811,'Retirement Calculator'!A:A,0),0),0)</f>
        <v>0</v>
      </c>
      <c r="K3811" s="455">
        <f t="shared" ca="1" si="153"/>
        <v>-13332052865.627203</v>
      </c>
      <c r="L3811" s="455">
        <f t="shared" ca="1" si="154"/>
        <v>-3213024740616.1563</v>
      </c>
      <c r="M3811" s="471">
        <f t="shared" si="156"/>
        <v>0.05</v>
      </c>
      <c r="N3811" s="475">
        <f t="shared" si="157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55"/>
        <v>-3213024740616.1563</v>
      </c>
      <c r="J3812" s="455">
        <f t="array" ref="J3812">IFERROR(INDEX('Retirement Calculator'!K:K,MATCH('Lorri 401b'!N3812,'Retirement Calculator'!A:A,0),0),0)</f>
        <v>0</v>
      </c>
      <c r="K3812" s="455">
        <f t="shared" ca="1" si="153"/>
        <v>-13387603085.90065</v>
      </c>
      <c r="L3812" s="455">
        <f t="shared" ca="1" si="154"/>
        <v>-3226412343702.0571</v>
      </c>
      <c r="M3812" s="471">
        <f t="shared" si="156"/>
        <v>0.05</v>
      </c>
      <c r="N3812" s="475">
        <f t="shared" si="157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55"/>
        <v>-3226412343702.0571</v>
      </c>
      <c r="J3813" s="455">
        <f t="array" ref="J3813">IFERROR(INDEX('Retirement Calculator'!K:K,MATCH('Lorri 401b'!N3813,'Retirement Calculator'!A:A,0),0),0)</f>
        <v>0</v>
      </c>
      <c r="K3813" s="455">
        <f t="shared" ca="1" si="153"/>
        <v>-13443384765.425238</v>
      </c>
      <c r="L3813" s="455">
        <f t="shared" ca="1" si="154"/>
        <v>-3239855728467.4824</v>
      </c>
      <c r="M3813" s="471">
        <f t="shared" si="156"/>
        <v>0.05</v>
      </c>
      <c r="N3813" s="475">
        <f t="shared" si="157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55"/>
        <v>-3239855728467.4824</v>
      </c>
      <c r="J3814" s="455">
        <f t="array" ref="J3814">IFERROR(INDEX('Retirement Calculator'!K:K,MATCH('Lorri 401b'!N3814,'Retirement Calculator'!A:A,0),0),0)</f>
        <v>0</v>
      </c>
      <c r="K3814" s="455">
        <f t="shared" ca="1" si="153"/>
        <v>-13499398868.61451</v>
      </c>
      <c r="L3814" s="455">
        <f t="shared" ca="1" si="154"/>
        <v>-3253355127336.0972</v>
      </c>
      <c r="M3814" s="471">
        <f t="shared" si="156"/>
        <v>0.05</v>
      </c>
      <c r="N3814" s="475">
        <f t="shared" si="157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55"/>
        <v>-3253355127336.0972</v>
      </c>
      <c r="J3815" s="455">
        <f t="array" ref="J3815">IFERROR(INDEX('Retirement Calculator'!K:K,MATCH('Lorri 401b'!N3815,'Retirement Calculator'!A:A,0),0),0)</f>
        <v>0</v>
      </c>
      <c r="K3815" s="455">
        <f t="shared" ca="1" si="153"/>
        <v>-13555646363.900404</v>
      </c>
      <c r="L3815" s="455">
        <f t="shared" ca="1" si="154"/>
        <v>-3266910773699.9976</v>
      </c>
      <c r="M3815" s="471">
        <f t="shared" si="156"/>
        <v>0.05</v>
      </c>
      <c r="N3815" s="475">
        <f t="shared" si="157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55"/>
        <v>-3266910773699.9976</v>
      </c>
      <c r="J3816" s="455">
        <f t="array" ref="J3816">IFERROR(INDEX('Retirement Calculator'!K:K,MATCH('Lorri 401b'!N3816,'Retirement Calculator'!A:A,0),0),0)</f>
        <v>0</v>
      </c>
      <c r="K3816" s="455">
        <f t="shared" ca="1" si="153"/>
        <v>-13612128223.74999</v>
      </c>
      <c r="L3816" s="455">
        <f t="shared" ca="1" si="154"/>
        <v>-3280522901923.7476</v>
      </c>
      <c r="M3816" s="471">
        <f t="shared" si="156"/>
        <v>0.05</v>
      </c>
      <c r="N3816" s="475">
        <f t="shared" si="157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55"/>
        <v>-3280522901923.7476</v>
      </c>
      <c r="J3817" s="455">
        <f t="array" ref="J3817">IFERROR(INDEX('Retirement Calculator'!K:K,MATCH('Lorri 401b'!N3817,'Retirement Calculator'!A:A,0),0),0)</f>
        <v>0</v>
      </c>
      <c r="K3817" s="455">
        <f t="shared" ca="1" si="153"/>
        <v>-13668845424.682281</v>
      </c>
      <c r="L3817" s="455">
        <f t="shared" ca="1" si="154"/>
        <v>-3294191747348.4297</v>
      </c>
      <c r="M3817" s="471">
        <f t="shared" si="156"/>
        <v>0.05</v>
      </c>
      <c r="N3817" s="475">
        <f t="shared" si="157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55"/>
        <v>-3294191747348.4297</v>
      </c>
      <c r="J3818" s="455">
        <f t="array" ref="J3818">IFERROR(INDEX('Retirement Calculator'!K:K,MATCH('Lorri 401b'!N3818,'Retirement Calculator'!A:A,0),0),0)</f>
        <v>0</v>
      </c>
      <c r="K3818" s="455">
        <f t="shared" ca="1" si="153"/>
        <v>-13725798947.285124</v>
      </c>
      <c r="L3818" s="455">
        <f t="shared" ca="1" si="154"/>
        <v>-3307917546295.7148</v>
      </c>
      <c r="M3818" s="471">
        <f t="shared" si="156"/>
        <v>0.05</v>
      </c>
      <c r="N3818" s="475">
        <f t="shared" si="157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55"/>
        <v>-3307917546295.7148</v>
      </c>
      <c r="J3819" s="455">
        <f t="array" ref="J3819">IFERROR(INDEX('Retirement Calculator'!K:K,MATCH('Lorri 401b'!N3819,'Retirement Calculator'!A:A,0),0),0)</f>
        <v>0</v>
      </c>
      <c r="K3819" s="455">
        <f t="shared" ca="1" si="153"/>
        <v>-13782989776.232145</v>
      </c>
      <c r="L3819" s="455">
        <f t="shared" ca="1" si="154"/>
        <v>-3321700536071.9468</v>
      </c>
      <c r="M3819" s="471">
        <f t="shared" si="156"/>
        <v>0.05</v>
      </c>
      <c r="N3819" s="475">
        <f t="shared" si="157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55"/>
        <v>-3321700536071.9468</v>
      </c>
      <c r="J3820" s="455">
        <f t="array" ref="J3820">IFERROR(INDEX('Retirement Calculator'!K:K,MATCH('Lorri 401b'!N3820,'Retirement Calculator'!A:A,0),0),0)</f>
        <v>0</v>
      </c>
      <c r="K3820" s="455">
        <f t="shared" ca="1" si="153"/>
        <v>-13840418900.299778</v>
      </c>
      <c r="L3820" s="455">
        <f t="shared" ca="1" si="154"/>
        <v>-3335540954972.2466</v>
      </c>
      <c r="M3820" s="471">
        <f t="shared" si="156"/>
        <v>0.05</v>
      </c>
      <c r="N3820" s="475">
        <f t="shared" si="157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55"/>
        <v>-3335540954972.2466</v>
      </c>
      <c r="J3821" s="455">
        <f t="array" ref="J3821">IFERROR(INDEX('Retirement Calculator'!K:K,MATCH('Lorri 401b'!N3821,'Retirement Calculator'!A:A,0),0),0)</f>
        <v>0</v>
      </c>
      <c r="K3821" s="455">
        <f t="shared" ca="1" si="153"/>
        <v>-13898087312.384361</v>
      </c>
      <c r="L3821" s="455">
        <f t="shared" ca="1" si="154"/>
        <v>-3349439042284.6309</v>
      </c>
      <c r="M3821" s="471">
        <f t="shared" si="156"/>
        <v>0.05</v>
      </c>
      <c r="N3821" s="475">
        <f t="shared" si="157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55"/>
        <v>-3349439042284.6309</v>
      </c>
      <c r="J3822" s="455">
        <f t="array" ref="J3822">IFERROR(INDEX('Retirement Calculator'!K:K,MATCH('Lorri 401b'!N3822,'Retirement Calculator'!A:A,0),0),0)</f>
        <v>0</v>
      </c>
      <c r="K3822" s="455">
        <f t="shared" ca="1" si="153"/>
        <v>-13955996009.519295</v>
      </c>
      <c r="L3822" s="455">
        <f t="shared" ca="1" si="154"/>
        <v>-3363395038294.1504</v>
      </c>
      <c r="M3822" s="471">
        <f t="shared" si="156"/>
        <v>0.05</v>
      </c>
      <c r="N3822" s="475">
        <f t="shared" si="157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55"/>
        <v>-3363395038294.1504</v>
      </c>
      <c r="J3823" s="455">
        <f t="array" ref="J3823">IFERROR(INDEX('Retirement Calculator'!K:K,MATCH('Lorri 401b'!N3823,'Retirement Calculator'!A:A,0),0),0)</f>
        <v>0</v>
      </c>
      <c r="K3823" s="455">
        <f t="shared" ca="1" si="153"/>
        <v>-14014145992.892294</v>
      </c>
      <c r="L3823" s="455">
        <f t="shared" ca="1" si="154"/>
        <v>-3377409184287.0425</v>
      </c>
      <c r="M3823" s="471">
        <f t="shared" si="156"/>
        <v>0.05</v>
      </c>
      <c r="N3823" s="475">
        <f t="shared" si="157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55"/>
        <v>-3377409184287.0425</v>
      </c>
      <c r="J3824" s="455">
        <f t="array" ref="J3824">IFERROR(INDEX('Retirement Calculator'!K:K,MATCH('Lorri 401b'!N3824,'Retirement Calculator'!A:A,0),0),0)</f>
        <v>0</v>
      </c>
      <c r="K3824" s="455">
        <f t="shared" ca="1" si="153"/>
        <v>-14072538267.862677</v>
      </c>
      <c r="L3824" s="455">
        <f t="shared" ca="1" si="154"/>
        <v>-3391481722554.9053</v>
      </c>
      <c r="M3824" s="471">
        <f t="shared" si="156"/>
        <v>0.05</v>
      </c>
      <c r="N3824" s="475">
        <f t="shared" si="157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55"/>
        <v>-3391481722554.9053</v>
      </c>
      <c r="J3825" s="455">
        <f t="array" ref="J3825">IFERROR(INDEX('Retirement Calculator'!K:K,MATCH('Lorri 401b'!N3825,'Retirement Calculator'!A:A,0),0),0)</f>
        <v>0</v>
      </c>
      <c r="K3825" s="455">
        <f t="shared" ca="1" si="153"/>
        <v>-14131173843.978771</v>
      </c>
      <c r="L3825" s="455">
        <f t="shared" ca="1" si="154"/>
        <v>-3405612896398.8843</v>
      </c>
      <c r="M3825" s="471">
        <f t="shared" si="156"/>
        <v>0.05</v>
      </c>
      <c r="N3825" s="475">
        <f t="shared" si="157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55"/>
        <v>-3405612896398.8843</v>
      </c>
      <c r="J3826" s="455">
        <f t="array" ref="J3826">IFERROR(INDEX('Retirement Calculator'!K:K,MATCH('Lorri 401b'!N3826,'Retirement Calculator'!A:A,0),0),0)</f>
        <v>0</v>
      </c>
      <c r="K3826" s="455">
        <f t="shared" ca="1" si="153"/>
        <v>-14190053734.995352</v>
      </c>
      <c r="L3826" s="455">
        <f t="shared" ca="1" si="154"/>
        <v>-3419802950133.8794</v>
      </c>
      <c r="M3826" s="471">
        <f t="shared" si="156"/>
        <v>0.05</v>
      </c>
      <c r="N3826" s="475">
        <f t="shared" si="157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55"/>
        <v>-3419802950133.8794</v>
      </c>
      <c r="J3827" s="455">
        <f t="array" ref="J3827">IFERROR(INDEX('Retirement Calculator'!K:K,MATCH('Lorri 401b'!N3827,'Retirement Calculator'!A:A,0),0),0)</f>
        <v>0</v>
      </c>
      <c r="K3827" s="455">
        <f t="shared" ca="1" si="153"/>
        <v>-14249178958.891165</v>
      </c>
      <c r="L3827" s="455">
        <f t="shared" ca="1" si="154"/>
        <v>-3434052129092.7705</v>
      </c>
      <c r="M3827" s="471">
        <f t="shared" si="156"/>
        <v>0.05</v>
      </c>
      <c r="N3827" s="475">
        <f t="shared" si="157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55"/>
        <v>-3434052129092.7705</v>
      </c>
      <c r="J3828" s="455">
        <f t="array" ref="J3828">IFERROR(INDEX('Retirement Calculator'!K:K,MATCH('Lorri 401b'!N3828,'Retirement Calculator'!A:A,0),0),0)</f>
        <v>0</v>
      </c>
      <c r="K3828" s="455">
        <f t="shared" ca="1" si="153"/>
        <v>-14308550537.886543</v>
      </c>
      <c r="L3828" s="455">
        <f t="shared" ca="1" si="154"/>
        <v>-3448360679630.6572</v>
      </c>
      <c r="M3828" s="471">
        <f t="shared" si="156"/>
        <v>0.05</v>
      </c>
      <c r="N3828" s="475">
        <f t="shared" si="157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55"/>
        <v>-3448360679630.6572</v>
      </c>
      <c r="J3829" s="455">
        <f t="array" ref="J3829">IFERROR(INDEX('Retirement Calculator'!K:K,MATCH('Lorri 401b'!N3829,'Retirement Calculator'!A:A,0),0),0)</f>
        <v>0</v>
      </c>
      <c r="K3829" s="455">
        <f t="shared" ca="1" si="153"/>
        <v>-14368169498.461069</v>
      </c>
      <c r="L3829" s="455">
        <f t="shared" ca="1" si="154"/>
        <v>-3462728849129.1182</v>
      </c>
      <c r="M3829" s="471">
        <f t="shared" si="156"/>
        <v>0.05</v>
      </c>
      <c r="N3829" s="475">
        <f t="shared" si="157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55"/>
        <v>-3462728849129.1182</v>
      </c>
      <c r="J3830" s="455">
        <f t="array" ref="J3830">IFERROR(INDEX('Retirement Calculator'!K:K,MATCH('Lorri 401b'!N3830,'Retirement Calculator'!A:A,0),0),0)</f>
        <v>0</v>
      </c>
      <c r="K3830" s="455">
        <f t="shared" ca="1" si="153"/>
        <v>-14428036871.371323</v>
      </c>
      <c r="L3830" s="455">
        <f t="shared" ca="1" si="154"/>
        <v>-3477156886000.4893</v>
      </c>
      <c r="M3830" s="471">
        <f t="shared" si="156"/>
        <v>0.05</v>
      </c>
      <c r="N3830" s="475">
        <f t="shared" si="157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55"/>
        <v>-3477156886000.4893</v>
      </c>
      <c r="J3831" s="455">
        <f t="array" ref="J3831">IFERROR(INDEX('Retirement Calculator'!K:K,MATCH('Lorri 401b'!N3831,'Retirement Calculator'!A:A,0),0),0)</f>
        <v>0</v>
      </c>
      <c r="K3831" s="455">
        <f t="shared" ca="1" si="153"/>
        <v>-14488153691.668705</v>
      </c>
      <c r="L3831" s="455">
        <f t="shared" ca="1" si="154"/>
        <v>-3491645039692.1582</v>
      </c>
      <c r="M3831" s="471">
        <f t="shared" si="156"/>
        <v>0.05</v>
      </c>
      <c r="N3831" s="475">
        <f t="shared" si="157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55"/>
        <v>-3491645039692.1582</v>
      </c>
      <c r="J3832" s="455">
        <f t="array" ref="J3832">IFERROR(INDEX('Retirement Calculator'!K:K,MATCH('Lorri 401b'!N3832,'Retirement Calculator'!A:A,0),0),0)</f>
        <v>0</v>
      </c>
      <c r="K3832" s="455">
        <f t="shared" ca="1" si="153"/>
        <v>-14548520998.717325</v>
      </c>
      <c r="L3832" s="455">
        <f t="shared" ca="1" si="154"/>
        <v>-3506193560690.8755</v>
      </c>
      <c r="M3832" s="471">
        <f t="shared" si="156"/>
        <v>0.05</v>
      </c>
      <c r="N3832" s="475">
        <f t="shared" si="157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55"/>
        <v>-3506193560690.8755</v>
      </c>
      <c r="J3833" s="455">
        <f t="array" ref="J3833">IFERROR(INDEX('Retirement Calculator'!K:K,MATCH('Lorri 401b'!N3833,'Retirement Calculator'!A:A,0),0),0)</f>
        <v>0</v>
      </c>
      <c r="K3833" s="455">
        <f t="shared" ref="K3833:K4087" ca="1" si="158">IPMT(M3833/12,1,12,-I3833+J3833,,0)</f>
        <v>-14609139836.211981</v>
      </c>
      <c r="L3833" s="455">
        <f t="shared" ref="L3833:L4087" ca="1" si="159">I3833-J3833+K3833</f>
        <v>-3520802700527.0874</v>
      </c>
      <c r="M3833" s="471">
        <f t="shared" si="156"/>
        <v>0.05</v>
      </c>
      <c r="N3833" s="475">
        <f t="shared" si="157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60">L3833</f>
        <v>-3520802700527.0874</v>
      </c>
      <c r="J3834" s="455">
        <f t="array" ref="J3834">IFERROR(INDEX('Retirement Calculator'!K:K,MATCH('Lorri 401b'!N3834,'Retirement Calculator'!A:A,0),0),0)</f>
        <v>0</v>
      </c>
      <c r="K3834" s="455">
        <f t="shared" ca="1" si="158"/>
        <v>-14670011252.196198</v>
      </c>
      <c r="L3834" s="455">
        <f t="shared" ca="1" si="159"/>
        <v>-3535472711779.2837</v>
      </c>
      <c r="M3834" s="471">
        <f t="shared" ref="M3834:M4088" si="161">M3833</f>
        <v>0.05</v>
      </c>
      <c r="N3834" s="475">
        <f t="shared" ref="N3834:N4088" si="162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60"/>
        <v>-3535472711779.2837</v>
      </c>
      <c r="J3835" s="455">
        <f t="array" ref="J3835">IFERROR(INDEX('Retirement Calculator'!K:K,MATCH('Lorri 401b'!N3835,'Retirement Calculator'!A:A,0),0),0)</f>
        <v>0</v>
      </c>
      <c r="K3835" s="455">
        <f t="shared" ca="1" si="158"/>
        <v>-14731136299.080349</v>
      </c>
      <c r="L3835" s="455">
        <f t="shared" ca="1" si="159"/>
        <v>-3550203848078.3643</v>
      </c>
      <c r="M3835" s="471">
        <f t="shared" si="161"/>
        <v>0.05</v>
      </c>
      <c r="N3835" s="475">
        <f t="shared" si="162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60"/>
        <v>-3550203848078.3643</v>
      </c>
      <c r="J3836" s="455">
        <f t="array" ref="J3836">IFERROR(INDEX('Retirement Calculator'!K:K,MATCH('Lorri 401b'!N3836,'Retirement Calculator'!A:A,0),0),0)</f>
        <v>0</v>
      </c>
      <c r="K3836" s="455">
        <f t="shared" ca="1" si="158"/>
        <v>-14792516033.659853</v>
      </c>
      <c r="L3836" s="455">
        <f t="shared" ca="1" si="159"/>
        <v>-3564996364112.0239</v>
      </c>
      <c r="M3836" s="471">
        <f t="shared" si="161"/>
        <v>0.05</v>
      </c>
      <c r="N3836" s="475">
        <f t="shared" si="162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60"/>
        <v>-3564996364112.0239</v>
      </c>
      <c r="J3837" s="455">
        <f t="array" ref="J3837">IFERROR(INDEX('Retirement Calculator'!K:K,MATCH('Lorri 401b'!N3837,'Retirement Calculator'!A:A,0),0),0)</f>
        <v>0</v>
      </c>
      <c r="K3837" s="455">
        <f t="shared" ca="1" si="158"/>
        <v>-14854151517.133432</v>
      </c>
      <c r="L3837" s="455">
        <f t="shared" ca="1" si="159"/>
        <v>-3579850515629.1572</v>
      </c>
      <c r="M3837" s="471">
        <f t="shared" si="161"/>
        <v>0.05</v>
      </c>
      <c r="N3837" s="475">
        <f t="shared" si="162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60"/>
        <v>-3579850515629.1572</v>
      </c>
      <c r="J3838" s="455">
        <f t="array" ref="J3838">IFERROR(INDEX('Retirement Calculator'!K:K,MATCH('Lorri 401b'!N3838,'Retirement Calculator'!A:A,0),0),0)</f>
        <v>0</v>
      </c>
      <c r="K3838" s="455">
        <f t="shared" ca="1" si="158"/>
        <v>-14916043815.121489</v>
      </c>
      <c r="L3838" s="455">
        <f t="shared" ca="1" si="159"/>
        <v>-3594766559444.2788</v>
      </c>
      <c r="M3838" s="471">
        <f t="shared" si="161"/>
        <v>0.05</v>
      </c>
      <c r="N3838" s="475">
        <f t="shared" si="162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60"/>
        <v>-3594766559444.2788</v>
      </c>
      <c r="J3839" s="455">
        <f t="array" ref="J3839">IFERROR(INDEX('Retirement Calculator'!K:K,MATCH('Lorri 401b'!N3839,'Retirement Calculator'!A:A,0),0),0)</f>
        <v>0</v>
      </c>
      <c r="K3839" s="455">
        <f t="shared" ca="1" si="158"/>
        <v>-14978193997.684494</v>
      </c>
      <c r="L3839" s="455">
        <f t="shared" ca="1" si="159"/>
        <v>-3609744753441.9634</v>
      </c>
      <c r="M3839" s="471">
        <f t="shared" si="161"/>
        <v>0.05</v>
      </c>
      <c r="N3839" s="475">
        <f t="shared" si="162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60"/>
        <v>-3609744753441.9634</v>
      </c>
      <c r="J3840" s="455">
        <f t="array" ref="J3840">IFERROR(INDEX('Retirement Calculator'!K:K,MATCH('Lorri 401b'!N3840,'Retirement Calculator'!A:A,0),0),0)</f>
        <v>0</v>
      </c>
      <c r="K3840" s="455">
        <f t="shared" ca="1" si="158"/>
        <v>-15040603139.341515</v>
      </c>
      <c r="L3840" s="455">
        <f t="shared" ca="1" si="159"/>
        <v>-3624785356581.3047</v>
      </c>
      <c r="M3840" s="471">
        <f t="shared" si="161"/>
        <v>0.05</v>
      </c>
      <c r="N3840" s="475">
        <f t="shared" si="162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60"/>
        <v>-3624785356581.3047</v>
      </c>
      <c r="J3841" s="455">
        <f t="array" ref="J3841">IFERROR(INDEX('Retirement Calculator'!K:K,MATCH('Lorri 401b'!N3841,'Retirement Calculator'!A:A,0),0),0)</f>
        <v>0</v>
      </c>
      <c r="K3841" s="455">
        <f t="shared" ca="1" si="158"/>
        <v>-15103272319.088772</v>
      </c>
      <c r="L3841" s="455">
        <f t="shared" ca="1" si="159"/>
        <v>-3639888628900.3936</v>
      </c>
      <c r="M3841" s="471">
        <f t="shared" si="161"/>
        <v>0.05</v>
      </c>
      <c r="N3841" s="475">
        <f t="shared" si="162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60"/>
        <v>-3639888628900.3936</v>
      </c>
      <c r="J3842" s="455">
        <f t="array" ref="J3842">IFERROR(INDEX('Retirement Calculator'!K:K,MATCH('Lorri 401b'!N3842,'Retirement Calculator'!A:A,0),0),0)</f>
        <v>0</v>
      </c>
      <c r="K3842" s="455">
        <f t="shared" ca="1" si="158"/>
        <v>-15166202620.418308</v>
      </c>
      <c r="L3842" s="455">
        <f t="shared" ca="1" si="159"/>
        <v>-3655054831520.812</v>
      </c>
      <c r="M3842" s="471">
        <f t="shared" si="161"/>
        <v>0.05</v>
      </c>
      <c r="N3842" s="475">
        <f t="shared" si="162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60"/>
        <v>-3655054831520.812</v>
      </c>
      <c r="J3843" s="455">
        <f t="array" ref="J3843">IFERROR(INDEX('Retirement Calculator'!K:K,MATCH('Lorri 401b'!N3843,'Retirement Calculator'!A:A,0),0),0)</f>
        <v>0</v>
      </c>
      <c r="K3843" s="455">
        <f t="shared" ca="1" si="158"/>
        <v>-15229395131.336718</v>
      </c>
      <c r="L3843" s="455">
        <f t="shared" ca="1" si="159"/>
        <v>-3670284226652.1489</v>
      </c>
      <c r="M3843" s="471">
        <f t="shared" si="161"/>
        <v>0.05</v>
      </c>
      <c r="N3843" s="475">
        <f t="shared" si="162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60"/>
        <v>-3670284226652.1489</v>
      </c>
      <c r="J3844" s="455">
        <f t="array" ref="J3844">IFERROR(INDEX('Retirement Calculator'!K:K,MATCH('Lorri 401b'!N3844,'Retirement Calculator'!A:A,0),0),0)</f>
        <v>0</v>
      </c>
      <c r="K3844" s="455">
        <f t="shared" ca="1" si="158"/>
        <v>-15292850944.383953</v>
      </c>
      <c r="L3844" s="455">
        <f t="shared" ca="1" si="159"/>
        <v>-3685577077596.5327</v>
      </c>
      <c r="M3844" s="471">
        <f t="shared" si="161"/>
        <v>0.05</v>
      </c>
      <c r="N3844" s="475">
        <f t="shared" si="162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60"/>
        <v>-3685577077596.5327</v>
      </c>
      <c r="J3845" s="455">
        <f t="array" ref="J3845">IFERROR(INDEX('Retirement Calculator'!K:K,MATCH('Lorri 401b'!N3845,'Retirement Calculator'!A:A,0),0),0)</f>
        <v>0</v>
      </c>
      <c r="K3845" s="455">
        <f t="shared" ca="1" si="158"/>
        <v>-15356571156.652222</v>
      </c>
      <c r="L3845" s="455">
        <f t="shared" ca="1" si="159"/>
        <v>-3700933648753.1851</v>
      </c>
      <c r="M3845" s="471">
        <f t="shared" si="161"/>
        <v>0.05</v>
      </c>
      <c r="N3845" s="475">
        <f t="shared" si="162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60"/>
        <v>-3700933648753.1851</v>
      </c>
      <c r="J3846" s="455">
        <f t="array" ref="J3846">IFERROR(INDEX('Retirement Calculator'!K:K,MATCH('Lorri 401b'!N3846,'Retirement Calculator'!A:A,0),0),0)</f>
        <v>0</v>
      </c>
      <c r="K3846" s="455">
        <f t="shared" ca="1" si="158"/>
        <v>-15420556869.804937</v>
      </c>
      <c r="L3846" s="455">
        <f t="shared" ca="1" si="159"/>
        <v>-3716354205622.9902</v>
      </c>
      <c r="M3846" s="471">
        <f t="shared" si="161"/>
        <v>0.05</v>
      </c>
      <c r="N3846" s="475">
        <f t="shared" si="162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60"/>
        <v>-3716354205622.9902</v>
      </c>
      <c r="J3847" s="455">
        <f t="array" ref="J3847">IFERROR(INDEX('Retirement Calculator'!K:K,MATCH('Lorri 401b'!N3847,'Retirement Calculator'!A:A,0),0),0)</f>
        <v>0</v>
      </c>
      <c r="K3847" s="455">
        <f t="shared" ca="1" si="158"/>
        <v>-15484809190.095793</v>
      </c>
      <c r="L3847" s="455">
        <f t="shared" ca="1" si="159"/>
        <v>-3731839014813.0859</v>
      </c>
      <c r="M3847" s="471">
        <f t="shared" si="161"/>
        <v>0.05</v>
      </c>
      <c r="N3847" s="475">
        <f t="shared" si="162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60"/>
        <v>-3731839014813.0859</v>
      </c>
      <c r="J3848" s="455">
        <f t="array" ref="J3848">IFERROR(INDEX('Retirement Calculator'!K:K,MATCH('Lorri 401b'!N3848,'Retirement Calculator'!A:A,0),0),0)</f>
        <v>0</v>
      </c>
      <c r="K3848" s="455">
        <f t="shared" ca="1" si="158"/>
        <v>-15549329228.387856</v>
      </c>
      <c r="L3848" s="455">
        <f t="shared" ca="1" si="159"/>
        <v>-3747388344041.4736</v>
      </c>
      <c r="M3848" s="471">
        <f t="shared" si="161"/>
        <v>0.05</v>
      </c>
      <c r="N3848" s="475">
        <f t="shared" si="162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60"/>
        <v>-3747388344041.4736</v>
      </c>
      <c r="J3849" s="455">
        <f t="array" ref="J3849">IFERROR(INDEX('Retirement Calculator'!K:K,MATCH('Lorri 401b'!N3849,'Retirement Calculator'!A:A,0),0),0)</f>
        <v>0</v>
      </c>
      <c r="K3849" s="455">
        <f t="shared" ca="1" si="158"/>
        <v>-15614118100.172806</v>
      </c>
      <c r="L3849" s="455">
        <f t="shared" ca="1" si="159"/>
        <v>-3763002462141.6465</v>
      </c>
      <c r="M3849" s="471">
        <f t="shared" si="161"/>
        <v>0.05</v>
      </c>
      <c r="N3849" s="475">
        <f t="shared" si="162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60"/>
        <v>-3763002462141.6465</v>
      </c>
      <c r="J3850" s="455">
        <f t="array" ref="J3850">IFERROR(INDEX('Retirement Calculator'!K:K,MATCH('Lorri 401b'!N3850,'Retirement Calculator'!A:A,0),0),0)</f>
        <v>0</v>
      </c>
      <c r="K3850" s="455">
        <f t="shared" ca="1" si="158"/>
        <v>-15679176925.590193</v>
      </c>
      <c r="L3850" s="455">
        <f t="shared" ca="1" si="159"/>
        <v>-3778681639067.2368</v>
      </c>
      <c r="M3850" s="471">
        <f t="shared" si="161"/>
        <v>0.05</v>
      </c>
      <c r="N3850" s="475">
        <f t="shared" si="162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60"/>
        <v>-3778681639067.2368</v>
      </c>
      <c r="J3851" s="455">
        <f t="array" ref="J3851">IFERROR(INDEX('Retirement Calculator'!K:K,MATCH('Lorri 401b'!N3851,'Retirement Calculator'!A:A,0),0),0)</f>
        <v>0</v>
      </c>
      <c r="K3851" s="455">
        <f t="shared" ca="1" si="158"/>
        <v>-15744506829.446819</v>
      </c>
      <c r="L3851" s="455">
        <f t="shared" ca="1" si="159"/>
        <v>-3794426145896.6836</v>
      </c>
      <c r="M3851" s="471">
        <f t="shared" si="161"/>
        <v>0.05</v>
      </c>
      <c r="N3851" s="475">
        <f t="shared" si="162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60"/>
        <v>-3794426145896.6836</v>
      </c>
      <c r="J3852" s="455">
        <f t="array" ref="J3852">IFERROR(INDEX('Retirement Calculator'!K:K,MATCH('Lorri 401b'!N3852,'Retirement Calculator'!A:A,0),0),0)</f>
        <v>0</v>
      </c>
      <c r="K3852" s="455">
        <f t="shared" ca="1" si="158"/>
        <v>-15810108941.236181</v>
      </c>
      <c r="L3852" s="455">
        <f t="shared" ca="1" si="159"/>
        <v>-3810236254837.9199</v>
      </c>
      <c r="M3852" s="471">
        <f t="shared" si="161"/>
        <v>0.05</v>
      </c>
      <c r="N3852" s="475">
        <f t="shared" si="162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60"/>
        <v>-3810236254837.9199</v>
      </c>
      <c r="J3853" s="455">
        <f t="array" ref="J3853">IFERROR(INDEX('Retirement Calculator'!K:K,MATCH('Lorri 401b'!N3853,'Retirement Calculator'!A:A,0),0),0)</f>
        <v>0</v>
      </c>
      <c r="K3853" s="455">
        <f t="shared" ca="1" si="158"/>
        <v>-15875984395.157997</v>
      </c>
      <c r="L3853" s="455">
        <f t="shared" ca="1" si="159"/>
        <v>-3826112239233.0781</v>
      </c>
      <c r="M3853" s="471">
        <f t="shared" si="161"/>
        <v>0.05</v>
      </c>
      <c r="N3853" s="475">
        <f t="shared" si="162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60"/>
        <v>-3826112239233.0781</v>
      </c>
      <c r="J3854" s="455">
        <f t="array" ref="J3854">IFERROR(INDEX('Retirement Calculator'!K:K,MATCH('Lorri 401b'!N3854,'Retirement Calculator'!A:A,0),0),0)</f>
        <v>0</v>
      </c>
      <c r="K3854" s="455">
        <f t="shared" ca="1" si="158"/>
        <v>-15942134330.137827</v>
      </c>
      <c r="L3854" s="455">
        <f t="shared" ca="1" si="159"/>
        <v>-3842054373563.2158</v>
      </c>
      <c r="M3854" s="471">
        <f t="shared" si="161"/>
        <v>0.05</v>
      </c>
      <c r="N3854" s="475">
        <f t="shared" si="162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60"/>
        <v>-3842054373563.2158</v>
      </c>
      <c r="J3855" s="455">
        <f t="array" ref="J3855">IFERROR(INDEX('Retirement Calculator'!K:K,MATCH('Lorri 401b'!N3855,'Retirement Calculator'!A:A,0),0),0)</f>
        <v>0</v>
      </c>
      <c r="K3855" s="455">
        <f t="shared" ca="1" si="158"/>
        <v>-16008559889.846733</v>
      </c>
      <c r="L3855" s="455">
        <f t="shared" ca="1" si="159"/>
        <v>-3858062933453.0625</v>
      </c>
      <c r="M3855" s="471">
        <f t="shared" si="161"/>
        <v>0.05</v>
      </c>
      <c r="N3855" s="475">
        <f t="shared" si="162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60"/>
        <v>-3858062933453.0625</v>
      </c>
      <c r="J3856" s="455">
        <f t="array" ref="J3856">IFERROR(INDEX('Retirement Calculator'!K:K,MATCH('Lorri 401b'!N3856,'Retirement Calculator'!A:A,0),0),0)</f>
        <v>0</v>
      </c>
      <c r="K3856" s="455">
        <f t="shared" ca="1" si="158"/>
        <v>-16075262222.721094</v>
      </c>
      <c r="L3856" s="455">
        <f t="shared" ca="1" si="159"/>
        <v>-3874138195675.7837</v>
      </c>
      <c r="M3856" s="471">
        <f t="shared" si="161"/>
        <v>0.05</v>
      </c>
      <c r="N3856" s="475">
        <f t="shared" si="162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60"/>
        <v>-3874138195675.7837</v>
      </c>
      <c r="J3857" s="455">
        <f t="array" ref="J3857">IFERROR(INDEX('Retirement Calculator'!K:K,MATCH('Lorri 401b'!N3857,'Retirement Calculator'!A:A,0),0),0)</f>
        <v>0</v>
      </c>
      <c r="K3857" s="455">
        <f t="shared" ca="1" si="158"/>
        <v>-16142242481.98243</v>
      </c>
      <c r="L3857" s="455">
        <f t="shared" ca="1" si="159"/>
        <v>-3890280438157.7661</v>
      </c>
      <c r="M3857" s="471">
        <f t="shared" si="161"/>
        <v>0.05</v>
      </c>
      <c r="N3857" s="475">
        <f t="shared" si="162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60"/>
        <v>-3890280438157.7661</v>
      </c>
      <c r="J3858" s="455">
        <f t="array" ref="J3858">IFERROR(INDEX('Retirement Calculator'!K:K,MATCH('Lorri 401b'!N3858,'Retirement Calculator'!A:A,0),0),0)</f>
        <v>0</v>
      </c>
      <c r="K3858" s="455">
        <f t="shared" ca="1" si="158"/>
        <v>-16209501825.657358</v>
      </c>
      <c r="L3858" s="455">
        <f t="shared" ca="1" si="159"/>
        <v>-3906489939983.4233</v>
      </c>
      <c r="M3858" s="471">
        <f t="shared" si="161"/>
        <v>0.05</v>
      </c>
      <c r="N3858" s="475">
        <f t="shared" si="162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60"/>
        <v>-3906489939983.4233</v>
      </c>
      <c r="J3859" s="455">
        <f t="array" ref="J3859">IFERROR(INDEX('Retirement Calculator'!K:K,MATCH('Lorri 401b'!N3859,'Retirement Calculator'!A:A,0),0),0)</f>
        <v>0</v>
      </c>
      <c r="K3859" s="455">
        <f t="shared" ca="1" si="158"/>
        <v>-16277041416.597595</v>
      </c>
      <c r="L3859" s="455">
        <f t="shared" ca="1" si="159"/>
        <v>-3922766981400.021</v>
      </c>
      <c r="M3859" s="471">
        <f t="shared" si="161"/>
        <v>0.05</v>
      </c>
      <c r="N3859" s="475">
        <f t="shared" si="162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60"/>
        <v>-3922766981400.021</v>
      </c>
      <c r="J3860" s="455">
        <f t="array" ref="J3860">IFERROR(INDEX('Retirement Calculator'!K:K,MATCH('Lorri 401b'!N3860,'Retirement Calculator'!A:A,0),0),0)</f>
        <v>0</v>
      </c>
      <c r="K3860" s="455">
        <f t="shared" ca="1" si="158"/>
        <v>-16344862422.500088</v>
      </c>
      <c r="L3860" s="455">
        <f t="shared" ca="1" si="159"/>
        <v>-3939111843822.521</v>
      </c>
      <c r="M3860" s="471">
        <f t="shared" si="161"/>
        <v>0.05</v>
      </c>
      <c r="N3860" s="475">
        <f t="shared" si="162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60"/>
        <v>-3939111843822.521</v>
      </c>
      <c r="J3861" s="455">
        <f t="array" ref="J3861">IFERROR(INDEX('Retirement Calculator'!K:K,MATCH('Lorri 401b'!N3861,'Retirement Calculator'!A:A,0),0),0)</f>
        <v>0</v>
      </c>
      <c r="K3861" s="455">
        <f t="shared" ca="1" si="158"/>
        <v>-16412966015.927168</v>
      </c>
      <c r="L3861" s="455">
        <f t="shared" ca="1" si="159"/>
        <v>-3955524809838.4482</v>
      </c>
      <c r="M3861" s="471">
        <f t="shared" si="161"/>
        <v>0.05</v>
      </c>
      <c r="N3861" s="475">
        <f t="shared" si="162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60"/>
        <v>-3955524809838.4482</v>
      </c>
      <c r="J3862" s="455">
        <f t="array" ref="J3862">IFERROR(INDEX('Retirement Calculator'!K:K,MATCH('Lorri 401b'!N3862,'Retirement Calculator'!A:A,0),0),0)</f>
        <v>0</v>
      </c>
      <c r="K3862" s="455">
        <f t="shared" ca="1" si="158"/>
        <v>-16481353374.326868</v>
      </c>
      <c r="L3862" s="455">
        <f t="shared" ca="1" si="159"/>
        <v>-3972006163212.7749</v>
      </c>
      <c r="M3862" s="471">
        <f t="shared" si="161"/>
        <v>0.05</v>
      </c>
      <c r="N3862" s="475">
        <f t="shared" si="162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60"/>
        <v>-3972006163212.7749</v>
      </c>
      <c r="J3863" s="455">
        <f t="array" ref="J3863">IFERROR(INDEX('Retirement Calculator'!K:K,MATCH('Lorri 401b'!N3863,'Retirement Calculator'!A:A,0),0),0)</f>
        <v>0</v>
      </c>
      <c r="K3863" s="455">
        <f t="shared" ca="1" si="158"/>
        <v>-16550025680.053226</v>
      </c>
      <c r="L3863" s="455">
        <f t="shared" ca="1" si="159"/>
        <v>-3988556188892.8281</v>
      </c>
      <c r="M3863" s="471">
        <f t="shared" si="161"/>
        <v>0.05</v>
      </c>
      <c r="N3863" s="475">
        <f t="shared" si="162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60"/>
        <v>-3988556188892.8281</v>
      </c>
      <c r="J3864" s="455">
        <f t="array" ref="J3864">IFERROR(INDEX('Retirement Calculator'!K:K,MATCH('Lorri 401b'!N3864,'Retirement Calculator'!A:A,0),0),0)</f>
        <v>0</v>
      </c>
      <c r="K3864" s="455">
        <f t="shared" ca="1" si="158"/>
        <v>-16618984120.386784</v>
      </c>
      <c r="L3864" s="455">
        <f t="shared" ca="1" si="159"/>
        <v>-4005175173013.2148</v>
      </c>
      <c r="M3864" s="471">
        <f t="shared" si="161"/>
        <v>0.05</v>
      </c>
      <c r="N3864" s="475">
        <f t="shared" si="162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60"/>
        <v>-4005175173013.2148</v>
      </c>
      <c r="J3865" s="455">
        <f t="array" ref="J3865">IFERROR(INDEX('Retirement Calculator'!K:K,MATCH('Lorri 401b'!N3865,'Retirement Calculator'!A:A,0),0),0)</f>
        <v>0</v>
      </c>
      <c r="K3865" s="455">
        <f t="shared" ca="1" si="158"/>
        <v>-16688229887.555061</v>
      </c>
      <c r="L3865" s="455">
        <f t="shared" ca="1" si="159"/>
        <v>-4021863402900.77</v>
      </c>
      <c r="M3865" s="471">
        <f t="shared" si="161"/>
        <v>0.05</v>
      </c>
      <c r="N3865" s="475">
        <f t="shared" si="162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60"/>
        <v>-4021863402900.77</v>
      </c>
      <c r="J3866" s="455">
        <f t="array" ref="J3866">IFERROR(INDEX('Retirement Calculator'!K:K,MATCH('Lorri 401b'!N3866,'Retirement Calculator'!A:A,0),0),0)</f>
        <v>0</v>
      </c>
      <c r="K3866" s="455">
        <f t="shared" ca="1" si="158"/>
        <v>-16757764178.753206</v>
      </c>
      <c r="L3866" s="455">
        <f t="shared" ca="1" si="159"/>
        <v>-4038621167079.5234</v>
      </c>
      <c r="M3866" s="471">
        <f t="shared" si="161"/>
        <v>0.05</v>
      </c>
      <c r="N3866" s="475">
        <f t="shared" si="162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60"/>
        <v>-4038621167079.5234</v>
      </c>
      <c r="J3867" s="455">
        <f t="array" ref="J3867">IFERROR(INDEX('Retirement Calculator'!K:K,MATCH('Lorri 401b'!N3867,'Retirement Calculator'!A:A,0),0),0)</f>
        <v>0</v>
      </c>
      <c r="K3867" s="455">
        <f t="shared" ca="1" si="158"/>
        <v>-16827588196.164682</v>
      </c>
      <c r="L3867" s="455">
        <f t="shared" ca="1" si="159"/>
        <v>-4055448755275.688</v>
      </c>
      <c r="M3867" s="471">
        <f t="shared" si="161"/>
        <v>0.05</v>
      </c>
      <c r="N3867" s="475">
        <f t="shared" si="162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60"/>
        <v>-4055448755275.688</v>
      </c>
      <c r="J3868" s="455">
        <f t="array" ref="J3868">IFERROR(INDEX('Retirement Calculator'!K:K,MATCH('Lorri 401b'!N3868,'Retirement Calculator'!A:A,0),0),0)</f>
        <v>0</v>
      </c>
      <c r="K3868" s="455">
        <f t="shared" ca="1" si="158"/>
        <v>-16897703146.982033</v>
      </c>
      <c r="L3868" s="455">
        <f t="shared" ca="1" si="159"/>
        <v>-4072346458422.6699</v>
      </c>
      <c r="M3868" s="471">
        <f t="shared" si="161"/>
        <v>0.05</v>
      </c>
      <c r="N3868" s="475">
        <f t="shared" si="162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60"/>
        <v>-4072346458422.6699</v>
      </c>
      <c r="J3869" s="455">
        <f t="array" ref="J3869">IFERROR(INDEX('Retirement Calculator'!K:K,MATCH('Lorri 401b'!N3869,'Retirement Calculator'!A:A,0),0),0)</f>
        <v>0</v>
      </c>
      <c r="K3869" s="455">
        <f t="shared" ca="1" si="158"/>
        <v>-16968110243.427792</v>
      </c>
      <c r="L3869" s="455">
        <f t="shared" ca="1" si="159"/>
        <v>-4089314568666.0977</v>
      </c>
      <c r="M3869" s="471">
        <f t="shared" si="161"/>
        <v>0.05</v>
      </c>
      <c r="N3869" s="475">
        <f t="shared" si="162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60"/>
        <v>-4089314568666.0977</v>
      </c>
      <c r="J3870" s="455">
        <f t="array" ref="J3870">IFERROR(INDEX('Retirement Calculator'!K:K,MATCH('Lorri 401b'!N3870,'Retirement Calculator'!A:A,0),0),0)</f>
        <v>0</v>
      </c>
      <c r="K3870" s="455">
        <f t="shared" ca="1" si="158"/>
        <v>-17038810702.775406</v>
      </c>
      <c r="L3870" s="455">
        <f t="shared" ca="1" si="159"/>
        <v>-4106353379368.873</v>
      </c>
      <c r="M3870" s="471">
        <f t="shared" si="161"/>
        <v>0.05</v>
      </c>
      <c r="N3870" s="475">
        <f t="shared" si="162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60"/>
        <v>-4106353379368.873</v>
      </c>
      <c r="J3871" s="455">
        <f t="array" ref="J3871">IFERROR(INDEX('Retirement Calculator'!K:K,MATCH('Lorri 401b'!N3871,'Retirement Calculator'!A:A,0),0),0)</f>
        <v>0</v>
      </c>
      <c r="K3871" s="455">
        <f t="shared" ca="1" si="158"/>
        <v>-17109805747.370304</v>
      </c>
      <c r="L3871" s="455">
        <f t="shared" ca="1" si="159"/>
        <v>-4123463185116.2432</v>
      </c>
      <c r="M3871" s="471">
        <f t="shared" si="161"/>
        <v>0.05</v>
      </c>
      <c r="N3871" s="475">
        <f t="shared" si="162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60"/>
        <v>-4123463185116.2432</v>
      </c>
      <c r="J3872" s="455">
        <f t="array" ref="J3872">IFERROR(INDEX('Retirement Calculator'!K:K,MATCH('Lorri 401b'!N3872,'Retirement Calculator'!A:A,0),0),0)</f>
        <v>0</v>
      </c>
      <c r="K3872" s="455">
        <f t="shared" ca="1" si="158"/>
        <v>-17181096604.651012</v>
      </c>
      <c r="L3872" s="455">
        <f t="shared" ca="1" si="159"/>
        <v>-4140644281720.894</v>
      </c>
      <c r="M3872" s="471">
        <f t="shared" si="161"/>
        <v>0.05</v>
      </c>
      <c r="N3872" s="475">
        <f t="shared" si="162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60"/>
        <v>-4140644281720.894</v>
      </c>
      <c r="J3873" s="455">
        <f t="array" ref="J3873">IFERROR(INDEX('Retirement Calculator'!K:K,MATCH('Lorri 401b'!N3873,'Retirement Calculator'!A:A,0),0),0)</f>
        <v>0</v>
      </c>
      <c r="K3873" s="455">
        <f t="shared" ca="1" si="158"/>
        <v>-17252684507.170391</v>
      </c>
      <c r="L3873" s="455">
        <f t="shared" ca="1" si="159"/>
        <v>-4157896966228.0645</v>
      </c>
      <c r="M3873" s="471">
        <f t="shared" si="161"/>
        <v>0.05</v>
      </c>
      <c r="N3873" s="475">
        <f t="shared" si="162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60"/>
        <v>-4157896966228.0645</v>
      </c>
      <c r="J3874" s="455">
        <f t="array" ref="J3874">IFERROR(INDEX('Retirement Calculator'!K:K,MATCH('Lorri 401b'!N3874,'Retirement Calculator'!A:A,0),0),0)</f>
        <v>0</v>
      </c>
      <c r="K3874" s="455">
        <f t="shared" ca="1" si="158"/>
        <v>-17324570692.616932</v>
      </c>
      <c r="L3874" s="455">
        <f t="shared" ca="1" si="159"/>
        <v>-4175221536920.6812</v>
      </c>
      <c r="M3874" s="471">
        <f t="shared" si="161"/>
        <v>0.05</v>
      </c>
      <c r="N3874" s="475">
        <f t="shared" si="162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60"/>
        <v>-4175221536920.6812</v>
      </c>
      <c r="J3875" s="455">
        <f t="array" ref="J3875">IFERROR(INDEX('Retirement Calculator'!K:K,MATCH('Lorri 401b'!N3875,'Retirement Calculator'!A:A,0),0),0)</f>
        <v>0</v>
      </c>
      <c r="K3875" s="455">
        <f t="shared" ca="1" si="158"/>
        <v>-17396756403.83617</v>
      </c>
      <c r="L3875" s="455">
        <f t="shared" ca="1" si="159"/>
        <v>-4192618293324.5171</v>
      </c>
      <c r="M3875" s="471">
        <f t="shared" si="161"/>
        <v>0.05</v>
      </c>
      <c r="N3875" s="475">
        <f t="shared" si="162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60"/>
        <v>-4192618293324.5171</v>
      </c>
      <c r="J3876" s="455">
        <f t="array" ref="J3876">IFERROR(INDEX('Retirement Calculator'!K:K,MATCH('Lorri 401b'!N3876,'Retirement Calculator'!A:A,0),0),0)</f>
        <v>0</v>
      </c>
      <c r="K3876" s="455">
        <f t="shared" ca="1" si="158"/>
        <v>-17469242888.852154</v>
      </c>
      <c r="L3876" s="455">
        <f t="shared" ca="1" si="159"/>
        <v>-4210087536213.3691</v>
      </c>
      <c r="M3876" s="471">
        <f t="shared" si="161"/>
        <v>0.05</v>
      </c>
      <c r="N3876" s="475">
        <f t="shared" si="162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60"/>
        <v>-4210087536213.3691</v>
      </c>
      <c r="J3877" s="455">
        <f t="array" ref="J3877">IFERROR(INDEX('Retirement Calculator'!K:K,MATCH('Lorri 401b'!N3877,'Retirement Calculator'!A:A,0),0),0)</f>
        <v>0</v>
      </c>
      <c r="K3877" s="455">
        <f t="shared" ca="1" si="158"/>
        <v>-17542031400.889038</v>
      </c>
      <c r="L3877" s="455">
        <f t="shared" ca="1" si="159"/>
        <v>-4227629567614.2583</v>
      </c>
      <c r="M3877" s="471">
        <f t="shared" si="161"/>
        <v>0.05</v>
      </c>
      <c r="N3877" s="475">
        <f t="shared" si="162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60"/>
        <v>-4227629567614.2583</v>
      </c>
      <c r="J3878" s="455">
        <f t="array" ref="J3878">IFERROR(INDEX('Retirement Calculator'!K:K,MATCH('Lorri 401b'!N3878,'Retirement Calculator'!A:A,0),0),0)</f>
        <v>0</v>
      </c>
      <c r="K3878" s="455">
        <f t="shared" ca="1" si="158"/>
        <v>-17615123198.392742</v>
      </c>
      <c r="L3878" s="455">
        <f t="shared" ca="1" si="159"/>
        <v>-4245244690812.6509</v>
      </c>
      <c r="M3878" s="471">
        <f t="shared" si="161"/>
        <v>0.05</v>
      </c>
      <c r="N3878" s="475">
        <f t="shared" si="162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60"/>
        <v>-4245244690812.6509</v>
      </c>
      <c r="J3879" s="455">
        <f t="array" ref="J3879">IFERROR(INDEX('Retirement Calculator'!K:K,MATCH('Lorri 401b'!N3879,'Retirement Calculator'!A:A,0),0),0)</f>
        <v>0</v>
      </c>
      <c r="K3879" s="455">
        <f t="shared" ca="1" si="158"/>
        <v>-17688519545.052711</v>
      </c>
      <c r="L3879" s="455">
        <f t="shared" ca="1" si="159"/>
        <v>-4262933210357.7036</v>
      </c>
      <c r="M3879" s="471">
        <f t="shared" si="161"/>
        <v>0.05</v>
      </c>
      <c r="N3879" s="475">
        <f t="shared" si="162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60"/>
        <v>-4262933210357.7036</v>
      </c>
      <c r="J3880" s="455">
        <f t="array" ref="J3880">IFERROR(INDEX('Retirement Calculator'!K:K,MATCH('Lorri 401b'!N3880,'Retirement Calculator'!A:A,0),0),0)</f>
        <v>0</v>
      </c>
      <c r="K3880" s="455">
        <f t="shared" ca="1" si="158"/>
        <v>-17762221709.823765</v>
      </c>
      <c r="L3880" s="455">
        <f t="shared" ca="1" si="159"/>
        <v>-4280695432067.5273</v>
      </c>
      <c r="M3880" s="471">
        <f t="shared" si="161"/>
        <v>0.05</v>
      </c>
      <c r="N3880" s="475">
        <f t="shared" si="162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60"/>
        <v>-4280695432067.5273</v>
      </c>
      <c r="J3881" s="455">
        <f t="array" ref="J3881">IFERROR(INDEX('Retirement Calculator'!K:K,MATCH('Lorri 401b'!N3881,'Retirement Calculator'!A:A,0),0),0)</f>
        <v>0</v>
      </c>
      <c r="K3881" s="455">
        <f t="shared" ca="1" si="158"/>
        <v>-17836230966.948029</v>
      </c>
      <c r="L3881" s="455">
        <f t="shared" ca="1" si="159"/>
        <v>-4298531663034.4756</v>
      </c>
      <c r="M3881" s="471">
        <f t="shared" si="161"/>
        <v>0.05</v>
      </c>
      <c r="N3881" s="475">
        <f t="shared" si="162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60"/>
        <v>-4298531663034.4756</v>
      </c>
      <c r="J3882" s="455">
        <f t="array" ref="J3882">IFERROR(INDEX('Retirement Calculator'!K:K,MATCH('Lorri 401b'!N3882,'Retirement Calculator'!A:A,0),0),0)</f>
        <v>0</v>
      </c>
      <c r="K3882" s="455">
        <f t="shared" ca="1" si="158"/>
        <v>-17910548595.976982</v>
      </c>
      <c r="L3882" s="455">
        <f t="shared" ca="1" si="159"/>
        <v>-4316442211630.4526</v>
      </c>
      <c r="M3882" s="471">
        <f t="shared" si="161"/>
        <v>0.05</v>
      </c>
      <c r="N3882" s="475">
        <f t="shared" si="162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60"/>
        <v>-4316442211630.4526</v>
      </c>
      <c r="J3883" s="455">
        <f t="array" ref="J3883">IFERROR(INDEX('Retirement Calculator'!K:K,MATCH('Lorri 401b'!N3883,'Retirement Calculator'!A:A,0),0),0)</f>
        <v>0</v>
      </c>
      <c r="K3883" s="455">
        <f t="shared" ca="1" si="158"/>
        <v>-17985175881.793552</v>
      </c>
      <c r="L3883" s="455">
        <f t="shared" ca="1" si="159"/>
        <v>-4334427387512.2461</v>
      </c>
      <c r="M3883" s="471">
        <f t="shared" si="161"/>
        <v>0.05</v>
      </c>
      <c r="N3883" s="475">
        <f t="shared" si="162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60"/>
        <v>-4334427387512.2461</v>
      </c>
      <c r="J3884" s="455">
        <f t="array" ref="J3884">IFERROR(INDEX('Retirement Calculator'!K:K,MATCH('Lorri 401b'!N3884,'Retirement Calculator'!A:A,0),0),0)</f>
        <v>0</v>
      </c>
      <c r="K3884" s="455">
        <f t="shared" ca="1" si="158"/>
        <v>-18060114114.634357</v>
      </c>
      <c r="L3884" s="455">
        <f t="shared" ca="1" si="159"/>
        <v>-4352487501626.8804</v>
      </c>
      <c r="M3884" s="471">
        <f t="shared" si="161"/>
        <v>0.05</v>
      </c>
      <c r="N3884" s="475">
        <f t="shared" si="162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60"/>
        <v>-4352487501626.8804</v>
      </c>
      <c r="J3885" s="455">
        <f t="array" ref="J3885">IFERROR(INDEX('Retirement Calculator'!K:K,MATCH('Lorri 401b'!N3885,'Retirement Calculator'!A:A,0),0),0)</f>
        <v>0</v>
      </c>
      <c r="K3885" s="455">
        <f t="shared" ca="1" si="158"/>
        <v>-18135364590.112</v>
      </c>
      <c r="L3885" s="455">
        <f t="shared" ca="1" si="159"/>
        <v>-4370622866216.9922</v>
      </c>
      <c r="M3885" s="471">
        <f t="shared" si="161"/>
        <v>0.05</v>
      </c>
      <c r="N3885" s="475">
        <f t="shared" si="162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60"/>
        <v>-4370622866216.9922</v>
      </c>
      <c r="J3886" s="455">
        <f t="array" ref="J3886">IFERROR(INDEX('Retirement Calculator'!K:K,MATCH('Lorri 401b'!N3886,'Retirement Calculator'!A:A,0),0),0)</f>
        <v>0</v>
      </c>
      <c r="K3886" s="455">
        <f t="shared" ca="1" si="158"/>
        <v>-18210928609.237469</v>
      </c>
      <c r="L3886" s="455">
        <f t="shared" ca="1" si="159"/>
        <v>-4388833794826.2295</v>
      </c>
      <c r="M3886" s="471">
        <f t="shared" si="161"/>
        <v>0.05</v>
      </c>
      <c r="N3886" s="475">
        <f t="shared" si="162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60"/>
        <v>-4388833794826.2295</v>
      </c>
      <c r="J3887" s="455">
        <f t="array" ref="J3887">IFERROR(INDEX('Retirement Calculator'!K:K,MATCH('Lorri 401b'!N3887,'Retirement Calculator'!A:A,0),0),0)</f>
        <v>0</v>
      </c>
      <c r="K3887" s="455">
        <f t="shared" ca="1" si="158"/>
        <v>-18286807478.442623</v>
      </c>
      <c r="L3887" s="455">
        <f t="shared" ca="1" si="159"/>
        <v>-4407120602304.6719</v>
      </c>
      <c r="M3887" s="471">
        <f t="shared" si="161"/>
        <v>0.05</v>
      </c>
      <c r="N3887" s="475">
        <f t="shared" si="162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60"/>
        <v>-4407120602304.6719</v>
      </c>
      <c r="J3888" s="455">
        <f t="array" ref="J3888">IFERROR(INDEX('Retirement Calculator'!K:K,MATCH('Lorri 401b'!N3888,'Retirement Calculator'!A:A,0),0),0)</f>
        <v>0</v>
      </c>
      <c r="K3888" s="455">
        <f t="shared" ca="1" si="158"/>
        <v>-18363002509.602798</v>
      </c>
      <c r="L3888" s="455">
        <f t="shared" ca="1" si="159"/>
        <v>-4425483604814.2744</v>
      </c>
      <c r="M3888" s="471">
        <f t="shared" si="161"/>
        <v>0.05</v>
      </c>
      <c r="N3888" s="475">
        <f t="shared" si="162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60"/>
        <v>-4425483604814.2744</v>
      </c>
      <c r="J3889" s="455">
        <f t="array" ref="J3889">IFERROR(INDEX('Retirement Calculator'!K:K,MATCH('Lorri 401b'!N3889,'Retirement Calculator'!A:A,0),0),0)</f>
        <v>0</v>
      </c>
      <c r="K3889" s="455">
        <f t="shared" ca="1" si="158"/>
        <v>-18439515020.059475</v>
      </c>
      <c r="L3889" s="455">
        <f t="shared" ca="1" si="159"/>
        <v>-4443923119834.334</v>
      </c>
      <c r="M3889" s="471">
        <f t="shared" si="161"/>
        <v>0.05</v>
      </c>
      <c r="N3889" s="475">
        <f t="shared" si="162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60"/>
        <v>-4443923119834.334</v>
      </c>
      <c r="J3890" s="455">
        <f t="array" ref="J3890">IFERROR(INDEX('Retirement Calculator'!K:K,MATCH('Lorri 401b'!N3890,'Retirement Calculator'!A:A,0),0),0)</f>
        <v>0</v>
      </c>
      <c r="K3890" s="455">
        <f t="shared" ca="1" si="158"/>
        <v>-18516346332.643059</v>
      </c>
      <c r="L3890" s="455">
        <f t="shared" ca="1" si="159"/>
        <v>-4462439466166.9766</v>
      </c>
      <c r="M3890" s="471">
        <f t="shared" si="161"/>
        <v>0.05</v>
      </c>
      <c r="N3890" s="475">
        <f t="shared" si="162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60"/>
        <v>-4462439466166.9766</v>
      </c>
      <c r="J3891" s="455">
        <f t="array" ref="J3891">IFERROR(INDEX('Retirement Calculator'!K:K,MATCH('Lorri 401b'!N3891,'Retirement Calculator'!A:A,0),0),0)</f>
        <v>0</v>
      </c>
      <c r="K3891" s="455">
        <f t="shared" ca="1" si="158"/>
        <v>-18593497775.695736</v>
      </c>
      <c r="L3891" s="455">
        <f t="shared" ca="1" si="159"/>
        <v>-4481032963942.6719</v>
      </c>
      <c r="M3891" s="471">
        <f t="shared" si="161"/>
        <v>0.05</v>
      </c>
      <c r="N3891" s="475">
        <f t="shared" si="162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60"/>
        <v>-4481032963942.6719</v>
      </c>
      <c r="J3892" s="455">
        <f t="array" ref="J3892">IFERROR(INDEX('Retirement Calculator'!K:K,MATCH('Lorri 401b'!N3892,'Retirement Calculator'!A:A,0),0),0)</f>
        <v>0</v>
      </c>
      <c r="K3892" s="455">
        <f t="shared" ca="1" si="158"/>
        <v>-18670970683.094467</v>
      </c>
      <c r="L3892" s="455">
        <f t="shared" ca="1" si="159"/>
        <v>-4499703934625.7666</v>
      </c>
      <c r="M3892" s="471">
        <f t="shared" si="161"/>
        <v>0.05</v>
      </c>
      <c r="N3892" s="475">
        <f t="shared" si="162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60"/>
        <v>-4499703934625.7666</v>
      </c>
      <c r="J3893" s="455">
        <f t="array" ref="J3893">IFERROR(INDEX('Retirement Calculator'!K:K,MATCH('Lorri 401b'!N3893,'Retirement Calculator'!A:A,0),0),0)</f>
        <v>0</v>
      </c>
      <c r="K3893" s="455">
        <f t="shared" ca="1" si="158"/>
        <v>-18748766394.274029</v>
      </c>
      <c r="L3893" s="455">
        <f t="shared" ca="1" si="159"/>
        <v>-4518452701020.041</v>
      </c>
      <c r="M3893" s="471">
        <f t="shared" si="161"/>
        <v>0.05</v>
      </c>
      <c r="N3893" s="475">
        <f t="shared" si="162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60"/>
        <v>-4518452701020.041</v>
      </c>
      <c r="J3894" s="455">
        <f t="array" ref="J3894">IFERROR(INDEX('Retirement Calculator'!K:K,MATCH('Lorri 401b'!N3894,'Retirement Calculator'!A:A,0),0),0)</f>
        <v>0</v>
      </c>
      <c r="K3894" s="455">
        <f t="shared" ca="1" si="158"/>
        <v>-18826886254.250172</v>
      </c>
      <c r="L3894" s="455">
        <f t="shared" ca="1" si="159"/>
        <v>-4537279587274.291</v>
      </c>
      <c r="M3894" s="471">
        <f t="shared" si="161"/>
        <v>0.05</v>
      </c>
      <c r="N3894" s="475">
        <f t="shared" si="162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60"/>
        <v>-4537279587274.291</v>
      </c>
      <c r="J3895" s="455">
        <f t="array" ref="J3895">IFERROR(INDEX('Retirement Calculator'!K:K,MATCH('Lorri 401b'!N3895,'Retirement Calculator'!A:A,0),0),0)</f>
        <v>0</v>
      </c>
      <c r="K3895" s="455">
        <f t="shared" ca="1" si="158"/>
        <v>-18905331613.642879</v>
      </c>
      <c r="L3895" s="455">
        <f t="shared" ca="1" si="159"/>
        <v>-4556184918887.9336</v>
      </c>
      <c r="M3895" s="471">
        <f t="shared" si="161"/>
        <v>0.05</v>
      </c>
      <c r="N3895" s="475">
        <f t="shared" si="162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60"/>
        <v>-4556184918887.9336</v>
      </c>
      <c r="J3896" s="455">
        <f t="array" ref="J3896">IFERROR(INDEX('Retirement Calculator'!K:K,MATCH('Lorri 401b'!N3896,'Retirement Calculator'!A:A,0),0),0)</f>
        <v>0</v>
      </c>
      <c r="K3896" s="455">
        <f t="shared" ca="1" si="158"/>
        <v>-18984103828.699722</v>
      </c>
      <c r="L3896" s="455">
        <f t="shared" ca="1" si="159"/>
        <v>-4575169022716.6338</v>
      </c>
      <c r="M3896" s="471">
        <f t="shared" si="161"/>
        <v>0.05</v>
      </c>
      <c r="N3896" s="475">
        <f t="shared" si="162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60"/>
        <v>-4575169022716.6338</v>
      </c>
      <c r="J3897" s="455">
        <f t="array" ref="J3897">IFERROR(INDEX('Retirement Calculator'!K:K,MATCH('Lorri 401b'!N3897,'Retirement Calculator'!A:A,0),0),0)</f>
        <v>0</v>
      </c>
      <c r="K3897" s="455">
        <f t="shared" ca="1" si="158"/>
        <v>-19063204261.319305</v>
      </c>
      <c r="L3897" s="455">
        <f t="shared" ca="1" si="159"/>
        <v>-4594232226977.9531</v>
      </c>
      <c r="M3897" s="471">
        <f t="shared" si="161"/>
        <v>0.05</v>
      </c>
      <c r="N3897" s="475">
        <f t="shared" si="162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60"/>
        <v>-4594232226977.9531</v>
      </c>
      <c r="J3898" s="455">
        <f t="array" ref="J3898">IFERROR(INDEX('Retirement Calculator'!K:K,MATCH('Lorri 401b'!N3898,'Retirement Calculator'!A:A,0),0),0)</f>
        <v>0</v>
      </c>
      <c r="K3898" s="455">
        <f t="shared" ca="1" si="158"/>
        <v>-19142634279.074806</v>
      </c>
      <c r="L3898" s="455">
        <f t="shared" ca="1" si="159"/>
        <v>-4613374861257.0283</v>
      </c>
      <c r="M3898" s="471">
        <f t="shared" si="161"/>
        <v>0.05</v>
      </c>
      <c r="N3898" s="475">
        <f t="shared" si="162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60"/>
        <v>-4613374861257.0283</v>
      </c>
      <c r="J3899" s="455">
        <f t="array" ref="J3899">IFERROR(INDEX('Retirement Calculator'!K:K,MATCH('Lorri 401b'!N3899,'Retirement Calculator'!A:A,0),0),0)</f>
        <v>0</v>
      </c>
      <c r="K3899" s="455">
        <f t="shared" ca="1" si="158"/>
        <v>-19222395255.237617</v>
      </c>
      <c r="L3899" s="455">
        <f t="shared" ca="1" si="159"/>
        <v>-4632597256512.2656</v>
      </c>
      <c r="M3899" s="471">
        <f t="shared" si="161"/>
        <v>0.05</v>
      </c>
      <c r="N3899" s="475">
        <f t="shared" si="162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60"/>
        <v>-4632597256512.2656</v>
      </c>
      <c r="J3900" s="455">
        <f t="array" ref="J3900">IFERROR(INDEX('Retirement Calculator'!K:K,MATCH('Lorri 401b'!N3900,'Retirement Calculator'!A:A,0),0),0)</f>
        <v>0</v>
      </c>
      <c r="K3900" s="455">
        <f t="shared" ca="1" si="158"/>
        <v>-19302488568.801105</v>
      </c>
      <c r="L3900" s="455">
        <f t="shared" ca="1" si="159"/>
        <v>-4651899745081.0664</v>
      </c>
      <c r="M3900" s="471">
        <f t="shared" si="161"/>
        <v>0.05</v>
      </c>
      <c r="N3900" s="475">
        <f t="shared" si="162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60"/>
        <v>-4651899745081.0664</v>
      </c>
      <c r="J3901" s="455">
        <f t="array" ref="J3901">IFERROR(INDEX('Retirement Calculator'!K:K,MATCH('Lorri 401b'!N3901,'Retirement Calculator'!A:A,0),0),0)</f>
        <v>0</v>
      </c>
      <c r="K3901" s="455">
        <f t="shared" ca="1" si="158"/>
        <v>-19382915604.504444</v>
      </c>
      <c r="L3901" s="455">
        <f t="shared" ca="1" si="159"/>
        <v>-4671282660685.5713</v>
      </c>
      <c r="M3901" s="471">
        <f t="shared" si="161"/>
        <v>0.05</v>
      </c>
      <c r="N3901" s="475">
        <f t="shared" si="162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60"/>
        <v>-4671282660685.5713</v>
      </c>
      <c r="J3902" s="455">
        <f t="array" ref="J3902">IFERROR(INDEX('Retirement Calculator'!K:K,MATCH('Lorri 401b'!N3902,'Retirement Calculator'!A:A,0),0),0)</f>
        <v>0</v>
      </c>
      <c r="K3902" s="455">
        <f t="shared" ca="1" si="158"/>
        <v>-19463677752.856548</v>
      </c>
      <c r="L3902" s="455">
        <f t="shared" ca="1" si="159"/>
        <v>-4690746338438.4277</v>
      </c>
      <c r="M3902" s="471">
        <f t="shared" si="161"/>
        <v>0.05</v>
      </c>
      <c r="N3902" s="475">
        <f t="shared" si="162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60"/>
        <v>-4690746338438.4277</v>
      </c>
      <c r="J3903" s="455">
        <f t="array" ref="J3903">IFERROR(INDEX('Retirement Calculator'!K:K,MATCH('Lorri 401b'!N3903,'Retirement Calculator'!A:A,0),0),0)</f>
        <v>0</v>
      </c>
      <c r="K3903" s="455">
        <f t="shared" ca="1" si="158"/>
        <v>-19544776410.160114</v>
      </c>
      <c r="L3903" s="455">
        <f t="shared" ca="1" si="159"/>
        <v>-4710291114848.5879</v>
      </c>
      <c r="M3903" s="471">
        <f t="shared" si="161"/>
        <v>0.05</v>
      </c>
      <c r="N3903" s="475">
        <f t="shared" si="162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60"/>
        <v>-4710291114848.5879</v>
      </c>
      <c r="J3904" s="455">
        <f t="array" ref="J3904">IFERROR(INDEX('Retirement Calculator'!K:K,MATCH('Lorri 401b'!N3904,'Retirement Calculator'!A:A,0),0),0)</f>
        <v>0</v>
      </c>
      <c r="K3904" s="455">
        <f t="shared" ca="1" si="158"/>
        <v>-19626212978.535782</v>
      </c>
      <c r="L3904" s="455">
        <f t="shared" ca="1" si="159"/>
        <v>-4729917327827.124</v>
      </c>
      <c r="M3904" s="471">
        <f t="shared" si="161"/>
        <v>0.05</v>
      </c>
      <c r="N3904" s="475">
        <f t="shared" si="162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60"/>
        <v>-4729917327827.124</v>
      </c>
      <c r="J3905" s="455">
        <f t="array" ref="J3905">IFERROR(INDEX('Retirement Calculator'!K:K,MATCH('Lorri 401b'!N3905,'Retirement Calculator'!A:A,0),0),0)</f>
        <v>0</v>
      </c>
      <c r="K3905" s="455">
        <f t="shared" ca="1" si="158"/>
        <v>-19707988865.94635</v>
      </c>
      <c r="L3905" s="455">
        <f t="shared" ca="1" si="159"/>
        <v>-4749625316693.0703</v>
      </c>
      <c r="M3905" s="471">
        <f t="shared" si="161"/>
        <v>0.05</v>
      </c>
      <c r="N3905" s="475">
        <f t="shared" si="162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60"/>
        <v>-4749625316693.0703</v>
      </c>
      <c r="J3906" s="455">
        <f t="array" ref="J3906">IFERROR(INDEX('Retirement Calculator'!K:K,MATCH('Lorri 401b'!N3906,'Retirement Calculator'!A:A,0),0),0)</f>
        <v>0</v>
      </c>
      <c r="K3906" s="455">
        <f t="shared" ca="1" si="158"/>
        <v>-19790105486.221127</v>
      </c>
      <c r="L3906" s="455">
        <f t="shared" ca="1" si="159"/>
        <v>-4769415422179.291</v>
      </c>
      <c r="M3906" s="471">
        <f t="shared" si="161"/>
        <v>0.05</v>
      </c>
      <c r="N3906" s="475">
        <f t="shared" si="162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60"/>
        <v>-4769415422179.291</v>
      </c>
      <c r="J3907" s="455">
        <f t="array" ref="J3907">IFERROR(INDEX('Retirement Calculator'!K:K,MATCH('Lorri 401b'!N3907,'Retirement Calculator'!A:A,0),0),0)</f>
        <v>0</v>
      </c>
      <c r="K3907" s="455">
        <f t="shared" ca="1" si="158"/>
        <v>-19872564259.080379</v>
      </c>
      <c r="L3907" s="455">
        <f t="shared" ca="1" si="159"/>
        <v>-4789287986438.3711</v>
      </c>
      <c r="M3907" s="471">
        <f t="shared" si="161"/>
        <v>0.05</v>
      </c>
      <c r="N3907" s="475">
        <f t="shared" si="162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60"/>
        <v>-4789287986438.3711</v>
      </c>
      <c r="J3908" s="455">
        <f t="array" ref="J3908">IFERROR(INDEX('Retirement Calculator'!K:K,MATCH('Lorri 401b'!N3908,'Retirement Calculator'!A:A,0),0),0)</f>
        <v>0</v>
      </c>
      <c r="K3908" s="455">
        <f t="shared" ca="1" si="158"/>
        <v>-19955366610.159878</v>
      </c>
      <c r="L3908" s="455">
        <f t="shared" ca="1" si="159"/>
        <v>-4809243353048.5313</v>
      </c>
      <c r="M3908" s="471">
        <f t="shared" si="161"/>
        <v>0.05</v>
      </c>
      <c r="N3908" s="475">
        <f t="shared" si="162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60"/>
        <v>-4809243353048.5313</v>
      </c>
      <c r="J3909" s="455">
        <f t="array" ref="J3909">IFERROR(INDEX('Retirement Calculator'!K:K,MATCH('Lorri 401b'!N3909,'Retirement Calculator'!A:A,0),0),0)</f>
        <v>0</v>
      </c>
      <c r="K3909" s="455">
        <f t="shared" ca="1" si="158"/>
        <v>-20038513971.035545</v>
      </c>
      <c r="L3909" s="455">
        <f t="shared" ca="1" si="159"/>
        <v>-4829281867019.5664</v>
      </c>
      <c r="M3909" s="471">
        <f t="shared" si="161"/>
        <v>0.05</v>
      </c>
      <c r="N3909" s="475">
        <f t="shared" si="162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60"/>
        <v>-4829281867019.5664</v>
      </c>
      <c r="J3910" s="455">
        <f t="array" ref="J3910">IFERROR(INDEX('Retirement Calculator'!K:K,MATCH('Lorri 401b'!N3910,'Retirement Calculator'!A:A,0),0),0)</f>
        <v>0</v>
      </c>
      <c r="K3910" s="455">
        <f t="shared" ca="1" si="158"/>
        <v>-20122007779.248192</v>
      </c>
      <c r="L3910" s="455">
        <f t="shared" ca="1" si="159"/>
        <v>-4849403874798.8145</v>
      </c>
      <c r="M3910" s="471">
        <f t="shared" si="161"/>
        <v>0.05</v>
      </c>
      <c r="N3910" s="475">
        <f t="shared" si="162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60"/>
        <v>-4849403874798.8145</v>
      </c>
      <c r="J3911" s="455">
        <f t="array" ref="J3911">IFERROR(INDEX('Retirement Calculator'!K:K,MATCH('Lorri 401b'!N3911,'Retirement Calculator'!A:A,0),0),0)</f>
        <v>0</v>
      </c>
      <c r="K3911" s="455">
        <f t="shared" ca="1" si="158"/>
        <v>-20205849478.328392</v>
      </c>
      <c r="L3911" s="455">
        <f t="shared" ca="1" si="159"/>
        <v>-4869609724277.1426</v>
      </c>
      <c r="M3911" s="471">
        <f t="shared" si="161"/>
        <v>0.05</v>
      </c>
      <c r="N3911" s="475">
        <f t="shared" si="162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60"/>
        <v>-4869609724277.1426</v>
      </c>
      <c r="J3912" s="455">
        <f t="array" ref="J3912">IFERROR(INDEX('Retirement Calculator'!K:K,MATCH('Lorri 401b'!N3912,'Retirement Calculator'!A:A,0),0),0)</f>
        <v>0</v>
      </c>
      <c r="K3912" s="455">
        <f t="shared" ca="1" si="158"/>
        <v>-20290040517.821426</v>
      </c>
      <c r="L3912" s="455">
        <f t="shared" ca="1" si="159"/>
        <v>-4889899764794.9639</v>
      </c>
      <c r="M3912" s="471">
        <f t="shared" si="161"/>
        <v>0.05</v>
      </c>
      <c r="N3912" s="475">
        <f t="shared" si="162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60"/>
        <v>-4889899764794.9639</v>
      </c>
      <c r="J3913" s="455">
        <f t="array" ref="J3913">IFERROR(INDEX('Retirement Calculator'!K:K,MATCH('Lorri 401b'!N3913,'Retirement Calculator'!A:A,0),0),0)</f>
        <v>0</v>
      </c>
      <c r="K3913" s="455">
        <f t="shared" ca="1" si="158"/>
        <v>-20374582353.312347</v>
      </c>
      <c r="L3913" s="455">
        <f t="shared" ca="1" si="159"/>
        <v>-4910274347148.2764</v>
      </c>
      <c r="M3913" s="471">
        <f t="shared" si="161"/>
        <v>0.05</v>
      </c>
      <c r="N3913" s="475">
        <f t="shared" si="162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60"/>
        <v>-4910274347148.2764</v>
      </c>
      <c r="J3914" s="455">
        <f t="array" ref="J3914">IFERROR(INDEX('Retirement Calculator'!K:K,MATCH('Lorri 401b'!N3914,'Retirement Calculator'!A:A,0),0),0)</f>
        <v>0</v>
      </c>
      <c r="K3914" s="455">
        <f t="shared" ca="1" si="158"/>
        <v>-20459476446.451153</v>
      </c>
      <c r="L3914" s="455">
        <f t="shared" ca="1" si="159"/>
        <v>-4930733823594.7275</v>
      </c>
      <c r="M3914" s="471">
        <f t="shared" si="161"/>
        <v>0.05</v>
      </c>
      <c r="N3914" s="475">
        <f t="shared" si="162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60"/>
        <v>-4930733823594.7275</v>
      </c>
      <c r="J3915" s="455">
        <f t="array" ref="J3915">IFERROR(INDEX('Retirement Calculator'!K:K,MATCH('Lorri 401b'!N3915,'Retirement Calculator'!A:A,0),0),0)</f>
        <v>0</v>
      </c>
      <c r="K3915" s="455">
        <f t="shared" ca="1" si="158"/>
        <v>-20544724264.978031</v>
      </c>
      <c r="L3915" s="455">
        <f t="shared" ca="1" si="159"/>
        <v>-4951278547859.7061</v>
      </c>
      <c r="M3915" s="471">
        <f t="shared" si="161"/>
        <v>0.05</v>
      </c>
      <c r="N3915" s="475">
        <f t="shared" si="162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60"/>
        <v>-4951278547859.7061</v>
      </c>
      <c r="J3916" s="455">
        <f t="array" ref="J3916">IFERROR(INDEX('Retirement Calculator'!K:K,MATCH('Lorri 401b'!N3916,'Retirement Calculator'!A:A,0),0),0)</f>
        <v>0</v>
      </c>
      <c r="K3916" s="455">
        <f t="shared" ca="1" si="158"/>
        <v>-20630327282.748775</v>
      </c>
      <c r="L3916" s="455">
        <f t="shared" ca="1" si="159"/>
        <v>-4971908875142.4551</v>
      </c>
      <c r="M3916" s="471">
        <f t="shared" si="161"/>
        <v>0.05</v>
      </c>
      <c r="N3916" s="475">
        <f t="shared" si="162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60"/>
        <v>-4971908875142.4551</v>
      </c>
      <c r="J3917" s="455">
        <f t="array" ref="J3917">IFERROR(INDEX('Retirement Calculator'!K:K,MATCH('Lorri 401b'!N3917,'Retirement Calculator'!A:A,0),0),0)</f>
        <v>0</v>
      </c>
      <c r="K3917" s="455">
        <f t="shared" ca="1" si="158"/>
        <v>-20716286979.760231</v>
      </c>
      <c r="L3917" s="455">
        <f t="shared" ca="1" si="159"/>
        <v>-4992625162122.2148</v>
      </c>
      <c r="M3917" s="471">
        <f t="shared" si="161"/>
        <v>0.05</v>
      </c>
      <c r="N3917" s="475">
        <f t="shared" si="162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60"/>
        <v>-4992625162122.2148</v>
      </c>
      <c r="J3918" s="455">
        <f t="array" ref="J3918">IFERROR(INDEX('Retirement Calculator'!K:K,MATCH('Lorri 401b'!N3918,'Retirement Calculator'!A:A,0),0),0)</f>
        <v>0</v>
      </c>
      <c r="K3918" s="455">
        <f t="shared" ca="1" si="158"/>
        <v>-20802604842.175896</v>
      </c>
      <c r="L3918" s="455">
        <f t="shared" ca="1" si="159"/>
        <v>-5013427766964.3906</v>
      </c>
      <c r="M3918" s="471">
        <f t="shared" si="161"/>
        <v>0.05</v>
      </c>
      <c r="N3918" s="475">
        <f t="shared" si="162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60"/>
        <v>-5013427766964.3906</v>
      </c>
      <c r="J3919" s="455">
        <f t="array" ref="J3919">IFERROR(INDEX('Retirement Calculator'!K:K,MATCH('Lorri 401b'!N3919,'Retirement Calculator'!A:A,0),0),0)</f>
        <v>0</v>
      </c>
      <c r="K3919" s="455">
        <f t="shared" ca="1" si="158"/>
        <v>-20889282362.351627</v>
      </c>
      <c r="L3919" s="455">
        <f t="shared" ca="1" si="159"/>
        <v>-5034317049326.7422</v>
      </c>
      <c r="M3919" s="471">
        <f t="shared" si="161"/>
        <v>0.05</v>
      </c>
      <c r="N3919" s="475">
        <f t="shared" si="162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60"/>
        <v>-5034317049326.7422</v>
      </c>
      <c r="J3920" s="455">
        <f t="array" ref="J3920">IFERROR(INDEX('Retirement Calculator'!K:K,MATCH('Lorri 401b'!N3920,'Retirement Calculator'!A:A,0),0),0)</f>
        <v>0</v>
      </c>
      <c r="K3920" s="455">
        <f t="shared" ca="1" si="158"/>
        <v>-20976321038.861427</v>
      </c>
      <c r="L3920" s="455">
        <f t="shared" ca="1" si="159"/>
        <v>-5055293370365.6035</v>
      </c>
      <c r="M3920" s="471">
        <f t="shared" si="161"/>
        <v>0.05</v>
      </c>
      <c r="N3920" s="475">
        <f t="shared" si="162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60"/>
        <v>-5055293370365.6035</v>
      </c>
      <c r="J3921" s="455">
        <f t="array" ref="J3921">IFERROR(INDEX('Retirement Calculator'!K:K,MATCH('Lorri 401b'!N3921,'Retirement Calculator'!A:A,0),0),0)</f>
        <v>0</v>
      </c>
      <c r="K3921" s="455">
        <f t="shared" ca="1" si="158"/>
        <v>-21063722376.523346</v>
      </c>
      <c r="L3921" s="455">
        <f t="shared" ca="1" si="159"/>
        <v>-5076357092742.127</v>
      </c>
      <c r="M3921" s="471">
        <f t="shared" si="161"/>
        <v>0.05</v>
      </c>
      <c r="N3921" s="475">
        <f t="shared" si="162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60"/>
        <v>-5076357092742.127</v>
      </c>
      <c r="J3922" s="455">
        <f t="array" ref="J3922">IFERROR(INDEX('Retirement Calculator'!K:K,MATCH('Lorri 401b'!N3922,'Retirement Calculator'!A:A,0),0),0)</f>
        <v>0</v>
      </c>
      <c r="K3922" s="455">
        <f t="shared" ca="1" si="158"/>
        <v>-21151487886.425529</v>
      </c>
      <c r="L3922" s="455">
        <f t="shared" ca="1" si="159"/>
        <v>-5097508580628.5527</v>
      </c>
      <c r="M3922" s="471">
        <f t="shared" si="161"/>
        <v>0.05</v>
      </c>
      <c r="N3922" s="475">
        <f t="shared" si="162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60"/>
        <v>-5097508580628.5527</v>
      </c>
      <c r="J3923" s="455">
        <f t="array" ref="J3923">IFERROR(INDEX('Retirement Calculator'!K:K,MATCH('Lorri 401b'!N3923,'Retirement Calculator'!A:A,0),0),0)</f>
        <v>0</v>
      </c>
      <c r="K3923" s="455">
        <f t="shared" ca="1" si="158"/>
        <v>-21239619085.952301</v>
      </c>
      <c r="L3923" s="455">
        <f t="shared" ca="1" si="159"/>
        <v>-5118748199714.5049</v>
      </c>
      <c r="M3923" s="471">
        <f t="shared" si="161"/>
        <v>0.05</v>
      </c>
      <c r="N3923" s="475">
        <f t="shared" si="162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60"/>
        <v>-5118748199714.5049</v>
      </c>
      <c r="J3924" s="455">
        <f t="array" ref="J3924">IFERROR(INDEX('Retirement Calculator'!K:K,MATCH('Lorri 401b'!N3924,'Retirement Calculator'!A:A,0),0),0)</f>
        <v>0</v>
      </c>
      <c r="K3924" s="455">
        <f t="shared" ca="1" si="158"/>
        <v>-21328117498.810436</v>
      </c>
      <c r="L3924" s="455">
        <f t="shared" ca="1" si="159"/>
        <v>-5140076317213.3154</v>
      </c>
      <c r="M3924" s="471">
        <f t="shared" si="161"/>
        <v>0.05</v>
      </c>
      <c r="N3924" s="475">
        <f t="shared" si="162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60"/>
        <v>-5140076317213.3154</v>
      </c>
      <c r="J3925" s="455">
        <f t="array" ref="J3925">IFERROR(INDEX('Retirement Calculator'!K:K,MATCH('Lorri 401b'!N3925,'Retirement Calculator'!A:A,0),0),0)</f>
        <v>0</v>
      </c>
      <c r="K3925" s="455">
        <f t="shared" ca="1" si="158"/>
        <v>-21416984655.055481</v>
      </c>
      <c r="L3925" s="455">
        <f t="shared" ca="1" si="159"/>
        <v>-5161493301868.3711</v>
      </c>
      <c r="M3925" s="471">
        <f t="shared" si="161"/>
        <v>0.05</v>
      </c>
      <c r="N3925" s="475">
        <f t="shared" si="162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60"/>
        <v>-5161493301868.3711</v>
      </c>
      <c r="J3926" s="455">
        <f t="array" ref="J3926">IFERROR(INDEX('Retirement Calculator'!K:K,MATCH('Lorri 401b'!N3926,'Retirement Calculator'!A:A,0),0),0)</f>
        <v>0</v>
      </c>
      <c r="K3926" s="455">
        <f t="shared" ca="1" si="158"/>
        <v>-21506222091.118214</v>
      </c>
      <c r="L3926" s="455">
        <f t="shared" ca="1" si="159"/>
        <v>-5182999523959.4893</v>
      </c>
      <c r="M3926" s="471">
        <f t="shared" si="161"/>
        <v>0.05</v>
      </c>
      <c r="N3926" s="475">
        <f t="shared" si="162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60"/>
        <v>-5182999523959.4893</v>
      </c>
      <c r="J3927" s="455">
        <f t="array" ref="J3927">IFERROR(INDEX('Retirement Calculator'!K:K,MATCH('Lorri 401b'!N3927,'Retirement Calculator'!A:A,0),0),0)</f>
        <v>0</v>
      </c>
      <c r="K3927" s="455">
        <f t="shared" ca="1" si="158"/>
        <v>-21595831349.831203</v>
      </c>
      <c r="L3927" s="455">
        <f t="shared" ca="1" si="159"/>
        <v>-5204595355309.3203</v>
      </c>
      <c r="M3927" s="471">
        <f t="shared" si="161"/>
        <v>0.05</v>
      </c>
      <c r="N3927" s="475">
        <f t="shared" si="162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60"/>
        <v>-5204595355309.3203</v>
      </c>
      <c r="J3928" s="455">
        <f t="array" ref="J3928">IFERROR(INDEX('Retirement Calculator'!K:K,MATCH('Lorri 401b'!N3928,'Retirement Calculator'!A:A,0),0),0)</f>
        <v>0</v>
      </c>
      <c r="K3928" s="455">
        <f t="shared" ca="1" si="158"/>
        <v>-21685813980.455502</v>
      </c>
      <c r="L3928" s="455">
        <f t="shared" ca="1" si="159"/>
        <v>-5226281169289.7754</v>
      </c>
      <c r="M3928" s="471">
        <f t="shared" si="161"/>
        <v>0.05</v>
      </c>
      <c r="N3928" s="475">
        <f t="shared" si="162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60"/>
        <v>-5226281169289.7754</v>
      </c>
      <c r="J3929" s="455">
        <f t="array" ref="J3929">IFERROR(INDEX('Retirement Calculator'!K:K,MATCH('Lorri 401b'!N3929,'Retirement Calculator'!A:A,0),0),0)</f>
        <v>0</v>
      </c>
      <c r="K3929" s="455">
        <f t="shared" ca="1" si="158"/>
        <v>-21776171538.707397</v>
      </c>
      <c r="L3929" s="455">
        <f t="shared" ca="1" si="159"/>
        <v>-5248057340828.4824</v>
      </c>
      <c r="M3929" s="471">
        <f t="shared" si="161"/>
        <v>0.05</v>
      </c>
      <c r="N3929" s="475">
        <f t="shared" si="162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60"/>
        <v>-5248057340828.4824</v>
      </c>
      <c r="J3930" s="455">
        <f t="array" ref="J3930">IFERROR(INDEX('Retirement Calculator'!K:K,MATCH('Lorri 401b'!N3930,'Retirement Calculator'!A:A,0),0),0)</f>
        <v>0</v>
      </c>
      <c r="K3930" s="455">
        <f t="shared" ca="1" si="158"/>
        <v>-21866905586.785343</v>
      </c>
      <c r="L3930" s="455">
        <f t="shared" ca="1" si="159"/>
        <v>-5269924246415.2676</v>
      </c>
      <c r="M3930" s="471">
        <f t="shared" si="161"/>
        <v>0.05</v>
      </c>
      <c r="N3930" s="475">
        <f t="shared" si="162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60"/>
        <v>-5269924246415.2676</v>
      </c>
      <c r="J3931" s="455">
        <f t="array" ref="J3931">IFERROR(INDEX('Retirement Calculator'!K:K,MATCH('Lorri 401b'!N3931,'Retirement Calculator'!A:A,0),0),0)</f>
        <v>0</v>
      </c>
      <c r="K3931" s="455">
        <f t="shared" ca="1" si="158"/>
        <v>-21958017693.39695</v>
      </c>
      <c r="L3931" s="455">
        <f t="shared" ca="1" si="159"/>
        <v>-5291882264108.6641</v>
      </c>
      <c r="M3931" s="471">
        <f t="shared" si="161"/>
        <v>0.05</v>
      </c>
      <c r="N3931" s="475">
        <f t="shared" si="162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60"/>
        <v>-5291882264108.6641</v>
      </c>
      <c r="J3932" s="455">
        <f t="array" ref="J3932">IFERROR(INDEX('Retirement Calculator'!K:K,MATCH('Lorri 401b'!N3932,'Retirement Calculator'!A:A,0),0),0)</f>
        <v>0</v>
      </c>
      <c r="K3932" s="455">
        <f t="shared" ca="1" si="158"/>
        <v>-22049509433.786098</v>
      </c>
      <c r="L3932" s="455">
        <f t="shared" ca="1" si="159"/>
        <v>-5313931773542.4502</v>
      </c>
      <c r="M3932" s="471">
        <f t="shared" si="161"/>
        <v>0.05</v>
      </c>
      <c r="N3932" s="475">
        <f t="shared" si="162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60"/>
        <v>-5313931773542.4502</v>
      </c>
      <c r="J3933" s="455">
        <f t="array" ref="J3933">IFERROR(INDEX('Retirement Calculator'!K:K,MATCH('Lorri 401b'!N3933,'Retirement Calculator'!A:A,0),0),0)</f>
        <v>0</v>
      </c>
      <c r="K3933" s="455">
        <f t="shared" ca="1" si="158"/>
        <v>-22141382389.760208</v>
      </c>
      <c r="L3933" s="455">
        <f t="shared" ca="1" si="159"/>
        <v>-5336073155932.21</v>
      </c>
      <c r="M3933" s="471">
        <f t="shared" si="161"/>
        <v>0.05</v>
      </c>
      <c r="N3933" s="475">
        <f t="shared" si="162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60"/>
        <v>-5336073155932.21</v>
      </c>
      <c r="J3934" s="455">
        <f t="array" ref="J3934">IFERROR(INDEX('Retirement Calculator'!K:K,MATCH('Lorri 401b'!N3934,'Retirement Calculator'!A:A,0),0),0)</f>
        <v>0</v>
      </c>
      <c r="K3934" s="455">
        <f t="shared" ca="1" si="158"/>
        <v>-22233638149.717541</v>
      </c>
      <c r="L3934" s="455">
        <f t="shared" ca="1" si="159"/>
        <v>-5358306794081.9277</v>
      </c>
      <c r="M3934" s="471">
        <f t="shared" si="161"/>
        <v>0.05</v>
      </c>
      <c r="N3934" s="475">
        <f t="shared" si="162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60"/>
        <v>-5358306794081.9277</v>
      </c>
      <c r="J3935" s="455">
        <f t="array" ref="J3935">IFERROR(INDEX('Retirement Calculator'!K:K,MATCH('Lorri 401b'!N3935,'Retirement Calculator'!A:A,0),0),0)</f>
        <v>0</v>
      </c>
      <c r="K3935" s="455">
        <f t="shared" ca="1" si="158"/>
        <v>-22326278308.674698</v>
      </c>
      <c r="L3935" s="455">
        <f t="shared" ca="1" si="159"/>
        <v>-5380633072390.6025</v>
      </c>
      <c r="M3935" s="471">
        <f t="shared" si="161"/>
        <v>0.05</v>
      </c>
      <c r="N3935" s="475">
        <f t="shared" si="162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60"/>
        <v>-5380633072390.6025</v>
      </c>
      <c r="J3936" s="455">
        <f t="array" ref="J3936">IFERROR(INDEX('Retirement Calculator'!K:K,MATCH('Lorri 401b'!N3936,'Retirement Calculator'!A:A,0),0),0)</f>
        <v>0</v>
      </c>
      <c r="K3936" s="455">
        <f t="shared" ca="1" si="158"/>
        <v>-22419304468.294178</v>
      </c>
      <c r="L3936" s="455">
        <f t="shared" ca="1" si="159"/>
        <v>-5403052376858.8965</v>
      </c>
      <c r="M3936" s="471">
        <f t="shared" si="161"/>
        <v>0.05</v>
      </c>
      <c r="N3936" s="475">
        <f t="shared" si="162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60"/>
        <v>-5403052376858.8965</v>
      </c>
      <c r="J3937" s="455">
        <f t="array" ref="J3937">IFERROR(INDEX('Retirement Calculator'!K:K,MATCH('Lorri 401b'!N3937,'Retirement Calculator'!A:A,0),0),0)</f>
        <v>0</v>
      </c>
      <c r="K3937" s="455">
        <f t="shared" ca="1" si="158"/>
        <v>-22512718236.912067</v>
      </c>
      <c r="L3937" s="455">
        <f t="shared" ca="1" si="159"/>
        <v>-5425565095095.8086</v>
      </c>
      <c r="M3937" s="471">
        <f t="shared" si="161"/>
        <v>0.05</v>
      </c>
      <c r="N3937" s="475">
        <f t="shared" si="162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60"/>
        <v>-5425565095095.8086</v>
      </c>
      <c r="J3938" s="455">
        <f t="array" ref="J3938">IFERROR(INDEX('Retirement Calculator'!K:K,MATCH('Lorri 401b'!N3938,'Retirement Calculator'!A:A,0),0),0)</f>
        <v>0</v>
      </c>
      <c r="K3938" s="455">
        <f t="shared" ca="1" si="158"/>
        <v>-22606521229.565868</v>
      </c>
      <c r="L3938" s="455">
        <f t="shared" ca="1" si="159"/>
        <v>-5448171616325.374</v>
      </c>
      <c r="M3938" s="471">
        <f t="shared" si="161"/>
        <v>0.05</v>
      </c>
      <c r="N3938" s="475">
        <f t="shared" si="162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60"/>
        <v>-5448171616325.374</v>
      </c>
      <c r="J3939" s="455">
        <f t="array" ref="J3939">IFERROR(INDEX('Retirement Calculator'!K:K,MATCH('Lorri 401b'!N3939,'Retirement Calculator'!A:A,0),0),0)</f>
        <v>0</v>
      </c>
      <c r="K3939" s="455">
        <f t="shared" ca="1" si="158"/>
        <v>-22700715068.022392</v>
      </c>
      <c r="L3939" s="455">
        <f t="shared" ca="1" si="159"/>
        <v>-5470872331393.3965</v>
      </c>
      <c r="M3939" s="471">
        <f t="shared" si="161"/>
        <v>0.05</v>
      </c>
      <c r="N3939" s="475">
        <f t="shared" si="162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60"/>
        <v>-5470872331393.3965</v>
      </c>
      <c r="J3940" s="455">
        <f t="array" ref="J3940">IFERROR(INDEX('Retirement Calculator'!K:K,MATCH('Lorri 401b'!N3940,'Retirement Calculator'!A:A,0),0),0)</f>
        <v>0</v>
      </c>
      <c r="K3940" s="455">
        <f t="shared" ca="1" si="158"/>
        <v>-22795301380.805817</v>
      </c>
      <c r="L3940" s="455">
        <f t="shared" ca="1" si="159"/>
        <v>-5493667632774.2021</v>
      </c>
      <c r="M3940" s="471">
        <f t="shared" si="161"/>
        <v>0.05</v>
      </c>
      <c r="N3940" s="475">
        <f t="shared" si="162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60"/>
        <v>-5493667632774.2021</v>
      </c>
      <c r="J3941" s="455">
        <f t="array" ref="J3941">IFERROR(INDEX('Retirement Calculator'!K:K,MATCH('Lorri 401b'!N3941,'Retirement Calculator'!A:A,0),0),0)</f>
        <v>0</v>
      </c>
      <c r="K3941" s="455">
        <f t="shared" ca="1" si="158"/>
        <v>-22890281803.225842</v>
      </c>
      <c r="L3941" s="455">
        <f t="shared" ca="1" si="159"/>
        <v>-5516557914577.4277</v>
      </c>
      <c r="M3941" s="471">
        <f t="shared" si="161"/>
        <v>0.05</v>
      </c>
      <c r="N3941" s="475">
        <f t="shared" si="162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60"/>
        <v>-5516557914577.4277</v>
      </c>
      <c r="J3942" s="455">
        <f t="array" ref="J3942">IFERROR(INDEX('Retirement Calculator'!K:K,MATCH('Lorri 401b'!N3942,'Retirement Calculator'!A:A,0),0),0)</f>
        <v>0</v>
      </c>
      <c r="K3942" s="455">
        <f t="shared" ca="1" si="158"/>
        <v>-22985657977.405949</v>
      </c>
      <c r="L3942" s="455">
        <f t="shared" ca="1" si="159"/>
        <v>-5539543572554.834</v>
      </c>
      <c r="M3942" s="471">
        <f t="shared" si="161"/>
        <v>0.05</v>
      </c>
      <c r="N3942" s="475">
        <f t="shared" si="162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60"/>
        <v>-5539543572554.834</v>
      </c>
      <c r="J3943" s="455">
        <f t="array" ref="J3943">IFERROR(INDEX('Retirement Calculator'!K:K,MATCH('Lorri 401b'!N3943,'Retirement Calculator'!A:A,0),0),0)</f>
        <v>0</v>
      </c>
      <c r="K3943" s="455">
        <f t="shared" ca="1" si="158"/>
        <v>-23081431552.31181</v>
      </c>
      <c r="L3943" s="455">
        <f t="shared" ca="1" si="159"/>
        <v>-5562625004107.1455</v>
      </c>
      <c r="M3943" s="471">
        <f t="shared" si="161"/>
        <v>0.05</v>
      </c>
      <c r="N3943" s="475">
        <f t="shared" si="162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60"/>
        <v>-5562625004107.1455</v>
      </c>
      <c r="J3944" s="455">
        <f t="array" ref="J3944">IFERROR(INDEX('Retirement Calculator'!K:K,MATCH('Lorri 401b'!N3944,'Retirement Calculator'!A:A,0),0),0)</f>
        <v>0</v>
      </c>
      <c r="K3944" s="455">
        <f t="shared" ca="1" si="158"/>
        <v>-23177604183.779774</v>
      </c>
      <c r="L3944" s="455">
        <f t="shared" ca="1" si="159"/>
        <v>-5585802608290.9248</v>
      </c>
      <c r="M3944" s="471">
        <f t="shared" si="161"/>
        <v>0.05</v>
      </c>
      <c r="N3944" s="475">
        <f t="shared" si="162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60"/>
        <v>-5585802608290.9248</v>
      </c>
      <c r="J3945" s="455">
        <f t="array" ref="J3945">IFERROR(INDEX('Retirement Calculator'!K:K,MATCH('Lorri 401b'!N3945,'Retirement Calculator'!A:A,0),0),0)</f>
        <v>0</v>
      </c>
      <c r="K3945" s="455">
        <f t="shared" ca="1" si="158"/>
        <v>-23274177534.545521</v>
      </c>
      <c r="L3945" s="455">
        <f t="shared" ca="1" si="159"/>
        <v>-5609076785825.4707</v>
      </c>
      <c r="M3945" s="471">
        <f t="shared" si="161"/>
        <v>0.05</v>
      </c>
      <c r="N3945" s="475">
        <f t="shared" si="162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60"/>
        <v>-5609076785825.4707</v>
      </c>
      <c r="J3946" s="455">
        <f t="array" ref="J3946">IFERROR(INDEX('Retirement Calculator'!K:K,MATCH('Lorri 401b'!N3946,'Retirement Calculator'!A:A,0),0),0)</f>
        <v>0</v>
      </c>
      <c r="K3946" s="455">
        <f t="shared" ca="1" si="158"/>
        <v>-23371153274.272793</v>
      </c>
      <c r="L3946" s="455">
        <f t="shared" ca="1" si="159"/>
        <v>-5632447939099.7432</v>
      </c>
      <c r="M3946" s="471">
        <f t="shared" si="161"/>
        <v>0.05</v>
      </c>
      <c r="N3946" s="475">
        <f t="shared" si="162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60"/>
        <v>-5632447939099.7432</v>
      </c>
      <c r="J3947" s="455">
        <f t="array" ref="J3947">IFERROR(INDEX('Retirement Calculator'!K:K,MATCH('Lorri 401b'!N3947,'Retirement Calculator'!A:A,0),0),0)</f>
        <v>0</v>
      </c>
      <c r="K3947" s="455">
        <f t="shared" ca="1" si="158"/>
        <v>-23468533079.582264</v>
      </c>
      <c r="L3947" s="455">
        <f t="shared" ca="1" si="159"/>
        <v>-5655916472179.3252</v>
      </c>
      <c r="M3947" s="471">
        <f t="shared" si="161"/>
        <v>0.05</v>
      </c>
      <c r="N3947" s="475">
        <f t="shared" si="162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60"/>
        <v>-5655916472179.3252</v>
      </c>
      <c r="J3948" s="455">
        <f t="array" ref="J3948">IFERROR(INDEX('Retirement Calculator'!K:K,MATCH('Lorri 401b'!N3948,'Retirement Calculator'!A:A,0),0),0)</f>
        <v>0</v>
      </c>
      <c r="K3948" s="455">
        <f t="shared" ca="1" si="158"/>
        <v>-23566318634.080521</v>
      </c>
      <c r="L3948" s="455">
        <f t="shared" ca="1" si="159"/>
        <v>-5679482790813.4053</v>
      </c>
      <c r="M3948" s="471">
        <f t="shared" si="161"/>
        <v>0.05</v>
      </c>
      <c r="N3948" s="475">
        <f t="shared" si="162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60"/>
        <v>-5679482790813.4053</v>
      </c>
      <c r="J3949" s="455">
        <f t="array" ref="J3949">IFERROR(INDEX('Retirement Calculator'!K:K,MATCH('Lorri 401b'!N3949,'Retirement Calculator'!A:A,0),0),0)</f>
        <v>0</v>
      </c>
      <c r="K3949" s="455">
        <f t="shared" ca="1" si="158"/>
        <v>-23664511628.389187</v>
      </c>
      <c r="L3949" s="455">
        <f t="shared" ca="1" si="159"/>
        <v>-5703147302441.7949</v>
      </c>
      <c r="M3949" s="471">
        <f t="shared" si="161"/>
        <v>0.05</v>
      </c>
      <c r="N3949" s="475">
        <f t="shared" si="162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60"/>
        <v>-5703147302441.7949</v>
      </c>
      <c r="J3950" s="455">
        <f t="array" ref="J3950">IFERROR(INDEX('Retirement Calculator'!K:K,MATCH('Lorri 401b'!N3950,'Retirement Calculator'!A:A,0),0),0)</f>
        <v>0</v>
      </c>
      <c r="K3950" s="455">
        <f t="shared" ca="1" si="158"/>
        <v>-23763113760.174145</v>
      </c>
      <c r="L3950" s="455">
        <f t="shared" ca="1" si="159"/>
        <v>-5726910416201.9688</v>
      </c>
      <c r="M3950" s="471">
        <f t="shared" si="161"/>
        <v>0.05</v>
      </c>
      <c r="N3950" s="475">
        <f t="shared" si="162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60"/>
        <v>-5726910416201.9688</v>
      </c>
      <c r="J3951" s="455">
        <f t="array" ref="J3951">IFERROR(INDEX('Retirement Calculator'!K:K,MATCH('Lorri 401b'!N3951,'Retirement Calculator'!A:A,0),0),0)</f>
        <v>0</v>
      </c>
      <c r="K3951" s="455">
        <f t="shared" ca="1" si="158"/>
        <v>-23862126734.17487</v>
      </c>
      <c r="L3951" s="455">
        <f t="shared" ca="1" si="159"/>
        <v>-5750772542936.1436</v>
      </c>
      <c r="M3951" s="471">
        <f t="shared" si="161"/>
        <v>0.05</v>
      </c>
      <c r="N3951" s="475">
        <f t="shared" si="162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60"/>
        <v>-5750772542936.1436</v>
      </c>
      <c r="J3952" s="455">
        <f t="array" ref="J3952">IFERROR(INDEX('Retirement Calculator'!K:K,MATCH('Lorri 401b'!N3952,'Retirement Calculator'!A:A,0),0),0)</f>
        <v>0</v>
      </c>
      <c r="K3952" s="455">
        <f t="shared" ca="1" si="158"/>
        <v>-23961552262.233932</v>
      </c>
      <c r="L3952" s="455">
        <f t="shared" ca="1" si="159"/>
        <v>-5774734095198.3779</v>
      </c>
      <c r="M3952" s="471">
        <f t="shared" si="161"/>
        <v>0.05</v>
      </c>
      <c r="N3952" s="475">
        <f t="shared" si="162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60"/>
        <v>-5774734095198.3779</v>
      </c>
      <c r="J3953" s="455">
        <f t="array" ref="J3953">IFERROR(INDEX('Retirement Calculator'!K:K,MATCH('Lorri 401b'!N3953,'Retirement Calculator'!A:A,0),0),0)</f>
        <v>0</v>
      </c>
      <c r="K3953" s="455">
        <f t="shared" ca="1" si="158"/>
        <v>-24061392063.326576</v>
      </c>
      <c r="L3953" s="455">
        <f t="shared" ca="1" si="159"/>
        <v>-5798795487261.7041</v>
      </c>
      <c r="M3953" s="471">
        <f t="shared" si="161"/>
        <v>0.05</v>
      </c>
      <c r="N3953" s="475">
        <f t="shared" si="162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60"/>
        <v>-5798795487261.7041</v>
      </c>
      <c r="J3954" s="455">
        <f t="array" ref="J3954">IFERROR(INDEX('Retirement Calculator'!K:K,MATCH('Lorri 401b'!N3954,'Retirement Calculator'!A:A,0),0),0)</f>
        <v>0</v>
      </c>
      <c r="K3954" s="455">
        <f t="shared" ca="1" si="158"/>
        <v>-24161647863.590435</v>
      </c>
      <c r="L3954" s="455">
        <f t="shared" ca="1" si="159"/>
        <v>-5822957135125.2949</v>
      </c>
      <c r="M3954" s="471">
        <f t="shared" si="161"/>
        <v>0.05</v>
      </c>
      <c r="N3954" s="475">
        <f t="shared" si="162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60"/>
        <v>-5822957135125.2949</v>
      </c>
      <c r="J3955" s="455">
        <f t="array" ref="J3955">IFERROR(INDEX('Retirement Calculator'!K:K,MATCH('Lorri 401b'!N3955,'Retirement Calculator'!A:A,0),0),0)</f>
        <v>0</v>
      </c>
      <c r="K3955" s="455">
        <f t="shared" ca="1" si="158"/>
        <v>-24262321396.355396</v>
      </c>
      <c r="L3955" s="455">
        <f t="shared" ca="1" si="159"/>
        <v>-5847219456521.6504</v>
      </c>
      <c r="M3955" s="471">
        <f t="shared" si="161"/>
        <v>0.05</v>
      </c>
      <c r="N3955" s="475">
        <f t="shared" si="162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60"/>
        <v>-5847219456521.6504</v>
      </c>
      <c r="J3956" s="455">
        <f t="array" ref="J3956">IFERROR(INDEX('Retirement Calculator'!K:K,MATCH('Lorri 401b'!N3956,'Retirement Calculator'!A:A,0),0),0)</f>
        <v>0</v>
      </c>
      <c r="K3956" s="455">
        <f t="shared" ca="1" si="158"/>
        <v>-24363414402.173542</v>
      </c>
      <c r="L3956" s="455">
        <f t="shared" ca="1" si="159"/>
        <v>-5871582870923.8242</v>
      </c>
      <c r="M3956" s="471">
        <f t="shared" si="161"/>
        <v>0.05</v>
      </c>
      <c r="N3956" s="475">
        <f t="shared" si="162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60"/>
        <v>-5871582870923.8242</v>
      </c>
      <c r="J3957" s="455">
        <f t="array" ref="J3957">IFERROR(INDEX('Retirement Calculator'!K:K,MATCH('Lorri 401b'!N3957,'Retirement Calculator'!A:A,0),0),0)</f>
        <v>0</v>
      </c>
      <c r="K3957" s="455">
        <f t="shared" ca="1" si="158"/>
        <v>-24464928628.849266</v>
      </c>
      <c r="L3957" s="455">
        <f t="shared" ca="1" si="159"/>
        <v>-5896047799552.6738</v>
      </c>
      <c r="M3957" s="471">
        <f t="shared" si="161"/>
        <v>0.05</v>
      </c>
      <c r="N3957" s="475">
        <f t="shared" si="162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60"/>
        <v>-5896047799552.6738</v>
      </c>
      <c r="J3958" s="455">
        <f t="array" ref="J3958">IFERROR(INDEX('Retirement Calculator'!K:K,MATCH('Lorri 401b'!N3958,'Retirement Calculator'!A:A,0),0),0)</f>
        <v>0</v>
      </c>
      <c r="K3958" s="455">
        <f t="shared" ca="1" si="158"/>
        <v>-24566865831.469475</v>
      </c>
      <c r="L3958" s="455">
        <f t="shared" ca="1" si="159"/>
        <v>-5920614665384.1436</v>
      </c>
      <c r="M3958" s="471">
        <f t="shared" si="161"/>
        <v>0.05</v>
      </c>
      <c r="N3958" s="475">
        <f t="shared" si="162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60"/>
        <v>-5920614665384.1436</v>
      </c>
      <c r="J3959" s="455">
        <f t="array" ref="J3959">IFERROR(INDEX('Retirement Calculator'!K:K,MATCH('Lorri 401b'!N3959,'Retirement Calculator'!A:A,0),0),0)</f>
        <v>0</v>
      </c>
      <c r="K3959" s="455">
        <f t="shared" ca="1" si="158"/>
        <v>-24669227772.433929</v>
      </c>
      <c r="L3959" s="455">
        <f t="shared" ca="1" si="159"/>
        <v>-5945283893156.5771</v>
      </c>
      <c r="M3959" s="471">
        <f t="shared" si="161"/>
        <v>0.05</v>
      </c>
      <c r="N3959" s="475">
        <f t="shared" si="162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60"/>
        <v>-5945283893156.5771</v>
      </c>
      <c r="J3960" s="455">
        <f t="array" ref="J3960">IFERROR(INDEX('Retirement Calculator'!K:K,MATCH('Lorri 401b'!N3960,'Retirement Calculator'!A:A,0),0),0)</f>
        <v>0</v>
      </c>
      <c r="K3960" s="455">
        <f t="shared" ca="1" si="158"/>
        <v>-24772016221.485737</v>
      </c>
      <c r="L3960" s="455">
        <f t="shared" ca="1" si="159"/>
        <v>-5970055909378.0625</v>
      </c>
      <c r="M3960" s="471">
        <f t="shared" si="161"/>
        <v>0.05</v>
      </c>
      <c r="N3960" s="475">
        <f t="shared" si="162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60"/>
        <v>-5970055909378.0625</v>
      </c>
      <c r="J3961" s="455">
        <f t="array" ref="J3961">IFERROR(INDEX('Retirement Calculator'!K:K,MATCH('Lorri 401b'!N3961,'Retirement Calculator'!A:A,0),0),0)</f>
        <v>0</v>
      </c>
      <c r="K3961" s="455">
        <f t="shared" ca="1" si="158"/>
        <v>-24875232955.741928</v>
      </c>
      <c r="L3961" s="455">
        <f t="shared" ca="1" si="159"/>
        <v>-5994931142333.8047</v>
      </c>
      <c r="M3961" s="471">
        <f t="shared" si="161"/>
        <v>0.05</v>
      </c>
      <c r="N3961" s="475">
        <f t="shared" si="162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60"/>
        <v>-5994931142333.8047</v>
      </c>
      <c r="J3962" s="455">
        <f t="array" ref="J3962">IFERROR(INDEX('Retirement Calculator'!K:K,MATCH('Lorri 401b'!N3962,'Retirement Calculator'!A:A,0),0),0)</f>
        <v>0</v>
      </c>
      <c r="K3962" s="455">
        <f t="shared" ca="1" si="158"/>
        <v>-24978879759.724186</v>
      </c>
      <c r="L3962" s="455">
        <f t="shared" ca="1" si="159"/>
        <v>-6019910022093.5293</v>
      </c>
      <c r="M3962" s="471">
        <f t="shared" si="161"/>
        <v>0.05</v>
      </c>
      <c r="N3962" s="475">
        <f t="shared" si="162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60"/>
        <v>-6019910022093.5293</v>
      </c>
      <c r="J3963" s="455">
        <f t="array" ref="J3963">IFERROR(INDEX('Retirement Calculator'!K:K,MATCH('Lorri 401b'!N3963,'Retirement Calculator'!A:A,0),0),0)</f>
        <v>0</v>
      </c>
      <c r="K3963" s="455">
        <f t="shared" ca="1" si="158"/>
        <v>-25082958425.389706</v>
      </c>
      <c r="L3963" s="455">
        <f t="shared" ca="1" si="159"/>
        <v>-6044992980518.9189</v>
      </c>
      <c r="M3963" s="471">
        <f t="shared" si="161"/>
        <v>0.05</v>
      </c>
      <c r="N3963" s="475">
        <f t="shared" si="162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60"/>
        <v>-6044992980518.9189</v>
      </c>
      <c r="J3964" s="455">
        <f t="array" ref="J3964">IFERROR(INDEX('Retirement Calculator'!K:K,MATCH('Lorri 401b'!N3964,'Retirement Calculator'!A:A,0),0),0)</f>
        <v>0</v>
      </c>
      <c r="K3964" s="455">
        <f t="shared" ca="1" si="158"/>
        <v>-25187470752.162163</v>
      </c>
      <c r="L3964" s="455">
        <f t="shared" ca="1" si="159"/>
        <v>-6070180451271.0811</v>
      </c>
      <c r="M3964" s="471">
        <f t="shared" si="161"/>
        <v>0.05</v>
      </c>
      <c r="N3964" s="475">
        <f t="shared" si="162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60"/>
        <v>-6070180451271.0811</v>
      </c>
      <c r="J3965" s="455">
        <f t="array" ref="J3965">IFERROR(INDEX('Retirement Calculator'!K:K,MATCH('Lorri 401b'!N3965,'Retirement Calculator'!A:A,0),0),0)</f>
        <v>0</v>
      </c>
      <c r="K3965" s="455">
        <f t="shared" ca="1" si="158"/>
        <v>-25292418546.962837</v>
      </c>
      <c r="L3965" s="455">
        <f t="shared" ca="1" si="159"/>
        <v>-6095472869818.0439</v>
      </c>
      <c r="M3965" s="471">
        <f t="shared" si="161"/>
        <v>0.05</v>
      </c>
      <c r="N3965" s="475">
        <f t="shared" si="162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60"/>
        <v>-6095472869818.0439</v>
      </c>
      <c r="J3966" s="455">
        <f t="array" ref="J3966">IFERROR(INDEX('Retirement Calculator'!K:K,MATCH('Lorri 401b'!N3966,'Retirement Calculator'!A:A,0),0),0)</f>
        <v>0</v>
      </c>
      <c r="K3966" s="455">
        <f t="shared" ca="1" si="158"/>
        <v>-25397803624.241848</v>
      </c>
      <c r="L3966" s="455">
        <f t="shared" ca="1" si="159"/>
        <v>-6120870673442.2861</v>
      </c>
      <c r="M3966" s="471">
        <f t="shared" si="161"/>
        <v>0.05</v>
      </c>
      <c r="N3966" s="475">
        <f t="shared" si="162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60"/>
        <v>-6120870673442.2861</v>
      </c>
      <c r="J3967" s="455">
        <f t="array" ref="J3967">IFERROR(INDEX('Retirement Calculator'!K:K,MATCH('Lorri 401b'!N3967,'Retirement Calculator'!A:A,0),0),0)</f>
        <v>0</v>
      </c>
      <c r="K3967" s="455">
        <f t="shared" ca="1" si="158"/>
        <v>-25503627806.009525</v>
      </c>
      <c r="L3967" s="455">
        <f t="shared" ca="1" si="159"/>
        <v>-6146374301248.2959</v>
      </c>
      <c r="M3967" s="471">
        <f t="shared" si="161"/>
        <v>0.05</v>
      </c>
      <c r="N3967" s="475">
        <f t="shared" si="162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60"/>
        <v>-6146374301248.2959</v>
      </c>
      <c r="J3968" s="455">
        <f t="array" ref="J3968">IFERROR(INDEX('Retirement Calculator'!K:K,MATCH('Lorri 401b'!N3968,'Retirement Calculator'!A:A,0),0),0)</f>
        <v>0</v>
      </c>
      <c r="K3968" s="455">
        <f t="shared" ca="1" si="158"/>
        <v>-25609892921.867901</v>
      </c>
      <c r="L3968" s="455">
        <f t="shared" ca="1" si="159"/>
        <v>-6171984194170.1641</v>
      </c>
      <c r="M3968" s="471">
        <f t="shared" si="161"/>
        <v>0.05</v>
      </c>
      <c r="N3968" s="475">
        <f t="shared" si="162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60"/>
        <v>-6171984194170.1641</v>
      </c>
      <c r="J3969" s="455">
        <f t="array" ref="J3969">IFERROR(INDEX('Retirement Calculator'!K:K,MATCH('Lorri 401b'!N3969,'Retirement Calculator'!A:A,0),0),0)</f>
        <v>0</v>
      </c>
      <c r="K3969" s="455">
        <f t="shared" ca="1" si="158"/>
        <v>-25716600809.042351</v>
      </c>
      <c r="L3969" s="455">
        <f t="shared" ca="1" si="159"/>
        <v>-6197700794979.2061</v>
      </c>
      <c r="M3969" s="471">
        <f t="shared" si="161"/>
        <v>0.05</v>
      </c>
      <c r="N3969" s="475">
        <f t="shared" si="162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60"/>
        <v>-6197700794979.2061</v>
      </c>
      <c r="J3970" s="455">
        <f t="array" ref="J3970">IFERROR(INDEX('Retirement Calculator'!K:K,MATCH('Lorri 401b'!N3970,'Retirement Calculator'!A:A,0),0),0)</f>
        <v>0</v>
      </c>
      <c r="K3970" s="455">
        <f t="shared" ca="1" si="158"/>
        <v>-25823753312.413357</v>
      </c>
      <c r="L3970" s="455">
        <f t="shared" ca="1" si="159"/>
        <v>-6223524548291.6191</v>
      </c>
      <c r="M3970" s="471">
        <f t="shared" si="161"/>
        <v>0.05</v>
      </c>
      <c r="N3970" s="475">
        <f t="shared" si="162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60"/>
        <v>-6223524548291.6191</v>
      </c>
      <c r="J3971" s="455">
        <f t="array" ref="J3971">IFERROR(INDEX('Retirement Calculator'!K:K,MATCH('Lorri 401b'!N3971,'Retirement Calculator'!A:A,0),0),0)</f>
        <v>0</v>
      </c>
      <c r="K3971" s="455">
        <f t="shared" ca="1" si="158"/>
        <v>-25931352284.548412</v>
      </c>
      <c r="L3971" s="455">
        <f t="shared" ca="1" si="159"/>
        <v>-6249455900576.168</v>
      </c>
      <c r="M3971" s="471">
        <f t="shared" si="161"/>
        <v>0.05</v>
      </c>
      <c r="N3971" s="475">
        <f t="shared" si="162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60"/>
        <v>-6249455900576.168</v>
      </c>
      <c r="J3972" s="455">
        <f t="array" ref="J3972">IFERROR(INDEX('Retirement Calculator'!K:K,MATCH('Lorri 401b'!N3972,'Retirement Calculator'!A:A,0),0),0)</f>
        <v>0</v>
      </c>
      <c r="K3972" s="455">
        <f t="shared" ca="1" si="158"/>
        <v>-26039399585.734032</v>
      </c>
      <c r="L3972" s="455">
        <f t="shared" ca="1" si="159"/>
        <v>-6275495300161.9023</v>
      </c>
      <c r="M3972" s="471">
        <f t="shared" si="161"/>
        <v>0.05</v>
      </c>
      <c r="N3972" s="475">
        <f t="shared" si="162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60"/>
        <v>-6275495300161.9023</v>
      </c>
      <c r="J3973" s="455">
        <f t="array" ref="J3973">IFERROR(INDEX('Retirement Calculator'!K:K,MATCH('Lorri 401b'!N3973,'Retirement Calculator'!A:A,0),0),0)</f>
        <v>0</v>
      </c>
      <c r="K3973" s="455">
        <f t="shared" ca="1" si="158"/>
        <v>-26147897084.007927</v>
      </c>
      <c r="L3973" s="455">
        <f t="shared" ca="1" si="159"/>
        <v>-6301643197245.9102</v>
      </c>
      <c r="M3973" s="471">
        <f t="shared" si="161"/>
        <v>0.05</v>
      </c>
      <c r="N3973" s="475">
        <f t="shared" si="162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60"/>
        <v>-6301643197245.9102</v>
      </c>
      <c r="J3974" s="455">
        <f t="array" ref="J3974">IFERROR(INDEX('Retirement Calculator'!K:K,MATCH('Lorri 401b'!N3974,'Retirement Calculator'!A:A,0),0),0)</f>
        <v>0</v>
      </c>
      <c r="K3974" s="455">
        <f t="shared" ca="1" si="158"/>
        <v>-26256846655.191292</v>
      </c>
      <c r="L3974" s="455">
        <f t="shared" ca="1" si="159"/>
        <v>-6327900043901.1016</v>
      </c>
      <c r="M3974" s="471">
        <f t="shared" si="161"/>
        <v>0.05</v>
      </c>
      <c r="N3974" s="475">
        <f t="shared" si="162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60"/>
        <v>-6327900043901.1016</v>
      </c>
      <c r="J3975" s="455">
        <f t="array" ref="J3975">IFERROR(INDEX('Retirement Calculator'!K:K,MATCH('Lorri 401b'!N3975,'Retirement Calculator'!A:A,0),0),0)</f>
        <v>0</v>
      </c>
      <c r="K3975" s="455">
        <f t="shared" ca="1" si="158"/>
        <v>-26366250182.921257</v>
      </c>
      <c r="L3975" s="455">
        <f t="shared" ca="1" si="159"/>
        <v>-6354266294084.0225</v>
      </c>
      <c r="M3975" s="471">
        <f t="shared" si="161"/>
        <v>0.05</v>
      </c>
      <c r="N3975" s="475">
        <f t="shared" si="162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60"/>
        <v>-6354266294084.0225</v>
      </c>
      <c r="J3976" s="455">
        <f t="array" ref="J3976">IFERROR(INDEX('Retirement Calculator'!K:K,MATCH('Lorri 401b'!N3976,'Retirement Calculator'!A:A,0),0),0)</f>
        <v>0</v>
      </c>
      <c r="K3976" s="455">
        <f t="shared" ca="1" si="158"/>
        <v>-26476109558.683426</v>
      </c>
      <c r="L3976" s="455">
        <f t="shared" ca="1" si="159"/>
        <v>-6380742403642.7061</v>
      </c>
      <c r="M3976" s="471">
        <f t="shared" si="161"/>
        <v>0.05</v>
      </c>
      <c r="N3976" s="475">
        <f t="shared" si="162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60"/>
        <v>-6380742403642.7061</v>
      </c>
      <c r="J3977" s="455">
        <f t="array" ref="J3977">IFERROR(INDEX('Retirement Calculator'!K:K,MATCH('Lorri 401b'!N3977,'Retirement Calculator'!A:A,0),0),0)</f>
        <v>0</v>
      </c>
      <c r="K3977" s="455">
        <f t="shared" ca="1" si="158"/>
        <v>-26586426681.844608</v>
      </c>
      <c r="L3977" s="455">
        <f t="shared" ca="1" si="159"/>
        <v>-6407328830324.5508</v>
      </c>
      <c r="M3977" s="471">
        <f t="shared" si="161"/>
        <v>0.05</v>
      </c>
      <c r="N3977" s="475">
        <f t="shared" si="162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60"/>
        <v>-6407328830324.5508</v>
      </c>
      <c r="J3978" s="455">
        <f t="array" ref="J3978">IFERROR(INDEX('Retirement Calculator'!K:K,MATCH('Lorri 401b'!N3978,'Retirement Calculator'!A:A,0),0),0)</f>
        <v>0</v>
      </c>
      <c r="K3978" s="455">
        <f t="shared" ca="1" si="158"/>
        <v>-26697203459.685627</v>
      </c>
      <c r="L3978" s="455">
        <f t="shared" ca="1" si="159"/>
        <v>-6434026033784.2363</v>
      </c>
      <c r="M3978" s="471">
        <f t="shared" si="161"/>
        <v>0.05</v>
      </c>
      <c r="N3978" s="475">
        <f t="shared" si="162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60"/>
        <v>-6434026033784.2363</v>
      </c>
      <c r="J3979" s="455">
        <f t="array" ref="J3979">IFERROR(INDEX('Retirement Calculator'!K:K,MATCH('Lorri 401b'!N3979,'Retirement Calculator'!A:A,0),0),0)</f>
        <v>0</v>
      </c>
      <c r="K3979" s="455">
        <f t="shared" ca="1" si="158"/>
        <v>-26808441807.434319</v>
      </c>
      <c r="L3979" s="455">
        <f t="shared" ca="1" si="159"/>
        <v>-6460834475591.6709</v>
      </c>
      <c r="M3979" s="471">
        <f t="shared" si="161"/>
        <v>0.05</v>
      </c>
      <c r="N3979" s="475">
        <f t="shared" si="162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60"/>
        <v>-6460834475591.6709</v>
      </c>
      <c r="J3980" s="455">
        <f t="array" ref="J3980">IFERROR(INDEX('Retirement Calculator'!K:K,MATCH('Lorri 401b'!N3980,'Retirement Calculator'!A:A,0),0),0)</f>
        <v>0</v>
      </c>
      <c r="K3980" s="455">
        <f t="shared" ca="1" si="158"/>
        <v>-26920143648.29863</v>
      </c>
      <c r="L3980" s="455">
        <f t="shared" ca="1" si="159"/>
        <v>-6487754619239.9697</v>
      </c>
      <c r="M3980" s="471">
        <f t="shared" si="161"/>
        <v>0.05</v>
      </c>
      <c r="N3980" s="475">
        <f t="shared" si="162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60"/>
        <v>-6487754619239.9697</v>
      </c>
      <c r="J3981" s="455">
        <f t="array" ref="J3981">IFERROR(INDEX('Retirement Calculator'!K:K,MATCH('Lorri 401b'!N3981,'Retirement Calculator'!A:A,0),0),0)</f>
        <v>0</v>
      </c>
      <c r="K3981" s="455">
        <f t="shared" ca="1" si="158"/>
        <v>-27032310913.499874</v>
      </c>
      <c r="L3981" s="455">
        <f t="shared" ca="1" si="159"/>
        <v>-6514786930153.4697</v>
      </c>
      <c r="M3981" s="471">
        <f t="shared" si="161"/>
        <v>0.05</v>
      </c>
      <c r="N3981" s="475">
        <f t="shared" si="162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60"/>
        <v>-6514786930153.4697</v>
      </c>
      <c r="J3982" s="455">
        <f t="array" ref="J3982">IFERROR(INDEX('Retirement Calculator'!K:K,MATCH('Lorri 401b'!N3982,'Retirement Calculator'!A:A,0),0),0)</f>
        <v>0</v>
      </c>
      <c r="K3982" s="455">
        <f t="shared" ca="1" si="158"/>
        <v>-27144945542.306122</v>
      </c>
      <c r="L3982" s="455">
        <f t="shared" ca="1" si="159"/>
        <v>-6541931875695.7754</v>
      </c>
      <c r="M3982" s="471">
        <f t="shared" si="161"/>
        <v>0.05</v>
      </c>
      <c r="N3982" s="475">
        <f t="shared" si="162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60"/>
        <v>-6541931875695.7754</v>
      </c>
      <c r="J3983" s="455">
        <f t="array" ref="J3983">IFERROR(INDEX('Retirement Calculator'!K:K,MATCH('Lorri 401b'!N3983,'Retirement Calculator'!A:A,0),0),0)</f>
        <v>0</v>
      </c>
      <c r="K3983" s="455">
        <f t="shared" ca="1" si="158"/>
        <v>-27258049482.065731</v>
      </c>
      <c r="L3983" s="455">
        <f t="shared" ca="1" si="159"/>
        <v>-6569189925177.8408</v>
      </c>
      <c r="M3983" s="471">
        <f t="shared" si="161"/>
        <v>0.05</v>
      </c>
      <c r="N3983" s="475">
        <f t="shared" si="162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60"/>
        <v>-6569189925177.8408</v>
      </c>
      <c r="J3984" s="455">
        <f t="array" ref="J3984">IFERROR(INDEX('Retirement Calculator'!K:K,MATCH('Lorri 401b'!N3984,'Retirement Calculator'!A:A,0),0),0)</f>
        <v>0</v>
      </c>
      <c r="K3984" s="455">
        <f t="shared" ca="1" si="158"/>
        <v>-27371624688.241005</v>
      </c>
      <c r="L3984" s="455">
        <f t="shared" ca="1" si="159"/>
        <v>-6596561549866.082</v>
      </c>
      <c r="M3984" s="471">
        <f t="shared" si="161"/>
        <v>0.05</v>
      </c>
      <c r="N3984" s="475">
        <f t="shared" si="162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60"/>
        <v>-6596561549866.082</v>
      </c>
      <c r="J3985" s="455">
        <f t="array" ref="J3985">IFERROR(INDEX('Retirement Calculator'!K:K,MATCH('Lorri 401b'!N3985,'Retirement Calculator'!A:A,0),0),0)</f>
        <v>0</v>
      </c>
      <c r="K3985" s="455">
        <f t="shared" ca="1" si="158"/>
        <v>-27485673124.442009</v>
      </c>
      <c r="L3985" s="455">
        <f t="shared" ca="1" si="159"/>
        <v>-6624047222990.5244</v>
      </c>
      <c r="M3985" s="471">
        <f t="shared" si="161"/>
        <v>0.05</v>
      </c>
      <c r="N3985" s="475">
        <f t="shared" si="162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60"/>
        <v>-6624047222990.5244</v>
      </c>
      <c r="J3986" s="455">
        <f t="array" ref="J3986">IFERROR(INDEX('Retirement Calculator'!K:K,MATCH('Lorri 401b'!N3986,'Retirement Calculator'!A:A,0),0),0)</f>
        <v>0</v>
      </c>
      <c r="K3986" s="455">
        <f t="shared" ca="1" si="158"/>
        <v>-27600196762.460518</v>
      </c>
      <c r="L3986" s="455">
        <f t="shared" ca="1" si="159"/>
        <v>-6651647419752.9854</v>
      </c>
      <c r="M3986" s="471">
        <f t="shared" si="161"/>
        <v>0.05</v>
      </c>
      <c r="N3986" s="475">
        <f t="shared" si="162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60"/>
        <v>-6651647419752.9854</v>
      </c>
      <c r="J3987" s="455">
        <f t="array" ref="J3987">IFERROR(INDEX('Retirement Calculator'!K:K,MATCH('Lorri 401b'!N3987,'Retirement Calculator'!A:A,0),0),0)</f>
        <v>0</v>
      </c>
      <c r="K3987" s="455">
        <f t="shared" ca="1" si="158"/>
        <v>-27715197582.304104</v>
      </c>
      <c r="L3987" s="455">
        <f t="shared" ca="1" si="159"/>
        <v>-6679362617335.2891</v>
      </c>
      <c r="M3987" s="471">
        <f t="shared" si="161"/>
        <v>0.05</v>
      </c>
      <c r="N3987" s="475">
        <f t="shared" si="162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60"/>
        <v>-6679362617335.2891</v>
      </c>
      <c r="J3988" s="455">
        <f t="array" ref="J3988">IFERROR(INDEX('Retirement Calculator'!K:K,MATCH('Lorri 401b'!N3988,'Retirement Calculator'!A:A,0),0),0)</f>
        <v>0</v>
      </c>
      <c r="K3988" s="455">
        <f t="shared" ca="1" si="158"/>
        <v>-27830677572.23037</v>
      </c>
      <c r="L3988" s="455">
        <f t="shared" ca="1" si="159"/>
        <v>-6707193294907.5195</v>
      </c>
      <c r="M3988" s="471">
        <f t="shared" si="161"/>
        <v>0.05</v>
      </c>
      <c r="N3988" s="475">
        <f t="shared" si="162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60"/>
        <v>-6707193294907.5195</v>
      </c>
      <c r="J3989" s="455">
        <f t="array" ref="J3989">IFERROR(INDEX('Retirement Calculator'!K:K,MATCH('Lorri 401b'!N3989,'Retirement Calculator'!A:A,0),0),0)</f>
        <v>0</v>
      </c>
      <c r="K3989" s="455">
        <f t="shared" ca="1" si="158"/>
        <v>-27946638728.78133</v>
      </c>
      <c r="L3989" s="455">
        <f t="shared" ca="1" si="159"/>
        <v>-6735139933636.3008</v>
      </c>
      <c r="M3989" s="471">
        <f t="shared" si="161"/>
        <v>0.05</v>
      </c>
      <c r="N3989" s="475">
        <f t="shared" si="162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60"/>
        <v>-6735139933636.3008</v>
      </c>
      <c r="J3990" s="455">
        <f t="array" ref="J3990">IFERROR(INDEX('Retirement Calculator'!K:K,MATCH('Lorri 401b'!N3990,'Retirement Calculator'!A:A,0),0),0)</f>
        <v>0</v>
      </c>
      <c r="K3990" s="455">
        <f t="shared" ca="1" si="158"/>
        <v>-28063083056.817921</v>
      </c>
      <c r="L3990" s="455">
        <f t="shared" ca="1" si="159"/>
        <v>-6763203016693.1191</v>
      </c>
      <c r="M3990" s="471">
        <f t="shared" si="161"/>
        <v>0.05</v>
      </c>
      <c r="N3990" s="475">
        <f t="shared" si="162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60"/>
        <v>-6763203016693.1191</v>
      </c>
      <c r="J3991" s="455">
        <f t="array" ref="J3991">IFERROR(INDEX('Retirement Calculator'!K:K,MATCH('Lorri 401b'!N3991,'Retirement Calculator'!A:A,0),0),0)</f>
        <v>0</v>
      </c>
      <c r="K3991" s="455">
        <f t="shared" ca="1" si="158"/>
        <v>-28180012569.554661</v>
      </c>
      <c r="L3991" s="455">
        <f t="shared" ca="1" si="159"/>
        <v>-6791383029262.6738</v>
      </c>
      <c r="M3991" s="471">
        <f t="shared" si="161"/>
        <v>0.05</v>
      </c>
      <c r="N3991" s="475">
        <f t="shared" si="162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60"/>
        <v>-6791383029262.6738</v>
      </c>
      <c r="J3992" s="455">
        <f t="array" ref="J3992">IFERROR(INDEX('Retirement Calculator'!K:K,MATCH('Lorri 401b'!N3992,'Retirement Calculator'!A:A,0),0),0)</f>
        <v>0</v>
      </c>
      <c r="K3992" s="455">
        <f t="shared" ca="1" si="158"/>
        <v>-28297429288.594475</v>
      </c>
      <c r="L3992" s="455">
        <f t="shared" ca="1" si="159"/>
        <v>-6819680458551.2686</v>
      </c>
      <c r="M3992" s="471">
        <f t="shared" si="161"/>
        <v>0.05</v>
      </c>
      <c r="N3992" s="475">
        <f t="shared" si="162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60"/>
        <v>-6819680458551.2686</v>
      </c>
      <c r="J3993" s="455">
        <f t="array" ref="J3993">IFERROR(INDEX('Retirement Calculator'!K:K,MATCH('Lorri 401b'!N3993,'Retirement Calculator'!A:A,0),0),0)</f>
        <v>0</v>
      </c>
      <c r="K3993" s="455">
        <f t="shared" ca="1" si="158"/>
        <v>-28415335243.963619</v>
      </c>
      <c r="L3993" s="455">
        <f t="shared" ca="1" si="159"/>
        <v>-6848095793795.2324</v>
      </c>
      <c r="M3993" s="471">
        <f t="shared" si="161"/>
        <v>0.05</v>
      </c>
      <c r="N3993" s="475">
        <f t="shared" si="162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60"/>
        <v>-6848095793795.2324</v>
      </c>
      <c r="J3994" s="455">
        <f t="array" ref="J3994">IFERROR(INDEX('Retirement Calculator'!K:K,MATCH('Lorri 401b'!N3994,'Retirement Calculator'!A:A,0),0),0)</f>
        <v>0</v>
      </c>
      <c r="K3994" s="455">
        <f t="shared" ca="1" si="158"/>
        <v>-28533732474.146801</v>
      </c>
      <c r="L3994" s="455">
        <f t="shared" ca="1" si="159"/>
        <v>-6876629526269.3789</v>
      </c>
      <c r="M3994" s="471">
        <f t="shared" si="161"/>
        <v>0.05</v>
      </c>
      <c r="N3994" s="475">
        <f t="shared" si="162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60"/>
        <v>-6876629526269.3789</v>
      </c>
      <c r="J3995" s="455">
        <f t="array" ref="J3995">IFERROR(INDEX('Retirement Calculator'!K:K,MATCH('Lorri 401b'!N3995,'Retirement Calculator'!A:A,0),0),0)</f>
        <v>0</v>
      </c>
      <c r="K3995" s="455">
        <f t="shared" ca="1" si="158"/>
        <v>-28652623026.122406</v>
      </c>
      <c r="L3995" s="455">
        <f t="shared" ca="1" si="159"/>
        <v>-6905282149295.501</v>
      </c>
      <c r="M3995" s="471">
        <f t="shared" si="161"/>
        <v>0.05</v>
      </c>
      <c r="N3995" s="475">
        <f t="shared" si="162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60"/>
        <v>-6905282149295.501</v>
      </c>
      <c r="J3996" s="455">
        <f t="array" ref="J3996">IFERROR(INDEX('Retirement Calculator'!K:K,MATCH('Lorri 401b'!N3996,'Retirement Calculator'!A:A,0),0),0)</f>
        <v>0</v>
      </c>
      <c r="K3996" s="455">
        <f t="shared" ca="1" si="158"/>
        <v>-28772008955.397919</v>
      </c>
      <c r="L3996" s="455">
        <f t="shared" ca="1" si="159"/>
        <v>-6934054158250.8984</v>
      </c>
      <c r="M3996" s="471">
        <f t="shared" si="161"/>
        <v>0.05</v>
      </c>
      <c r="N3996" s="475">
        <f t="shared" si="162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60"/>
        <v>-6934054158250.8984</v>
      </c>
      <c r="J3997" s="455">
        <f t="array" ref="J3997">IFERROR(INDEX('Retirement Calculator'!K:K,MATCH('Lorri 401b'!N3997,'Retirement Calculator'!A:A,0),0),0)</f>
        <v>0</v>
      </c>
      <c r="K3997" s="455">
        <f t="shared" ca="1" si="158"/>
        <v>-28891892326.04541</v>
      </c>
      <c r="L3997" s="455">
        <f t="shared" ca="1" si="159"/>
        <v>-6962946050576.9434</v>
      </c>
      <c r="M3997" s="471">
        <f t="shared" si="161"/>
        <v>0.05</v>
      </c>
      <c r="N3997" s="475">
        <f t="shared" si="162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60"/>
        <v>-6962946050576.9434</v>
      </c>
      <c r="J3998" s="455">
        <f t="array" ref="J3998">IFERROR(INDEX('Retirement Calculator'!K:K,MATCH('Lorri 401b'!N3998,'Retirement Calculator'!A:A,0),0),0)</f>
        <v>0</v>
      </c>
      <c r="K3998" s="455">
        <f t="shared" ca="1" si="158"/>
        <v>-29012275210.737263</v>
      </c>
      <c r="L3998" s="455">
        <f t="shared" ca="1" si="159"/>
        <v>-6991958325787.6807</v>
      </c>
      <c r="M3998" s="471">
        <f t="shared" si="161"/>
        <v>0.05</v>
      </c>
      <c r="N3998" s="475">
        <f t="shared" si="162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60"/>
        <v>-6991958325787.6807</v>
      </c>
      <c r="J3999" s="455">
        <f t="array" ref="J3999">IFERROR(INDEX('Retirement Calculator'!K:K,MATCH('Lorri 401b'!N3999,'Retirement Calculator'!A:A,0),0),0)</f>
        <v>0</v>
      </c>
      <c r="K3999" s="455">
        <f t="shared" ca="1" si="158"/>
        <v>-29133159690.782001</v>
      </c>
      <c r="L3999" s="455">
        <f t="shared" ca="1" si="159"/>
        <v>-7021091485478.4629</v>
      </c>
      <c r="M3999" s="471">
        <f t="shared" si="161"/>
        <v>0.05</v>
      </c>
      <c r="N3999" s="475">
        <f t="shared" si="162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60"/>
        <v>-7021091485478.4629</v>
      </c>
      <c r="J4000" s="455">
        <f t="array" ref="J4000">IFERROR(INDEX('Retirement Calculator'!K:K,MATCH('Lorri 401b'!N4000,'Retirement Calculator'!A:A,0),0),0)</f>
        <v>0</v>
      </c>
      <c r="K4000" s="455">
        <f t="shared" ca="1" si="158"/>
        <v>-29254547856.160263</v>
      </c>
      <c r="L4000" s="455">
        <f t="shared" ca="1" si="159"/>
        <v>-7050346033334.623</v>
      </c>
      <c r="M4000" s="471">
        <f t="shared" si="161"/>
        <v>0.05</v>
      </c>
      <c r="N4000" s="475">
        <f t="shared" si="162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60"/>
        <v>-7050346033334.623</v>
      </c>
      <c r="J4001" s="455">
        <f t="array" ref="J4001">IFERROR(INDEX('Retirement Calculator'!K:K,MATCH('Lorri 401b'!N4001,'Retirement Calculator'!A:A,0),0),0)</f>
        <v>0</v>
      </c>
      <c r="K4001" s="455">
        <f t="shared" ca="1" si="158"/>
        <v>-29376441805.560925</v>
      </c>
      <c r="L4001" s="455">
        <f t="shared" ca="1" si="159"/>
        <v>-7079722475140.1836</v>
      </c>
      <c r="M4001" s="471">
        <f t="shared" si="161"/>
        <v>0.05</v>
      </c>
      <c r="N4001" s="475">
        <f t="shared" si="162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60"/>
        <v>-7079722475140.1836</v>
      </c>
      <c r="J4002" s="455">
        <f t="array" ref="J4002">IFERROR(INDEX('Retirement Calculator'!K:K,MATCH('Lorri 401b'!N4002,'Retirement Calculator'!A:A,0),0),0)</f>
        <v>0</v>
      </c>
      <c r="K4002" s="455">
        <f t="shared" ca="1" si="158"/>
        <v>-29498843646.417431</v>
      </c>
      <c r="L4002" s="455">
        <f t="shared" ca="1" si="159"/>
        <v>-7109221318786.6006</v>
      </c>
      <c r="M4002" s="471">
        <f t="shared" si="161"/>
        <v>0.05</v>
      </c>
      <c r="N4002" s="475">
        <f t="shared" si="162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60"/>
        <v>-7109221318786.6006</v>
      </c>
      <c r="J4003" s="455">
        <f t="array" ref="J4003">IFERROR(INDEX('Retirement Calculator'!K:K,MATCH('Lorri 401b'!N4003,'Retirement Calculator'!A:A,0),0),0)</f>
        <v>0</v>
      </c>
      <c r="K4003" s="455">
        <f t="shared" ca="1" si="158"/>
        <v>-29621755494.944164</v>
      </c>
      <c r="L4003" s="455">
        <f t="shared" ca="1" si="159"/>
        <v>-7138843074281.5449</v>
      </c>
      <c r="M4003" s="471">
        <f t="shared" si="161"/>
        <v>0.05</v>
      </c>
      <c r="N4003" s="475">
        <f t="shared" si="162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60"/>
        <v>-7138843074281.5449</v>
      </c>
      <c r="J4004" s="455">
        <f t="array" ref="J4004">IFERROR(INDEX('Retirement Calculator'!K:K,MATCH('Lorri 401b'!N4004,'Retirement Calculator'!A:A,0),0),0)</f>
        <v>0</v>
      </c>
      <c r="K4004" s="455">
        <f t="shared" ca="1" si="158"/>
        <v>-29745179476.173103</v>
      </c>
      <c r="L4004" s="455">
        <f t="shared" ca="1" si="159"/>
        <v>-7168588253757.7178</v>
      </c>
      <c r="M4004" s="471">
        <f t="shared" si="161"/>
        <v>0.05</v>
      </c>
      <c r="N4004" s="475">
        <f t="shared" si="162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60"/>
        <v>-7168588253757.7178</v>
      </c>
      <c r="J4005" s="455">
        <f t="array" ref="J4005">IFERROR(INDEX('Retirement Calculator'!K:K,MATCH('Lorri 401b'!N4005,'Retirement Calculator'!A:A,0),0),0)</f>
        <v>0</v>
      </c>
      <c r="K4005" s="455">
        <f t="shared" ca="1" si="158"/>
        <v>-29869117723.99049</v>
      </c>
      <c r="L4005" s="455">
        <f t="shared" ca="1" si="159"/>
        <v>-7198457371481.708</v>
      </c>
      <c r="M4005" s="471">
        <f t="shared" si="161"/>
        <v>0.05</v>
      </c>
      <c r="N4005" s="475">
        <f t="shared" si="162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60"/>
        <v>-7198457371481.708</v>
      </c>
      <c r="J4006" s="455">
        <f t="array" ref="J4006">IFERROR(INDEX('Retirement Calculator'!K:K,MATCH('Lorri 401b'!N4006,'Retirement Calculator'!A:A,0),0),0)</f>
        <v>0</v>
      </c>
      <c r="K4006" s="455">
        <f t="shared" ca="1" si="158"/>
        <v>-29993572381.173786</v>
      </c>
      <c r="L4006" s="455">
        <f t="shared" ca="1" si="159"/>
        <v>-7228450943862.8818</v>
      </c>
      <c r="M4006" s="471">
        <f t="shared" si="161"/>
        <v>0.05</v>
      </c>
      <c r="N4006" s="475">
        <f t="shared" si="162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60"/>
        <v>-7228450943862.8818</v>
      </c>
      <c r="J4007" s="455">
        <f t="array" ref="J4007">IFERROR(INDEX('Retirement Calculator'!K:K,MATCH('Lorri 401b'!N4007,'Retirement Calculator'!A:A,0),0),0)</f>
        <v>0</v>
      </c>
      <c r="K4007" s="455">
        <f t="shared" ca="1" si="158"/>
        <v>-30118545599.428673</v>
      </c>
      <c r="L4007" s="455">
        <f t="shared" ca="1" si="159"/>
        <v>-7258569489462.3105</v>
      </c>
      <c r="M4007" s="471">
        <f t="shared" si="161"/>
        <v>0.05</v>
      </c>
      <c r="N4007" s="475">
        <f t="shared" si="162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60"/>
        <v>-7258569489462.3105</v>
      </c>
      <c r="J4008" s="455">
        <f t="array" ref="J4008">IFERROR(INDEX('Retirement Calculator'!K:K,MATCH('Lorri 401b'!N4008,'Retirement Calculator'!A:A,0),0),0)</f>
        <v>0</v>
      </c>
      <c r="K4008" s="455">
        <f t="shared" ca="1" si="158"/>
        <v>-30244039539.426289</v>
      </c>
      <c r="L4008" s="455">
        <f t="shared" ca="1" si="159"/>
        <v>-7288813529001.7373</v>
      </c>
      <c r="M4008" s="471">
        <f t="shared" si="161"/>
        <v>0.05</v>
      </c>
      <c r="N4008" s="475">
        <f t="shared" si="162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60"/>
        <v>-7288813529001.7373</v>
      </c>
      <c r="J4009" s="455">
        <f t="array" ref="J4009">IFERROR(INDEX('Retirement Calculator'!K:K,MATCH('Lorri 401b'!N4009,'Retirement Calculator'!A:A,0),0),0)</f>
        <v>0</v>
      </c>
      <c r="K4009" s="455">
        <f t="shared" ca="1" si="158"/>
        <v>-30370056370.840572</v>
      </c>
      <c r="L4009" s="455">
        <f t="shared" ca="1" si="159"/>
        <v>-7319183585372.5781</v>
      </c>
      <c r="M4009" s="471">
        <f t="shared" si="161"/>
        <v>0.05</v>
      </c>
      <c r="N4009" s="475">
        <f t="shared" si="162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60"/>
        <v>-7319183585372.5781</v>
      </c>
      <c r="J4010" s="455">
        <f t="array" ref="J4010">IFERROR(INDEX('Retirement Calculator'!K:K,MATCH('Lorri 401b'!N4010,'Retirement Calculator'!A:A,0),0),0)</f>
        <v>0</v>
      </c>
      <c r="K4010" s="455">
        <f t="shared" ca="1" si="158"/>
        <v>-30496598272.385738</v>
      </c>
      <c r="L4010" s="455">
        <f t="shared" ca="1" si="159"/>
        <v>-7349680183644.9639</v>
      </c>
      <c r="M4010" s="471">
        <f t="shared" si="161"/>
        <v>0.05</v>
      </c>
      <c r="N4010" s="475">
        <f t="shared" si="162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60"/>
        <v>-7349680183644.9639</v>
      </c>
      <c r="J4011" s="455">
        <f t="array" ref="J4011">IFERROR(INDEX('Retirement Calculator'!K:K,MATCH('Lorri 401b'!N4011,'Retirement Calculator'!A:A,0),0),0)</f>
        <v>0</v>
      </c>
      <c r="K4011" s="455">
        <f t="shared" ca="1" si="158"/>
        <v>-30623667431.854015</v>
      </c>
      <c r="L4011" s="455">
        <f t="shared" ca="1" si="159"/>
        <v>-7380303851076.8184</v>
      </c>
      <c r="M4011" s="471">
        <f t="shared" si="161"/>
        <v>0.05</v>
      </c>
      <c r="N4011" s="475">
        <f t="shared" si="162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60"/>
        <v>-7380303851076.8184</v>
      </c>
      <c r="J4012" s="455">
        <f t="array" ref="J4012">IFERROR(INDEX('Retirement Calculator'!K:K,MATCH('Lorri 401b'!N4012,'Retirement Calculator'!A:A,0),0),0)</f>
        <v>0</v>
      </c>
      <c r="K4012" s="455">
        <f t="shared" ca="1" si="158"/>
        <v>-30751266046.153404</v>
      </c>
      <c r="L4012" s="455">
        <f t="shared" ca="1" si="159"/>
        <v>-7411055117122.9717</v>
      </c>
      <c r="M4012" s="471">
        <f t="shared" si="161"/>
        <v>0.05</v>
      </c>
      <c r="N4012" s="475">
        <f t="shared" si="162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60"/>
        <v>-7411055117122.9717</v>
      </c>
      <c r="J4013" s="455">
        <f t="array" ref="J4013">IFERROR(INDEX('Retirement Calculator'!K:K,MATCH('Lorri 401b'!N4013,'Retirement Calculator'!A:A,0),0),0)</f>
        <v>0</v>
      </c>
      <c r="K4013" s="455">
        <f t="shared" ca="1" si="158"/>
        <v>-30879396321.345718</v>
      </c>
      <c r="L4013" s="455">
        <f t="shared" ca="1" si="159"/>
        <v>-7441934513444.3174</v>
      </c>
      <c r="M4013" s="471">
        <f t="shared" si="161"/>
        <v>0.05</v>
      </c>
      <c r="N4013" s="475">
        <f t="shared" si="162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60"/>
        <v>-7441934513444.3174</v>
      </c>
      <c r="J4014" s="455">
        <f t="array" ref="J4014">IFERROR(INDEX('Retirement Calculator'!K:K,MATCH('Lorri 401b'!N4014,'Retirement Calculator'!A:A,0),0),0)</f>
        <v>0</v>
      </c>
      <c r="K4014" s="455">
        <f t="shared" ca="1" si="158"/>
        <v>-31008060472.684654</v>
      </c>
      <c r="L4014" s="455">
        <f t="shared" ca="1" si="159"/>
        <v>-7472942573917.002</v>
      </c>
      <c r="M4014" s="471">
        <f t="shared" si="161"/>
        <v>0.05</v>
      </c>
      <c r="N4014" s="475">
        <f t="shared" si="162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60"/>
        <v>-7472942573917.002</v>
      </c>
      <c r="J4015" s="455">
        <f t="array" ref="J4015">IFERROR(INDEX('Retirement Calculator'!K:K,MATCH('Lorri 401b'!N4015,'Retirement Calculator'!A:A,0),0),0)</f>
        <v>0</v>
      </c>
      <c r="K4015" s="455">
        <f t="shared" ca="1" si="158"/>
        <v>-31137260724.654175</v>
      </c>
      <c r="L4015" s="455">
        <f t="shared" ca="1" si="159"/>
        <v>-7504079834641.6563</v>
      </c>
      <c r="M4015" s="471">
        <f t="shared" si="161"/>
        <v>0.05</v>
      </c>
      <c r="N4015" s="475">
        <f t="shared" si="162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60"/>
        <v>-7504079834641.6563</v>
      </c>
      <c r="J4016" s="455">
        <f t="array" ref="J4016">IFERROR(INDEX('Retirement Calculator'!K:K,MATCH('Lorri 401b'!N4016,'Retirement Calculator'!A:A,0),0),0)</f>
        <v>0</v>
      </c>
      <c r="K4016" s="455">
        <f t="shared" ca="1" si="158"/>
        <v>-31266999311.006905</v>
      </c>
      <c r="L4016" s="455">
        <f t="shared" ca="1" si="159"/>
        <v>-7535346833952.6631</v>
      </c>
      <c r="M4016" s="471">
        <f t="shared" si="161"/>
        <v>0.05</v>
      </c>
      <c r="N4016" s="475">
        <f t="shared" si="162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60"/>
        <v>-7535346833952.6631</v>
      </c>
      <c r="J4017" s="455">
        <f t="array" ref="J4017">IFERROR(INDEX('Retirement Calculator'!K:K,MATCH('Lorri 401b'!N4017,'Retirement Calculator'!A:A,0),0),0)</f>
        <v>0</v>
      </c>
      <c r="K4017" s="455">
        <f t="shared" ca="1" si="158"/>
        <v>-31397278474.802761</v>
      </c>
      <c r="L4017" s="455">
        <f t="shared" ca="1" si="159"/>
        <v>-7566744112427.4658</v>
      </c>
      <c r="M4017" s="471">
        <f t="shared" si="161"/>
        <v>0.05</v>
      </c>
      <c r="N4017" s="475">
        <f t="shared" si="162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60"/>
        <v>-7566744112427.4658</v>
      </c>
      <c r="J4018" s="455">
        <f t="array" ref="J4018">IFERROR(INDEX('Retirement Calculator'!K:K,MATCH('Lorri 401b'!N4018,'Retirement Calculator'!A:A,0),0),0)</f>
        <v>0</v>
      </c>
      <c r="K4018" s="455">
        <f t="shared" ca="1" si="158"/>
        <v>-31528100468.447773</v>
      </c>
      <c r="L4018" s="455">
        <f t="shared" ca="1" si="159"/>
        <v>-7598272212895.9141</v>
      </c>
      <c r="M4018" s="471">
        <f t="shared" si="161"/>
        <v>0.05</v>
      </c>
      <c r="N4018" s="475">
        <f t="shared" si="162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60"/>
        <v>-7598272212895.9141</v>
      </c>
      <c r="J4019" s="455">
        <f t="array" ref="J4019">IFERROR(INDEX('Retirement Calculator'!K:K,MATCH('Lorri 401b'!N4019,'Retirement Calculator'!A:A,0),0),0)</f>
        <v>0</v>
      </c>
      <c r="K4019" s="455">
        <f t="shared" ca="1" si="158"/>
        <v>-31659467553.732971</v>
      </c>
      <c r="L4019" s="455">
        <f t="shared" ca="1" si="159"/>
        <v>-7629931680449.6475</v>
      </c>
      <c r="M4019" s="471">
        <f t="shared" si="161"/>
        <v>0.05</v>
      </c>
      <c r="N4019" s="475">
        <f t="shared" si="162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60"/>
        <v>-7629931680449.6475</v>
      </c>
      <c r="J4020" s="455">
        <f t="array" ref="J4020">IFERROR(INDEX('Retirement Calculator'!K:K,MATCH('Lorri 401b'!N4020,'Retirement Calculator'!A:A,0),0),0)</f>
        <v>0</v>
      </c>
      <c r="K4020" s="455">
        <f t="shared" ca="1" si="158"/>
        <v>-31791382001.873528</v>
      </c>
      <c r="L4020" s="455">
        <f t="shared" ca="1" si="159"/>
        <v>-7661723062451.5205</v>
      </c>
      <c r="M4020" s="471">
        <f t="shared" si="161"/>
        <v>0.05</v>
      </c>
      <c r="N4020" s="475">
        <f t="shared" si="162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60"/>
        <v>-7661723062451.5205</v>
      </c>
      <c r="J4021" s="455">
        <f t="array" ref="J4021">IFERROR(INDEX('Retirement Calculator'!K:K,MATCH('Lorri 401b'!N4021,'Retirement Calculator'!A:A,0),0),0)</f>
        <v>0</v>
      </c>
      <c r="K4021" s="455">
        <f t="shared" ca="1" si="158"/>
        <v>-31923846093.548</v>
      </c>
      <c r="L4021" s="455">
        <f t="shared" ca="1" si="159"/>
        <v>-7693646908545.0684</v>
      </c>
      <c r="M4021" s="471">
        <f t="shared" si="161"/>
        <v>0.05</v>
      </c>
      <c r="N4021" s="475">
        <f t="shared" si="162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60"/>
        <v>-7693646908545.0684</v>
      </c>
      <c r="J4022" s="455">
        <f t="array" ref="J4022">IFERROR(INDEX('Retirement Calculator'!K:K,MATCH('Lorri 401b'!N4022,'Retirement Calculator'!A:A,0),0),0)</f>
        <v>0</v>
      </c>
      <c r="K4022" s="455">
        <f t="shared" ca="1" si="158"/>
        <v>-32056862118.937786</v>
      </c>
      <c r="L4022" s="455">
        <f t="shared" ca="1" si="159"/>
        <v>-7725703770664.0059</v>
      </c>
      <c r="M4022" s="471">
        <f t="shared" si="161"/>
        <v>0.05</v>
      </c>
      <c r="N4022" s="475">
        <f t="shared" si="162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60"/>
        <v>-7725703770664.0059</v>
      </c>
      <c r="J4023" s="455">
        <f t="array" ref="J4023">IFERROR(INDEX('Retirement Calculator'!K:K,MATCH('Lorri 401b'!N4023,'Retirement Calculator'!A:A,0),0),0)</f>
        <v>0</v>
      </c>
      <c r="K4023" s="455">
        <f t="shared" ca="1" si="158"/>
        <v>-32190432377.766689</v>
      </c>
      <c r="L4023" s="455">
        <f t="shared" ca="1" si="159"/>
        <v>-7757894203041.7725</v>
      </c>
      <c r="M4023" s="471">
        <f t="shared" si="161"/>
        <v>0.05</v>
      </c>
      <c r="N4023" s="475">
        <f t="shared" si="162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60"/>
        <v>-7757894203041.7725</v>
      </c>
      <c r="J4024" s="455">
        <f t="array" ref="J4024">IFERROR(INDEX('Retirement Calculator'!K:K,MATCH('Lorri 401b'!N4024,'Retirement Calculator'!A:A,0),0),0)</f>
        <v>0</v>
      </c>
      <c r="K4024" s="455">
        <f t="shared" ca="1" si="158"/>
        <v>-32324559179.340717</v>
      </c>
      <c r="L4024" s="455">
        <f t="shared" ca="1" si="159"/>
        <v>-7790218762221.1133</v>
      </c>
      <c r="M4024" s="471">
        <f t="shared" si="161"/>
        <v>0.05</v>
      </c>
      <c r="N4024" s="475">
        <f t="shared" si="162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60"/>
        <v>-7790218762221.1133</v>
      </c>
      <c r="J4025" s="455">
        <f t="array" ref="J4025">IFERROR(INDEX('Retirement Calculator'!K:K,MATCH('Lorri 401b'!N4025,'Retirement Calculator'!A:A,0),0),0)</f>
        <v>0</v>
      </c>
      <c r="K4025" s="455">
        <f t="shared" ca="1" si="158"/>
        <v>-32459244842.587971</v>
      </c>
      <c r="L4025" s="455">
        <f t="shared" ca="1" si="159"/>
        <v>-7822678007063.7012</v>
      </c>
      <c r="M4025" s="471">
        <f t="shared" si="161"/>
        <v>0.05</v>
      </c>
      <c r="N4025" s="475">
        <f t="shared" si="162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60"/>
        <v>-7822678007063.7012</v>
      </c>
      <c r="J4026" s="455">
        <f t="array" ref="J4026">IFERROR(INDEX('Retirement Calculator'!K:K,MATCH('Lorri 401b'!N4026,'Retirement Calculator'!A:A,0),0),0)</f>
        <v>0</v>
      </c>
      <c r="K4026" s="455">
        <f t="shared" ca="1" si="158"/>
        <v>-32594491696.098755</v>
      </c>
      <c r="L4026" s="455">
        <f t="shared" ca="1" si="159"/>
        <v>-7855272498759.7998</v>
      </c>
      <c r="M4026" s="471">
        <f t="shared" si="161"/>
        <v>0.05</v>
      </c>
      <c r="N4026" s="475">
        <f t="shared" si="162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60"/>
        <v>-7855272498759.7998</v>
      </c>
      <c r="J4027" s="455">
        <f t="array" ref="J4027">IFERROR(INDEX('Retirement Calculator'!K:K,MATCH('Lorri 401b'!N4027,'Retirement Calculator'!A:A,0),0),0)</f>
        <v>0</v>
      </c>
      <c r="K4027" s="455">
        <f t="shared" ca="1" si="158"/>
        <v>-32730302078.165836</v>
      </c>
      <c r="L4027" s="455">
        <f t="shared" ca="1" si="159"/>
        <v>-7888002800837.9658</v>
      </c>
      <c r="M4027" s="471">
        <f t="shared" si="161"/>
        <v>0.05</v>
      </c>
      <c r="N4027" s="475">
        <f t="shared" si="162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60"/>
        <v>-7888002800837.9658</v>
      </c>
      <c r="J4028" s="455">
        <f t="array" ref="J4028">IFERROR(INDEX('Retirement Calculator'!K:K,MATCH('Lorri 401b'!N4028,'Retirement Calculator'!A:A,0),0),0)</f>
        <v>0</v>
      </c>
      <c r="K4028" s="455">
        <f t="shared" ca="1" si="158"/>
        <v>-32866678336.82486</v>
      </c>
      <c r="L4028" s="455">
        <f t="shared" ca="1" si="159"/>
        <v>-7920869479174.791</v>
      </c>
      <c r="M4028" s="471">
        <f t="shared" si="161"/>
        <v>0.05</v>
      </c>
      <c r="N4028" s="475">
        <f t="shared" si="162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60"/>
        <v>-7920869479174.791</v>
      </c>
      <c r="J4029" s="455">
        <f t="array" ref="J4029">IFERROR(INDEX('Retirement Calculator'!K:K,MATCH('Lorri 401b'!N4029,'Retirement Calculator'!A:A,0),0),0)</f>
        <v>0</v>
      </c>
      <c r="K4029" s="455">
        <f t="shared" ca="1" si="158"/>
        <v>-33003622829.894958</v>
      </c>
      <c r="L4029" s="455">
        <f t="shared" ca="1" si="159"/>
        <v>-7953873102004.6855</v>
      </c>
      <c r="M4029" s="471">
        <f t="shared" si="161"/>
        <v>0.05</v>
      </c>
      <c r="N4029" s="475">
        <f t="shared" si="162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60"/>
        <v>-7953873102004.6855</v>
      </c>
      <c r="J4030" s="455">
        <f t="array" ref="J4030">IFERROR(INDEX('Retirement Calculator'!K:K,MATCH('Lorri 401b'!N4030,'Retirement Calculator'!A:A,0),0),0)</f>
        <v>0</v>
      </c>
      <c r="K4030" s="455">
        <f t="shared" ca="1" si="158"/>
        <v>-33141137925.019524</v>
      </c>
      <c r="L4030" s="455">
        <f t="shared" ca="1" si="159"/>
        <v>-7987014239929.7051</v>
      </c>
      <c r="M4030" s="471">
        <f t="shared" si="161"/>
        <v>0.05</v>
      </c>
      <c r="N4030" s="475">
        <f t="shared" si="162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60"/>
        <v>-7987014239929.7051</v>
      </c>
      <c r="J4031" s="455">
        <f t="array" ref="J4031">IFERROR(INDEX('Retirement Calculator'!K:K,MATCH('Lorri 401b'!N4031,'Retirement Calculator'!A:A,0),0),0)</f>
        <v>0</v>
      </c>
      <c r="K4031" s="455">
        <f t="shared" ca="1" si="158"/>
        <v>-33279225999.707104</v>
      </c>
      <c r="L4031" s="455">
        <f t="shared" ca="1" si="159"/>
        <v>-8020293465929.4121</v>
      </c>
      <c r="M4031" s="471">
        <f t="shared" si="161"/>
        <v>0.05</v>
      </c>
      <c r="N4031" s="475">
        <f t="shared" si="162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60"/>
        <v>-8020293465929.4121</v>
      </c>
      <c r="J4032" s="455">
        <f t="array" ref="J4032">IFERROR(INDEX('Retirement Calculator'!K:K,MATCH('Lorri 401b'!N4032,'Retirement Calculator'!A:A,0),0),0)</f>
        <v>0</v>
      </c>
      <c r="K4032" s="455">
        <f t="shared" ca="1" si="158"/>
        <v>-33417889441.372551</v>
      </c>
      <c r="L4032" s="455">
        <f t="shared" ca="1" si="159"/>
        <v>-8053711355370.7842</v>
      </c>
      <c r="M4032" s="471">
        <f t="shared" si="161"/>
        <v>0.05</v>
      </c>
      <c r="N4032" s="475">
        <f t="shared" si="162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60"/>
        <v>-8053711355370.7842</v>
      </c>
      <c r="J4033" s="455">
        <f t="array" ref="J4033">IFERROR(INDEX('Retirement Calculator'!K:K,MATCH('Lorri 401b'!N4033,'Retirement Calculator'!A:A,0),0),0)</f>
        <v>0</v>
      </c>
      <c r="K4033" s="455">
        <f t="shared" ca="1" si="158"/>
        <v>-33557130647.378269</v>
      </c>
      <c r="L4033" s="455">
        <f t="shared" ca="1" si="159"/>
        <v>-8087268486018.1621</v>
      </c>
      <c r="M4033" s="471">
        <f t="shared" si="161"/>
        <v>0.05</v>
      </c>
      <c r="N4033" s="475">
        <f t="shared" si="162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60"/>
        <v>-8087268486018.1621</v>
      </c>
      <c r="J4034" s="455">
        <f t="array" ref="J4034">IFERROR(INDEX('Retirement Calculator'!K:K,MATCH('Lorri 401b'!N4034,'Retirement Calculator'!A:A,0),0),0)</f>
        <v>0</v>
      </c>
      <c r="K4034" s="455">
        <f t="shared" ca="1" si="158"/>
        <v>-33696952025.07568</v>
      </c>
      <c r="L4034" s="455">
        <f t="shared" ca="1" si="159"/>
        <v>-8120965438043.2373</v>
      </c>
      <c r="M4034" s="471">
        <f t="shared" si="161"/>
        <v>0.05</v>
      </c>
      <c r="N4034" s="475">
        <f t="shared" si="162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60"/>
        <v>-8120965438043.2373</v>
      </c>
      <c r="J4035" s="455">
        <f t="array" ref="J4035">IFERROR(INDEX('Retirement Calculator'!K:K,MATCH('Lorri 401b'!N4035,'Retirement Calculator'!A:A,0),0),0)</f>
        <v>0</v>
      </c>
      <c r="K4035" s="455">
        <f t="shared" ca="1" si="158"/>
        <v>-33837355991.846821</v>
      </c>
      <c r="L4035" s="455">
        <f t="shared" ca="1" si="159"/>
        <v>-8154802794035.084</v>
      </c>
      <c r="M4035" s="471">
        <f t="shared" si="161"/>
        <v>0.05</v>
      </c>
      <c r="N4035" s="475">
        <f t="shared" si="162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60"/>
        <v>-8154802794035.084</v>
      </c>
      <c r="J4036" s="455">
        <f t="array" ref="J4036">IFERROR(INDEX('Retirement Calculator'!K:K,MATCH('Lorri 401b'!N4036,'Retirement Calculator'!A:A,0),0),0)</f>
        <v>0</v>
      </c>
      <c r="K4036" s="455">
        <f t="shared" ca="1" si="158"/>
        <v>-33978344975.146183</v>
      </c>
      <c r="L4036" s="455">
        <f t="shared" ca="1" si="159"/>
        <v>-8188781139010.2305</v>
      </c>
      <c r="M4036" s="471">
        <f t="shared" si="161"/>
        <v>0.05</v>
      </c>
      <c r="N4036" s="475">
        <f t="shared" si="162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60"/>
        <v>-8188781139010.2305</v>
      </c>
      <c r="J4037" s="455">
        <f t="array" ref="J4037">IFERROR(INDEX('Retirement Calculator'!K:K,MATCH('Lorri 401b'!N4037,'Retirement Calculator'!A:A,0),0),0)</f>
        <v>0</v>
      </c>
      <c r="K4037" s="455">
        <f t="shared" ca="1" si="158"/>
        <v>-34119921412.542625</v>
      </c>
      <c r="L4037" s="455">
        <f t="shared" ca="1" si="159"/>
        <v>-8222901060422.7734</v>
      </c>
      <c r="M4037" s="471">
        <f t="shared" si="161"/>
        <v>0.05</v>
      </c>
      <c r="N4037" s="475">
        <f t="shared" si="162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60"/>
        <v>-8222901060422.7734</v>
      </c>
      <c r="J4038" s="455">
        <f t="array" ref="J4038">IFERROR(INDEX('Retirement Calculator'!K:K,MATCH('Lorri 401b'!N4038,'Retirement Calculator'!A:A,0),0),0)</f>
        <v>0</v>
      </c>
      <c r="K4038" s="455">
        <f t="shared" ca="1" si="158"/>
        <v>-34262087751.761555</v>
      </c>
      <c r="L4038" s="455">
        <f t="shared" ca="1" si="159"/>
        <v>-8257163148174.5352</v>
      </c>
      <c r="M4038" s="471">
        <f t="shared" si="161"/>
        <v>0.05</v>
      </c>
      <c r="N4038" s="475">
        <f t="shared" si="162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60"/>
        <v>-8257163148174.5352</v>
      </c>
      <c r="J4039" s="455">
        <f t="array" ref="J4039">IFERROR(INDEX('Retirement Calculator'!K:K,MATCH('Lorri 401b'!N4039,'Retirement Calculator'!A:A,0),0),0)</f>
        <v>0</v>
      </c>
      <c r="K4039" s="455">
        <f t="shared" ca="1" si="158"/>
        <v>-34404846450.727226</v>
      </c>
      <c r="L4039" s="455">
        <f t="shared" ca="1" si="159"/>
        <v>-8291567994625.2627</v>
      </c>
      <c r="M4039" s="471">
        <f t="shared" si="161"/>
        <v>0.05</v>
      </c>
      <c r="N4039" s="475">
        <f t="shared" si="162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60"/>
        <v>-8291567994625.2627</v>
      </c>
      <c r="J4040" s="455">
        <f t="array" ref="J4040">IFERROR(INDEX('Retirement Calculator'!K:K,MATCH('Lorri 401b'!N4040,'Retirement Calculator'!A:A,0),0),0)</f>
        <v>0</v>
      </c>
      <c r="K4040" s="455">
        <f t="shared" ca="1" si="158"/>
        <v>-34548199977.605263</v>
      </c>
      <c r="L4040" s="455">
        <f t="shared" ca="1" si="159"/>
        <v>-8326116194602.8682</v>
      </c>
      <c r="M4040" s="471">
        <f t="shared" si="161"/>
        <v>0.05</v>
      </c>
      <c r="N4040" s="475">
        <f t="shared" si="162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60"/>
        <v>-8326116194602.8682</v>
      </c>
      <c r="J4041" s="455">
        <f t="array" ref="J4041">IFERROR(INDEX('Retirement Calculator'!K:K,MATCH('Lorri 401b'!N4041,'Retirement Calculator'!A:A,0),0),0)</f>
        <v>0</v>
      </c>
      <c r="K4041" s="455">
        <f t="shared" ca="1" si="158"/>
        <v>-34692150810.845284</v>
      </c>
      <c r="L4041" s="455">
        <f t="shared" ca="1" si="159"/>
        <v>-8360808345413.7139</v>
      </c>
      <c r="M4041" s="471">
        <f t="shared" si="161"/>
        <v>0.05</v>
      </c>
      <c r="N4041" s="475">
        <f t="shared" si="162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60"/>
        <v>-8360808345413.7139</v>
      </c>
      <c r="J4042" s="455">
        <f t="array" ref="J4042">IFERROR(INDEX('Retirement Calculator'!K:K,MATCH('Lorri 401b'!N4042,'Retirement Calculator'!A:A,0),0),0)</f>
        <v>0</v>
      </c>
      <c r="K4042" s="455">
        <f t="shared" ca="1" si="158"/>
        <v>-34836701439.223808</v>
      </c>
      <c r="L4042" s="455">
        <f t="shared" ca="1" si="159"/>
        <v>-8395645046852.9375</v>
      </c>
      <c r="M4042" s="471">
        <f t="shared" si="161"/>
        <v>0.05</v>
      </c>
      <c r="N4042" s="475">
        <f t="shared" si="162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60"/>
        <v>-8395645046852.9375</v>
      </c>
      <c r="J4043" s="455">
        <f t="array" ref="J4043">IFERROR(INDEX('Retirement Calculator'!K:K,MATCH('Lorri 401b'!N4043,'Retirement Calculator'!A:A,0),0),0)</f>
        <v>0</v>
      </c>
      <c r="K4043" s="455">
        <f t="shared" ca="1" si="158"/>
        <v>-34981854361.887238</v>
      </c>
      <c r="L4043" s="455">
        <f t="shared" ca="1" si="159"/>
        <v>-8430626901214.8252</v>
      </c>
      <c r="M4043" s="471">
        <f t="shared" si="161"/>
        <v>0.05</v>
      </c>
      <c r="N4043" s="475">
        <f t="shared" si="162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60"/>
        <v>-8430626901214.8252</v>
      </c>
      <c r="J4044" s="455">
        <f t="array" ref="J4044">IFERROR(INDEX('Retirement Calculator'!K:K,MATCH('Lorri 401b'!N4044,'Retirement Calculator'!A:A,0),0),0)</f>
        <v>0</v>
      </c>
      <c r="K4044" s="455">
        <f t="shared" ca="1" si="158"/>
        <v>-35127612088.395103</v>
      </c>
      <c r="L4044" s="455">
        <f t="shared" ca="1" si="159"/>
        <v>-8465754513303.2207</v>
      </c>
      <c r="M4044" s="471">
        <f t="shared" si="161"/>
        <v>0.05</v>
      </c>
      <c r="N4044" s="475">
        <f t="shared" si="162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60"/>
        <v>-8465754513303.2207</v>
      </c>
      <c r="J4045" s="455">
        <f t="array" ref="J4045">IFERROR(INDEX('Retirement Calculator'!K:K,MATCH('Lorri 401b'!N4045,'Retirement Calculator'!A:A,0),0),0)</f>
        <v>0</v>
      </c>
      <c r="K4045" s="455">
        <f t="shared" ca="1" si="158"/>
        <v>-35273977138.76342</v>
      </c>
      <c r="L4045" s="455">
        <f t="shared" ca="1" si="159"/>
        <v>-8501028490441.9844</v>
      </c>
      <c r="M4045" s="471">
        <f t="shared" si="161"/>
        <v>0.05</v>
      </c>
      <c r="N4045" s="475">
        <f t="shared" si="162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60"/>
        <v>-8501028490441.9844</v>
      </c>
      <c r="J4046" s="455">
        <f t="array" ref="J4046">IFERROR(INDEX('Retirement Calculator'!K:K,MATCH('Lorri 401b'!N4046,'Retirement Calculator'!A:A,0),0),0)</f>
        <v>0</v>
      </c>
      <c r="K4046" s="455">
        <f t="shared" ca="1" si="158"/>
        <v>-35420952043.508263</v>
      </c>
      <c r="L4046" s="455">
        <f t="shared" ca="1" si="159"/>
        <v>-8536449442485.4922</v>
      </c>
      <c r="M4046" s="471">
        <f t="shared" si="161"/>
        <v>0.05</v>
      </c>
      <c r="N4046" s="475">
        <f t="shared" si="162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60"/>
        <v>-8536449442485.4922</v>
      </c>
      <c r="J4047" s="455">
        <f t="array" ref="J4047">IFERROR(INDEX('Retirement Calculator'!K:K,MATCH('Lorri 401b'!N4047,'Retirement Calculator'!A:A,0),0),0)</f>
        <v>0</v>
      </c>
      <c r="K4047" s="455">
        <f t="shared" ca="1" si="158"/>
        <v>-35568539343.689552</v>
      </c>
      <c r="L4047" s="455">
        <f t="shared" ca="1" si="159"/>
        <v>-8572017981829.1816</v>
      </c>
      <c r="M4047" s="471">
        <f t="shared" si="161"/>
        <v>0.05</v>
      </c>
      <c r="N4047" s="475">
        <f t="shared" si="162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60"/>
        <v>-8572017981829.1816</v>
      </c>
      <c r="J4048" s="455">
        <f t="array" ref="J4048">IFERROR(INDEX('Retirement Calculator'!K:K,MATCH('Lorri 401b'!N4048,'Retirement Calculator'!A:A,0),0),0)</f>
        <v>0</v>
      </c>
      <c r="K4048" s="455">
        <f t="shared" ca="1" si="158"/>
        <v>-35716741590.954926</v>
      </c>
      <c r="L4048" s="455">
        <f t="shared" ca="1" si="159"/>
        <v>-8607734723420.1367</v>
      </c>
      <c r="M4048" s="471">
        <f t="shared" si="161"/>
        <v>0.05</v>
      </c>
      <c r="N4048" s="475">
        <f t="shared" si="162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60"/>
        <v>-8607734723420.1367</v>
      </c>
      <c r="J4049" s="455">
        <f t="array" ref="J4049">IFERROR(INDEX('Retirement Calculator'!K:K,MATCH('Lorri 401b'!N4049,'Retirement Calculator'!A:A,0),0),0)</f>
        <v>0</v>
      </c>
      <c r="K4049" s="455">
        <f t="shared" ca="1" si="158"/>
        <v>-35865561347.5839</v>
      </c>
      <c r="L4049" s="455">
        <f t="shared" ca="1" si="159"/>
        <v>-8643600284767.7207</v>
      </c>
      <c r="M4049" s="471">
        <f t="shared" si="161"/>
        <v>0.05</v>
      </c>
      <c r="N4049" s="475">
        <f t="shared" si="162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60"/>
        <v>-8643600284767.7207</v>
      </c>
      <c r="J4050" s="455">
        <f t="array" ref="J4050">IFERROR(INDEX('Retirement Calculator'!K:K,MATCH('Lorri 401b'!N4050,'Retirement Calculator'!A:A,0),0),0)</f>
        <v>0</v>
      </c>
      <c r="K4050" s="455">
        <f t="shared" ca="1" si="158"/>
        <v>-36015001186.532166</v>
      </c>
      <c r="L4050" s="455">
        <f t="shared" ca="1" si="159"/>
        <v>-8679615285954.2529</v>
      </c>
      <c r="M4050" s="471">
        <f t="shared" si="161"/>
        <v>0.05</v>
      </c>
      <c r="N4050" s="475">
        <f t="shared" si="162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60"/>
        <v>-8679615285954.2529</v>
      </c>
      <c r="J4051" s="455">
        <f t="array" ref="J4051">IFERROR(INDEX('Retirement Calculator'!K:K,MATCH('Lorri 401b'!N4051,'Retirement Calculator'!A:A,0),0),0)</f>
        <v>0</v>
      </c>
      <c r="K4051" s="455">
        <f t="shared" ca="1" si="158"/>
        <v>-36165063691.476059</v>
      </c>
      <c r="L4051" s="455">
        <f t="shared" ca="1" si="159"/>
        <v>-8715780349645.7285</v>
      </c>
      <c r="M4051" s="471">
        <f t="shared" si="161"/>
        <v>0.05</v>
      </c>
      <c r="N4051" s="475">
        <f t="shared" si="162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60"/>
        <v>-8715780349645.7285</v>
      </c>
      <c r="J4052" s="455">
        <f t="array" ref="J4052">IFERROR(INDEX('Retirement Calculator'!K:K,MATCH('Lorri 401b'!N4052,'Retirement Calculator'!A:A,0),0),0)</f>
        <v>0</v>
      </c>
      <c r="K4052" s="455">
        <f t="shared" ca="1" si="158"/>
        <v>-36315751456.857208</v>
      </c>
      <c r="L4052" s="455">
        <f t="shared" ca="1" si="159"/>
        <v>-8752096101102.5859</v>
      </c>
      <c r="M4052" s="471">
        <f t="shared" si="161"/>
        <v>0.05</v>
      </c>
      <c r="N4052" s="475">
        <f t="shared" si="162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60"/>
        <v>-8752096101102.5859</v>
      </c>
      <c r="J4053" s="455">
        <f t="array" ref="J4053">IFERROR(INDEX('Retirement Calculator'!K:K,MATCH('Lorri 401b'!N4053,'Retirement Calculator'!A:A,0),0),0)</f>
        <v>0</v>
      </c>
      <c r="K4053" s="455">
        <f t="shared" ca="1" si="158"/>
        <v>-36467067087.927444</v>
      </c>
      <c r="L4053" s="455">
        <f t="shared" ca="1" si="159"/>
        <v>-8788563168190.5137</v>
      </c>
      <c r="M4053" s="471">
        <f t="shared" si="161"/>
        <v>0.05</v>
      </c>
      <c r="N4053" s="475">
        <f t="shared" si="162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60"/>
        <v>-8788563168190.5137</v>
      </c>
      <c r="J4054" s="455">
        <f t="array" ref="J4054">IFERROR(INDEX('Retirement Calculator'!K:K,MATCH('Lorri 401b'!N4054,'Retirement Calculator'!A:A,0),0),0)</f>
        <v>0</v>
      </c>
      <c r="K4054" s="455">
        <f t="shared" ca="1" si="158"/>
        <v>-36619013200.793808</v>
      </c>
      <c r="L4054" s="455">
        <f t="shared" ca="1" si="159"/>
        <v>-8825182181391.3066</v>
      </c>
      <c r="M4054" s="471">
        <f t="shared" si="161"/>
        <v>0.05</v>
      </c>
      <c r="N4054" s="475">
        <f t="shared" si="162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60"/>
        <v>-8825182181391.3066</v>
      </c>
      <c r="J4055" s="455">
        <f t="array" ref="J4055">IFERROR(INDEX('Retirement Calculator'!K:K,MATCH('Lorri 401b'!N4055,'Retirement Calculator'!A:A,0),0),0)</f>
        <v>0</v>
      </c>
      <c r="K4055" s="455">
        <f t="shared" ca="1" si="158"/>
        <v>-36771592422.463776</v>
      </c>
      <c r="L4055" s="455">
        <f t="shared" ca="1" si="159"/>
        <v>-8861953773813.7695</v>
      </c>
      <c r="M4055" s="471">
        <f t="shared" si="161"/>
        <v>0.05</v>
      </c>
      <c r="N4055" s="475">
        <f t="shared" si="162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60"/>
        <v>-8861953773813.7695</v>
      </c>
      <c r="J4056" s="455">
        <f t="array" ref="J4056">IFERROR(INDEX('Retirement Calculator'!K:K,MATCH('Lorri 401b'!N4056,'Retirement Calculator'!A:A,0),0),0)</f>
        <v>0</v>
      </c>
      <c r="K4056" s="455">
        <f t="shared" ca="1" si="158"/>
        <v>-36924807390.890709</v>
      </c>
      <c r="L4056" s="455">
        <f t="shared" ca="1" si="159"/>
        <v>-8898878581204.6602</v>
      </c>
      <c r="M4056" s="471">
        <f t="shared" si="161"/>
        <v>0.05</v>
      </c>
      <c r="N4056" s="475">
        <f t="shared" si="162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60"/>
        <v>-8898878581204.6602</v>
      </c>
      <c r="J4057" s="455">
        <f t="array" ref="J4057">IFERROR(INDEX('Retirement Calculator'!K:K,MATCH('Lorri 401b'!N4057,'Retirement Calculator'!A:A,0),0),0)</f>
        <v>0</v>
      </c>
      <c r="K4057" s="455">
        <f t="shared" ca="1" si="158"/>
        <v>-37078660755.019417</v>
      </c>
      <c r="L4057" s="455">
        <f t="shared" ca="1" si="159"/>
        <v>-8935957241959.6797</v>
      </c>
      <c r="M4057" s="471">
        <f t="shared" si="161"/>
        <v>0.05</v>
      </c>
      <c r="N4057" s="475">
        <f t="shared" si="162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60"/>
        <v>-8935957241959.6797</v>
      </c>
      <c r="J4058" s="455">
        <f t="array" ref="J4058">IFERROR(INDEX('Retirement Calculator'!K:K,MATCH('Lorri 401b'!N4058,'Retirement Calculator'!A:A,0),0),0)</f>
        <v>0</v>
      </c>
      <c r="K4058" s="455">
        <f t="shared" ca="1" si="158"/>
        <v>-37233155174.832001</v>
      </c>
      <c r="L4058" s="455">
        <f t="shared" ca="1" si="159"/>
        <v>-8973190397134.5117</v>
      </c>
      <c r="M4058" s="471">
        <f t="shared" si="161"/>
        <v>0.05</v>
      </c>
      <c r="N4058" s="475">
        <f t="shared" si="162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60"/>
        <v>-8973190397134.5117</v>
      </c>
      <c r="J4059" s="455">
        <f t="array" ref="J4059">IFERROR(INDEX('Retirement Calculator'!K:K,MATCH('Lorri 401b'!N4059,'Retirement Calculator'!A:A,0),0),0)</f>
        <v>0</v>
      </c>
      <c r="K4059" s="455">
        <f t="shared" ca="1" si="158"/>
        <v>-37388293321.393799</v>
      </c>
      <c r="L4059" s="455">
        <f t="shared" ca="1" si="159"/>
        <v>-9010578690455.9063</v>
      </c>
      <c r="M4059" s="471">
        <f t="shared" si="161"/>
        <v>0.05</v>
      </c>
      <c r="N4059" s="475">
        <f t="shared" si="162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60"/>
        <v>-9010578690455.9063</v>
      </c>
      <c r="J4060" s="455">
        <f t="array" ref="J4060">IFERROR(INDEX('Retirement Calculator'!K:K,MATCH('Lorri 401b'!N4060,'Retirement Calculator'!A:A,0),0),0)</f>
        <v>0</v>
      </c>
      <c r="K4060" s="455">
        <f t="shared" ca="1" si="158"/>
        <v>-37544077876.899612</v>
      </c>
      <c r="L4060" s="455">
        <f t="shared" ca="1" si="159"/>
        <v>-9048122768332.8066</v>
      </c>
      <c r="M4060" s="471">
        <f t="shared" si="161"/>
        <v>0.05</v>
      </c>
      <c r="N4060" s="475">
        <f t="shared" si="162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60"/>
        <v>-9048122768332.8066</v>
      </c>
      <c r="J4061" s="455">
        <f t="array" ref="J4061">IFERROR(INDEX('Retirement Calculator'!K:K,MATCH('Lorri 401b'!N4061,'Retirement Calculator'!A:A,0),0),0)</f>
        <v>0</v>
      </c>
      <c r="K4061" s="455">
        <f t="shared" ca="1" si="158"/>
        <v>-37700511534.720024</v>
      </c>
      <c r="L4061" s="455">
        <f t="shared" ca="1" si="159"/>
        <v>-9085823279867.5273</v>
      </c>
      <c r="M4061" s="471">
        <f t="shared" si="161"/>
        <v>0.05</v>
      </c>
      <c r="N4061" s="475">
        <f t="shared" si="162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60"/>
        <v>-9085823279867.5273</v>
      </c>
      <c r="J4062" s="455">
        <f t="array" ref="J4062">IFERROR(INDEX('Retirement Calculator'!K:K,MATCH('Lorri 401b'!N4062,'Retirement Calculator'!A:A,0),0),0)</f>
        <v>0</v>
      </c>
      <c r="K4062" s="455">
        <f t="shared" ca="1" si="158"/>
        <v>-37857596999.448029</v>
      </c>
      <c r="L4062" s="455">
        <f t="shared" ca="1" si="159"/>
        <v>-9123680876866.9746</v>
      </c>
      <c r="M4062" s="471">
        <f t="shared" si="161"/>
        <v>0.05</v>
      </c>
      <c r="N4062" s="475">
        <f t="shared" si="162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60"/>
        <v>-9123680876866.9746</v>
      </c>
      <c r="J4063" s="455">
        <f t="array" ref="J4063">IFERROR(INDEX('Retirement Calculator'!K:K,MATCH('Lorri 401b'!N4063,'Retirement Calculator'!A:A,0),0),0)</f>
        <v>0</v>
      </c>
      <c r="K4063" s="455">
        <f t="shared" ca="1" si="158"/>
        <v>-38015336986.945724</v>
      </c>
      <c r="L4063" s="455">
        <f t="shared" ca="1" si="159"/>
        <v>-9161696213853.9199</v>
      </c>
      <c r="M4063" s="471">
        <f t="shared" si="161"/>
        <v>0.05</v>
      </c>
      <c r="N4063" s="475">
        <f t="shared" si="162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60"/>
        <v>-9161696213853.9199</v>
      </c>
      <c r="J4064" s="455">
        <f t="array" ref="J4064">IFERROR(INDEX('Retirement Calculator'!K:K,MATCH('Lorri 401b'!N4064,'Retirement Calculator'!A:A,0),0),0)</f>
        <v>0</v>
      </c>
      <c r="K4064" s="455">
        <f t="shared" ca="1" si="158"/>
        <v>-38173734224.391335</v>
      </c>
      <c r="L4064" s="455">
        <f t="shared" ca="1" si="159"/>
        <v>-9199869948078.3105</v>
      </c>
      <c r="M4064" s="471">
        <f t="shared" si="161"/>
        <v>0.05</v>
      </c>
      <c r="N4064" s="475">
        <f t="shared" si="162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60"/>
        <v>-9199869948078.3105</v>
      </c>
      <c r="J4065" s="455">
        <f t="array" ref="J4065">IFERROR(INDEX('Retirement Calculator'!K:K,MATCH('Lorri 401b'!N4065,'Retirement Calculator'!A:A,0),0),0)</f>
        <v>0</v>
      </c>
      <c r="K4065" s="455">
        <f t="shared" ca="1" si="158"/>
        <v>-38332791450.326294</v>
      </c>
      <c r="L4065" s="455">
        <f t="shared" ca="1" si="159"/>
        <v>-9238202739528.6367</v>
      </c>
      <c r="M4065" s="471">
        <f t="shared" si="161"/>
        <v>0.05</v>
      </c>
      <c r="N4065" s="475">
        <f t="shared" si="162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60"/>
        <v>-9238202739528.6367</v>
      </c>
      <c r="J4066" s="455">
        <f t="array" ref="J4066">IFERROR(INDEX('Retirement Calculator'!K:K,MATCH('Lorri 401b'!N4066,'Retirement Calculator'!A:A,0),0),0)</f>
        <v>0</v>
      </c>
      <c r="K4066" s="455">
        <f t="shared" ca="1" si="158"/>
        <v>-38492511414.702652</v>
      </c>
      <c r="L4066" s="455">
        <f t="shared" ca="1" si="159"/>
        <v>-9276695250943.3398</v>
      </c>
      <c r="M4066" s="471">
        <f t="shared" si="161"/>
        <v>0.05</v>
      </c>
      <c r="N4066" s="475">
        <f t="shared" si="162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60"/>
        <v>-9276695250943.3398</v>
      </c>
      <c r="J4067" s="455">
        <f t="array" ref="J4067">IFERROR(INDEX('Retirement Calculator'!K:K,MATCH('Lorri 401b'!N4067,'Retirement Calculator'!A:A,0),0),0)</f>
        <v>0</v>
      </c>
      <c r="K4067" s="455">
        <f t="shared" ca="1" si="158"/>
        <v>-38652896878.93058</v>
      </c>
      <c r="L4067" s="455">
        <f t="shared" ca="1" si="159"/>
        <v>-9315348147822.2695</v>
      </c>
      <c r="M4067" s="471">
        <f t="shared" si="161"/>
        <v>0.05</v>
      </c>
      <c r="N4067" s="475">
        <f t="shared" si="162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60"/>
        <v>-9315348147822.2695</v>
      </c>
      <c r="J4068" s="455">
        <f t="array" ref="J4068">IFERROR(INDEX('Retirement Calculator'!K:K,MATCH('Lorri 401b'!N4068,'Retirement Calculator'!A:A,0),0),0)</f>
        <v>0</v>
      </c>
      <c r="K4068" s="455">
        <f t="shared" ca="1" si="158"/>
        <v>-38813950615.926125</v>
      </c>
      <c r="L4068" s="455">
        <f t="shared" ca="1" si="159"/>
        <v>-9354162098438.1953</v>
      </c>
      <c r="M4068" s="471">
        <f t="shared" si="161"/>
        <v>0.05</v>
      </c>
      <c r="N4068" s="475">
        <f t="shared" si="162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60"/>
        <v>-9354162098438.1953</v>
      </c>
      <c r="J4069" s="455">
        <f t="array" ref="J4069">IFERROR(INDEX('Retirement Calculator'!K:K,MATCH('Lorri 401b'!N4069,'Retirement Calculator'!A:A,0),0),0)</f>
        <v>0</v>
      </c>
      <c r="K4069" s="455">
        <f t="shared" ca="1" si="158"/>
        <v>-38975675410.159149</v>
      </c>
      <c r="L4069" s="455">
        <f t="shared" ca="1" si="159"/>
        <v>-9393137773848.3535</v>
      </c>
      <c r="M4069" s="471">
        <f t="shared" si="161"/>
        <v>0.05</v>
      </c>
      <c r="N4069" s="475">
        <f t="shared" si="162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60"/>
        <v>-9393137773848.3535</v>
      </c>
      <c r="J4070" s="455">
        <f t="array" ref="J4070">IFERROR(INDEX('Retirement Calculator'!K:K,MATCH('Lorri 401b'!N4070,'Retirement Calculator'!A:A,0),0),0)</f>
        <v>0</v>
      </c>
      <c r="K4070" s="455">
        <f t="shared" ca="1" si="158"/>
        <v>-39138074057.701469</v>
      </c>
      <c r="L4070" s="455">
        <f t="shared" ca="1" si="159"/>
        <v>-9432275847906.0547</v>
      </c>
      <c r="M4070" s="471">
        <f t="shared" si="161"/>
        <v>0.05</v>
      </c>
      <c r="N4070" s="475">
        <f t="shared" si="162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60"/>
        <v>-9432275847906.0547</v>
      </c>
      <c r="J4071" s="455">
        <f t="array" ref="J4071">IFERROR(INDEX('Retirement Calculator'!K:K,MATCH('Lorri 401b'!N4071,'Retirement Calculator'!A:A,0),0),0)</f>
        <v>0</v>
      </c>
      <c r="K4071" s="455">
        <f t="shared" ca="1" si="158"/>
        <v>-39301149366.27523</v>
      </c>
      <c r="L4071" s="455">
        <f t="shared" ca="1" si="159"/>
        <v>-9471576997272.3301</v>
      </c>
      <c r="M4071" s="471">
        <f t="shared" si="161"/>
        <v>0.05</v>
      </c>
      <c r="N4071" s="475">
        <f t="shared" si="162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60"/>
        <v>-9471576997272.3301</v>
      </c>
      <c r="J4072" s="455">
        <f t="array" ref="J4072">IFERROR(INDEX('Retirement Calculator'!K:K,MATCH('Lorri 401b'!N4072,'Retirement Calculator'!A:A,0),0),0)</f>
        <v>0</v>
      </c>
      <c r="K4072" s="455">
        <f t="shared" ca="1" si="158"/>
        <v>-39464904155.301376</v>
      </c>
      <c r="L4072" s="455">
        <f t="shared" ca="1" si="159"/>
        <v>-9511041901427.6309</v>
      </c>
      <c r="M4072" s="471">
        <f t="shared" si="161"/>
        <v>0.05</v>
      </c>
      <c r="N4072" s="475">
        <f t="shared" si="162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60"/>
        <v>-9511041901427.6309</v>
      </c>
      <c r="J4073" s="455">
        <f t="array" ref="J4073">IFERROR(INDEX('Retirement Calculator'!K:K,MATCH('Lorri 401b'!N4073,'Retirement Calculator'!A:A,0),0),0)</f>
        <v>0</v>
      </c>
      <c r="K4073" s="455">
        <f t="shared" ca="1" si="158"/>
        <v>-39629341255.948463</v>
      </c>
      <c r="L4073" s="455">
        <f t="shared" ca="1" si="159"/>
        <v>-9550671242683.5801</v>
      </c>
      <c r="M4073" s="471">
        <f t="shared" si="161"/>
        <v>0.05</v>
      </c>
      <c r="N4073" s="475">
        <f t="shared" si="162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60"/>
        <v>-9550671242683.5801</v>
      </c>
      <c r="J4074" s="455">
        <f t="array" ref="J4074">IFERROR(INDEX('Retirement Calculator'!K:K,MATCH('Lorri 401b'!N4074,'Retirement Calculator'!A:A,0),0),0)</f>
        <v>0</v>
      </c>
      <c r="K4074" s="455">
        <f t="shared" ca="1" si="158"/>
        <v>-39794463511.18158</v>
      </c>
      <c r="L4074" s="455">
        <f t="shared" ca="1" si="159"/>
        <v>-9590465706194.7617</v>
      </c>
      <c r="M4074" s="471">
        <f t="shared" si="161"/>
        <v>0.05</v>
      </c>
      <c r="N4074" s="475">
        <f t="shared" si="162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60"/>
        <v>-9590465706194.7617</v>
      </c>
      <c r="J4075" s="455">
        <f t="array" ref="J4075">IFERROR(INDEX('Retirement Calculator'!K:K,MATCH('Lorri 401b'!N4075,'Retirement Calculator'!A:A,0),0),0)</f>
        <v>0</v>
      </c>
      <c r="K4075" s="455">
        <f t="shared" ca="1" si="158"/>
        <v>-39960273775.811508</v>
      </c>
      <c r="L4075" s="455">
        <f t="shared" ca="1" si="159"/>
        <v>-9630425979970.5723</v>
      </c>
      <c r="M4075" s="471">
        <f t="shared" si="161"/>
        <v>0.05</v>
      </c>
      <c r="N4075" s="475">
        <f t="shared" si="162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60"/>
        <v>-9630425979970.5723</v>
      </c>
      <c r="J4076" s="455">
        <f t="array" ref="J4076">IFERROR(INDEX('Retirement Calculator'!K:K,MATCH('Lorri 401b'!N4076,'Retirement Calculator'!A:A,0),0),0)</f>
        <v>0</v>
      </c>
      <c r="K4076" s="455">
        <f t="shared" ca="1" si="158"/>
        <v>-40126774916.544052</v>
      </c>
      <c r="L4076" s="455">
        <f t="shared" ca="1" si="159"/>
        <v>-9670552754887.1172</v>
      </c>
      <c r="M4076" s="471">
        <f t="shared" si="161"/>
        <v>0.05</v>
      </c>
      <c r="N4076" s="475">
        <f t="shared" si="162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60"/>
        <v>-9670552754887.1172</v>
      </c>
      <c r="J4077" s="455">
        <f t="array" ref="J4077">IFERROR(INDEX('Retirement Calculator'!K:K,MATCH('Lorri 401b'!N4077,'Retirement Calculator'!A:A,0),0),0)</f>
        <v>0</v>
      </c>
      <c r="K4077" s="455">
        <f t="shared" ca="1" si="158"/>
        <v>-40293969812.029655</v>
      </c>
      <c r="L4077" s="455">
        <f t="shared" ca="1" si="159"/>
        <v>-9710846724699.1465</v>
      </c>
      <c r="M4077" s="471">
        <f t="shared" si="161"/>
        <v>0.05</v>
      </c>
      <c r="N4077" s="475">
        <f t="shared" si="162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60"/>
        <v>-9710846724699.1465</v>
      </c>
      <c r="J4078" s="455">
        <f t="array" ref="J4078">IFERROR(INDEX('Retirement Calculator'!K:K,MATCH('Lorri 401b'!N4078,'Retirement Calculator'!A:A,0),0),0)</f>
        <v>0</v>
      </c>
      <c r="K4078" s="455">
        <f t="shared" ca="1" si="158"/>
        <v>-40461861352.913109</v>
      </c>
      <c r="L4078" s="455">
        <f t="shared" ca="1" si="159"/>
        <v>-9751308586052.0605</v>
      </c>
      <c r="M4078" s="471">
        <f t="shared" si="161"/>
        <v>0.05</v>
      </c>
      <c r="N4078" s="475">
        <f t="shared" si="162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60"/>
        <v>-9751308586052.0605</v>
      </c>
      <c r="J4079" s="455">
        <f t="array" ref="J4079">IFERROR(INDEX('Retirement Calculator'!K:K,MATCH('Lorri 401b'!N4079,'Retirement Calculator'!A:A,0),0),0)</f>
        <v>0</v>
      </c>
      <c r="K4079" s="455">
        <f t="shared" ca="1" si="158"/>
        <v>-40630452441.883583</v>
      </c>
      <c r="L4079" s="455">
        <f t="shared" ca="1" si="159"/>
        <v>-9791939038493.9434</v>
      </c>
      <c r="M4079" s="471">
        <f t="shared" si="161"/>
        <v>0.05</v>
      </c>
      <c r="N4079" s="475">
        <f t="shared" si="162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60"/>
        <v>-9791939038493.9434</v>
      </c>
      <c r="J4080" s="455">
        <f t="array" ref="J4080">IFERROR(INDEX('Retirement Calculator'!K:K,MATCH('Lorri 401b'!N4080,'Retirement Calculator'!A:A,0),0),0)</f>
        <v>0</v>
      </c>
      <c r="K4080" s="455">
        <f t="shared" ca="1" si="158"/>
        <v>-40799745993.724762</v>
      </c>
      <c r="L4080" s="455">
        <f t="shared" ca="1" si="159"/>
        <v>-9832738784487.668</v>
      </c>
      <c r="M4080" s="471">
        <f t="shared" si="161"/>
        <v>0.05</v>
      </c>
      <c r="N4080" s="475">
        <f t="shared" si="162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60"/>
        <v>-9832738784487.668</v>
      </c>
      <c r="J4081" s="455">
        <f t="array" ref="J4081">IFERROR(INDEX('Retirement Calculator'!K:K,MATCH('Lorri 401b'!N4081,'Retirement Calculator'!A:A,0),0),0)</f>
        <v>0</v>
      </c>
      <c r="K4081" s="455">
        <f t="shared" ca="1" si="158"/>
        <v>-40969744935.36528</v>
      </c>
      <c r="L4081" s="455">
        <f t="shared" ca="1" si="159"/>
        <v>-9873708529423.0332</v>
      </c>
      <c r="M4081" s="471">
        <f t="shared" si="161"/>
        <v>0.05</v>
      </c>
      <c r="N4081" s="475">
        <f t="shared" si="162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60"/>
        <v>-9873708529423.0332</v>
      </c>
      <c r="J4082" s="455">
        <f t="array" ref="J4082">IFERROR(INDEX('Retirement Calculator'!K:K,MATCH('Lorri 401b'!N4082,'Retirement Calculator'!A:A,0),0),0)</f>
        <v>0</v>
      </c>
      <c r="K4082" s="455">
        <f t="shared" ca="1" si="158"/>
        <v>-41140452205.929306</v>
      </c>
      <c r="L4082" s="455">
        <f t="shared" ca="1" si="159"/>
        <v>-9914848981628.9629</v>
      </c>
      <c r="M4082" s="471">
        <f t="shared" si="161"/>
        <v>0.05</v>
      </c>
      <c r="N4082" s="475">
        <f t="shared" si="162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60"/>
        <v>-9914848981628.9629</v>
      </c>
      <c r="J4083" s="455">
        <f t="array" ref="J4083">IFERROR(INDEX('Retirement Calculator'!K:K,MATCH('Lorri 401b'!N4083,'Retirement Calculator'!A:A,0),0),0)</f>
        <v>0</v>
      </c>
      <c r="K4083" s="455">
        <f t="shared" ca="1" si="158"/>
        <v>-41311870756.787346</v>
      </c>
      <c r="L4083" s="455">
        <f t="shared" ca="1" si="159"/>
        <v>-9956160852385.75</v>
      </c>
      <c r="M4083" s="471">
        <f t="shared" si="161"/>
        <v>0.05</v>
      </c>
      <c r="N4083" s="475">
        <f t="shared" si="162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60"/>
        <v>-9956160852385.75</v>
      </c>
      <c r="J4084" s="455">
        <f t="array" ref="J4084">IFERROR(INDEX('Retirement Calculator'!K:K,MATCH('Lorri 401b'!N4084,'Retirement Calculator'!A:A,0),0),0)</f>
        <v>0</v>
      </c>
      <c r="K4084" s="455">
        <f t="shared" ca="1" si="158"/>
        <v>-41484003551.607292</v>
      </c>
      <c r="L4084" s="455">
        <f t="shared" ca="1" si="159"/>
        <v>-9997644855937.3574</v>
      </c>
      <c r="M4084" s="471">
        <f t="shared" si="161"/>
        <v>0.05</v>
      </c>
      <c r="N4084" s="475">
        <f t="shared" si="162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60"/>
        <v>-9997644855937.3574</v>
      </c>
      <c r="J4085" s="455">
        <f t="array" ref="J4085">IFERROR(INDEX('Retirement Calculator'!K:K,MATCH('Lorri 401b'!N4085,'Retirement Calculator'!A:A,0),0),0)</f>
        <v>0</v>
      </c>
      <c r="K4085" s="455">
        <f t="shared" ca="1" si="158"/>
        <v>-41656853566.405655</v>
      </c>
      <c r="L4085" s="455">
        <f t="shared" ca="1" si="159"/>
        <v>-10039301709503.764</v>
      </c>
      <c r="M4085" s="471">
        <f t="shared" si="161"/>
        <v>0.05</v>
      </c>
      <c r="N4085" s="475">
        <f t="shared" si="162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60"/>
        <v>-10039301709503.764</v>
      </c>
      <c r="J4086" s="455">
        <f t="array" ref="J4086">IFERROR(INDEX('Retirement Calculator'!K:K,MATCH('Lorri 401b'!N4086,'Retirement Calculator'!A:A,0),0),0)</f>
        <v>0</v>
      </c>
      <c r="K4086" s="455">
        <f t="shared" ca="1" si="158"/>
        <v>-41830423789.599014</v>
      </c>
      <c r="L4086" s="455">
        <f t="shared" ca="1" si="159"/>
        <v>-10081132133293.363</v>
      </c>
      <c r="M4086" s="471">
        <f t="shared" si="161"/>
        <v>0.05</v>
      </c>
      <c r="N4086" s="475">
        <f t="shared" si="162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60"/>
        <v>-10081132133293.363</v>
      </c>
      <c r="J4087" s="455">
        <f t="array" ref="J4087">IFERROR(INDEX('Retirement Calculator'!K:K,MATCH('Lorri 401b'!N4087,'Retirement Calculator'!A:A,0),0),0)</f>
        <v>0</v>
      </c>
      <c r="K4087" s="455">
        <f t="shared" ca="1" si="158"/>
        <v>-42004717222.055679</v>
      </c>
      <c r="L4087" s="455">
        <f t="shared" ca="1" si="159"/>
        <v>-10123136850515.42</v>
      </c>
      <c r="M4087" s="471">
        <f t="shared" si="161"/>
        <v>0.05</v>
      </c>
      <c r="N4087" s="475">
        <f t="shared" si="162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60"/>
        <v>-10123136850515.42</v>
      </c>
      <c r="J4088" s="455">
        <f t="array" ref="J4088">IFERROR(INDEX('Retirement Calculator'!K:K,MATCH('Lorri 401b'!N4088,'Retirement Calculator'!A:A,0),0),0)</f>
        <v>0</v>
      </c>
      <c r="K4088" s="455">
        <f t="shared" ref="K4088:K4342" ca="1" si="163">IPMT(M4088/12,1,12,-I4088+J4088,,0)</f>
        <v>-42179736877.147583</v>
      </c>
      <c r="L4088" s="455">
        <f t="shared" ref="L4088:L4342" ca="1" si="164">I4088-J4088+K4088</f>
        <v>-10165316587392.568</v>
      </c>
      <c r="M4088" s="471">
        <f t="shared" si="161"/>
        <v>0.05</v>
      </c>
      <c r="N4088" s="475">
        <f t="shared" si="162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65">L4088</f>
        <v>-10165316587392.568</v>
      </c>
      <c r="J4089" s="455">
        <f t="array" ref="J4089">IFERROR(INDEX('Retirement Calculator'!K:K,MATCH('Lorri 401b'!N4089,'Retirement Calculator'!A:A,0),0),0)</f>
        <v>0</v>
      </c>
      <c r="K4089" s="455">
        <f t="shared" ca="1" si="163"/>
        <v>-42355485780.802368</v>
      </c>
      <c r="L4089" s="455">
        <f t="shared" ca="1" si="164"/>
        <v>-10207672073173.371</v>
      </c>
      <c r="M4089" s="471">
        <f t="shared" ref="M4089:M4343" si="166">M4088</f>
        <v>0.05</v>
      </c>
      <c r="N4089" s="475">
        <f t="shared" ref="N4089:N4343" si="167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65"/>
        <v>-10207672073173.371</v>
      </c>
      <c r="J4090" s="455">
        <f t="array" ref="J4090">IFERROR(INDEX('Retirement Calculator'!K:K,MATCH('Lorri 401b'!N4090,'Retirement Calculator'!A:A,0),0),0)</f>
        <v>0</v>
      </c>
      <c r="K4090" s="455">
        <f t="shared" ca="1" si="163"/>
        <v>-42531966971.55571</v>
      </c>
      <c r="L4090" s="455">
        <f t="shared" ca="1" si="164"/>
        <v>-10250204040144.928</v>
      </c>
      <c r="M4090" s="471">
        <f t="shared" si="166"/>
        <v>0.05</v>
      </c>
      <c r="N4090" s="475">
        <f t="shared" si="167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65"/>
        <v>-10250204040144.928</v>
      </c>
      <c r="J4091" s="455">
        <f t="array" ref="J4091">IFERROR(INDEX('Retirement Calculator'!K:K,MATCH('Lorri 401b'!N4091,'Retirement Calculator'!A:A,0),0),0)</f>
        <v>0</v>
      </c>
      <c r="K4091" s="455">
        <f t="shared" ca="1" si="163"/>
        <v>-42709183500.603867</v>
      </c>
      <c r="L4091" s="455">
        <f t="shared" ca="1" si="164"/>
        <v>-10292913223645.531</v>
      </c>
      <c r="M4091" s="471">
        <f t="shared" si="166"/>
        <v>0.05</v>
      </c>
      <c r="N4091" s="475">
        <f t="shared" si="167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65"/>
        <v>-10292913223645.531</v>
      </c>
      <c r="J4092" s="455">
        <f t="array" ref="J4092">IFERROR(INDEX('Retirement Calculator'!K:K,MATCH('Lorri 401b'!N4092,'Retirement Calculator'!A:A,0),0),0)</f>
        <v>0</v>
      </c>
      <c r="K4092" s="455">
        <f t="shared" ca="1" si="163"/>
        <v>-42887138431.856377</v>
      </c>
      <c r="L4092" s="455">
        <f t="shared" ca="1" si="164"/>
        <v>-10335800362077.387</v>
      </c>
      <c r="M4092" s="471">
        <f t="shared" si="166"/>
        <v>0.05</v>
      </c>
      <c r="N4092" s="475">
        <f t="shared" si="167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65"/>
        <v>-10335800362077.387</v>
      </c>
      <c r="J4093" s="455">
        <f t="array" ref="J4093">IFERROR(INDEX('Retirement Calculator'!K:K,MATCH('Lorri 401b'!N4093,'Retirement Calculator'!A:A,0),0),0)</f>
        <v>0</v>
      </c>
      <c r="K4093" s="455">
        <f t="shared" ca="1" si="163"/>
        <v>-43065834841.989113</v>
      </c>
      <c r="L4093" s="455">
        <f t="shared" ca="1" si="164"/>
        <v>-10378866196919.375</v>
      </c>
      <c r="M4093" s="471">
        <f t="shared" si="166"/>
        <v>0.05</v>
      </c>
      <c r="N4093" s="475">
        <f t="shared" si="167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65"/>
        <v>-10378866196919.375</v>
      </c>
      <c r="J4094" s="455">
        <f t="array" ref="J4094">IFERROR(INDEX('Retirement Calculator'!K:K,MATCH('Lorri 401b'!N4094,'Retirement Calculator'!A:A,0),0),0)</f>
        <v>0</v>
      </c>
      <c r="K4094" s="455">
        <f t="shared" ca="1" si="163"/>
        <v>-43245275820.497398</v>
      </c>
      <c r="L4094" s="455">
        <f t="shared" ca="1" si="164"/>
        <v>-10422111472739.873</v>
      </c>
      <c r="M4094" s="471">
        <f t="shared" si="166"/>
        <v>0.05</v>
      </c>
      <c r="N4094" s="475">
        <f t="shared" si="167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65"/>
        <v>-10422111472739.873</v>
      </c>
      <c r="J4095" s="455">
        <f t="array" ref="J4095">IFERROR(INDEX('Retirement Calculator'!K:K,MATCH('Lorri 401b'!N4095,'Retirement Calculator'!A:A,0),0),0)</f>
        <v>0</v>
      </c>
      <c r="K4095" s="455">
        <f t="shared" ca="1" si="163"/>
        <v>-43425464469.749474</v>
      </c>
      <c r="L4095" s="455">
        <f t="shared" ca="1" si="164"/>
        <v>-10465536937209.623</v>
      </c>
      <c r="M4095" s="471">
        <f t="shared" si="166"/>
        <v>0.05</v>
      </c>
      <c r="N4095" s="475">
        <f t="shared" si="167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65"/>
        <v>-10465536937209.623</v>
      </c>
      <c r="J4096" s="455">
        <f t="array" ref="J4096">IFERROR(INDEX('Retirement Calculator'!K:K,MATCH('Lorri 401b'!N4096,'Retirement Calculator'!A:A,0),0),0)</f>
        <v>0</v>
      </c>
      <c r="K4096" s="455">
        <f t="shared" ca="1" si="163"/>
        <v>-43606403905.040092</v>
      </c>
      <c r="L4096" s="455">
        <f t="shared" ca="1" si="164"/>
        <v>-10509143341114.664</v>
      </c>
      <c r="M4096" s="471">
        <f t="shared" si="166"/>
        <v>0.05</v>
      </c>
      <c r="N4096" s="475">
        <f t="shared" si="167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65"/>
        <v>-10509143341114.664</v>
      </c>
      <c r="J4097" s="455">
        <f t="array" ref="J4097">IFERROR(INDEX('Retirement Calculator'!K:K,MATCH('Lorri 401b'!N4097,'Retirement Calculator'!A:A,0),0),0)</f>
        <v>0</v>
      </c>
      <c r="K4097" s="455">
        <f t="shared" ca="1" si="163"/>
        <v>-43788097254.644432</v>
      </c>
      <c r="L4097" s="455">
        <f t="shared" ca="1" si="164"/>
        <v>-10552931438369.309</v>
      </c>
      <c r="M4097" s="471">
        <f t="shared" si="166"/>
        <v>0.05</v>
      </c>
      <c r="N4097" s="475">
        <f t="shared" si="167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65"/>
        <v>-10552931438369.309</v>
      </c>
      <c r="J4098" s="455">
        <f t="array" ref="J4098">IFERROR(INDEX('Retirement Calculator'!K:K,MATCH('Lorri 401b'!N4098,'Retirement Calculator'!A:A,0),0),0)</f>
        <v>0</v>
      </c>
      <c r="K4098" s="455">
        <f t="shared" ca="1" si="163"/>
        <v>-43970547659.872116</v>
      </c>
      <c r="L4098" s="455">
        <f t="shared" ca="1" si="164"/>
        <v>-10596901986029.182</v>
      </c>
      <c r="M4098" s="471">
        <f t="shared" si="166"/>
        <v>0.05</v>
      </c>
      <c r="N4098" s="475">
        <f t="shared" si="167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65"/>
        <v>-10596901986029.182</v>
      </c>
      <c r="J4099" s="455">
        <f t="array" ref="J4099">IFERROR(INDEX('Retirement Calculator'!K:K,MATCH('Lorri 401b'!N4099,'Retirement Calculator'!A:A,0),0),0)</f>
        <v>0</v>
      </c>
      <c r="K4099" s="455">
        <f t="shared" ca="1" si="163"/>
        <v>-44153758275.12159</v>
      </c>
      <c r="L4099" s="455">
        <f t="shared" ca="1" si="164"/>
        <v>-10641055744304.303</v>
      </c>
      <c r="M4099" s="471">
        <f t="shared" si="166"/>
        <v>0.05</v>
      </c>
      <c r="N4099" s="475">
        <f t="shared" si="167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65"/>
        <v>-10641055744304.303</v>
      </c>
      <c r="J4100" s="455">
        <f t="array" ref="J4100">IFERROR(INDEX('Retirement Calculator'!K:K,MATCH('Lorri 401b'!N4100,'Retirement Calculator'!A:A,0),0),0)</f>
        <v>0</v>
      </c>
      <c r="K4100" s="455">
        <f t="shared" ca="1" si="163"/>
        <v>-44337732267.934593</v>
      </c>
      <c r="L4100" s="455">
        <f t="shared" ca="1" si="164"/>
        <v>-10685393476572.238</v>
      </c>
      <c r="M4100" s="471">
        <f t="shared" si="166"/>
        <v>0.05</v>
      </c>
      <c r="N4100" s="475">
        <f t="shared" si="167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65"/>
        <v>-10685393476572.238</v>
      </c>
      <c r="J4101" s="455">
        <f t="array" ref="J4101">IFERROR(INDEX('Retirement Calculator'!K:K,MATCH('Lorri 401b'!N4101,'Retirement Calculator'!A:A,0),0),0)</f>
        <v>0</v>
      </c>
      <c r="K4101" s="455">
        <f t="shared" ca="1" si="163"/>
        <v>-44522472819.050995</v>
      </c>
      <c r="L4101" s="455">
        <f t="shared" ca="1" si="164"/>
        <v>-10729915949391.289</v>
      </c>
      <c r="M4101" s="471">
        <f t="shared" si="166"/>
        <v>0.05</v>
      </c>
      <c r="N4101" s="475">
        <f t="shared" si="167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65"/>
        <v>-10729915949391.289</v>
      </c>
      <c r="J4102" s="455">
        <f t="array" ref="J4102">IFERROR(INDEX('Retirement Calculator'!K:K,MATCH('Lorri 401b'!N4102,'Retirement Calculator'!A:A,0),0),0)</f>
        <v>0</v>
      </c>
      <c r="K4102" s="455">
        <f t="shared" ca="1" si="163"/>
        <v>-44707983122.463707</v>
      </c>
      <c r="L4102" s="455">
        <f t="shared" ca="1" si="164"/>
        <v>-10774623932513.752</v>
      </c>
      <c r="M4102" s="471">
        <f t="shared" si="166"/>
        <v>0.05</v>
      </c>
      <c r="N4102" s="475">
        <f t="shared" si="167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65"/>
        <v>-10774623932513.752</v>
      </c>
      <c r="J4103" s="455">
        <f t="array" ref="J4103">IFERROR(INDEX('Retirement Calculator'!K:K,MATCH('Lorri 401b'!N4103,'Retirement Calculator'!A:A,0),0),0)</f>
        <v>0</v>
      </c>
      <c r="K4103" s="455">
        <f t="shared" ca="1" si="163"/>
        <v>-44894266385.473969</v>
      </c>
      <c r="L4103" s="455">
        <f t="shared" ca="1" si="164"/>
        <v>-10819518198899.227</v>
      </c>
      <c r="M4103" s="471">
        <f t="shared" si="166"/>
        <v>0.05</v>
      </c>
      <c r="N4103" s="475">
        <f t="shared" si="167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65"/>
        <v>-10819518198899.227</v>
      </c>
      <c r="J4104" s="455">
        <f t="array" ref="J4104">IFERROR(INDEX('Retirement Calculator'!K:K,MATCH('Lorri 401b'!N4104,'Retirement Calculator'!A:A,0),0),0)</f>
        <v>0</v>
      </c>
      <c r="K4104" s="455">
        <f t="shared" ca="1" si="163"/>
        <v>-45081325828.74678</v>
      </c>
      <c r="L4104" s="455">
        <f t="shared" ca="1" si="164"/>
        <v>-10864599524727.973</v>
      </c>
      <c r="M4104" s="471">
        <f t="shared" si="166"/>
        <v>0.05</v>
      </c>
      <c r="N4104" s="475">
        <f t="shared" si="167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65"/>
        <v>-10864599524727.973</v>
      </c>
      <c r="J4105" s="455">
        <f t="array" ref="J4105">IFERROR(INDEX('Retirement Calculator'!K:K,MATCH('Lorri 401b'!N4105,'Retirement Calculator'!A:A,0),0),0)</f>
        <v>0</v>
      </c>
      <c r="K4105" s="455">
        <f t="shared" ca="1" si="163"/>
        <v>-45269164686.366554</v>
      </c>
      <c r="L4105" s="455">
        <f t="shared" ca="1" si="164"/>
        <v>-10909868689414.34</v>
      </c>
      <c r="M4105" s="471">
        <f t="shared" si="166"/>
        <v>0.05</v>
      </c>
      <c r="N4105" s="475">
        <f t="shared" si="167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65"/>
        <v>-10909868689414.34</v>
      </c>
      <c r="J4106" s="455">
        <f t="array" ref="J4106">IFERROR(INDEX('Retirement Calculator'!K:K,MATCH('Lorri 401b'!N4106,'Retirement Calculator'!A:A,0),0),0)</f>
        <v>0</v>
      </c>
      <c r="K4106" s="455">
        <f t="shared" ca="1" si="163"/>
        <v>-45457786205.893082</v>
      </c>
      <c r="L4106" s="455">
        <f t="shared" ca="1" si="164"/>
        <v>-10955326475620.232</v>
      </c>
      <c r="M4106" s="471">
        <f t="shared" si="166"/>
        <v>0.05</v>
      </c>
      <c r="N4106" s="475">
        <f t="shared" si="167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65"/>
        <v>-10955326475620.232</v>
      </c>
      <c r="J4107" s="455">
        <f t="array" ref="J4107">IFERROR(INDEX('Retirement Calculator'!K:K,MATCH('Lorri 401b'!N4107,'Retirement Calculator'!A:A,0),0),0)</f>
        <v>0</v>
      </c>
      <c r="K4107" s="455">
        <f t="shared" ca="1" si="163"/>
        <v>-45647193648.417633</v>
      </c>
      <c r="L4107" s="455">
        <f t="shared" ca="1" si="164"/>
        <v>-11000973669268.65</v>
      </c>
      <c r="M4107" s="471">
        <f t="shared" si="166"/>
        <v>0.05</v>
      </c>
      <c r="N4107" s="475">
        <f t="shared" si="167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65"/>
        <v>-11000973669268.65</v>
      </c>
      <c r="J4108" s="455">
        <f t="array" ref="J4108">IFERROR(INDEX('Retirement Calculator'!K:K,MATCH('Lorri 401b'!N4108,'Retirement Calculator'!A:A,0),0),0)</f>
        <v>0</v>
      </c>
      <c r="K4108" s="455">
        <f t="shared" ca="1" si="163"/>
        <v>-45837390288.619377</v>
      </c>
      <c r="L4108" s="455">
        <f t="shared" ca="1" si="164"/>
        <v>-11046811059557.27</v>
      </c>
      <c r="M4108" s="471">
        <f t="shared" si="166"/>
        <v>0.05</v>
      </c>
      <c r="N4108" s="475">
        <f t="shared" si="167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65"/>
        <v>-11046811059557.27</v>
      </c>
      <c r="J4109" s="455">
        <f t="array" ref="J4109">IFERROR(INDEX('Retirement Calculator'!K:K,MATCH('Lorri 401b'!N4109,'Retirement Calculator'!A:A,0),0),0)</f>
        <v>0</v>
      </c>
      <c r="K4109" s="455">
        <f t="shared" ca="1" si="163"/>
        <v>-46028379414.821953</v>
      </c>
      <c r="L4109" s="455">
        <f t="shared" ca="1" si="164"/>
        <v>-11092839438972.092</v>
      </c>
      <c r="M4109" s="471">
        <f t="shared" si="166"/>
        <v>0.05</v>
      </c>
      <c r="N4109" s="475">
        <f t="shared" si="167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65"/>
        <v>-11092839438972.092</v>
      </c>
      <c r="J4110" s="455">
        <f t="array" ref="J4110">IFERROR(INDEX('Retirement Calculator'!K:K,MATCH('Lorri 401b'!N4110,'Retirement Calculator'!A:A,0),0),0)</f>
        <v>0</v>
      </c>
      <c r="K4110" s="455">
        <f t="shared" ca="1" si="163"/>
        <v>-46220164329.050385</v>
      </c>
      <c r="L4110" s="455">
        <f t="shared" ca="1" si="164"/>
        <v>-11139059603301.143</v>
      </c>
      <c r="M4110" s="471">
        <f t="shared" si="166"/>
        <v>0.05</v>
      </c>
      <c r="N4110" s="475">
        <f t="shared" si="167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65"/>
        <v>-11139059603301.143</v>
      </c>
      <c r="J4111" s="455">
        <f t="array" ref="J4111">IFERROR(INDEX('Retirement Calculator'!K:K,MATCH('Lorri 401b'!N4111,'Retirement Calculator'!A:A,0),0),0)</f>
        <v>0</v>
      </c>
      <c r="K4111" s="455">
        <f t="shared" ca="1" si="163"/>
        <v>-46412748347.088097</v>
      </c>
      <c r="L4111" s="455">
        <f t="shared" ca="1" si="164"/>
        <v>-11185472351648.23</v>
      </c>
      <c r="M4111" s="471">
        <f t="shared" si="166"/>
        <v>0.05</v>
      </c>
      <c r="N4111" s="475">
        <f t="shared" si="167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65"/>
        <v>-11185472351648.23</v>
      </c>
      <c r="J4112" s="455">
        <f t="array" ref="J4112">IFERROR(INDEX('Retirement Calculator'!K:K,MATCH('Lorri 401b'!N4112,'Retirement Calculator'!A:A,0),0),0)</f>
        <v>0</v>
      </c>
      <c r="K4112" s="455">
        <f t="shared" ca="1" si="163"/>
        <v>-46606134798.534294</v>
      </c>
      <c r="L4112" s="455">
        <f t="shared" ca="1" si="164"/>
        <v>-11232078486446.766</v>
      </c>
      <c r="M4112" s="471">
        <f t="shared" si="166"/>
        <v>0.05</v>
      </c>
      <c r="N4112" s="475">
        <f t="shared" si="167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65"/>
        <v>-11232078486446.766</v>
      </c>
      <c r="J4113" s="455">
        <f t="array" ref="J4113">IFERROR(INDEX('Retirement Calculator'!K:K,MATCH('Lorri 401b'!N4113,'Retirement Calculator'!A:A,0),0),0)</f>
        <v>0</v>
      </c>
      <c r="K4113" s="455">
        <f t="shared" ca="1" si="163"/>
        <v>-46800327026.861526</v>
      </c>
      <c r="L4113" s="455">
        <f t="shared" ca="1" si="164"/>
        <v>-11278878813473.627</v>
      </c>
      <c r="M4113" s="471">
        <f t="shared" si="166"/>
        <v>0.05</v>
      </c>
      <c r="N4113" s="475">
        <f t="shared" si="167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65"/>
        <v>-11278878813473.627</v>
      </c>
      <c r="J4114" s="455">
        <f t="array" ref="J4114">IFERROR(INDEX('Retirement Calculator'!K:K,MATCH('Lorri 401b'!N4114,'Retirement Calculator'!A:A,0),0),0)</f>
        <v>0</v>
      </c>
      <c r="K4114" s="455">
        <f t="shared" ca="1" si="163"/>
        <v>-46995328389.473442</v>
      </c>
      <c r="L4114" s="455">
        <f t="shared" ca="1" si="164"/>
        <v>-11325874141863.1</v>
      </c>
      <c r="M4114" s="471">
        <f t="shared" si="166"/>
        <v>0.05</v>
      </c>
      <c r="N4114" s="475">
        <f t="shared" si="167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65"/>
        <v>-11325874141863.1</v>
      </c>
      <c r="J4115" s="455">
        <f t="array" ref="J4115">IFERROR(INDEX('Retirement Calculator'!K:K,MATCH('Lorri 401b'!N4115,'Retirement Calculator'!A:A,0),0),0)</f>
        <v>0</v>
      </c>
      <c r="K4115" s="455">
        <f t="shared" ca="1" si="163"/>
        <v>-47191142257.762917</v>
      </c>
      <c r="L4115" s="455">
        <f t="shared" ca="1" si="164"/>
        <v>-11373065284120.863</v>
      </c>
      <c r="M4115" s="471">
        <f t="shared" si="166"/>
        <v>0.05</v>
      </c>
      <c r="N4115" s="475">
        <f t="shared" si="167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65"/>
        <v>-11373065284120.863</v>
      </c>
      <c r="J4116" s="455">
        <f t="array" ref="J4116">IFERROR(INDEX('Retirement Calculator'!K:K,MATCH('Lorri 401b'!N4116,'Retirement Calculator'!A:A,0),0),0)</f>
        <v>0</v>
      </c>
      <c r="K4116" s="455">
        <f t="shared" ca="1" si="163"/>
        <v>-47387772017.170265</v>
      </c>
      <c r="L4116" s="455">
        <f t="shared" ca="1" si="164"/>
        <v>-11420453056138.033</v>
      </c>
      <c r="M4116" s="471">
        <f t="shared" si="166"/>
        <v>0.05</v>
      </c>
      <c r="N4116" s="475">
        <f t="shared" si="167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65"/>
        <v>-11420453056138.033</v>
      </c>
      <c r="J4117" s="455">
        <f t="array" ref="J4117">IFERROR(INDEX('Retirement Calculator'!K:K,MATCH('Lorri 401b'!N4117,'Retirement Calculator'!A:A,0),0),0)</f>
        <v>0</v>
      </c>
      <c r="K4117" s="455">
        <f t="shared" ca="1" si="163"/>
        <v>-47585221067.241806</v>
      </c>
      <c r="L4117" s="455">
        <f t="shared" ca="1" si="164"/>
        <v>-11468038277205.275</v>
      </c>
      <c r="M4117" s="471">
        <f t="shared" si="166"/>
        <v>0.05</v>
      </c>
      <c r="N4117" s="475">
        <f t="shared" si="167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65"/>
        <v>-11468038277205.275</v>
      </c>
      <c r="J4118" s="455">
        <f t="array" ref="J4118">IFERROR(INDEX('Retirement Calculator'!K:K,MATCH('Lorri 401b'!N4118,'Retirement Calculator'!A:A,0),0),0)</f>
        <v>0</v>
      </c>
      <c r="K4118" s="455">
        <f t="shared" ca="1" si="163"/>
        <v>-47783492821.688644</v>
      </c>
      <c r="L4118" s="455">
        <f t="shared" ca="1" si="164"/>
        <v>-11515821770026.965</v>
      </c>
      <c r="M4118" s="471">
        <f t="shared" si="166"/>
        <v>0.05</v>
      </c>
      <c r="N4118" s="475">
        <f t="shared" si="167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65"/>
        <v>-11515821770026.965</v>
      </c>
      <c r="J4119" s="455">
        <f t="array" ref="J4119">IFERROR(INDEX('Retirement Calculator'!K:K,MATCH('Lorri 401b'!N4119,'Retirement Calculator'!A:A,0),0),0)</f>
        <v>0</v>
      </c>
      <c r="K4119" s="455">
        <f t="shared" ca="1" si="163"/>
        <v>-47982590708.445686</v>
      </c>
      <c r="L4119" s="455">
        <f t="shared" ca="1" si="164"/>
        <v>-11563804360735.41</v>
      </c>
      <c r="M4119" s="471">
        <f t="shared" si="166"/>
        <v>0.05</v>
      </c>
      <c r="N4119" s="475">
        <f t="shared" si="167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65"/>
        <v>-11563804360735.41</v>
      </c>
      <c r="J4120" s="455">
        <f t="array" ref="J4120">IFERROR(INDEX('Retirement Calculator'!K:K,MATCH('Lorri 401b'!N4120,'Retirement Calculator'!A:A,0),0),0)</f>
        <v>0</v>
      </c>
      <c r="K4120" s="455">
        <f t="shared" ca="1" si="163"/>
        <v>-48182518169.730873</v>
      </c>
      <c r="L4120" s="455">
        <f t="shared" ca="1" si="164"/>
        <v>-11611986878905.141</v>
      </c>
      <c r="M4120" s="471">
        <f t="shared" si="166"/>
        <v>0.05</v>
      </c>
      <c r="N4120" s="475">
        <f t="shared" si="167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65"/>
        <v>-11611986878905.141</v>
      </c>
      <c r="J4121" s="455">
        <f t="array" ref="J4121">IFERROR(INDEX('Retirement Calculator'!K:K,MATCH('Lorri 401b'!N4121,'Retirement Calculator'!A:A,0),0),0)</f>
        <v>0</v>
      </c>
      <c r="K4121" s="455">
        <f t="shared" ca="1" si="163"/>
        <v>-48383278662.104752</v>
      </c>
      <c r="L4121" s="455">
        <f t="shared" ca="1" si="164"/>
        <v>-11660370157567.246</v>
      </c>
      <c r="M4121" s="471">
        <f t="shared" si="166"/>
        <v>0.05</v>
      </c>
      <c r="N4121" s="475">
        <f t="shared" si="167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65"/>
        <v>-11660370157567.246</v>
      </c>
      <c r="J4122" s="455">
        <f t="array" ref="J4122">IFERROR(INDEX('Retirement Calculator'!K:K,MATCH('Lorri 401b'!N4122,'Retirement Calculator'!A:A,0),0),0)</f>
        <v>0</v>
      </c>
      <c r="K4122" s="455">
        <f t="shared" ca="1" si="163"/>
        <v>-48584875656.53019</v>
      </c>
      <c r="L4122" s="455">
        <f t="shared" ca="1" si="164"/>
        <v>-11708955033223.775</v>
      </c>
      <c r="M4122" s="471">
        <f t="shared" si="166"/>
        <v>0.05</v>
      </c>
      <c r="N4122" s="475">
        <f t="shared" si="167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65"/>
        <v>-11708955033223.775</v>
      </c>
      <c r="J4123" s="455">
        <f t="array" ref="J4123">IFERROR(INDEX('Retirement Calculator'!K:K,MATCH('Lorri 401b'!N4123,'Retirement Calculator'!A:A,0),0),0)</f>
        <v>0</v>
      </c>
      <c r="K4123" s="455">
        <f t="shared" ca="1" si="163"/>
        <v>-48787312638.432396</v>
      </c>
      <c r="L4123" s="455">
        <f t="shared" ca="1" si="164"/>
        <v>-11757742345862.207</v>
      </c>
      <c r="M4123" s="471">
        <f t="shared" si="166"/>
        <v>0.05</v>
      </c>
      <c r="N4123" s="475">
        <f t="shared" si="167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65"/>
        <v>-11757742345862.207</v>
      </c>
      <c r="J4124" s="455">
        <f t="array" ref="J4124">IFERROR(INDEX('Retirement Calculator'!K:K,MATCH('Lorri 401b'!N4124,'Retirement Calculator'!A:A,0),0),0)</f>
        <v>0</v>
      </c>
      <c r="K4124" s="455">
        <f t="shared" ca="1" si="163"/>
        <v>-48990593107.759193</v>
      </c>
      <c r="L4124" s="455">
        <f t="shared" ca="1" si="164"/>
        <v>-11806732938969.967</v>
      </c>
      <c r="M4124" s="471">
        <f t="shared" si="166"/>
        <v>0.05</v>
      </c>
      <c r="N4124" s="475">
        <f t="shared" si="167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65"/>
        <v>-11806732938969.967</v>
      </c>
      <c r="J4125" s="455">
        <f t="array" ref="J4125">IFERROR(INDEX('Retirement Calculator'!K:K,MATCH('Lorri 401b'!N4125,'Retirement Calculator'!A:A,0),0),0)</f>
        <v>0</v>
      </c>
      <c r="K4125" s="455">
        <f t="shared" ca="1" si="163"/>
        <v>-49194720579.041527</v>
      </c>
      <c r="L4125" s="455">
        <f t="shared" ca="1" si="164"/>
        <v>-11855927659549.008</v>
      </c>
      <c r="M4125" s="471">
        <f t="shared" si="166"/>
        <v>0.05</v>
      </c>
      <c r="N4125" s="475">
        <f t="shared" si="167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65"/>
        <v>-11855927659549.008</v>
      </c>
      <c r="J4126" s="455">
        <f t="array" ref="J4126">IFERROR(INDEX('Retirement Calculator'!K:K,MATCH('Lorri 401b'!N4126,'Retirement Calculator'!A:A,0),0),0)</f>
        <v>0</v>
      </c>
      <c r="K4126" s="455">
        <f t="shared" ca="1" si="163"/>
        <v>-49399698581.454201</v>
      </c>
      <c r="L4126" s="455">
        <f t="shared" ca="1" si="164"/>
        <v>-11905327358130.463</v>
      </c>
      <c r="M4126" s="471">
        <f t="shared" si="166"/>
        <v>0.05</v>
      </c>
      <c r="N4126" s="475">
        <f t="shared" si="167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65"/>
        <v>-11905327358130.463</v>
      </c>
      <c r="J4127" s="455">
        <f t="array" ref="J4127">IFERROR(INDEX('Retirement Calculator'!K:K,MATCH('Lorri 401b'!N4127,'Retirement Calculator'!A:A,0),0),0)</f>
        <v>0</v>
      </c>
      <c r="K4127" s="455">
        <f t="shared" ca="1" si="163"/>
        <v>-49605530658.87693</v>
      </c>
      <c r="L4127" s="455">
        <f t="shared" ca="1" si="164"/>
        <v>-11954932888789.34</v>
      </c>
      <c r="M4127" s="471">
        <f t="shared" si="166"/>
        <v>0.05</v>
      </c>
      <c r="N4127" s="475">
        <f t="shared" si="167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65"/>
        <v>-11954932888789.34</v>
      </c>
      <c r="J4128" s="455">
        <f t="array" ref="J4128">IFERROR(INDEX('Retirement Calculator'!K:K,MATCH('Lorri 401b'!N4128,'Retirement Calculator'!A:A,0),0),0)</f>
        <v>0</v>
      </c>
      <c r="K4128" s="455">
        <f t="shared" ca="1" si="163"/>
        <v>-49812220369.955582</v>
      </c>
      <c r="L4128" s="455">
        <f t="shared" ca="1" si="164"/>
        <v>-12004745109159.295</v>
      </c>
      <c r="M4128" s="471">
        <f t="shared" si="166"/>
        <v>0.05</v>
      </c>
      <c r="N4128" s="475">
        <f t="shared" si="167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65"/>
        <v>-12004745109159.295</v>
      </c>
      <c r="J4129" s="455">
        <f t="array" ref="J4129">IFERROR(INDEX('Retirement Calculator'!K:K,MATCH('Lorri 401b'!N4129,'Retirement Calculator'!A:A,0),0),0)</f>
        <v>0</v>
      </c>
      <c r="K4129" s="455">
        <f t="shared" ca="1" si="163"/>
        <v>-50019771288.163727</v>
      </c>
      <c r="L4129" s="455">
        <f t="shared" ca="1" si="164"/>
        <v>-12054764880447.459</v>
      </c>
      <c r="M4129" s="471">
        <f t="shared" si="166"/>
        <v>0.05</v>
      </c>
      <c r="N4129" s="475">
        <f t="shared" si="167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65"/>
        <v>-12054764880447.459</v>
      </c>
      <c r="J4130" s="455">
        <f t="array" ref="J4130">IFERROR(INDEX('Retirement Calculator'!K:K,MATCH('Lorri 401b'!N4130,'Retirement Calculator'!A:A,0),0),0)</f>
        <v>0</v>
      </c>
      <c r="K4130" s="455">
        <f t="shared" ca="1" si="163"/>
        <v>-50228187001.86441</v>
      </c>
      <c r="L4130" s="455">
        <f t="shared" ca="1" si="164"/>
        <v>-12104993067449.324</v>
      </c>
      <c r="M4130" s="471">
        <f t="shared" si="166"/>
        <v>0.05</v>
      </c>
      <c r="N4130" s="475">
        <f t="shared" si="167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65"/>
        <v>-12104993067449.324</v>
      </c>
      <c r="J4131" s="455">
        <f t="array" ref="J4131">IFERROR(INDEX('Retirement Calculator'!K:K,MATCH('Lorri 401b'!N4131,'Retirement Calculator'!A:A,0),0),0)</f>
        <v>0</v>
      </c>
      <c r="K4131" s="455">
        <f t="shared" ca="1" si="163"/>
        <v>-50437471114.372185</v>
      </c>
      <c r="L4131" s="455">
        <f t="shared" ca="1" si="164"/>
        <v>-12155430538563.697</v>
      </c>
      <c r="M4131" s="471">
        <f t="shared" si="166"/>
        <v>0.05</v>
      </c>
      <c r="N4131" s="475">
        <f t="shared" si="167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65"/>
        <v>-12155430538563.697</v>
      </c>
      <c r="J4132" s="455">
        <f t="array" ref="J4132">IFERROR(INDEX('Retirement Calculator'!K:K,MATCH('Lorri 401b'!N4132,'Retirement Calculator'!A:A,0),0),0)</f>
        <v>0</v>
      </c>
      <c r="K4132" s="455">
        <f t="shared" ca="1" si="163"/>
        <v>-50647627244.015404</v>
      </c>
      <c r="L4132" s="455">
        <f t="shared" ca="1" si="164"/>
        <v>-12206078165807.713</v>
      </c>
      <c r="M4132" s="471">
        <f t="shared" si="166"/>
        <v>0.05</v>
      </c>
      <c r="N4132" s="475">
        <f t="shared" si="167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65"/>
        <v>-12206078165807.713</v>
      </c>
      <c r="J4133" s="455">
        <f t="array" ref="J4133">IFERROR(INDEX('Retirement Calculator'!K:K,MATCH('Lorri 401b'!N4133,'Retirement Calculator'!A:A,0),0),0)</f>
        <v>0</v>
      </c>
      <c r="K4133" s="455">
        <f t="shared" ca="1" si="163"/>
        <v>-50858659024.198807</v>
      </c>
      <c r="L4133" s="455">
        <f t="shared" ca="1" si="164"/>
        <v>-12256936824831.912</v>
      </c>
      <c r="M4133" s="471">
        <f t="shared" si="166"/>
        <v>0.05</v>
      </c>
      <c r="N4133" s="475">
        <f t="shared" si="167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65"/>
        <v>-12256936824831.912</v>
      </c>
      <c r="J4134" s="455">
        <f t="array" ref="J4134">IFERROR(INDEX('Retirement Calculator'!K:K,MATCH('Lorri 401b'!N4134,'Retirement Calculator'!A:A,0),0),0)</f>
        <v>0</v>
      </c>
      <c r="K4134" s="455">
        <f t="shared" ca="1" si="163"/>
        <v>-51070570103.466301</v>
      </c>
      <c r="L4134" s="455">
        <f t="shared" ca="1" si="164"/>
        <v>-12308007394935.379</v>
      </c>
      <c r="M4134" s="471">
        <f t="shared" si="166"/>
        <v>0.05</v>
      </c>
      <c r="N4134" s="475">
        <f t="shared" si="167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65"/>
        <v>-12308007394935.379</v>
      </c>
      <c r="J4135" s="455">
        <f t="array" ref="J4135">IFERROR(INDEX('Retirement Calculator'!K:K,MATCH('Lorri 401b'!N4135,'Retirement Calculator'!A:A,0),0),0)</f>
        <v>0</v>
      </c>
      <c r="K4135" s="455">
        <f t="shared" ca="1" si="163"/>
        <v>-51283364145.564079</v>
      </c>
      <c r="L4135" s="455">
        <f t="shared" ca="1" si="164"/>
        <v>-12359290759080.943</v>
      </c>
      <c r="M4135" s="471">
        <f t="shared" si="166"/>
        <v>0.05</v>
      </c>
      <c r="N4135" s="475">
        <f t="shared" si="167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65"/>
        <v>-12359290759080.943</v>
      </c>
      <c r="J4136" s="455">
        <f t="array" ref="J4136">IFERROR(INDEX('Retirement Calculator'!K:K,MATCH('Lorri 401b'!N4136,'Retirement Calculator'!A:A,0),0),0)</f>
        <v>0</v>
      </c>
      <c r="K4136" s="455">
        <f t="shared" ca="1" si="163"/>
        <v>-51497044829.503929</v>
      </c>
      <c r="L4136" s="455">
        <f t="shared" ca="1" si="164"/>
        <v>-12410787803910.447</v>
      </c>
      <c r="M4136" s="471">
        <f t="shared" si="166"/>
        <v>0.05</v>
      </c>
      <c r="N4136" s="475">
        <f t="shared" si="167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65"/>
        <v>-12410787803910.447</v>
      </c>
      <c r="J4137" s="455">
        <f t="array" ref="J4137">IFERROR(INDEX('Retirement Calculator'!K:K,MATCH('Lorri 401b'!N4137,'Retirement Calculator'!A:A,0),0),0)</f>
        <v>0</v>
      </c>
      <c r="K4137" s="455">
        <f t="shared" ca="1" si="163"/>
        <v>-51711615849.626862</v>
      </c>
      <c r="L4137" s="455">
        <f t="shared" ca="1" si="164"/>
        <v>-12462499419760.074</v>
      </c>
      <c r="M4137" s="471">
        <f t="shared" si="166"/>
        <v>0.05</v>
      </c>
      <c r="N4137" s="475">
        <f t="shared" si="167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65"/>
        <v>-12462499419760.074</v>
      </c>
      <c r="J4138" s="455">
        <f t="array" ref="J4138">IFERROR(INDEX('Retirement Calculator'!K:K,MATCH('Lorri 401b'!N4138,'Retirement Calculator'!A:A,0),0),0)</f>
        <v>0</v>
      </c>
      <c r="K4138" s="455">
        <f t="shared" ca="1" si="163"/>
        <v>-51927080915.666977</v>
      </c>
      <c r="L4138" s="455">
        <f t="shared" ca="1" si="164"/>
        <v>-12514426500675.74</v>
      </c>
      <c r="M4138" s="471">
        <f t="shared" si="166"/>
        <v>0.05</v>
      </c>
      <c r="N4138" s="475">
        <f t="shared" si="167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65"/>
        <v>-12514426500675.74</v>
      </c>
      <c r="J4139" s="455">
        <f t="array" ref="J4139">IFERROR(INDEX('Retirement Calculator'!K:K,MATCH('Lorri 401b'!N4139,'Retirement Calculator'!A:A,0),0),0)</f>
        <v>0</v>
      </c>
      <c r="K4139" s="455">
        <f t="shared" ca="1" si="163"/>
        <v>-52143443752.815582</v>
      </c>
      <c r="L4139" s="455">
        <f t="shared" ca="1" si="164"/>
        <v>-12566569944428.557</v>
      </c>
      <c r="M4139" s="471">
        <f t="shared" si="166"/>
        <v>0.05</v>
      </c>
      <c r="N4139" s="475">
        <f t="shared" si="167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65"/>
        <v>-12566569944428.557</v>
      </c>
      <c r="J4140" s="455">
        <f t="array" ref="J4140">IFERROR(INDEX('Retirement Calculator'!K:K,MATCH('Lorri 401b'!N4140,'Retirement Calculator'!A:A,0),0),0)</f>
        <v>0</v>
      </c>
      <c r="K4140" s="455">
        <f t="shared" ca="1" si="163"/>
        <v>-52360708101.785652</v>
      </c>
      <c r="L4140" s="455">
        <f t="shared" ca="1" si="164"/>
        <v>-12618930652530.342</v>
      </c>
      <c r="M4140" s="471">
        <f t="shared" si="166"/>
        <v>0.05</v>
      </c>
      <c r="N4140" s="475">
        <f t="shared" si="167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65"/>
        <v>-12618930652530.342</v>
      </c>
      <c r="J4141" s="455">
        <f t="array" ref="J4141">IFERROR(INDEX('Retirement Calculator'!K:K,MATCH('Lorri 401b'!N4141,'Retirement Calculator'!A:A,0),0),0)</f>
        <v>0</v>
      </c>
      <c r="K4141" s="455">
        <f t="shared" ca="1" si="163"/>
        <v>-52578877718.876427</v>
      </c>
      <c r="L4141" s="455">
        <f t="shared" ca="1" si="164"/>
        <v>-12671509530249.219</v>
      </c>
      <c r="M4141" s="471">
        <f t="shared" si="166"/>
        <v>0.05</v>
      </c>
      <c r="N4141" s="475">
        <f t="shared" si="167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65"/>
        <v>-12671509530249.219</v>
      </c>
      <c r="J4142" s="455">
        <f t="array" ref="J4142">IFERROR(INDEX('Retirement Calculator'!K:K,MATCH('Lorri 401b'!N4142,'Retirement Calculator'!A:A,0),0),0)</f>
        <v>0</v>
      </c>
      <c r="K4142" s="455">
        <f t="shared" ca="1" si="163"/>
        <v>-52797956376.038414</v>
      </c>
      <c r="L4142" s="455">
        <f t="shared" ca="1" si="164"/>
        <v>-12724307486625.258</v>
      </c>
      <c r="M4142" s="471">
        <f t="shared" si="166"/>
        <v>0.05</v>
      </c>
      <c r="N4142" s="475">
        <f t="shared" si="167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65"/>
        <v>-12724307486625.258</v>
      </c>
      <c r="J4143" s="455">
        <f t="array" ref="J4143">IFERROR(INDEX('Retirement Calculator'!K:K,MATCH('Lorri 401b'!N4143,'Retirement Calculator'!A:A,0),0),0)</f>
        <v>0</v>
      </c>
      <c r="K4143" s="455">
        <f t="shared" ca="1" si="163"/>
        <v>-53017947860.938576</v>
      </c>
      <c r="L4143" s="455">
        <f t="shared" ca="1" si="164"/>
        <v>-12777325434486.197</v>
      </c>
      <c r="M4143" s="471">
        <f t="shared" si="166"/>
        <v>0.05</v>
      </c>
      <c r="N4143" s="475">
        <f t="shared" si="167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65"/>
        <v>-12777325434486.197</v>
      </c>
      <c r="J4144" s="455">
        <f t="array" ref="J4144">IFERROR(INDEX('Retirement Calculator'!K:K,MATCH('Lorri 401b'!N4144,'Retirement Calculator'!A:A,0),0),0)</f>
        <v>0</v>
      </c>
      <c r="K4144" s="455">
        <f t="shared" ca="1" si="163"/>
        <v>-53238855977.025818</v>
      </c>
      <c r="L4144" s="455">
        <f t="shared" ca="1" si="164"/>
        <v>-12830564290463.223</v>
      </c>
      <c r="M4144" s="471">
        <f t="shared" si="166"/>
        <v>0.05</v>
      </c>
      <c r="N4144" s="475">
        <f t="shared" si="167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65"/>
        <v>-12830564290463.223</v>
      </c>
      <c r="J4145" s="455">
        <f t="array" ref="J4145">IFERROR(INDEX('Retirement Calculator'!K:K,MATCH('Lorri 401b'!N4145,'Retirement Calculator'!A:A,0),0),0)</f>
        <v>0</v>
      </c>
      <c r="K4145" s="455">
        <f t="shared" ca="1" si="163"/>
        <v>-53460684543.596764</v>
      </c>
      <c r="L4145" s="455">
        <f t="shared" ca="1" si="164"/>
        <v>-12884024975006.82</v>
      </c>
      <c r="M4145" s="471">
        <f t="shared" si="166"/>
        <v>0.05</v>
      </c>
      <c r="N4145" s="475">
        <f t="shared" si="167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65"/>
        <v>-12884024975006.82</v>
      </c>
      <c r="J4146" s="455">
        <f t="array" ref="J4146">IFERROR(INDEX('Retirement Calculator'!K:K,MATCH('Lorri 401b'!N4146,'Retirement Calculator'!A:A,0),0),0)</f>
        <v>0</v>
      </c>
      <c r="K4146" s="455">
        <f t="shared" ca="1" si="163"/>
        <v>-53683437395.861748</v>
      </c>
      <c r="L4146" s="455">
        <f t="shared" ca="1" si="164"/>
        <v>-12937708412402.682</v>
      </c>
      <c r="M4146" s="471">
        <f t="shared" si="166"/>
        <v>0.05</v>
      </c>
      <c r="N4146" s="475">
        <f t="shared" si="167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65"/>
        <v>-12937708412402.682</v>
      </c>
      <c r="J4147" s="455">
        <f t="array" ref="J4147">IFERROR(INDEX('Retirement Calculator'!K:K,MATCH('Lorri 401b'!N4147,'Retirement Calculator'!A:A,0),0),0)</f>
        <v>0</v>
      </c>
      <c r="K4147" s="455">
        <f t="shared" ca="1" si="163"/>
        <v>-53907118385.011169</v>
      </c>
      <c r="L4147" s="455">
        <f t="shared" ca="1" si="164"/>
        <v>-12991615530787.693</v>
      </c>
      <c r="M4147" s="471">
        <f t="shared" si="166"/>
        <v>0.05</v>
      </c>
      <c r="N4147" s="475">
        <f t="shared" si="167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65"/>
        <v>-12991615530787.693</v>
      </c>
      <c r="J4148" s="455">
        <f t="array" ref="J4148">IFERROR(INDEX('Retirement Calculator'!K:K,MATCH('Lorri 401b'!N4148,'Retirement Calculator'!A:A,0),0),0)</f>
        <v>0</v>
      </c>
      <c r="K4148" s="455">
        <f t="shared" ca="1" si="163"/>
        <v>-54131731378.282059</v>
      </c>
      <c r="L4148" s="455">
        <f t="shared" ca="1" si="164"/>
        <v>-13045747262165.975</v>
      </c>
      <c r="M4148" s="471">
        <f t="shared" si="166"/>
        <v>0.05</v>
      </c>
      <c r="N4148" s="475">
        <f t="shared" si="167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65"/>
        <v>-13045747262165.975</v>
      </c>
      <c r="J4149" s="455">
        <f t="array" ref="J4149">IFERROR(INDEX('Retirement Calculator'!K:K,MATCH('Lorri 401b'!N4149,'Retirement Calculator'!A:A,0),0),0)</f>
        <v>0</v>
      </c>
      <c r="K4149" s="455">
        <f t="shared" ca="1" si="163"/>
        <v>-54357280259.024895</v>
      </c>
      <c r="L4149" s="455">
        <f t="shared" ca="1" si="164"/>
        <v>-13100104542425</v>
      </c>
      <c r="M4149" s="471">
        <f t="shared" si="166"/>
        <v>0.05</v>
      </c>
      <c r="N4149" s="475">
        <f t="shared" si="167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65"/>
        <v>-13100104542425</v>
      </c>
      <c r="J4150" s="455">
        <f t="array" ref="J4150">IFERROR(INDEX('Retirement Calculator'!K:K,MATCH('Lorri 401b'!N4150,'Retirement Calculator'!A:A,0),0),0)</f>
        <v>0</v>
      </c>
      <c r="K4150" s="455">
        <f t="shared" ca="1" si="163"/>
        <v>-54583768926.770836</v>
      </c>
      <c r="L4150" s="455">
        <f t="shared" ca="1" si="164"/>
        <v>-13154688311351.771</v>
      </c>
      <c r="M4150" s="471">
        <f t="shared" si="166"/>
        <v>0.05</v>
      </c>
      <c r="N4150" s="475">
        <f t="shared" si="167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65"/>
        <v>-13154688311351.771</v>
      </c>
      <c r="J4151" s="455">
        <f t="array" ref="J4151">IFERROR(INDEX('Retirement Calculator'!K:K,MATCH('Lorri 401b'!N4151,'Retirement Calculator'!A:A,0),0),0)</f>
        <v>0</v>
      </c>
      <c r="K4151" s="455">
        <f t="shared" ca="1" si="163"/>
        <v>-54811201297.299049</v>
      </c>
      <c r="L4151" s="455">
        <f t="shared" ca="1" si="164"/>
        <v>-13209499512649.07</v>
      </c>
      <c r="M4151" s="471">
        <f t="shared" si="166"/>
        <v>0.05</v>
      </c>
      <c r="N4151" s="475">
        <f t="shared" si="167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65"/>
        <v>-13209499512649.07</v>
      </c>
      <c r="J4152" s="455">
        <f t="array" ref="J4152">IFERROR(INDEX('Retirement Calculator'!K:K,MATCH('Lorri 401b'!N4152,'Retirement Calculator'!A:A,0),0),0)</f>
        <v>0</v>
      </c>
      <c r="K4152" s="455">
        <f t="shared" ca="1" si="163"/>
        <v>-55039581302.70446</v>
      </c>
      <c r="L4152" s="455">
        <f t="shared" ca="1" si="164"/>
        <v>-13264539093951.775</v>
      </c>
      <c r="M4152" s="471">
        <f t="shared" si="166"/>
        <v>0.05</v>
      </c>
      <c r="N4152" s="475">
        <f t="shared" si="167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65"/>
        <v>-13264539093951.775</v>
      </c>
      <c r="J4153" s="455">
        <f t="array" ref="J4153">IFERROR(INDEX('Retirement Calculator'!K:K,MATCH('Lorri 401b'!N4153,'Retirement Calculator'!A:A,0),0),0)</f>
        <v>0</v>
      </c>
      <c r="K4153" s="455">
        <f t="shared" ca="1" si="163"/>
        <v>-55268912891.465729</v>
      </c>
      <c r="L4153" s="455">
        <f t="shared" ca="1" si="164"/>
        <v>-13319808006843.24</v>
      </c>
      <c r="M4153" s="471">
        <f t="shared" si="166"/>
        <v>0.05</v>
      </c>
      <c r="N4153" s="475">
        <f t="shared" si="167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65"/>
        <v>-13319808006843.24</v>
      </c>
      <c r="J4154" s="455">
        <f t="array" ref="J4154">IFERROR(INDEX('Retirement Calculator'!K:K,MATCH('Lorri 401b'!N4154,'Retirement Calculator'!A:A,0),0),0)</f>
        <v>0</v>
      </c>
      <c r="K4154" s="455">
        <f t="shared" ca="1" si="163"/>
        <v>-55499200028.513496</v>
      </c>
      <c r="L4154" s="455">
        <f t="shared" ca="1" si="164"/>
        <v>-13375307206871.754</v>
      </c>
      <c r="M4154" s="471">
        <f t="shared" si="166"/>
        <v>0.05</v>
      </c>
      <c r="N4154" s="475">
        <f t="shared" si="167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65"/>
        <v>-13375307206871.754</v>
      </c>
      <c r="J4155" s="455">
        <f t="array" ref="J4155">IFERROR(INDEX('Retirement Calculator'!K:K,MATCH('Lorri 401b'!N4155,'Retirement Calculator'!A:A,0),0),0)</f>
        <v>0</v>
      </c>
      <c r="K4155" s="455">
        <f t="shared" ca="1" si="163"/>
        <v>-55730446695.298973</v>
      </c>
      <c r="L4155" s="455">
        <f t="shared" ca="1" si="164"/>
        <v>-13431037653567.053</v>
      </c>
      <c r="M4155" s="471">
        <f t="shared" si="166"/>
        <v>0.05</v>
      </c>
      <c r="N4155" s="475">
        <f t="shared" si="167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65"/>
        <v>-13431037653567.053</v>
      </c>
      <c r="J4156" s="455">
        <f t="array" ref="J4156">IFERROR(INDEX('Retirement Calculator'!K:K,MATCH('Lorri 401b'!N4156,'Retirement Calculator'!A:A,0),0),0)</f>
        <v>0</v>
      </c>
      <c r="K4156" s="455">
        <f t="shared" ca="1" si="163"/>
        <v>-55962656889.862717</v>
      </c>
      <c r="L4156" s="455">
        <f t="shared" ca="1" si="164"/>
        <v>-13487000310456.916</v>
      </c>
      <c r="M4156" s="471">
        <f t="shared" si="166"/>
        <v>0.05</v>
      </c>
      <c r="N4156" s="475">
        <f t="shared" si="167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65"/>
        <v>-13487000310456.916</v>
      </c>
      <c r="J4157" s="455">
        <f t="array" ref="J4157">IFERROR(INDEX('Retirement Calculator'!K:K,MATCH('Lorri 401b'!N4157,'Retirement Calculator'!A:A,0),0),0)</f>
        <v>0</v>
      </c>
      <c r="K4157" s="455">
        <f t="shared" ca="1" si="163"/>
        <v>-56195834626.903816</v>
      </c>
      <c r="L4157" s="455">
        <f t="shared" ca="1" si="164"/>
        <v>-13543196145083.82</v>
      </c>
      <c r="M4157" s="471">
        <f t="shared" si="166"/>
        <v>0.05</v>
      </c>
      <c r="N4157" s="475">
        <f t="shared" si="167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65"/>
        <v>-13543196145083.82</v>
      </c>
      <c r="J4158" s="455">
        <f t="array" ref="J4158">IFERROR(INDEX('Retirement Calculator'!K:K,MATCH('Lorri 401b'!N4158,'Retirement Calculator'!A:A,0),0),0)</f>
        <v>0</v>
      </c>
      <c r="K4158" s="455">
        <f t="shared" ca="1" si="163"/>
        <v>-56429983937.849251</v>
      </c>
      <c r="L4158" s="455">
        <f t="shared" ca="1" si="164"/>
        <v>-13599626129021.67</v>
      </c>
      <c r="M4158" s="471">
        <f t="shared" si="166"/>
        <v>0.05</v>
      </c>
      <c r="N4158" s="475">
        <f t="shared" si="167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65"/>
        <v>-13599626129021.67</v>
      </c>
      <c r="J4159" s="455">
        <f t="array" ref="J4159">IFERROR(INDEX('Retirement Calculator'!K:K,MATCH('Lorri 401b'!N4159,'Retirement Calculator'!A:A,0),0),0)</f>
        <v>0</v>
      </c>
      <c r="K4159" s="455">
        <f t="shared" ca="1" si="163"/>
        <v>-56665108870.923622</v>
      </c>
      <c r="L4159" s="455">
        <f t="shared" ca="1" si="164"/>
        <v>-13656291237892.594</v>
      </c>
      <c r="M4159" s="471">
        <f t="shared" si="166"/>
        <v>0.05</v>
      </c>
      <c r="N4159" s="475">
        <f t="shared" si="167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65"/>
        <v>-13656291237892.594</v>
      </c>
      <c r="J4160" s="455">
        <f t="array" ref="J4160">IFERROR(INDEX('Retirement Calculator'!K:K,MATCH('Lorri 401b'!N4160,'Retirement Calculator'!A:A,0),0),0)</f>
        <v>0</v>
      </c>
      <c r="K4160" s="455">
        <f t="shared" ca="1" si="163"/>
        <v>-56901213491.219139</v>
      </c>
      <c r="L4160" s="455">
        <f t="shared" ca="1" si="164"/>
        <v>-13713192451383.813</v>
      </c>
      <c r="M4160" s="471">
        <f t="shared" si="166"/>
        <v>0.05</v>
      </c>
      <c r="N4160" s="475">
        <f t="shared" si="167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65"/>
        <v>-13713192451383.813</v>
      </c>
      <c r="J4161" s="455">
        <f t="array" ref="J4161">IFERROR(INDEX('Retirement Calculator'!K:K,MATCH('Lorri 401b'!N4161,'Retirement Calculator'!A:A,0),0),0)</f>
        <v>0</v>
      </c>
      <c r="K4161" s="455">
        <f t="shared" ca="1" si="163"/>
        <v>-57138301880.765884</v>
      </c>
      <c r="L4161" s="455">
        <f t="shared" ca="1" si="164"/>
        <v>-13770330753264.578</v>
      </c>
      <c r="M4161" s="471">
        <f t="shared" si="166"/>
        <v>0.05</v>
      </c>
      <c r="N4161" s="475">
        <f t="shared" si="167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65"/>
        <v>-13770330753264.578</v>
      </c>
      <c r="J4162" s="455">
        <f t="array" ref="J4162">IFERROR(INDEX('Retirement Calculator'!K:K,MATCH('Lorri 401b'!N4162,'Retirement Calculator'!A:A,0),0),0)</f>
        <v>0</v>
      </c>
      <c r="K4162" s="455">
        <f t="shared" ca="1" si="163"/>
        <v>-57376378138.602409</v>
      </c>
      <c r="L4162" s="455">
        <f t="shared" ca="1" si="164"/>
        <v>-13827707131403.18</v>
      </c>
      <c r="M4162" s="471">
        <f t="shared" si="166"/>
        <v>0.05</v>
      </c>
      <c r="N4162" s="475">
        <f t="shared" si="167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65"/>
        <v>-13827707131403.18</v>
      </c>
      <c r="J4163" s="455">
        <f t="array" ref="J4163">IFERROR(INDEX('Retirement Calculator'!K:K,MATCH('Lorri 401b'!N4163,'Retirement Calculator'!A:A,0),0),0)</f>
        <v>0</v>
      </c>
      <c r="K4163" s="455">
        <f t="shared" ca="1" si="163"/>
        <v>-57615446380.846581</v>
      </c>
      <c r="L4163" s="455">
        <f t="shared" ca="1" si="164"/>
        <v>-13885322577784.025</v>
      </c>
      <c r="M4163" s="471">
        <f t="shared" si="166"/>
        <v>0.05</v>
      </c>
      <c r="N4163" s="475">
        <f t="shared" si="167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65"/>
        <v>-13885322577784.025</v>
      </c>
      <c r="J4164" s="455">
        <f t="array" ref="J4164">IFERROR(INDEX('Retirement Calculator'!K:K,MATCH('Lorri 401b'!N4164,'Retirement Calculator'!A:A,0),0),0)</f>
        <v>0</v>
      </c>
      <c r="K4164" s="455">
        <f t="shared" ca="1" si="163"/>
        <v>-57855510740.766777</v>
      </c>
      <c r="L4164" s="455">
        <f t="shared" ca="1" si="164"/>
        <v>-13943178088524.793</v>
      </c>
      <c r="M4164" s="471">
        <f t="shared" si="166"/>
        <v>0.05</v>
      </c>
      <c r="N4164" s="475">
        <f t="shared" si="167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65"/>
        <v>-13943178088524.793</v>
      </c>
      <c r="J4165" s="455">
        <f t="array" ref="J4165">IFERROR(INDEX('Retirement Calculator'!K:K,MATCH('Lorri 401b'!N4165,'Retirement Calculator'!A:A,0),0),0)</f>
        <v>0</v>
      </c>
      <c r="K4165" s="455">
        <f t="shared" ca="1" si="163"/>
        <v>-58096575368.853302</v>
      </c>
      <c r="L4165" s="455">
        <f t="shared" ca="1" si="164"/>
        <v>-14001274663893.646</v>
      </c>
      <c r="M4165" s="471">
        <f t="shared" si="166"/>
        <v>0.05</v>
      </c>
      <c r="N4165" s="475">
        <f t="shared" si="167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65"/>
        <v>-14001274663893.646</v>
      </c>
      <c r="J4166" s="455">
        <f t="array" ref="J4166">IFERROR(INDEX('Retirement Calculator'!K:K,MATCH('Lorri 401b'!N4166,'Retirement Calculator'!A:A,0),0),0)</f>
        <v>0</v>
      </c>
      <c r="K4166" s="455">
        <f t="shared" ca="1" si="163"/>
        <v>-58338644432.89019</v>
      </c>
      <c r="L4166" s="455">
        <f t="shared" ca="1" si="164"/>
        <v>-14059613308326.537</v>
      </c>
      <c r="M4166" s="471">
        <f t="shared" si="166"/>
        <v>0.05</v>
      </c>
      <c r="N4166" s="475">
        <f t="shared" si="167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65"/>
        <v>-14059613308326.537</v>
      </c>
      <c r="J4167" s="455">
        <f t="array" ref="J4167">IFERROR(INDEX('Retirement Calculator'!K:K,MATCH('Lorri 401b'!N4167,'Retirement Calculator'!A:A,0),0),0)</f>
        <v>0</v>
      </c>
      <c r="K4167" s="455">
        <f t="shared" ca="1" si="163"/>
        <v>-58581722118.027237</v>
      </c>
      <c r="L4167" s="455">
        <f t="shared" ca="1" si="164"/>
        <v>-14118195030444.564</v>
      </c>
      <c r="M4167" s="471">
        <f t="shared" si="166"/>
        <v>0.05</v>
      </c>
      <c r="N4167" s="475">
        <f t="shared" si="167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65"/>
        <v>-14118195030444.564</v>
      </c>
      <c r="J4168" s="455">
        <f t="array" ref="J4168">IFERROR(INDEX('Retirement Calculator'!K:K,MATCH('Lorri 401b'!N4168,'Retirement Calculator'!A:A,0),0),0)</f>
        <v>0</v>
      </c>
      <c r="K4168" s="455">
        <f t="shared" ca="1" si="163"/>
        <v>-58825812626.852348</v>
      </c>
      <c r="L4168" s="455">
        <f t="shared" ca="1" si="164"/>
        <v>-14177020843071.416</v>
      </c>
      <c r="M4168" s="471">
        <f t="shared" si="166"/>
        <v>0.05</v>
      </c>
      <c r="N4168" s="475">
        <f t="shared" si="167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65"/>
        <v>-14177020843071.416</v>
      </c>
      <c r="J4169" s="455">
        <f t="array" ref="J4169">IFERROR(INDEX('Retirement Calculator'!K:K,MATCH('Lorri 401b'!N4169,'Retirement Calculator'!A:A,0),0),0)</f>
        <v>0</v>
      </c>
      <c r="K4169" s="455">
        <f t="shared" ca="1" si="163"/>
        <v>-59070920179.464233</v>
      </c>
      <c r="L4169" s="455">
        <f t="shared" ca="1" si="164"/>
        <v>-14236091763250.881</v>
      </c>
      <c r="M4169" s="471">
        <f t="shared" si="166"/>
        <v>0.05</v>
      </c>
      <c r="N4169" s="475">
        <f t="shared" si="167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65"/>
        <v>-14236091763250.881</v>
      </c>
      <c r="J4170" s="455">
        <f t="array" ref="J4170">IFERROR(INDEX('Retirement Calculator'!K:K,MATCH('Lorri 401b'!N4170,'Retirement Calculator'!A:A,0),0),0)</f>
        <v>0</v>
      </c>
      <c r="K4170" s="455">
        <f t="shared" ca="1" si="163"/>
        <v>-59317049013.545334</v>
      </c>
      <c r="L4170" s="455">
        <f t="shared" ca="1" si="164"/>
        <v>-14295408812264.426</v>
      </c>
      <c r="M4170" s="471">
        <f t="shared" si="166"/>
        <v>0.05</v>
      </c>
      <c r="N4170" s="475">
        <f t="shared" si="167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65"/>
        <v>-14295408812264.426</v>
      </c>
      <c r="J4171" s="455">
        <f t="array" ref="J4171">IFERROR(INDEX('Retirement Calculator'!K:K,MATCH('Lorri 401b'!N4171,'Retirement Calculator'!A:A,0),0),0)</f>
        <v>0</v>
      </c>
      <c r="K4171" s="455">
        <f t="shared" ca="1" si="163"/>
        <v>-59564203384.435104</v>
      </c>
      <c r="L4171" s="455">
        <f t="shared" ca="1" si="164"/>
        <v>-14354973015648.861</v>
      </c>
      <c r="M4171" s="471">
        <f t="shared" si="166"/>
        <v>0.05</v>
      </c>
      <c r="N4171" s="475">
        <f t="shared" si="167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65"/>
        <v>-14354973015648.861</v>
      </c>
      <c r="J4172" s="455">
        <f t="array" ref="J4172">IFERROR(INDEX('Retirement Calculator'!K:K,MATCH('Lorri 401b'!N4172,'Retirement Calculator'!A:A,0),0),0)</f>
        <v>0</v>
      </c>
      <c r="K4172" s="455">
        <f t="shared" ca="1" si="163"/>
        <v>-59812387565.203583</v>
      </c>
      <c r="L4172" s="455">
        <f t="shared" ca="1" si="164"/>
        <v>-14414785403214.064</v>
      </c>
      <c r="M4172" s="471">
        <f t="shared" si="166"/>
        <v>0.05</v>
      </c>
      <c r="N4172" s="475">
        <f t="shared" si="167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65"/>
        <v>-14414785403214.064</v>
      </c>
      <c r="J4173" s="455">
        <f t="array" ref="J4173">IFERROR(INDEX('Retirement Calculator'!K:K,MATCH('Lorri 401b'!N4173,'Retirement Calculator'!A:A,0),0),0)</f>
        <v>0</v>
      </c>
      <c r="K4173" s="455">
        <f t="shared" ca="1" si="163"/>
        <v>-60061605846.725266</v>
      </c>
      <c r="L4173" s="455">
        <f t="shared" ca="1" si="164"/>
        <v>-14474847009060.789</v>
      </c>
      <c r="M4173" s="471">
        <f t="shared" si="166"/>
        <v>0.05</v>
      </c>
      <c r="N4173" s="475">
        <f t="shared" si="167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65"/>
        <v>-14474847009060.789</v>
      </c>
      <c r="J4174" s="455">
        <f t="array" ref="J4174">IFERROR(INDEX('Retirement Calculator'!K:K,MATCH('Lorri 401b'!N4174,'Retirement Calculator'!A:A,0),0),0)</f>
        <v>0</v>
      </c>
      <c r="K4174" s="455">
        <f t="shared" ca="1" si="163"/>
        <v>-60311862537.753281</v>
      </c>
      <c r="L4174" s="455">
        <f t="shared" ca="1" si="164"/>
        <v>-14535158871598.543</v>
      </c>
      <c r="M4174" s="471">
        <f t="shared" si="166"/>
        <v>0.05</v>
      </c>
      <c r="N4174" s="475">
        <f t="shared" si="167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65"/>
        <v>-14535158871598.543</v>
      </c>
      <c r="J4175" s="455">
        <f t="array" ref="J4175">IFERROR(INDEX('Retirement Calculator'!K:K,MATCH('Lorri 401b'!N4175,'Retirement Calculator'!A:A,0),0),0)</f>
        <v>0</v>
      </c>
      <c r="K4175" s="455">
        <f t="shared" ca="1" si="163"/>
        <v>-60563161964.993927</v>
      </c>
      <c r="L4175" s="455">
        <f t="shared" ca="1" si="164"/>
        <v>-14595722033563.537</v>
      </c>
      <c r="M4175" s="471">
        <f t="shared" si="166"/>
        <v>0.05</v>
      </c>
      <c r="N4175" s="475">
        <f t="shared" si="167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65"/>
        <v>-14595722033563.537</v>
      </c>
      <c r="J4176" s="455">
        <f t="array" ref="J4176">IFERROR(INDEX('Retirement Calculator'!K:K,MATCH('Lorri 401b'!N4176,'Retirement Calculator'!A:A,0),0),0)</f>
        <v>0</v>
      </c>
      <c r="K4176" s="455">
        <f t="shared" ca="1" si="163"/>
        <v>-60815508473.181412</v>
      </c>
      <c r="L4176" s="455">
        <f t="shared" ca="1" si="164"/>
        <v>-14656537542036.719</v>
      </c>
      <c r="M4176" s="471">
        <f t="shared" si="166"/>
        <v>0.05</v>
      </c>
      <c r="N4176" s="475">
        <f t="shared" si="167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65"/>
        <v>-14656537542036.719</v>
      </c>
      <c r="J4177" s="455">
        <f t="array" ref="J4177">IFERROR(INDEX('Retirement Calculator'!K:K,MATCH('Lorri 401b'!N4177,'Retirement Calculator'!A:A,0),0),0)</f>
        <v>0</v>
      </c>
      <c r="K4177" s="455">
        <f t="shared" ca="1" si="163"/>
        <v>-61068906425.152992</v>
      </c>
      <c r="L4177" s="455">
        <f t="shared" ca="1" si="164"/>
        <v>-14717606448461.871</v>
      </c>
      <c r="M4177" s="471">
        <f t="shared" si="166"/>
        <v>0.05</v>
      </c>
      <c r="N4177" s="475">
        <f t="shared" si="167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65"/>
        <v>-14717606448461.871</v>
      </c>
      <c r="J4178" s="455">
        <f t="array" ref="J4178">IFERROR(INDEX('Retirement Calculator'!K:K,MATCH('Lorri 401b'!N4178,'Retirement Calculator'!A:A,0),0),0)</f>
        <v>0</v>
      </c>
      <c r="K4178" s="455">
        <f t="shared" ca="1" si="163"/>
        <v>-61323360201.924461</v>
      </c>
      <c r="L4178" s="455">
        <f t="shared" ca="1" si="164"/>
        <v>-14778929808663.795</v>
      </c>
      <c r="M4178" s="471">
        <f t="shared" si="166"/>
        <v>0.05</v>
      </c>
      <c r="N4178" s="475">
        <f t="shared" si="167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65"/>
        <v>-14778929808663.795</v>
      </c>
      <c r="J4179" s="455">
        <f t="array" ref="J4179">IFERROR(INDEX('Retirement Calculator'!K:K,MATCH('Lorri 401b'!N4179,'Retirement Calculator'!A:A,0),0),0)</f>
        <v>0</v>
      </c>
      <c r="K4179" s="455">
        <f t="shared" ca="1" si="163"/>
        <v>-61578874202.765808</v>
      </c>
      <c r="L4179" s="455">
        <f t="shared" ca="1" si="164"/>
        <v>-14840508682866.561</v>
      </c>
      <c r="M4179" s="471">
        <f t="shared" si="166"/>
        <v>0.05</v>
      </c>
      <c r="N4179" s="475">
        <f t="shared" si="167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65"/>
        <v>-14840508682866.561</v>
      </c>
      <c r="J4180" s="455">
        <f t="array" ref="J4180">IFERROR(INDEX('Retirement Calculator'!K:K,MATCH('Lorri 401b'!N4180,'Retirement Calculator'!A:A,0),0),0)</f>
        <v>0</v>
      </c>
      <c r="K4180" s="455">
        <f t="shared" ca="1" si="163"/>
        <v>-61835452845.277344</v>
      </c>
      <c r="L4180" s="455">
        <f t="shared" ca="1" si="164"/>
        <v>-14902344135711.838</v>
      </c>
      <c r="M4180" s="471">
        <f t="shared" si="166"/>
        <v>0.05</v>
      </c>
      <c r="N4180" s="475">
        <f t="shared" si="167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65"/>
        <v>-14902344135711.838</v>
      </c>
      <c r="J4181" s="455">
        <f t="array" ref="J4181">IFERROR(INDEX('Retirement Calculator'!K:K,MATCH('Lorri 401b'!N4181,'Retirement Calculator'!A:A,0),0),0)</f>
        <v>0</v>
      </c>
      <c r="K4181" s="455">
        <f t="shared" ca="1" si="163"/>
        <v>-62093100565.465988</v>
      </c>
      <c r="L4181" s="455">
        <f t="shared" ca="1" si="164"/>
        <v>-14964437236277.305</v>
      </c>
      <c r="M4181" s="471">
        <f t="shared" si="166"/>
        <v>0.05</v>
      </c>
      <c r="N4181" s="475">
        <f t="shared" si="167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65"/>
        <v>-14964437236277.305</v>
      </c>
      <c r="J4182" s="455">
        <f t="array" ref="J4182">IFERROR(INDEX('Retirement Calculator'!K:K,MATCH('Lorri 401b'!N4182,'Retirement Calculator'!A:A,0),0),0)</f>
        <v>0</v>
      </c>
      <c r="K4182" s="455">
        <f t="shared" ca="1" si="163"/>
        <v>-62351821817.822105</v>
      </c>
      <c r="L4182" s="455">
        <f t="shared" ca="1" si="164"/>
        <v>-15026789058095.127</v>
      </c>
      <c r="M4182" s="471">
        <f t="shared" si="166"/>
        <v>0.05</v>
      </c>
      <c r="N4182" s="475">
        <f t="shared" si="167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65"/>
        <v>-15026789058095.127</v>
      </c>
      <c r="J4183" s="455">
        <f t="array" ref="J4183">IFERROR(INDEX('Retirement Calculator'!K:K,MATCH('Lorri 401b'!N4183,'Retirement Calculator'!A:A,0),0),0)</f>
        <v>0</v>
      </c>
      <c r="K4183" s="455">
        <f t="shared" ca="1" si="163"/>
        <v>-62611621075.396355</v>
      </c>
      <c r="L4183" s="455">
        <f t="shared" ca="1" si="164"/>
        <v>-15089400679170.523</v>
      </c>
      <c r="M4183" s="471">
        <f t="shared" si="166"/>
        <v>0.05</v>
      </c>
      <c r="N4183" s="475">
        <f t="shared" si="167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65"/>
        <v>-15089400679170.523</v>
      </c>
      <c r="J4184" s="455">
        <f t="array" ref="J4184">IFERROR(INDEX('Retirement Calculator'!K:K,MATCH('Lorri 401b'!N4184,'Retirement Calculator'!A:A,0),0),0)</f>
        <v>0</v>
      </c>
      <c r="K4184" s="455">
        <f t="shared" ca="1" si="163"/>
        <v>-62872502829.87719</v>
      </c>
      <c r="L4184" s="455">
        <f t="shared" ca="1" si="164"/>
        <v>-15152273182000.4</v>
      </c>
      <c r="M4184" s="471">
        <f t="shared" si="166"/>
        <v>0.05</v>
      </c>
      <c r="N4184" s="475">
        <f t="shared" si="167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65"/>
        <v>-15152273182000.4</v>
      </c>
      <c r="J4185" s="455">
        <f t="array" ref="J4185">IFERROR(INDEX('Retirement Calculator'!K:K,MATCH('Lorri 401b'!N4185,'Retirement Calculator'!A:A,0),0),0)</f>
        <v>0</v>
      </c>
      <c r="K4185" s="455">
        <f t="shared" ca="1" si="163"/>
        <v>-63134471591.668335</v>
      </c>
      <c r="L4185" s="455">
        <f t="shared" ca="1" si="164"/>
        <v>-15215407653592.068</v>
      </c>
      <c r="M4185" s="471">
        <f t="shared" si="166"/>
        <v>0.05</v>
      </c>
      <c r="N4185" s="475">
        <f t="shared" si="167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65"/>
        <v>-15215407653592.068</v>
      </c>
      <c r="J4186" s="455">
        <f t="array" ref="J4186">IFERROR(INDEX('Retirement Calculator'!K:K,MATCH('Lorri 401b'!N4186,'Retirement Calculator'!A:A,0),0),0)</f>
        <v>0</v>
      </c>
      <c r="K4186" s="455">
        <f t="shared" ca="1" si="163"/>
        <v>-63397531889.966957</v>
      </c>
      <c r="L4186" s="455">
        <f t="shared" ca="1" si="164"/>
        <v>-15278805185482.035</v>
      </c>
      <c r="M4186" s="471">
        <f t="shared" si="166"/>
        <v>0.05</v>
      </c>
      <c r="N4186" s="475">
        <f t="shared" si="167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65"/>
        <v>-15278805185482.035</v>
      </c>
      <c r="J4187" s="455">
        <f t="array" ref="J4187">IFERROR(INDEX('Retirement Calculator'!K:K,MATCH('Lorri 401b'!N4187,'Retirement Calculator'!A:A,0),0),0)</f>
        <v>0</v>
      </c>
      <c r="K4187" s="455">
        <f t="shared" ca="1" si="163"/>
        <v>-63661688272.841805</v>
      </c>
      <c r="L4187" s="455">
        <f t="shared" ca="1" si="164"/>
        <v>-15342466873754.877</v>
      </c>
      <c r="M4187" s="471">
        <f t="shared" si="166"/>
        <v>0.05</v>
      </c>
      <c r="N4187" s="475">
        <f t="shared" si="167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65"/>
        <v>-15342466873754.877</v>
      </c>
      <c r="J4188" s="455">
        <f t="array" ref="J4188">IFERROR(INDEX('Retirement Calculator'!K:K,MATCH('Lorri 401b'!N4188,'Retirement Calculator'!A:A,0),0),0)</f>
        <v>0</v>
      </c>
      <c r="K4188" s="455">
        <f t="shared" ca="1" si="163"/>
        <v>-63926945307.311981</v>
      </c>
      <c r="L4188" s="455">
        <f t="shared" ca="1" si="164"/>
        <v>-15406393819062.189</v>
      </c>
      <c r="M4188" s="471">
        <f t="shared" si="166"/>
        <v>0.05</v>
      </c>
      <c r="N4188" s="475">
        <f t="shared" si="167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65"/>
        <v>-15406393819062.189</v>
      </c>
      <c r="J4189" s="455">
        <f t="array" ref="J4189">IFERROR(INDEX('Retirement Calculator'!K:K,MATCH('Lorri 401b'!N4189,'Retirement Calculator'!A:A,0),0),0)</f>
        <v>0</v>
      </c>
      <c r="K4189" s="455">
        <f t="shared" ca="1" si="163"/>
        <v>-64193307579.425789</v>
      </c>
      <c r="L4189" s="455">
        <f t="shared" ca="1" si="164"/>
        <v>-15470587126641.615</v>
      </c>
      <c r="M4189" s="471">
        <f t="shared" si="166"/>
        <v>0.05</v>
      </c>
      <c r="N4189" s="475">
        <f t="shared" si="167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65"/>
        <v>-15470587126641.615</v>
      </c>
      <c r="J4190" s="455">
        <f t="array" ref="J4190">IFERROR(INDEX('Retirement Calculator'!K:K,MATCH('Lorri 401b'!N4190,'Retirement Calculator'!A:A,0),0),0)</f>
        <v>0</v>
      </c>
      <c r="K4190" s="455">
        <f t="shared" ca="1" si="163"/>
        <v>-64460779694.340065</v>
      </c>
      <c r="L4190" s="455">
        <f t="shared" ca="1" si="164"/>
        <v>-15535047906335.955</v>
      </c>
      <c r="M4190" s="471">
        <f t="shared" si="166"/>
        <v>0.05</v>
      </c>
      <c r="N4190" s="475">
        <f t="shared" si="167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65"/>
        <v>-15535047906335.955</v>
      </c>
      <c r="J4191" s="455">
        <f t="array" ref="J4191">IFERROR(INDEX('Retirement Calculator'!K:K,MATCH('Lorri 401b'!N4191,'Retirement Calculator'!A:A,0),0),0)</f>
        <v>0</v>
      </c>
      <c r="K4191" s="455">
        <f t="shared" ca="1" si="163"/>
        <v>-64729366276.399818</v>
      </c>
      <c r="L4191" s="455">
        <f t="shared" ca="1" si="164"/>
        <v>-15599777272612.355</v>
      </c>
      <c r="M4191" s="471">
        <f t="shared" si="166"/>
        <v>0.05</v>
      </c>
      <c r="N4191" s="475">
        <f t="shared" si="167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65"/>
        <v>-15599777272612.355</v>
      </c>
      <c r="J4192" s="455">
        <f t="array" ref="J4192">IFERROR(INDEX('Retirement Calculator'!K:K,MATCH('Lorri 401b'!N4192,'Retirement Calculator'!A:A,0),0),0)</f>
        <v>0</v>
      </c>
      <c r="K4192" s="455">
        <f t="shared" ca="1" si="163"/>
        <v>-64999071969.218147</v>
      </c>
      <c r="L4192" s="455">
        <f t="shared" ca="1" si="164"/>
        <v>-15664776344581.574</v>
      </c>
      <c r="M4192" s="471">
        <f t="shared" si="166"/>
        <v>0.05</v>
      </c>
      <c r="N4192" s="475">
        <f t="shared" si="167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65"/>
        <v>-15664776344581.574</v>
      </c>
      <c r="J4193" s="455">
        <f t="array" ref="J4193">IFERROR(INDEX('Retirement Calculator'!K:K,MATCH('Lorri 401b'!N4193,'Retirement Calculator'!A:A,0),0),0)</f>
        <v>0</v>
      </c>
      <c r="K4193" s="455">
        <f t="shared" ca="1" si="163"/>
        <v>-65269901435.756561</v>
      </c>
      <c r="L4193" s="455">
        <f t="shared" ca="1" si="164"/>
        <v>-15730046246017.33</v>
      </c>
      <c r="M4193" s="471">
        <f t="shared" si="166"/>
        <v>0.05</v>
      </c>
      <c r="N4193" s="475">
        <f t="shared" si="167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65"/>
        <v>-15730046246017.33</v>
      </c>
      <c r="J4194" s="455">
        <f t="array" ref="J4194">IFERROR(INDEX('Retirement Calculator'!K:K,MATCH('Lorri 401b'!N4194,'Retirement Calculator'!A:A,0),0),0)</f>
        <v>0</v>
      </c>
      <c r="K4194" s="455">
        <f t="shared" ca="1" si="163"/>
        <v>-65541859358.405533</v>
      </c>
      <c r="L4194" s="455">
        <f t="shared" ca="1" si="164"/>
        <v>-15795588105375.736</v>
      </c>
      <c r="M4194" s="471">
        <f t="shared" si="166"/>
        <v>0.05</v>
      </c>
      <c r="N4194" s="475">
        <f t="shared" si="167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65"/>
        <v>-15795588105375.736</v>
      </c>
      <c r="J4195" s="455">
        <f t="array" ref="J4195">IFERROR(INDEX('Retirement Calculator'!K:K,MATCH('Lorri 401b'!N4195,'Retirement Calculator'!A:A,0),0),0)</f>
        <v>0</v>
      </c>
      <c r="K4195" s="455">
        <f t="shared" ca="1" si="163"/>
        <v>-65814950439.065559</v>
      </c>
      <c r="L4195" s="455">
        <f t="shared" ca="1" si="164"/>
        <v>-15861403055814.803</v>
      </c>
      <c r="M4195" s="471">
        <f t="shared" si="166"/>
        <v>0.05</v>
      </c>
      <c r="N4195" s="475">
        <f t="shared" si="167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65"/>
        <v>-15861403055814.803</v>
      </c>
      <c r="J4196" s="455">
        <f t="array" ref="J4196">IFERROR(INDEX('Retirement Calculator'!K:K,MATCH('Lorri 401b'!N4196,'Retirement Calculator'!A:A,0),0),0)</f>
        <v>0</v>
      </c>
      <c r="K4196" s="455">
        <f t="shared" ca="1" si="163"/>
        <v>-66089179399.22834</v>
      </c>
      <c r="L4196" s="455">
        <f t="shared" ca="1" si="164"/>
        <v>-15927492235214.031</v>
      </c>
      <c r="M4196" s="471">
        <f t="shared" si="166"/>
        <v>0.05</v>
      </c>
      <c r="N4196" s="475">
        <f t="shared" si="167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65"/>
        <v>-15927492235214.031</v>
      </c>
      <c r="J4197" s="455">
        <f t="array" ref="J4197">IFERROR(INDEX('Retirement Calculator'!K:K,MATCH('Lorri 401b'!N4197,'Retirement Calculator'!A:A,0),0),0)</f>
        <v>0</v>
      </c>
      <c r="K4197" s="455">
        <f t="shared" ca="1" si="163"/>
        <v>-66364550980.058464</v>
      </c>
      <c r="L4197" s="455">
        <f t="shared" ca="1" si="164"/>
        <v>-15993856786194.09</v>
      </c>
      <c r="M4197" s="471">
        <f t="shared" si="166"/>
        <v>0.05</v>
      </c>
      <c r="N4197" s="475">
        <f t="shared" si="167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65"/>
        <v>-15993856786194.09</v>
      </c>
      <c r="J4198" s="455">
        <f t="array" ref="J4198">IFERROR(INDEX('Retirement Calculator'!K:K,MATCH('Lorri 401b'!N4198,'Retirement Calculator'!A:A,0),0),0)</f>
        <v>0</v>
      </c>
      <c r="K4198" s="455">
        <f t="shared" ca="1" si="163"/>
        <v>-66641069942.475372</v>
      </c>
      <c r="L4198" s="455">
        <f t="shared" ca="1" si="164"/>
        <v>-16060497856136.564</v>
      </c>
      <c r="M4198" s="471">
        <f t="shared" si="166"/>
        <v>0.05</v>
      </c>
      <c r="N4198" s="475">
        <f t="shared" si="167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65"/>
        <v>-16060497856136.564</v>
      </c>
      <c r="J4199" s="455">
        <f t="array" ref="J4199">IFERROR(INDEX('Retirement Calculator'!K:K,MATCH('Lorri 401b'!N4199,'Retirement Calculator'!A:A,0),0),0)</f>
        <v>0</v>
      </c>
      <c r="K4199" s="455">
        <f t="shared" ca="1" si="163"/>
        <v>-66918741067.235687</v>
      </c>
      <c r="L4199" s="455">
        <f t="shared" ca="1" si="164"/>
        <v>-16127416597203.801</v>
      </c>
      <c r="M4199" s="471">
        <f t="shared" si="166"/>
        <v>0.05</v>
      </c>
      <c r="N4199" s="475">
        <f t="shared" si="167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65"/>
        <v>-16127416597203.801</v>
      </c>
      <c r="J4200" s="455">
        <f t="array" ref="J4200">IFERROR(INDEX('Retirement Calculator'!K:K,MATCH('Lorri 401b'!N4200,'Retirement Calculator'!A:A,0),0),0)</f>
        <v>0</v>
      </c>
      <c r="K4200" s="455">
        <f t="shared" ca="1" si="163"/>
        <v>-67197569155.015839</v>
      </c>
      <c r="L4200" s="455">
        <f t="shared" ca="1" si="164"/>
        <v>-16194614166358.816</v>
      </c>
      <c r="M4200" s="471">
        <f t="shared" si="166"/>
        <v>0.05</v>
      </c>
      <c r="N4200" s="475">
        <f t="shared" si="167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65"/>
        <v>-16194614166358.816</v>
      </c>
      <c r="J4201" s="455">
        <f t="array" ref="J4201">IFERROR(INDEX('Retirement Calculator'!K:K,MATCH('Lorri 401b'!N4201,'Retirement Calculator'!A:A,0),0),0)</f>
        <v>0</v>
      </c>
      <c r="K4201" s="455">
        <f t="shared" ca="1" si="163"/>
        <v>-67477559026.495056</v>
      </c>
      <c r="L4201" s="455">
        <f t="shared" ca="1" si="164"/>
        <v>-16262091725385.311</v>
      </c>
      <c r="M4201" s="471">
        <f t="shared" si="166"/>
        <v>0.05</v>
      </c>
      <c r="N4201" s="475">
        <f t="shared" si="167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65"/>
        <v>-16262091725385.311</v>
      </c>
      <c r="J4202" s="455">
        <f t="array" ref="J4202">IFERROR(INDEX('Retirement Calculator'!K:K,MATCH('Lorri 401b'!N4202,'Retirement Calculator'!A:A,0),0),0)</f>
        <v>0</v>
      </c>
      <c r="K4202" s="455">
        <f t="shared" ca="1" si="163"/>
        <v>-67758715522.438789</v>
      </c>
      <c r="L4202" s="455">
        <f t="shared" ca="1" si="164"/>
        <v>-16329850440907.75</v>
      </c>
      <c r="M4202" s="471">
        <f t="shared" si="166"/>
        <v>0.05</v>
      </c>
      <c r="N4202" s="475">
        <f t="shared" si="167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65"/>
        <v>-16329850440907.75</v>
      </c>
      <c r="J4203" s="455">
        <f t="array" ref="J4203">IFERROR(INDEX('Retirement Calculator'!K:K,MATCH('Lorri 401b'!N4203,'Retirement Calculator'!A:A,0),0),0)</f>
        <v>0</v>
      </c>
      <c r="K4203" s="455">
        <f t="shared" ca="1" si="163"/>
        <v>-68041043503.782288</v>
      </c>
      <c r="L4203" s="455">
        <f t="shared" ca="1" si="164"/>
        <v>-16397891484411.533</v>
      </c>
      <c r="M4203" s="471">
        <f t="shared" si="166"/>
        <v>0.05</v>
      </c>
      <c r="N4203" s="475">
        <f t="shared" si="167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65"/>
        <v>-16397891484411.533</v>
      </c>
      <c r="J4204" s="455">
        <f t="array" ref="J4204">IFERROR(INDEX('Retirement Calculator'!K:K,MATCH('Lorri 401b'!N4204,'Retirement Calculator'!A:A,0),0),0)</f>
        <v>0</v>
      </c>
      <c r="K4204" s="455">
        <f t="shared" ca="1" si="163"/>
        <v>-68324547851.714722</v>
      </c>
      <c r="L4204" s="455">
        <f t="shared" ca="1" si="164"/>
        <v>-16466216032263.248</v>
      </c>
      <c r="M4204" s="471">
        <f t="shared" si="166"/>
        <v>0.05</v>
      </c>
      <c r="N4204" s="475">
        <f t="shared" si="167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65"/>
        <v>-16466216032263.248</v>
      </c>
      <c r="J4205" s="455">
        <f t="array" ref="J4205">IFERROR(INDEX('Retirement Calculator'!K:K,MATCH('Lorri 401b'!N4205,'Retirement Calculator'!A:A,0),0),0)</f>
        <v>0</v>
      </c>
      <c r="K4205" s="455">
        <f t="shared" ca="1" si="163"/>
        <v>-68609233467.763535</v>
      </c>
      <c r="L4205" s="455">
        <f t="shared" ca="1" si="164"/>
        <v>-16534825265731.012</v>
      </c>
      <c r="M4205" s="471">
        <f t="shared" si="166"/>
        <v>0.05</v>
      </c>
      <c r="N4205" s="475">
        <f t="shared" si="167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65"/>
        <v>-16534825265731.012</v>
      </c>
      <c r="J4206" s="455">
        <f t="array" ref="J4206">IFERROR(INDEX('Retirement Calculator'!K:K,MATCH('Lorri 401b'!N4206,'Retirement Calculator'!A:A,0),0),0)</f>
        <v>0</v>
      </c>
      <c r="K4206" s="455">
        <f t="shared" ca="1" si="163"/>
        <v>-68895105273.879211</v>
      </c>
      <c r="L4206" s="455">
        <f t="shared" ca="1" si="164"/>
        <v>-16603720371004.891</v>
      </c>
      <c r="M4206" s="471">
        <f t="shared" si="166"/>
        <v>0.05</v>
      </c>
      <c r="N4206" s="475">
        <f t="shared" si="167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65"/>
        <v>-16603720371004.891</v>
      </c>
      <c r="J4207" s="455">
        <f t="array" ref="J4207">IFERROR(INDEX('Retirement Calculator'!K:K,MATCH('Lorri 401b'!N4207,'Retirement Calculator'!A:A,0),0),0)</f>
        <v>0</v>
      </c>
      <c r="K4207" s="455">
        <f t="shared" ca="1" si="163"/>
        <v>-69182168212.52037</v>
      </c>
      <c r="L4207" s="455">
        <f t="shared" ca="1" si="164"/>
        <v>-16672902539217.41</v>
      </c>
      <c r="M4207" s="471">
        <f t="shared" si="166"/>
        <v>0.05</v>
      </c>
      <c r="N4207" s="475">
        <f t="shared" si="167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65"/>
        <v>-16672902539217.41</v>
      </c>
      <c r="J4208" s="455">
        <f t="array" ref="J4208">IFERROR(INDEX('Retirement Calculator'!K:K,MATCH('Lorri 401b'!N4208,'Retirement Calculator'!A:A,0),0),0)</f>
        <v>0</v>
      </c>
      <c r="K4208" s="455">
        <f t="shared" ca="1" si="163"/>
        <v>-69470427246.739212</v>
      </c>
      <c r="L4208" s="455">
        <f t="shared" ca="1" si="164"/>
        <v>-16742372966464.148</v>
      </c>
      <c r="M4208" s="471">
        <f t="shared" si="166"/>
        <v>0.05</v>
      </c>
      <c r="N4208" s="475">
        <f t="shared" si="167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65"/>
        <v>-16742372966464.148</v>
      </c>
      <c r="J4209" s="455">
        <f t="array" ref="J4209">IFERROR(INDEX('Retirement Calculator'!K:K,MATCH('Lorri 401b'!N4209,'Retirement Calculator'!A:A,0),0),0)</f>
        <v>0</v>
      </c>
      <c r="K4209" s="455">
        <f t="shared" ca="1" si="163"/>
        <v>-69759887360.267288</v>
      </c>
      <c r="L4209" s="455">
        <f t="shared" ca="1" si="164"/>
        <v>-16812132853824.416</v>
      </c>
      <c r="M4209" s="471">
        <f t="shared" si="166"/>
        <v>0.05</v>
      </c>
      <c r="N4209" s="475">
        <f t="shared" si="167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65"/>
        <v>-16812132853824.416</v>
      </c>
      <c r="J4210" s="455">
        <f t="array" ref="J4210">IFERROR(INDEX('Retirement Calculator'!K:K,MATCH('Lorri 401b'!N4210,'Retirement Calculator'!A:A,0),0),0)</f>
        <v>0</v>
      </c>
      <c r="K4210" s="455">
        <f t="shared" ca="1" si="163"/>
        <v>-70050553557.60173</v>
      </c>
      <c r="L4210" s="455">
        <f t="shared" ca="1" si="164"/>
        <v>-16882183407382.018</v>
      </c>
      <c r="M4210" s="471">
        <f t="shared" si="166"/>
        <v>0.05</v>
      </c>
      <c r="N4210" s="475">
        <f t="shared" si="167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65"/>
        <v>-16882183407382.018</v>
      </c>
      <c r="J4211" s="455">
        <f t="array" ref="J4211">IFERROR(INDEX('Retirement Calculator'!K:K,MATCH('Lorri 401b'!N4211,'Retirement Calculator'!A:A,0),0),0)</f>
        <v>0</v>
      </c>
      <c r="K4211" s="455">
        <f t="shared" ca="1" si="163"/>
        <v>-70342430864.091736</v>
      </c>
      <c r="L4211" s="455">
        <f t="shared" ca="1" si="164"/>
        <v>-16952525838246.109</v>
      </c>
      <c r="M4211" s="471">
        <f t="shared" si="166"/>
        <v>0.05</v>
      </c>
      <c r="N4211" s="475">
        <f t="shared" si="167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65"/>
        <v>-16952525838246.109</v>
      </c>
      <c r="J4212" s="455">
        <f t="array" ref="J4212">IFERROR(INDEX('Retirement Calculator'!K:K,MATCH('Lorri 401b'!N4212,'Retirement Calculator'!A:A,0),0),0)</f>
        <v>0</v>
      </c>
      <c r="K4212" s="455">
        <f t="shared" ca="1" si="163"/>
        <v>-70635524326.025467</v>
      </c>
      <c r="L4212" s="455">
        <f t="shared" ca="1" si="164"/>
        <v>-17023161362572.135</v>
      </c>
      <c r="M4212" s="471">
        <f t="shared" si="166"/>
        <v>0.05</v>
      </c>
      <c r="N4212" s="475">
        <f t="shared" si="167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65"/>
        <v>-17023161362572.135</v>
      </c>
      <c r="J4213" s="455">
        <f t="array" ref="J4213">IFERROR(INDEX('Retirement Calculator'!K:K,MATCH('Lorri 401b'!N4213,'Retirement Calculator'!A:A,0),0),0)</f>
        <v>0</v>
      </c>
      <c r="K4213" s="455">
        <f t="shared" ca="1" si="163"/>
        <v>-70929839010.717224</v>
      </c>
      <c r="L4213" s="455">
        <f t="shared" ca="1" si="164"/>
        <v>-17094091201582.852</v>
      </c>
      <c r="M4213" s="471">
        <f t="shared" si="166"/>
        <v>0.05</v>
      </c>
      <c r="N4213" s="475">
        <f t="shared" si="167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65"/>
        <v>-17094091201582.852</v>
      </c>
      <c r="J4214" s="455">
        <f t="array" ref="J4214">IFERROR(INDEX('Retirement Calculator'!K:K,MATCH('Lorri 401b'!N4214,'Retirement Calculator'!A:A,0),0),0)</f>
        <v>0</v>
      </c>
      <c r="K4214" s="455">
        <f t="shared" ca="1" si="163"/>
        <v>-71225380006.595215</v>
      </c>
      <c r="L4214" s="455">
        <f t="shared" ca="1" si="164"/>
        <v>-17165316581589.447</v>
      </c>
      <c r="M4214" s="471">
        <f t="shared" si="166"/>
        <v>0.05</v>
      </c>
      <c r="N4214" s="475">
        <f t="shared" si="167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65"/>
        <v>-17165316581589.447</v>
      </c>
      <c r="J4215" s="455">
        <f t="array" ref="J4215">IFERROR(INDEX('Retirement Calculator'!K:K,MATCH('Lorri 401b'!N4215,'Retirement Calculator'!A:A,0),0),0)</f>
        <v>0</v>
      </c>
      <c r="K4215" s="455">
        <f t="shared" ca="1" si="163"/>
        <v>-71522152423.289368</v>
      </c>
      <c r="L4215" s="455">
        <f t="shared" ca="1" si="164"/>
        <v>-17236838734012.736</v>
      </c>
      <c r="M4215" s="471">
        <f t="shared" si="166"/>
        <v>0.05</v>
      </c>
      <c r="N4215" s="475">
        <f t="shared" si="167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65"/>
        <v>-17236838734012.736</v>
      </c>
      <c r="J4216" s="455">
        <f t="array" ref="J4216">IFERROR(INDEX('Retirement Calculator'!K:K,MATCH('Lorri 401b'!N4216,'Retirement Calculator'!A:A,0),0),0)</f>
        <v>0</v>
      </c>
      <c r="K4216" s="455">
        <f t="shared" ca="1" si="163"/>
        <v>-71820161391.719727</v>
      </c>
      <c r="L4216" s="455">
        <f t="shared" ca="1" si="164"/>
        <v>-17308658895404.457</v>
      </c>
      <c r="M4216" s="471">
        <f t="shared" si="166"/>
        <v>0.05</v>
      </c>
      <c r="N4216" s="475">
        <f t="shared" si="167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65"/>
        <v>-17308658895404.457</v>
      </c>
      <c r="J4217" s="455">
        <f t="array" ref="J4217">IFERROR(INDEX('Retirement Calculator'!K:K,MATCH('Lorri 401b'!N4217,'Retirement Calculator'!A:A,0),0),0)</f>
        <v>0</v>
      </c>
      <c r="K4217" s="455">
        <f t="shared" ca="1" si="163"/>
        <v>-72119412064.185242</v>
      </c>
      <c r="L4217" s="455">
        <f t="shared" ca="1" si="164"/>
        <v>-17380778307468.643</v>
      </c>
      <c r="M4217" s="471">
        <f t="shared" si="166"/>
        <v>0.05</v>
      </c>
      <c r="N4217" s="475">
        <f t="shared" si="167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65"/>
        <v>-17380778307468.643</v>
      </c>
      <c r="J4218" s="455">
        <f t="array" ref="J4218">IFERROR(INDEX('Retirement Calculator'!K:K,MATCH('Lorri 401b'!N4218,'Retirement Calculator'!A:A,0),0),0)</f>
        <v>0</v>
      </c>
      <c r="K4218" s="455">
        <f t="shared" ca="1" si="163"/>
        <v>-72419909614.452667</v>
      </c>
      <c r="L4218" s="455">
        <f t="shared" ca="1" si="164"/>
        <v>-17453198217083.096</v>
      </c>
      <c r="M4218" s="471">
        <f t="shared" si="166"/>
        <v>0.05</v>
      </c>
      <c r="N4218" s="475">
        <f t="shared" si="167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65"/>
        <v>-17453198217083.096</v>
      </c>
      <c r="J4219" s="455">
        <f t="array" ref="J4219">IFERROR(INDEX('Retirement Calculator'!K:K,MATCH('Lorri 401b'!N4219,'Retirement Calculator'!A:A,0),0),0)</f>
        <v>0</v>
      </c>
      <c r="K4219" s="455">
        <f t="shared" ca="1" si="163"/>
        <v>-72721659237.846237</v>
      </c>
      <c r="L4219" s="455">
        <f t="shared" ca="1" si="164"/>
        <v>-17525919876320.941</v>
      </c>
      <c r="M4219" s="471">
        <f t="shared" si="166"/>
        <v>0.05</v>
      </c>
      <c r="N4219" s="475">
        <f t="shared" si="167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65"/>
        <v>-17525919876320.941</v>
      </c>
      <c r="J4220" s="455">
        <f t="array" ref="J4220">IFERROR(INDEX('Retirement Calculator'!K:K,MATCH('Lorri 401b'!N4220,'Retirement Calculator'!A:A,0),0),0)</f>
        <v>0</v>
      </c>
      <c r="K4220" s="455">
        <f t="shared" ca="1" si="163"/>
        <v>-73024666151.337265</v>
      </c>
      <c r="L4220" s="455">
        <f t="shared" ca="1" si="164"/>
        <v>-17598944542472.277</v>
      </c>
      <c r="M4220" s="471">
        <f t="shared" si="166"/>
        <v>0.05</v>
      </c>
      <c r="N4220" s="475">
        <f t="shared" si="167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65"/>
        <v>-17598944542472.277</v>
      </c>
      <c r="J4221" s="455">
        <f t="array" ref="J4221">IFERROR(INDEX('Retirement Calculator'!K:K,MATCH('Lorri 401b'!N4221,'Retirement Calculator'!A:A,0),0),0)</f>
        <v>0</v>
      </c>
      <c r="K4221" s="455">
        <f t="shared" ca="1" si="163"/>
        <v>-73328935593.634491</v>
      </c>
      <c r="L4221" s="455">
        <f t="shared" ca="1" si="164"/>
        <v>-17672273478065.91</v>
      </c>
      <c r="M4221" s="471">
        <f t="shared" si="166"/>
        <v>0.05</v>
      </c>
      <c r="N4221" s="475">
        <f t="shared" si="167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65"/>
        <v>-17672273478065.91</v>
      </c>
      <c r="J4222" s="455">
        <f t="array" ref="J4222">IFERROR(INDEX('Retirement Calculator'!K:K,MATCH('Lorri 401b'!N4222,'Retirement Calculator'!A:A,0),0),0)</f>
        <v>0</v>
      </c>
      <c r="K4222" s="455">
        <f t="shared" ca="1" si="163"/>
        <v>-73634472825.274628</v>
      </c>
      <c r="L4222" s="455">
        <f t="shared" ca="1" si="164"/>
        <v>-17745907950891.184</v>
      </c>
      <c r="M4222" s="471">
        <f t="shared" si="166"/>
        <v>0.05</v>
      </c>
      <c r="N4222" s="475">
        <f t="shared" si="167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65"/>
        <v>-17745907950891.184</v>
      </c>
      <c r="J4223" s="455">
        <f t="array" ref="J4223">IFERROR(INDEX('Retirement Calculator'!K:K,MATCH('Lorri 401b'!N4223,'Retirement Calculator'!A:A,0),0),0)</f>
        <v>0</v>
      </c>
      <c r="K4223" s="455">
        <f t="shared" ca="1" si="163"/>
        <v>-73941283128.713257</v>
      </c>
      <c r="L4223" s="455">
        <f t="shared" ca="1" si="164"/>
        <v>-17819849234019.898</v>
      </c>
      <c r="M4223" s="471">
        <f t="shared" si="166"/>
        <v>0.05</v>
      </c>
      <c r="N4223" s="475">
        <f t="shared" si="167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65"/>
        <v>-17819849234019.898</v>
      </c>
      <c r="J4224" s="455">
        <f t="array" ref="J4224">IFERROR(INDEX('Retirement Calculator'!K:K,MATCH('Lorri 401b'!N4224,'Retirement Calculator'!A:A,0),0),0)</f>
        <v>0</v>
      </c>
      <c r="K4224" s="455">
        <f t="shared" ca="1" si="163"/>
        <v>-74249371808.416245</v>
      </c>
      <c r="L4224" s="455">
        <f t="shared" ca="1" si="164"/>
        <v>-17894098605828.316</v>
      </c>
      <c r="M4224" s="471">
        <f t="shared" si="166"/>
        <v>0.05</v>
      </c>
      <c r="N4224" s="475">
        <f t="shared" si="167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65"/>
        <v>-17894098605828.316</v>
      </c>
      <c r="J4225" s="455">
        <f t="array" ref="J4225">IFERROR(INDEX('Retirement Calculator'!K:K,MATCH('Lorri 401b'!N4225,'Retirement Calculator'!A:A,0),0),0)</f>
        <v>0</v>
      </c>
      <c r="K4225" s="455">
        <f t="shared" ca="1" si="163"/>
        <v>-74558744190.951324</v>
      </c>
      <c r="L4225" s="455">
        <f t="shared" ca="1" si="164"/>
        <v>-17968657350019.27</v>
      </c>
      <c r="M4225" s="471">
        <f t="shared" si="166"/>
        <v>0.05</v>
      </c>
      <c r="N4225" s="475">
        <f t="shared" si="167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65"/>
        <v>-17968657350019.27</v>
      </c>
      <c r="J4226" s="455">
        <f t="array" ref="J4226">IFERROR(INDEX('Retirement Calculator'!K:K,MATCH('Lorri 401b'!N4226,'Retirement Calculator'!A:A,0),0),0)</f>
        <v>0</v>
      </c>
      <c r="K4226" s="455">
        <f t="shared" ca="1" si="163"/>
        <v>-74869405625.080292</v>
      </c>
      <c r="L4226" s="455">
        <f t="shared" ca="1" si="164"/>
        <v>-18043526755644.352</v>
      </c>
      <c r="M4226" s="471">
        <f t="shared" si="166"/>
        <v>0.05</v>
      </c>
      <c r="N4226" s="475">
        <f t="shared" si="167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65"/>
        <v>-18043526755644.352</v>
      </c>
      <c r="J4227" s="455">
        <f t="array" ref="J4227">IFERROR(INDEX('Retirement Calculator'!K:K,MATCH('Lorri 401b'!N4227,'Retirement Calculator'!A:A,0),0),0)</f>
        <v>0</v>
      </c>
      <c r="K4227" s="455">
        <f t="shared" ca="1" si="163"/>
        <v>-75181361481.851471</v>
      </c>
      <c r="L4227" s="455">
        <f t="shared" ca="1" si="164"/>
        <v>-18118708117126.203</v>
      </c>
      <c r="M4227" s="471">
        <f t="shared" si="166"/>
        <v>0.05</v>
      </c>
      <c r="N4227" s="475">
        <f t="shared" si="167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65"/>
        <v>-18118708117126.203</v>
      </c>
      <c r="J4228" s="455">
        <f t="array" ref="J4228">IFERROR(INDEX('Retirement Calculator'!K:K,MATCH('Lorri 401b'!N4228,'Retirement Calculator'!A:A,0),0),0)</f>
        <v>0</v>
      </c>
      <c r="K4228" s="455">
        <f t="shared" ca="1" si="163"/>
        <v>-75494617154.692505</v>
      </c>
      <c r="L4228" s="455">
        <f t="shared" ca="1" si="164"/>
        <v>-18194202734280.895</v>
      </c>
      <c r="M4228" s="471">
        <f t="shared" si="166"/>
        <v>0.05</v>
      </c>
      <c r="N4228" s="475">
        <f t="shared" si="167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65"/>
        <v>-18194202734280.895</v>
      </c>
      <c r="J4229" s="455">
        <f t="array" ref="J4229">IFERROR(INDEX('Retirement Calculator'!K:K,MATCH('Lorri 401b'!N4229,'Retirement Calculator'!A:A,0),0),0)</f>
        <v>0</v>
      </c>
      <c r="K4229" s="455">
        <f t="shared" ca="1" si="163"/>
        <v>-75809178059.503723</v>
      </c>
      <c r="L4229" s="455">
        <f t="shared" ca="1" si="164"/>
        <v>-18270011912340.398</v>
      </c>
      <c r="M4229" s="471">
        <f t="shared" si="166"/>
        <v>0.05</v>
      </c>
      <c r="N4229" s="475">
        <f t="shared" si="167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65"/>
        <v>-18270011912340.398</v>
      </c>
      <c r="J4230" s="455">
        <f t="array" ref="J4230">IFERROR(INDEX('Retirement Calculator'!K:K,MATCH('Lorri 401b'!N4230,'Retirement Calculator'!A:A,0),0),0)</f>
        <v>0</v>
      </c>
      <c r="K4230" s="455">
        <f t="shared" ca="1" si="163"/>
        <v>-76125049634.751663</v>
      </c>
      <c r="L4230" s="455">
        <f t="shared" ca="1" si="164"/>
        <v>-18346136961975.148</v>
      </c>
      <c r="M4230" s="471">
        <f t="shared" si="166"/>
        <v>0.05</v>
      </c>
      <c r="N4230" s="475">
        <f t="shared" si="167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65"/>
        <v>-18346136961975.148</v>
      </c>
      <c r="J4231" s="455">
        <f t="array" ref="J4231">IFERROR(INDEX('Retirement Calculator'!K:K,MATCH('Lorri 401b'!N4231,'Retirement Calculator'!A:A,0),0),0)</f>
        <v>0</v>
      </c>
      <c r="K4231" s="455">
        <f t="shared" ca="1" si="163"/>
        <v>-76442237341.56311</v>
      </c>
      <c r="L4231" s="455">
        <f t="shared" ca="1" si="164"/>
        <v>-18422579199316.711</v>
      </c>
      <c r="M4231" s="471">
        <f t="shared" si="166"/>
        <v>0.05</v>
      </c>
      <c r="N4231" s="475">
        <f t="shared" si="167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65"/>
        <v>-18422579199316.711</v>
      </c>
      <c r="J4232" s="455">
        <f t="array" ref="J4232">IFERROR(INDEX('Retirement Calculator'!K:K,MATCH('Lorri 401b'!N4232,'Retirement Calculator'!A:A,0),0),0)</f>
        <v>0</v>
      </c>
      <c r="K4232" s="455">
        <f t="shared" ca="1" si="163"/>
        <v>-76760746663.819626</v>
      </c>
      <c r="L4232" s="455">
        <f t="shared" ca="1" si="164"/>
        <v>-18499339945980.531</v>
      </c>
      <c r="M4232" s="471">
        <f t="shared" si="166"/>
        <v>0.05</v>
      </c>
      <c r="N4232" s="475">
        <f t="shared" si="167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65"/>
        <v>-18499339945980.531</v>
      </c>
      <c r="J4233" s="455">
        <f t="array" ref="J4233">IFERROR(INDEX('Retirement Calculator'!K:K,MATCH('Lorri 401b'!N4233,'Retirement Calculator'!A:A,0),0),0)</f>
        <v>0</v>
      </c>
      <c r="K4233" s="455">
        <f t="shared" ca="1" si="163"/>
        <v>-77080583108.252213</v>
      </c>
      <c r="L4233" s="455">
        <f t="shared" ca="1" si="164"/>
        <v>-18576420529088.785</v>
      </c>
      <c r="M4233" s="471">
        <f t="shared" si="166"/>
        <v>0.05</v>
      </c>
      <c r="N4233" s="475">
        <f t="shared" si="167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65"/>
        <v>-18576420529088.785</v>
      </c>
      <c r="J4234" s="455">
        <f t="array" ref="J4234">IFERROR(INDEX('Retirement Calculator'!K:K,MATCH('Lorri 401b'!N4234,'Retirement Calculator'!A:A,0),0),0)</f>
        <v>0</v>
      </c>
      <c r="K4234" s="455">
        <f t="shared" ca="1" si="163"/>
        <v>-77401752204.536606</v>
      </c>
      <c r="L4234" s="455">
        <f t="shared" ca="1" si="164"/>
        <v>-18653822281293.32</v>
      </c>
      <c r="M4234" s="471">
        <f t="shared" si="166"/>
        <v>0.05</v>
      </c>
      <c r="N4234" s="475">
        <f t="shared" si="167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65"/>
        <v>-18653822281293.32</v>
      </c>
      <c r="J4235" s="455">
        <f t="array" ref="J4235">IFERROR(INDEX('Retirement Calculator'!K:K,MATCH('Lorri 401b'!N4235,'Retirement Calculator'!A:A,0),0),0)</f>
        <v>0</v>
      </c>
      <c r="K4235" s="455">
        <f t="shared" ca="1" si="163"/>
        <v>-77724259505.38884</v>
      </c>
      <c r="L4235" s="455">
        <f t="shared" ca="1" si="164"/>
        <v>-18731546540798.711</v>
      </c>
      <c r="M4235" s="471">
        <f t="shared" si="166"/>
        <v>0.05</v>
      </c>
      <c r="N4235" s="475">
        <f t="shared" si="167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65"/>
        <v>-18731546540798.711</v>
      </c>
      <c r="J4236" s="455">
        <f t="array" ref="J4236">IFERROR(INDEX('Retirement Calculator'!K:K,MATCH('Lorri 401b'!N4236,'Retirement Calculator'!A:A,0),0),0)</f>
        <v>0</v>
      </c>
      <c r="K4236" s="455">
        <f t="shared" ca="1" si="163"/>
        <v>-78048110586.661301</v>
      </c>
      <c r="L4236" s="455">
        <f t="shared" ca="1" si="164"/>
        <v>-18809594651385.371</v>
      </c>
      <c r="M4236" s="471">
        <f t="shared" si="166"/>
        <v>0.05</v>
      </c>
      <c r="N4236" s="475">
        <f t="shared" si="167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65"/>
        <v>-18809594651385.371</v>
      </c>
      <c r="J4237" s="455">
        <f t="array" ref="J4237">IFERROR(INDEX('Retirement Calculator'!K:K,MATCH('Lorri 401b'!N4237,'Retirement Calculator'!A:A,0),0),0)</f>
        <v>0</v>
      </c>
      <c r="K4237" s="455">
        <f t="shared" ca="1" si="163"/>
        <v>-78373311047.439041</v>
      </c>
      <c r="L4237" s="455">
        <f t="shared" ca="1" si="164"/>
        <v>-18887967962432.809</v>
      </c>
      <c r="M4237" s="471">
        <f t="shared" si="166"/>
        <v>0.05</v>
      </c>
      <c r="N4237" s="475">
        <f t="shared" si="167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65"/>
        <v>-18887967962432.809</v>
      </c>
      <c r="J4238" s="455">
        <f t="array" ref="J4238">IFERROR(INDEX('Retirement Calculator'!K:K,MATCH('Lorri 401b'!N4238,'Retirement Calculator'!A:A,0),0),0)</f>
        <v>0</v>
      </c>
      <c r="K4238" s="455">
        <f t="shared" ca="1" si="163"/>
        <v>-78699866510.136703</v>
      </c>
      <c r="L4238" s="455">
        <f t="shared" ca="1" si="164"/>
        <v>-18966667828942.945</v>
      </c>
      <c r="M4238" s="471">
        <f t="shared" si="166"/>
        <v>0.05</v>
      </c>
      <c r="N4238" s="475">
        <f t="shared" si="167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65"/>
        <v>-18966667828942.945</v>
      </c>
      <c r="J4239" s="455">
        <f t="array" ref="J4239">IFERROR(INDEX('Retirement Calculator'!K:K,MATCH('Lorri 401b'!N4239,'Retirement Calculator'!A:A,0),0),0)</f>
        <v>0</v>
      </c>
      <c r="K4239" s="455">
        <f t="shared" ca="1" si="163"/>
        <v>-79027782620.595612</v>
      </c>
      <c r="L4239" s="455">
        <f t="shared" ca="1" si="164"/>
        <v>-19045695611563.539</v>
      </c>
      <c r="M4239" s="471">
        <f t="shared" si="166"/>
        <v>0.05</v>
      </c>
      <c r="N4239" s="475">
        <f t="shared" si="167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65"/>
        <v>-19045695611563.539</v>
      </c>
      <c r="J4240" s="455">
        <f t="array" ref="J4240">IFERROR(INDEX('Retirement Calculator'!K:K,MATCH('Lorri 401b'!N4240,'Retirement Calculator'!A:A,0),0),0)</f>
        <v>0</v>
      </c>
      <c r="K4240" s="455">
        <f t="shared" ca="1" si="163"/>
        <v>-79357065048.181412</v>
      </c>
      <c r="L4240" s="455">
        <f t="shared" ca="1" si="164"/>
        <v>-19125052676611.719</v>
      </c>
      <c r="M4240" s="471">
        <f t="shared" si="166"/>
        <v>0.05</v>
      </c>
      <c r="N4240" s="475">
        <f t="shared" si="167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65"/>
        <v>-19125052676611.719</v>
      </c>
      <c r="J4241" s="455">
        <f t="array" ref="J4241">IFERROR(INDEX('Retirement Calculator'!K:K,MATCH('Lorri 401b'!N4241,'Retirement Calculator'!A:A,0),0),0)</f>
        <v>0</v>
      </c>
      <c r="K4241" s="455">
        <f t="shared" ca="1" si="163"/>
        <v>-79687719485.882156</v>
      </c>
      <c r="L4241" s="455">
        <f t="shared" ca="1" si="164"/>
        <v>-19204740396097.602</v>
      </c>
      <c r="M4241" s="471">
        <f t="shared" si="166"/>
        <v>0.05</v>
      </c>
      <c r="N4241" s="475">
        <f t="shared" si="167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65"/>
        <v>-19204740396097.602</v>
      </c>
      <c r="J4242" s="455">
        <f t="array" ref="J4242">IFERROR(INDEX('Retirement Calculator'!K:K,MATCH('Lorri 401b'!N4242,'Retirement Calculator'!A:A,0),0),0)</f>
        <v>0</v>
      </c>
      <c r="K4242" s="455">
        <f t="shared" ca="1" si="163"/>
        <v>-80019751650.406677</v>
      </c>
      <c r="L4242" s="455">
        <f t="shared" ca="1" si="164"/>
        <v>-19284760147748.008</v>
      </c>
      <c r="M4242" s="471">
        <f t="shared" si="166"/>
        <v>0.05</v>
      </c>
      <c r="N4242" s="475">
        <f t="shared" si="167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65"/>
        <v>-19284760147748.008</v>
      </c>
      <c r="J4243" s="455">
        <f t="array" ref="J4243">IFERROR(INDEX('Retirement Calculator'!K:K,MATCH('Lorri 401b'!N4243,'Retirement Calculator'!A:A,0),0),0)</f>
        <v>0</v>
      </c>
      <c r="K4243" s="455">
        <f t="shared" ca="1" si="163"/>
        <v>-80353167282.283371</v>
      </c>
      <c r="L4243" s="455">
        <f t="shared" ca="1" si="164"/>
        <v>-19365113315030.293</v>
      </c>
      <c r="M4243" s="471">
        <f t="shared" si="166"/>
        <v>0.05</v>
      </c>
      <c r="N4243" s="475">
        <f t="shared" si="167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65"/>
        <v>-19365113315030.293</v>
      </c>
      <c r="J4244" s="455">
        <f t="array" ref="J4244">IFERROR(INDEX('Retirement Calculator'!K:K,MATCH('Lorri 401b'!N4244,'Retirement Calculator'!A:A,0),0),0)</f>
        <v>0</v>
      </c>
      <c r="K4244" s="455">
        <f t="shared" ca="1" si="163"/>
        <v>-80687972145.959549</v>
      </c>
      <c r="L4244" s="455">
        <f t="shared" ca="1" si="164"/>
        <v>-19445801287176.254</v>
      </c>
      <c r="M4244" s="471">
        <f t="shared" si="166"/>
        <v>0.05</v>
      </c>
      <c r="N4244" s="475">
        <f t="shared" si="167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65"/>
        <v>-19445801287176.254</v>
      </c>
      <c r="J4245" s="455">
        <f t="array" ref="J4245">IFERROR(INDEX('Retirement Calculator'!K:K,MATCH('Lorri 401b'!N4245,'Retirement Calculator'!A:A,0),0),0)</f>
        <v>0</v>
      </c>
      <c r="K4245" s="455">
        <f t="shared" ca="1" si="163"/>
        <v>-81024172029.901062</v>
      </c>
      <c r="L4245" s="455">
        <f t="shared" ca="1" si="164"/>
        <v>-19526825459206.156</v>
      </c>
      <c r="M4245" s="471">
        <f t="shared" si="166"/>
        <v>0.05</v>
      </c>
      <c r="N4245" s="475">
        <f t="shared" si="167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65"/>
        <v>-19526825459206.156</v>
      </c>
      <c r="J4246" s="455">
        <f t="array" ref="J4246">IFERROR(INDEX('Retirement Calculator'!K:K,MATCH('Lorri 401b'!N4246,'Retirement Calculator'!A:A,0),0),0)</f>
        <v>0</v>
      </c>
      <c r="K4246" s="455">
        <f t="shared" ca="1" si="163"/>
        <v>-81361772746.692322</v>
      </c>
      <c r="L4246" s="455">
        <f t="shared" ca="1" si="164"/>
        <v>-19608187231952.848</v>
      </c>
      <c r="M4246" s="471">
        <f t="shared" si="166"/>
        <v>0.05</v>
      </c>
      <c r="N4246" s="475">
        <f t="shared" si="167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65"/>
        <v>-19608187231952.848</v>
      </c>
      <c r="J4247" s="455">
        <f t="array" ref="J4247">IFERROR(INDEX('Retirement Calculator'!K:K,MATCH('Lorri 401b'!N4247,'Retirement Calculator'!A:A,0),0),0)</f>
        <v>0</v>
      </c>
      <c r="K4247" s="455">
        <f t="shared" ca="1" si="163"/>
        <v>-81700780133.136871</v>
      </c>
      <c r="L4247" s="455">
        <f t="shared" ca="1" si="164"/>
        <v>-19689888012085.984</v>
      </c>
      <c r="M4247" s="471">
        <f t="shared" si="166"/>
        <v>0.05</v>
      </c>
      <c r="N4247" s="475">
        <f t="shared" si="167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65"/>
        <v>-19689888012085.984</v>
      </c>
      <c r="J4248" s="455">
        <f t="array" ref="J4248">IFERROR(INDEX('Retirement Calculator'!K:K,MATCH('Lorri 401b'!N4248,'Retirement Calculator'!A:A,0),0),0)</f>
        <v>0</v>
      </c>
      <c r="K4248" s="455">
        <f t="shared" ca="1" si="163"/>
        <v>-82041200050.358261</v>
      </c>
      <c r="L4248" s="455">
        <f t="shared" ca="1" si="164"/>
        <v>-19771929212136.344</v>
      </c>
      <c r="M4248" s="471">
        <f t="shared" si="166"/>
        <v>0.05</v>
      </c>
      <c r="N4248" s="475">
        <f t="shared" si="167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65"/>
        <v>-19771929212136.344</v>
      </c>
      <c r="J4249" s="455">
        <f t="array" ref="J4249">IFERROR(INDEX('Retirement Calculator'!K:K,MATCH('Lorri 401b'!N4249,'Retirement Calculator'!A:A,0),0),0)</f>
        <v>0</v>
      </c>
      <c r="K4249" s="455">
        <f t="shared" ca="1" si="163"/>
        <v>-82383038383.901428</v>
      </c>
      <c r="L4249" s="455">
        <f t="shared" ca="1" si="164"/>
        <v>-19854312250520.246</v>
      </c>
      <c r="M4249" s="471">
        <f t="shared" si="166"/>
        <v>0.05</v>
      </c>
      <c r="N4249" s="475">
        <f t="shared" si="167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65"/>
        <v>-19854312250520.246</v>
      </c>
      <c r="J4250" s="455">
        <f t="array" ref="J4250">IFERROR(INDEX('Retirement Calculator'!K:K,MATCH('Lorri 401b'!N4250,'Retirement Calculator'!A:A,0),0),0)</f>
        <v>0</v>
      </c>
      <c r="K4250" s="455">
        <f t="shared" ca="1" si="163"/>
        <v>-82726301043.834351</v>
      </c>
      <c r="L4250" s="455">
        <f t="shared" ca="1" si="164"/>
        <v>-19937038551564.082</v>
      </c>
      <c r="M4250" s="471">
        <f t="shared" si="166"/>
        <v>0.05</v>
      </c>
      <c r="N4250" s="475">
        <f t="shared" si="167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65"/>
        <v>-19937038551564.082</v>
      </c>
      <c r="J4251" s="455">
        <f t="array" ref="J4251">IFERROR(INDEX('Retirement Calculator'!K:K,MATCH('Lorri 401b'!N4251,'Retirement Calculator'!A:A,0),0),0)</f>
        <v>0</v>
      </c>
      <c r="K4251" s="455">
        <f t="shared" ca="1" si="163"/>
        <v>-83070993964.850342</v>
      </c>
      <c r="L4251" s="455">
        <f t="shared" ca="1" si="164"/>
        <v>-20020109545528.934</v>
      </c>
      <c r="M4251" s="471">
        <f t="shared" si="166"/>
        <v>0.05</v>
      </c>
      <c r="N4251" s="475">
        <f t="shared" si="167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65"/>
        <v>-20020109545528.934</v>
      </c>
      <c r="J4252" s="455">
        <f t="array" ref="J4252">IFERROR(INDEX('Retirement Calculator'!K:K,MATCH('Lorri 401b'!N4252,'Retirement Calculator'!A:A,0),0),0)</f>
        <v>0</v>
      </c>
      <c r="K4252" s="455">
        <f t="shared" ca="1" si="163"/>
        <v>-83417123106.37056</v>
      </c>
      <c r="L4252" s="455">
        <f t="shared" ca="1" si="164"/>
        <v>-20103526668635.305</v>
      </c>
      <c r="M4252" s="471">
        <f t="shared" si="166"/>
        <v>0.05</v>
      </c>
      <c r="N4252" s="475">
        <f t="shared" si="167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65"/>
        <v>-20103526668635.305</v>
      </c>
      <c r="J4253" s="455">
        <f t="array" ref="J4253">IFERROR(INDEX('Retirement Calculator'!K:K,MATCH('Lorri 401b'!N4253,'Retirement Calculator'!A:A,0),0),0)</f>
        <v>0</v>
      </c>
      <c r="K4253" s="455">
        <f t="shared" ca="1" si="163"/>
        <v>-83764694452.647095</v>
      </c>
      <c r="L4253" s="455">
        <f t="shared" ca="1" si="164"/>
        <v>-20187291363087.953</v>
      </c>
      <c r="M4253" s="471">
        <f t="shared" si="166"/>
        <v>0.05</v>
      </c>
      <c r="N4253" s="475">
        <f t="shared" si="167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65"/>
        <v>-20187291363087.953</v>
      </c>
      <c r="J4254" s="455">
        <f t="array" ref="J4254">IFERROR(INDEX('Retirement Calculator'!K:K,MATCH('Lorri 401b'!N4254,'Retirement Calculator'!A:A,0),0),0)</f>
        <v>0</v>
      </c>
      <c r="K4254" s="455">
        <f t="shared" ca="1" si="163"/>
        <v>-84113714012.86647</v>
      </c>
      <c r="L4254" s="455">
        <f t="shared" ca="1" si="164"/>
        <v>-20271405077100.82</v>
      </c>
      <c r="M4254" s="471">
        <f t="shared" si="166"/>
        <v>0.05</v>
      </c>
      <c r="N4254" s="475">
        <f t="shared" si="167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65"/>
        <v>-20271405077100.82</v>
      </c>
      <c r="J4255" s="455">
        <f t="array" ref="J4255">IFERROR(INDEX('Retirement Calculator'!K:K,MATCH('Lorri 401b'!N4255,'Retirement Calculator'!A:A,0),0),0)</f>
        <v>0</v>
      </c>
      <c r="K4255" s="455">
        <f t="shared" ca="1" si="163"/>
        <v>-84464187821.253418</v>
      </c>
      <c r="L4255" s="455">
        <f t="shared" ca="1" si="164"/>
        <v>-20355869264922.074</v>
      </c>
      <c r="M4255" s="471">
        <f t="shared" si="166"/>
        <v>0.05</v>
      </c>
      <c r="N4255" s="475">
        <f t="shared" si="167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65"/>
        <v>-20355869264922.074</v>
      </c>
      <c r="J4256" s="455">
        <f t="array" ref="J4256">IFERROR(INDEX('Retirement Calculator'!K:K,MATCH('Lorri 401b'!N4256,'Retirement Calculator'!A:A,0),0),0)</f>
        <v>0</v>
      </c>
      <c r="K4256" s="455">
        <f t="shared" ca="1" si="163"/>
        <v>-84816121937.175308</v>
      </c>
      <c r="L4256" s="455">
        <f t="shared" ca="1" si="164"/>
        <v>-20440685386859.25</v>
      </c>
      <c r="M4256" s="471">
        <f t="shared" si="166"/>
        <v>0.05</v>
      </c>
      <c r="N4256" s="475">
        <f t="shared" si="167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65"/>
        <v>-20440685386859.25</v>
      </c>
      <c r="J4257" s="455">
        <f t="array" ref="J4257">IFERROR(INDEX('Retirement Calculator'!K:K,MATCH('Lorri 401b'!N4257,'Retirement Calculator'!A:A,0),0),0)</f>
        <v>0</v>
      </c>
      <c r="K4257" s="455">
        <f t="shared" ca="1" si="163"/>
        <v>-85169522445.246872</v>
      </c>
      <c r="L4257" s="455">
        <f t="shared" ca="1" si="164"/>
        <v>-20525854909304.496</v>
      </c>
      <c r="M4257" s="471">
        <f t="shared" si="166"/>
        <v>0.05</v>
      </c>
      <c r="N4257" s="475">
        <f t="shared" si="167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65"/>
        <v>-20525854909304.496</v>
      </c>
      <c r="J4258" s="455">
        <f t="array" ref="J4258">IFERROR(INDEX('Retirement Calculator'!K:K,MATCH('Lorri 401b'!N4258,'Retirement Calculator'!A:A,0),0),0)</f>
        <v>0</v>
      </c>
      <c r="K4258" s="455">
        <f t="shared" ca="1" si="163"/>
        <v>-85524395455.435394</v>
      </c>
      <c r="L4258" s="455">
        <f t="shared" ca="1" si="164"/>
        <v>-20611379304759.93</v>
      </c>
      <c r="M4258" s="471">
        <f t="shared" si="166"/>
        <v>0.05</v>
      </c>
      <c r="N4258" s="475">
        <f t="shared" si="167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65"/>
        <v>-20611379304759.93</v>
      </c>
      <c r="J4259" s="455">
        <f t="array" ref="J4259">IFERROR(INDEX('Retirement Calculator'!K:K,MATCH('Lorri 401b'!N4259,'Retirement Calculator'!A:A,0),0),0)</f>
        <v>0</v>
      </c>
      <c r="K4259" s="455">
        <f t="shared" ca="1" si="163"/>
        <v>-85880747103.166367</v>
      </c>
      <c r="L4259" s="455">
        <f t="shared" ca="1" si="164"/>
        <v>-20697260051863.098</v>
      </c>
      <c r="M4259" s="471">
        <f t="shared" si="166"/>
        <v>0.05</v>
      </c>
      <c r="N4259" s="475">
        <f t="shared" si="167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65"/>
        <v>-20697260051863.098</v>
      </c>
      <c r="J4260" s="455">
        <f t="array" ref="J4260">IFERROR(INDEX('Retirement Calculator'!K:K,MATCH('Lorri 401b'!N4260,'Retirement Calculator'!A:A,0),0),0)</f>
        <v>0</v>
      </c>
      <c r="K4260" s="455">
        <f t="shared" ca="1" si="163"/>
        <v>-86238583549.429565</v>
      </c>
      <c r="L4260" s="455">
        <f t="shared" ca="1" si="164"/>
        <v>-20783498635412.527</v>
      </c>
      <c r="M4260" s="471">
        <f t="shared" si="166"/>
        <v>0.05</v>
      </c>
      <c r="N4260" s="475">
        <f t="shared" si="167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65"/>
        <v>-20783498635412.527</v>
      </c>
      <c r="J4261" s="455">
        <f t="array" ref="J4261">IFERROR(INDEX('Retirement Calculator'!K:K,MATCH('Lorri 401b'!N4261,'Retirement Calculator'!A:A,0),0),0)</f>
        <v>0</v>
      </c>
      <c r="K4261" s="455">
        <f t="shared" ca="1" si="163"/>
        <v>-86597910980.885529</v>
      </c>
      <c r="L4261" s="455">
        <f t="shared" ca="1" si="164"/>
        <v>-20870096546393.414</v>
      </c>
      <c r="M4261" s="471">
        <f t="shared" si="166"/>
        <v>0.05</v>
      </c>
      <c r="N4261" s="475">
        <f t="shared" si="167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65"/>
        <v>-20870096546393.414</v>
      </c>
      <c r="J4262" s="455">
        <f t="array" ref="J4262">IFERROR(INDEX('Retirement Calculator'!K:K,MATCH('Lorri 401b'!N4262,'Retirement Calculator'!A:A,0),0),0)</f>
        <v>0</v>
      </c>
      <c r="K4262" s="455">
        <f t="shared" ca="1" si="163"/>
        <v>-86958735609.972565</v>
      </c>
      <c r="L4262" s="455">
        <f t="shared" ca="1" si="164"/>
        <v>-20957055282003.387</v>
      </c>
      <c r="M4262" s="471">
        <f t="shared" si="166"/>
        <v>0.05</v>
      </c>
      <c r="N4262" s="475">
        <f t="shared" si="167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65"/>
        <v>-20957055282003.387</v>
      </c>
      <c r="J4263" s="455">
        <f t="array" ref="J4263">IFERROR(INDEX('Retirement Calculator'!K:K,MATCH('Lorri 401b'!N4263,'Retirement Calculator'!A:A,0),0),0)</f>
        <v>0</v>
      </c>
      <c r="K4263" s="455">
        <f t="shared" ca="1" si="163"/>
        <v>-87321063675.014114</v>
      </c>
      <c r="L4263" s="455">
        <f t="shared" ca="1" si="164"/>
        <v>-21044376345678.402</v>
      </c>
      <c r="M4263" s="471">
        <f t="shared" si="166"/>
        <v>0.05</v>
      </c>
      <c r="N4263" s="475">
        <f t="shared" si="167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65"/>
        <v>-21044376345678.402</v>
      </c>
      <c r="J4264" s="455">
        <f t="array" ref="J4264">IFERROR(INDEX('Retirement Calculator'!K:K,MATCH('Lorri 401b'!N4264,'Retirement Calculator'!A:A,0),0),0)</f>
        <v>0</v>
      </c>
      <c r="K4264" s="455">
        <f t="shared" ca="1" si="163"/>
        <v>-87684901440.326675</v>
      </c>
      <c r="L4264" s="455">
        <f t="shared" ca="1" si="164"/>
        <v>-21132061247118.73</v>
      </c>
      <c r="M4264" s="471">
        <f t="shared" si="166"/>
        <v>0.05</v>
      </c>
      <c r="N4264" s="475">
        <f t="shared" si="167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65"/>
        <v>-21132061247118.73</v>
      </c>
      <c r="J4265" s="455">
        <f t="array" ref="J4265">IFERROR(INDEX('Retirement Calculator'!K:K,MATCH('Lorri 401b'!N4265,'Retirement Calculator'!A:A,0),0),0)</f>
        <v>0</v>
      </c>
      <c r="K4265" s="455">
        <f t="shared" ca="1" si="163"/>
        <v>-88050255196.328049</v>
      </c>
      <c r="L4265" s="455">
        <f t="shared" ca="1" si="164"/>
        <v>-21220111502315.059</v>
      </c>
      <c r="M4265" s="471">
        <f t="shared" si="166"/>
        <v>0.05</v>
      </c>
      <c r="N4265" s="475">
        <f t="shared" si="167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65"/>
        <v>-21220111502315.059</v>
      </c>
      <c r="J4266" s="455">
        <f t="array" ref="J4266">IFERROR(INDEX('Retirement Calculator'!K:K,MATCH('Lorri 401b'!N4266,'Retirement Calculator'!A:A,0),0),0)</f>
        <v>0</v>
      </c>
      <c r="K4266" s="455">
        <f t="shared" ca="1" si="163"/>
        <v>-88417131259.646072</v>
      </c>
      <c r="L4266" s="455">
        <f t="shared" ca="1" si="164"/>
        <v>-21308528633574.703</v>
      </c>
      <c r="M4266" s="471">
        <f t="shared" si="166"/>
        <v>0.05</v>
      </c>
      <c r="N4266" s="475">
        <f t="shared" si="167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65"/>
        <v>-21308528633574.703</v>
      </c>
      <c r="J4267" s="455">
        <f t="array" ref="J4267">IFERROR(INDEX('Retirement Calculator'!K:K,MATCH('Lorri 401b'!N4267,'Retirement Calculator'!A:A,0),0),0)</f>
        <v>0</v>
      </c>
      <c r="K4267" s="455">
        <f t="shared" ca="1" si="163"/>
        <v>-88785535973.227936</v>
      </c>
      <c r="L4267" s="455">
        <f t="shared" ca="1" si="164"/>
        <v>-21397314169547.93</v>
      </c>
      <c r="M4267" s="471">
        <f t="shared" si="166"/>
        <v>0.05</v>
      </c>
      <c r="N4267" s="475">
        <f t="shared" si="167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65"/>
        <v>-21397314169547.93</v>
      </c>
      <c r="J4268" s="455">
        <f t="array" ref="J4268">IFERROR(INDEX('Retirement Calculator'!K:K,MATCH('Lorri 401b'!N4268,'Retirement Calculator'!A:A,0),0),0)</f>
        <v>0</v>
      </c>
      <c r="K4268" s="455">
        <f t="shared" ca="1" si="163"/>
        <v>-89155475706.449707</v>
      </c>
      <c r="L4268" s="455">
        <f t="shared" ca="1" si="164"/>
        <v>-21486469645254.379</v>
      </c>
      <c r="M4268" s="471">
        <f t="shared" si="166"/>
        <v>0.05</v>
      </c>
      <c r="N4268" s="475">
        <f t="shared" si="167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65"/>
        <v>-21486469645254.379</v>
      </c>
      <c r="J4269" s="455">
        <f t="array" ref="J4269">IFERROR(INDEX('Retirement Calculator'!K:K,MATCH('Lorri 401b'!N4269,'Retirement Calculator'!A:A,0),0),0)</f>
        <v>0</v>
      </c>
      <c r="K4269" s="455">
        <f t="shared" ca="1" si="163"/>
        <v>-89526956855.226578</v>
      </c>
      <c r="L4269" s="455">
        <f t="shared" ca="1" si="164"/>
        <v>-21575996602109.605</v>
      </c>
      <c r="M4269" s="471">
        <f t="shared" si="166"/>
        <v>0.05</v>
      </c>
      <c r="N4269" s="475">
        <f t="shared" si="167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65"/>
        <v>-21575996602109.605</v>
      </c>
      <c r="J4270" s="455">
        <f t="array" ref="J4270">IFERROR(INDEX('Retirement Calculator'!K:K,MATCH('Lorri 401b'!N4270,'Retirement Calculator'!A:A,0),0),0)</f>
        <v>0</v>
      </c>
      <c r="K4270" s="455">
        <f t="shared" ca="1" si="163"/>
        <v>-89899985842.123352</v>
      </c>
      <c r="L4270" s="455">
        <f t="shared" ca="1" si="164"/>
        <v>-21665896587951.73</v>
      </c>
      <c r="M4270" s="471">
        <f t="shared" si="166"/>
        <v>0.05</v>
      </c>
      <c r="N4270" s="475">
        <f t="shared" si="167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65"/>
        <v>-21665896587951.73</v>
      </c>
      <c r="J4271" s="455">
        <f t="array" ref="J4271">IFERROR(INDEX('Retirement Calculator'!K:K,MATCH('Lorri 401b'!N4271,'Retirement Calculator'!A:A,0),0),0)</f>
        <v>0</v>
      </c>
      <c r="K4271" s="455">
        <f t="shared" ca="1" si="163"/>
        <v>-90274569116.465546</v>
      </c>
      <c r="L4271" s="455">
        <f t="shared" ca="1" si="164"/>
        <v>-21756171157068.195</v>
      </c>
      <c r="M4271" s="471">
        <f t="shared" si="166"/>
        <v>0.05</v>
      </c>
      <c r="N4271" s="475">
        <f t="shared" si="167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65"/>
        <v>-21756171157068.195</v>
      </c>
      <c r="J4272" s="455">
        <f t="array" ref="J4272">IFERROR(INDEX('Retirement Calculator'!K:K,MATCH('Lorri 401b'!N4272,'Retirement Calculator'!A:A,0),0),0)</f>
        <v>0</v>
      </c>
      <c r="K4272" s="455">
        <f t="shared" ca="1" si="163"/>
        <v>-90650713154.450806</v>
      </c>
      <c r="L4272" s="455">
        <f t="shared" ca="1" si="164"/>
        <v>-21846821870222.645</v>
      </c>
      <c r="M4272" s="471">
        <f t="shared" si="166"/>
        <v>0.05</v>
      </c>
      <c r="N4272" s="475">
        <f t="shared" si="167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65"/>
        <v>-21846821870222.645</v>
      </c>
      <c r="J4273" s="455">
        <f t="array" ref="J4273">IFERROR(INDEX('Retirement Calculator'!K:K,MATCH('Lorri 401b'!N4273,'Retirement Calculator'!A:A,0),0),0)</f>
        <v>0</v>
      </c>
      <c r="K4273" s="455">
        <f t="shared" ca="1" si="163"/>
        <v>-91028424459.261017</v>
      </c>
      <c r="L4273" s="455">
        <f t="shared" ca="1" si="164"/>
        <v>-21937850294681.906</v>
      </c>
      <c r="M4273" s="471">
        <f t="shared" si="166"/>
        <v>0.05</v>
      </c>
      <c r="N4273" s="475">
        <f t="shared" si="167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65"/>
        <v>-21937850294681.906</v>
      </c>
      <c r="J4274" s="455">
        <f t="array" ref="J4274">IFERROR(INDEX('Retirement Calculator'!K:K,MATCH('Lorri 401b'!N4274,'Retirement Calculator'!A:A,0),0),0)</f>
        <v>0</v>
      </c>
      <c r="K4274" s="455">
        <f t="shared" ca="1" si="163"/>
        <v>-91407709561.174606</v>
      </c>
      <c r="L4274" s="455">
        <f t="shared" ca="1" si="164"/>
        <v>-22029258004243.082</v>
      </c>
      <c r="M4274" s="471">
        <f t="shared" si="166"/>
        <v>0.05</v>
      </c>
      <c r="N4274" s="475">
        <f t="shared" si="167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65"/>
        <v>-22029258004243.082</v>
      </c>
      <c r="J4275" s="455">
        <f t="array" ref="J4275">IFERROR(INDEX('Retirement Calculator'!K:K,MATCH('Lorri 401b'!N4275,'Retirement Calculator'!A:A,0),0),0)</f>
        <v>0</v>
      </c>
      <c r="K4275" s="455">
        <f t="shared" ca="1" si="163"/>
        <v>-91788575017.679504</v>
      </c>
      <c r="L4275" s="455">
        <f t="shared" ca="1" si="164"/>
        <v>-22121046579260.762</v>
      </c>
      <c r="M4275" s="471">
        <f t="shared" si="166"/>
        <v>0.05</v>
      </c>
      <c r="N4275" s="475">
        <f t="shared" si="167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65"/>
        <v>-22121046579260.762</v>
      </c>
      <c r="J4276" s="455">
        <f t="array" ref="J4276">IFERROR(INDEX('Retirement Calculator'!K:K,MATCH('Lorri 401b'!N4276,'Retirement Calculator'!A:A,0),0),0)</f>
        <v>0</v>
      </c>
      <c r="K4276" s="455">
        <f t="shared" ca="1" si="163"/>
        <v>-92171027413.586502</v>
      </c>
      <c r="L4276" s="455">
        <f t="shared" ca="1" si="164"/>
        <v>-22213217606674.348</v>
      </c>
      <c r="M4276" s="471">
        <f t="shared" si="166"/>
        <v>0.05</v>
      </c>
      <c r="N4276" s="475">
        <f t="shared" si="167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65"/>
        <v>-22213217606674.348</v>
      </c>
      <c r="J4277" s="455">
        <f t="array" ref="J4277">IFERROR(INDEX('Retirement Calculator'!K:K,MATCH('Lorri 401b'!N4277,'Retirement Calculator'!A:A,0),0),0)</f>
        <v>0</v>
      </c>
      <c r="K4277" s="455">
        <f t="shared" ca="1" si="163"/>
        <v>-92555073361.143112</v>
      </c>
      <c r="L4277" s="455">
        <f t="shared" ca="1" si="164"/>
        <v>-22305772680035.492</v>
      </c>
      <c r="M4277" s="471">
        <f t="shared" si="166"/>
        <v>0.05</v>
      </c>
      <c r="N4277" s="475">
        <f t="shared" si="167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65"/>
        <v>-22305772680035.492</v>
      </c>
      <c r="J4278" s="455">
        <f t="array" ref="J4278">IFERROR(INDEX('Retirement Calculator'!K:K,MATCH('Lorri 401b'!N4278,'Retirement Calculator'!A:A,0),0),0)</f>
        <v>0</v>
      </c>
      <c r="K4278" s="455">
        <f t="shared" ca="1" si="163"/>
        <v>-92940719500.147888</v>
      </c>
      <c r="L4278" s="455">
        <f t="shared" ca="1" si="164"/>
        <v>-22398713399535.641</v>
      </c>
      <c r="M4278" s="471">
        <f t="shared" si="166"/>
        <v>0.05</v>
      </c>
      <c r="N4278" s="475">
        <f t="shared" si="167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65"/>
        <v>-22398713399535.641</v>
      </c>
      <c r="J4279" s="455">
        <f t="array" ref="J4279">IFERROR(INDEX('Retirement Calculator'!K:K,MATCH('Lorri 401b'!N4279,'Retirement Calculator'!A:A,0),0),0)</f>
        <v>0</v>
      </c>
      <c r="K4279" s="455">
        <f t="shared" ca="1" si="163"/>
        <v>-93327972498.06517</v>
      </c>
      <c r="L4279" s="455">
        <f t="shared" ca="1" si="164"/>
        <v>-22492041372033.707</v>
      </c>
      <c r="M4279" s="471">
        <f t="shared" si="166"/>
        <v>0.05</v>
      </c>
      <c r="N4279" s="475">
        <f t="shared" si="167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65"/>
        <v>-22492041372033.707</v>
      </c>
      <c r="J4280" s="455">
        <f t="array" ref="J4280">IFERROR(INDEX('Retirement Calculator'!K:K,MATCH('Lorri 401b'!N4280,'Retirement Calculator'!A:A,0),0),0)</f>
        <v>0</v>
      </c>
      <c r="K4280" s="455">
        <f t="shared" ca="1" si="163"/>
        <v>-93716839050.140442</v>
      </c>
      <c r="L4280" s="455">
        <f t="shared" ca="1" si="164"/>
        <v>-22585758211083.848</v>
      </c>
      <c r="M4280" s="471">
        <f t="shared" si="166"/>
        <v>0.05</v>
      </c>
      <c r="N4280" s="475">
        <f t="shared" si="167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65"/>
        <v>-22585758211083.848</v>
      </c>
      <c r="J4281" s="455">
        <f t="array" ref="J4281">IFERROR(INDEX('Retirement Calculator'!K:K,MATCH('Lorri 401b'!N4281,'Retirement Calculator'!A:A,0),0),0)</f>
        <v>0</v>
      </c>
      <c r="K4281" s="455">
        <f t="shared" ca="1" si="163"/>
        <v>-94107325879.516037</v>
      </c>
      <c r="L4281" s="455">
        <f t="shared" ca="1" si="164"/>
        <v>-22679865536963.363</v>
      </c>
      <c r="M4281" s="471">
        <f t="shared" si="166"/>
        <v>0.05</v>
      </c>
      <c r="N4281" s="475">
        <f t="shared" si="167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65"/>
        <v>-22679865536963.363</v>
      </c>
      <c r="J4282" s="455">
        <f t="array" ref="J4282">IFERROR(INDEX('Retirement Calculator'!K:K,MATCH('Lorri 401b'!N4282,'Retirement Calculator'!A:A,0),0),0)</f>
        <v>0</v>
      </c>
      <c r="K4282" s="455">
        <f t="shared" ca="1" si="163"/>
        <v>-94499439737.347351</v>
      </c>
      <c r="L4282" s="455">
        <f t="shared" ca="1" si="164"/>
        <v>-22774364976700.711</v>
      </c>
      <c r="M4282" s="471">
        <f t="shared" si="166"/>
        <v>0.05</v>
      </c>
      <c r="N4282" s="475">
        <f t="shared" si="167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65"/>
        <v>-22774364976700.711</v>
      </c>
      <c r="J4283" s="455">
        <f t="array" ref="J4283">IFERROR(INDEX('Retirement Calculator'!K:K,MATCH('Lorri 401b'!N4283,'Retirement Calculator'!A:A,0),0),0)</f>
        <v>0</v>
      </c>
      <c r="K4283" s="455">
        <f t="shared" ca="1" si="163"/>
        <v>-94893187402.919632</v>
      </c>
      <c r="L4283" s="455">
        <f t="shared" ca="1" si="164"/>
        <v>-22869258164103.629</v>
      </c>
      <c r="M4283" s="471">
        <f t="shared" si="166"/>
        <v>0.05</v>
      </c>
      <c r="N4283" s="475">
        <f t="shared" si="167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65"/>
        <v>-22869258164103.629</v>
      </c>
      <c r="J4284" s="455">
        <f t="array" ref="J4284">IFERROR(INDEX('Retirement Calculator'!K:K,MATCH('Lorri 401b'!N4284,'Retirement Calculator'!A:A,0),0),0)</f>
        <v>0</v>
      </c>
      <c r="K4284" s="455">
        <f t="shared" ca="1" si="163"/>
        <v>-95288575683.765121</v>
      </c>
      <c r="L4284" s="455">
        <f t="shared" ca="1" si="164"/>
        <v>-22964546739787.395</v>
      </c>
      <c r="M4284" s="471">
        <f t="shared" si="166"/>
        <v>0.05</v>
      </c>
      <c r="N4284" s="475">
        <f t="shared" si="167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65"/>
        <v>-22964546739787.395</v>
      </c>
      <c r="J4285" s="455">
        <f t="array" ref="J4285">IFERROR(INDEX('Retirement Calculator'!K:K,MATCH('Lorri 401b'!N4285,'Retirement Calculator'!A:A,0),0),0)</f>
        <v>0</v>
      </c>
      <c r="K4285" s="455">
        <f t="shared" ca="1" si="163"/>
        <v>-95685611415.780807</v>
      </c>
      <c r="L4285" s="455">
        <f t="shared" ca="1" si="164"/>
        <v>-23060232351203.176</v>
      </c>
      <c r="M4285" s="471">
        <f t="shared" si="166"/>
        <v>0.05</v>
      </c>
      <c r="N4285" s="475">
        <f t="shared" si="167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65"/>
        <v>-23060232351203.176</v>
      </c>
      <c r="J4286" s="455">
        <f t="array" ref="J4286">IFERROR(INDEX('Retirement Calculator'!K:K,MATCH('Lorri 401b'!N4286,'Retirement Calculator'!A:A,0),0),0)</f>
        <v>0</v>
      </c>
      <c r="K4286" s="455">
        <f t="shared" ca="1" si="163"/>
        <v>-96084301463.346558</v>
      </c>
      <c r="L4286" s="455">
        <f t="shared" ca="1" si="164"/>
        <v>-23156316652666.523</v>
      </c>
      <c r="M4286" s="471">
        <f t="shared" si="166"/>
        <v>0.05</v>
      </c>
      <c r="N4286" s="475">
        <f t="shared" si="167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65"/>
        <v>-23156316652666.523</v>
      </c>
      <c r="J4287" s="455">
        <f t="array" ref="J4287">IFERROR(INDEX('Retirement Calculator'!K:K,MATCH('Lorri 401b'!N4287,'Retirement Calculator'!A:A,0),0),0)</f>
        <v>0</v>
      </c>
      <c r="K4287" s="455">
        <f t="shared" ca="1" si="163"/>
        <v>-96484652719.443848</v>
      </c>
      <c r="L4287" s="455">
        <f t="shared" ca="1" si="164"/>
        <v>-23252801305385.969</v>
      </c>
      <c r="M4287" s="471">
        <f t="shared" si="166"/>
        <v>0.05</v>
      </c>
      <c r="N4287" s="475">
        <f t="shared" si="167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65"/>
        <v>-23252801305385.969</v>
      </c>
      <c r="J4288" s="455">
        <f t="array" ref="J4288">IFERROR(INDEX('Retirement Calculator'!K:K,MATCH('Lorri 401b'!N4288,'Retirement Calculator'!A:A,0),0),0)</f>
        <v>0</v>
      </c>
      <c r="K4288" s="455">
        <f t="shared" ca="1" si="163"/>
        <v>-96886672105.774872</v>
      </c>
      <c r="L4288" s="455">
        <f t="shared" ca="1" si="164"/>
        <v>-23349687977491.742</v>
      </c>
      <c r="M4288" s="471">
        <f t="shared" si="166"/>
        <v>0.05</v>
      </c>
      <c r="N4288" s="475">
        <f t="shared" si="167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65"/>
        <v>-23349687977491.742</v>
      </c>
      <c r="J4289" s="455">
        <f t="array" ref="J4289">IFERROR(INDEX('Retirement Calculator'!K:K,MATCH('Lorri 401b'!N4289,'Retirement Calculator'!A:A,0),0),0)</f>
        <v>0</v>
      </c>
      <c r="K4289" s="455">
        <f t="shared" ca="1" si="163"/>
        <v>-97290366572.882263</v>
      </c>
      <c r="L4289" s="455">
        <f t="shared" ca="1" si="164"/>
        <v>-23446978344064.625</v>
      </c>
      <c r="M4289" s="471">
        <f t="shared" si="166"/>
        <v>0.05</v>
      </c>
      <c r="N4289" s="475">
        <f t="shared" si="167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65"/>
        <v>-23446978344064.625</v>
      </c>
      <c r="J4290" s="455">
        <f t="array" ref="J4290">IFERROR(INDEX('Retirement Calculator'!K:K,MATCH('Lorri 401b'!N4290,'Retirement Calculator'!A:A,0),0),0)</f>
        <v>0</v>
      </c>
      <c r="K4290" s="455">
        <f t="shared" ca="1" si="163"/>
        <v>-97695743100.269272</v>
      </c>
      <c r="L4290" s="455">
        <f t="shared" ca="1" si="164"/>
        <v>-23544674087164.895</v>
      </c>
      <c r="M4290" s="471">
        <f t="shared" si="166"/>
        <v>0.05</v>
      </c>
      <c r="N4290" s="475">
        <f t="shared" si="167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65"/>
        <v>-23544674087164.895</v>
      </c>
      <c r="J4291" s="455">
        <f t="array" ref="J4291">IFERROR(INDEX('Retirement Calculator'!K:K,MATCH('Lorri 401b'!N4291,'Retirement Calculator'!A:A,0),0),0)</f>
        <v>0</v>
      </c>
      <c r="K4291" s="455">
        <f t="shared" ca="1" si="163"/>
        <v>-98102808696.520386</v>
      </c>
      <c r="L4291" s="455">
        <f t="shared" ca="1" si="164"/>
        <v>-23642776895861.414</v>
      </c>
      <c r="M4291" s="471">
        <f t="shared" si="166"/>
        <v>0.05</v>
      </c>
      <c r="N4291" s="475">
        <f t="shared" si="167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65"/>
        <v>-23642776895861.414</v>
      </c>
      <c r="J4292" s="455">
        <f t="array" ref="J4292">IFERROR(INDEX('Retirement Calculator'!K:K,MATCH('Lorri 401b'!N4292,'Retirement Calculator'!A:A,0),0),0)</f>
        <v>0</v>
      </c>
      <c r="K4292" s="455">
        <f t="shared" ca="1" si="163"/>
        <v>-98511570399.422562</v>
      </c>
      <c r="L4292" s="455">
        <f t="shared" ca="1" si="164"/>
        <v>-23741288466260.836</v>
      </c>
      <c r="M4292" s="471">
        <f t="shared" si="166"/>
        <v>0.05</v>
      </c>
      <c r="N4292" s="475">
        <f t="shared" si="167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65"/>
        <v>-23741288466260.836</v>
      </c>
      <c r="J4293" s="455">
        <f t="array" ref="J4293">IFERROR(INDEX('Retirement Calculator'!K:K,MATCH('Lorri 401b'!N4293,'Retirement Calculator'!A:A,0),0),0)</f>
        <v>0</v>
      </c>
      <c r="K4293" s="455">
        <f t="shared" ca="1" si="163"/>
        <v>-98922035276.086823</v>
      </c>
      <c r="L4293" s="455">
        <f t="shared" ca="1" si="164"/>
        <v>-23840210501536.922</v>
      </c>
      <c r="M4293" s="471">
        <f t="shared" si="166"/>
        <v>0.05</v>
      </c>
      <c r="N4293" s="475">
        <f t="shared" si="167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65"/>
        <v>-23840210501536.922</v>
      </c>
      <c r="J4294" s="455">
        <f t="array" ref="J4294">IFERROR(INDEX('Retirement Calculator'!K:K,MATCH('Lorri 401b'!N4294,'Retirement Calculator'!A:A,0),0),0)</f>
        <v>0</v>
      </c>
      <c r="K4294" s="455">
        <f t="shared" ca="1" si="163"/>
        <v>-99334210423.070511</v>
      </c>
      <c r="L4294" s="455">
        <f t="shared" ca="1" si="164"/>
        <v>-23939544711959.992</v>
      </c>
      <c r="M4294" s="471">
        <f t="shared" si="166"/>
        <v>0.05</v>
      </c>
      <c r="N4294" s="475">
        <f t="shared" si="167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65"/>
        <v>-23939544711959.992</v>
      </c>
      <c r="J4295" s="455">
        <f t="array" ref="J4295">IFERROR(INDEX('Retirement Calculator'!K:K,MATCH('Lorri 401b'!N4295,'Retirement Calculator'!A:A,0),0),0)</f>
        <v>0</v>
      </c>
      <c r="K4295" s="455">
        <f t="shared" ca="1" si="163"/>
        <v>-99748102966.499969</v>
      </c>
      <c r="L4295" s="455">
        <f t="shared" ca="1" si="164"/>
        <v>-24039292814926.492</v>
      </c>
      <c r="M4295" s="471">
        <f t="shared" si="166"/>
        <v>0.05</v>
      </c>
      <c r="N4295" s="475">
        <f t="shared" si="167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65"/>
        <v>-24039292814926.492</v>
      </c>
      <c r="J4296" s="455">
        <f t="array" ref="J4296">IFERROR(INDEX('Retirement Calculator'!K:K,MATCH('Lorri 401b'!N4296,'Retirement Calculator'!A:A,0),0),0)</f>
        <v>0</v>
      </c>
      <c r="K4296" s="455">
        <f t="shared" ca="1" si="163"/>
        <v>-100163720062.19371</v>
      </c>
      <c r="L4296" s="455">
        <f t="shared" ca="1" si="164"/>
        <v>-24139456534988.688</v>
      </c>
      <c r="M4296" s="471">
        <f t="shared" si="166"/>
        <v>0.05</v>
      </c>
      <c r="N4296" s="475">
        <f t="shared" si="167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65"/>
        <v>-24139456534988.688</v>
      </c>
      <c r="J4297" s="455">
        <f t="array" ref="J4297">IFERROR(INDEX('Retirement Calculator'!K:K,MATCH('Lorri 401b'!N4297,'Retirement Calculator'!A:A,0),0),0)</f>
        <v>0</v>
      </c>
      <c r="K4297" s="455">
        <f t="shared" ca="1" si="163"/>
        <v>-100581068895.78619</v>
      </c>
      <c r="L4297" s="455">
        <f t="shared" ca="1" si="164"/>
        <v>-24240037603884.473</v>
      </c>
      <c r="M4297" s="471">
        <f t="shared" si="166"/>
        <v>0.05</v>
      </c>
      <c r="N4297" s="475">
        <f t="shared" si="167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65"/>
        <v>-24240037603884.473</v>
      </c>
      <c r="J4298" s="455">
        <f t="array" ref="J4298">IFERROR(INDEX('Retirement Calculator'!K:K,MATCH('Lorri 401b'!N4298,'Retirement Calculator'!A:A,0),0),0)</f>
        <v>0</v>
      </c>
      <c r="K4298" s="455">
        <f t="shared" ca="1" si="163"/>
        <v>-101000156682.85197</v>
      </c>
      <c r="L4298" s="455">
        <f t="shared" ca="1" si="164"/>
        <v>-24341037760567.324</v>
      </c>
      <c r="M4298" s="471">
        <f t="shared" si="166"/>
        <v>0.05</v>
      </c>
      <c r="N4298" s="475">
        <f t="shared" si="167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65"/>
        <v>-24341037760567.324</v>
      </c>
      <c r="J4299" s="455">
        <f t="array" ref="J4299">IFERROR(INDEX('Retirement Calculator'!K:K,MATCH('Lorri 401b'!N4299,'Retirement Calculator'!A:A,0),0),0)</f>
        <v>0</v>
      </c>
      <c r="K4299" s="455">
        <f t="shared" ca="1" si="163"/>
        <v>-101420990669.03052</v>
      </c>
      <c r="L4299" s="455">
        <f t="shared" ca="1" si="164"/>
        <v>-24442458751236.355</v>
      </c>
      <c r="M4299" s="471">
        <f t="shared" si="166"/>
        <v>0.05</v>
      </c>
      <c r="N4299" s="475">
        <f t="shared" si="167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65"/>
        <v>-24442458751236.355</v>
      </c>
      <c r="J4300" s="455">
        <f t="array" ref="J4300">IFERROR(INDEX('Retirement Calculator'!K:K,MATCH('Lorri 401b'!N4300,'Retirement Calculator'!A:A,0),0),0)</f>
        <v>0</v>
      </c>
      <c r="K4300" s="455">
        <f t="shared" ca="1" si="163"/>
        <v>-101843578130.15147</v>
      </c>
      <c r="L4300" s="455">
        <f t="shared" ca="1" si="164"/>
        <v>-24544302329366.508</v>
      </c>
      <c r="M4300" s="471">
        <f t="shared" si="166"/>
        <v>0.05</v>
      </c>
      <c r="N4300" s="475">
        <f t="shared" si="167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65"/>
        <v>-24544302329366.508</v>
      </c>
      <c r="J4301" s="455">
        <f t="array" ref="J4301">IFERROR(INDEX('Retirement Calculator'!K:K,MATCH('Lorri 401b'!N4301,'Retirement Calculator'!A:A,0),0),0)</f>
        <v>0</v>
      </c>
      <c r="K4301" s="455">
        <f t="shared" ca="1" si="163"/>
        <v>-102267926372.36044</v>
      </c>
      <c r="L4301" s="455">
        <f t="shared" ca="1" si="164"/>
        <v>-24646570255738.867</v>
      </c>
      <c r="M4301" s="471">
        <f t="shared" si="166"/>
        <v>0.05</v>
      </c>
      <c r="N4301" s="475">
        <f t="shared" si="167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65"/>
        <v>-24646570255738.867</v>
      </c>
      <c r="J4302" s="455">
        <f t="array" ref="J4302">IFERROR(INDEX('Retirement Calculator'!K:K,MATCH('Lorri 401b'!N4302,'Retirement Calculator'!A:A,0),0),0)</f>
        <v>0</v>
      </c>
      <c r="K4302" s="455">
        <f t="shared" ca="1" si="163"/>
        <v>-102694042732.24529</v>
      </c>
      <c r="L4302" s="455">
        <f t="shared" ca="1" si="164"/>
        <v>-24749264298471.113</v>
      </c>
      <c r="M4302" s="471">
        <f t="shared" si="166"/>
        <v>0.05</v>
      </c>
      <c r="N4302" s="475">
        <f t="shared" si="167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65"/>
        <v>-24749264298471.113</v>
      </c>
      <c r="J4303" s="455">
        <f t="array" ref="J4303">IFERROR(INDEX('Retirement Calculator'!K:K,MATCH('Lorri 401b'!N4303,'Retirement Calculator'!A:A,0),0),0)</f>
        <v>0</v>
      </c>
      <c r="K4303" s="455">
        <f t="shared" ca="1" si="163"/>
        <v>-103121934576.96297</v>
      </c>
      <c r="L4303" s="455">
        <f t="shared" ca="1" si="164"/>
        <v>-24852386233048.078</v>
      </c>
      <c r="M4303" s="471">
        <f t="shared" si="166"/>
        <v>0.05</v>
      </c>
      <c r="N4303" s="475">
        <f t="shared" si="167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65"/>
        <v>-24852386233048.078</v>
      </c>
      <c r="J4304" s="455">
        <f t="array" ref="J4304">IFERROR(INDEX('Retirement Calculator'!K:K,MATCH('Lorri 401b'!N4304,'Retirement Calculator'!A:A,0),0),0)</f>
        <v>0</v>
      </c>
      <c r="K4304" s="455">
        <f t="shared" ca="1" si="163"/>
        <v>-103551609304.36699</v>
      </c>
      <c r="L4304" s="455">
        <f t="shared" ca="1" si="164"/>
        <v>-24955937842352.445</v>
      </c>
      <c r="M4304" s="471">
        <f t="shared" si="166"/>
        <v>0.05</v>
      </c>
      <c r="N4304" s="475">
        <f t="shared" si="167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65"/>
        <v>-24955937842352.445</v>
      </c>
      <c r="J4305" s="455">
        <f t="array" ref="J4305">IFERROR(INDEX('Retirement Calculator'!K:K,MATCH('Lorri 401b'!N4305,'Retirement Calculator'!A:A,0),0),0)</f>
        <v>0</v>
      </c>
      <c r="K4305" s="455">
        <f t="shared" ca="1" si="163"/>
        <v>-103983074343.13519</v>
      </c>
      <c r="L4305" s="455">
        <f t="shared" ca="1" si="164"/>
        <v>-25059920916695.582</v>
      </c>
      <c r="M4305" s="471">
        <f t="shared" si="166"/>
        <v>0.05</v>
      </c>
      <c r="N4305" s="475">
        <f t="shared" si="167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65"/>
        <v>-25059920916695.582</v>
      </c>
      <c r="J4306" s="455">
        <f t="array" ref="J4306">IFERROR(INDEX('Retirement Calculator'!K:K,MATCH('Lorri 401b'!N4306,'Retirement Calculator'!A:A,0),0),0)</f>
        <v>0</v>
      </c>
      <c r="K4306" s="455">
        <f t="shared" ca="1" si="163"/>
        <v>-104416337152.89825</v>
      </c>
      <c r="L4306" s="455">
        <f t="shared" ca="1" si="164"/>
        <v>-25164337253848.48</v>
      </c>
      <c r="M4306" s="471">
        <f t="shared" si="166"/>
        <v>0.05</v>
      </c>
      <c r="N4306" s="475">
        <f t="shared" si="167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65"/>
        <v>-25164337253848.48</v>
      </c>
      <c r="J4307" s="455">
        <f t="array" ref="J4307">IFERROR(INDEX('Retirement Calculator'!K:K,MATCH('Lorri 401b'!N4307,'Retirement Calculator'!A:A,0),0),0)</f>
        <v>0</v>
      </c>
      <c r="K4307" s="455">
        <f t="shared" ca="1" si="163"/>
        <v>-104851405224.36867</v>
      </c>
      <c r="L4307" s="455">
        <f t="shared" ca="1" si="164"/>
        <v>-25269188659072.848</v>
      </c>
      <c r="M4307" s="471">
        <f t="shared" si="166"/>
        <v>0.05</v>
      </c>
      <c r="N4307" s="475">
        <f t="shared" si="167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65"/>
        <v>-25269188659072.848</v>
      </c>
      <c r="J4308" s="455">
        <f t="array" ref="J4308">IFERROR(INDEX('Retirement Calculator'!K:K,MATCH('Lorri 401b'!N4308,'Retirement Calculator'!A:A,0),0),0)</f>
        <v>0</v>
      </c>
      <c r="K4308" s="455">
        <f t="shared" ca="1" si="163"/>
        <v>-105288286079.4702</v>
      </c>
      <c r="L4308" s="455">
        <f t="shared" ca="1" si="164"/>
        <v>-25374476945152.316</v>
      </c>
      <c r="M4308" s="471">
        <f t="shared" si="166"/>
        <v>0.05</v>
      </c>
      <c r="N4308" s="475">
        <f t="shared" si="167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65"/>
        <v>-25374476945152.316</v>
      </c>
      <c r="J4309" s="455">
        <f t="array" ref="J4309">IFERROR(INDEX('Retirement Calculator'!K:K,MATCH('Lorri 401b'!N4309,'Retirement Calculator'!A:A,0),0),0)</f>
        <v>0</v>
      </c>
      <c r="K4309" s="455">
        <f t="shared" ca="1" si="163"/>
        <v>-105726987271.46799</v>
      </c>
      <c r="L4309" s="455">
        <f t="shared" ca="1" si="164"/>
        <v>-25480203932423.785</v>
      </c>
      <c r="M4309" s="471">
        <f t="shared" si="166"/>
        <v>0.05</v>
      </c>
      <c r="N4309" s="475">
        <f t="shared" si="167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65"/>
        <v>-25480203932423.785</v>
      </c>
      <c r="J4310" s="455">
        <f t="array" ref="J4310">IFERROR(INDEX('Retirement Calculator'!K:K,MATCH('Lorri 401b'!N4310,'Retirement Calculator'!A:A,0),0),0)</f>
        <v>0</v>
      </c>
      <c r="K4310" s="455">
        <f t="shared" ca="1" si="163"/>
        <v>-106167516385.09911</v>
      </c>
      <c r="L4310" s="455">
        <f t="shared" ca="1" si="164"/>
        <v>-25586371448808.883</v>
      </c>
      <c r="M4310" s="471">
        <f t="shared" si="166"/>
        <v>0.05</v>
      </c>
      <c r="N4310" s="475">
        <f t="shared" si="167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65"/>
        <v>-25586371448808.883</v>
      </c>
      <c r="J4311" s="455">
        <f t="array" ref="J4311">IFERROR(INDEX('Retirement Calculator'!K:K,MATCH('Lorri 401b'!N4311,'Retirement Calculator'!A:A,0),0),0)</f>
        <v>0</v>
      </c>
      <c r="K4311" s="455">
        <f t="shared" ca="1" si="163"/>
        <v>-106609881036.70367</v>
      </c>
      <c r="L4311" s="455">
        <f t="shared" ca="1" si="164"/>
        <v>-25692981329845.586</v>
      </c>
      <c r="M4311" s="471">
        <f t="shared" si="166"/>
        <v>0.05</v>
      </c>
      <c r="N4311" s="475">
        <f t="shared" si="167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65"/>
        <v>-25692981329845.586</v>
      </c>
      <c r="J4312" s="455">
        <f t="array" ref="J4312">IFERROR(INDEX('Retirement Calculator'!K:K,MATCH('Lorri 401b'!N4312,'Retirement Calculator'!A:A,0),0),0)</f>
        <v>0</v>
      </c>
      <c r="K4312" s="455">
        <f t="shared" ca="1" si="163"/>
        <v>-107054088874.35661</v>
      </c>
      <c r="L4312" s="455">
        <f t="shared" ca="1" si="164"/>
        <v>-25800035418719.941</v>
      </c>
      <c r="M4312" s="471">
        <f t="shared" si="166"/>
        <v>0.05</v>
      </c>
      <c r="N4312" s="475">
        <f t="shared" si="167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65"/>
        <v>-25800035418719.941</v>
      </c>
      <c r="J4313" s="455">
        <f t="array" ref="J4313">IFERROR(INDEX('Retirement Calculator'!K:K,MATCH('Lorri 401b'!N4313,'Retirement Calculator'!A:A,0),0),0)</f>
        <v>0</v>
      </c>
      <c r="K4313" s="455">
        <f t="shared" ca="1" si="163"/>
        <v>-107500147577.99976</v>
      </c>
      <c r="L4313" s="455">
        <f t="shared" ca="1" si="164"/>
        <v>-25907535566297.941</v>
      </c>
      <c r="M4313" s="471">
        <f t="shared" si="166"/>
        <v>0.05</v>
      </c>
      <c r="N4313" s="475">
        <f t="shared" si="167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65"/>
        <v>-25907535566297.941</v>
      </c>
      <c r="J4314" s="455">
        <f t="array" ref="J4314">IFERROR(INDEX('Retirement Calculator'!K:K,MATCH('Lorri 401b'!N4314,'Retirement Calculator'!A:A,0),0),0)</f>
        <v>0</v>
      </c>
      <c r="K4314" s="455">
        <f t="shared" ca="1" si="163"/>
        <v>-107948064859.57475</v>
      </c>
      <c r="L4314" s="455">
        <f t="shared" ca="1" si="164"/>
        <v>-26015483631157.516</v>
      </c>
      <c r="M4314" s="471">
        <f t="shared" si="166"/>
        <v>0.05</v>
      </c>
      <c r="N4314" s="475">
        <f t="shared" si="167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65"/>
        <v>-26015483631157.516</v>
      </c>
      <c r="J4315" s="455">
        <f t="array" ref="J4315">IFERROR(INDEX('Retirement Calculator'!K:K,MATCH('Lorri 401b'!N4315,'Retirement Calculator'!A:A,0),0),0)</f>
        <v>0</v>
      </c>
      <c r="K4315" s="455">
        <f t="shared" ca="1" si="163"/>
        <v>-108397848463.15631</v>
      </c>
      <c r="L4315" s="455">
        <f t="shared" ca="1" si="164"/>
        <v>-26123881479620.672</v>
      </c>
      <c r="M4315" s="471">
        <f t="shared" si="166"/>
        <v>0.05</v>
      </c>
      <c r="N4315" s="475">
        <f t="shared" si="167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65"/>
        <v>-26123881479620.672</v>
      </c>
      <c r="J4316" s="455">
        <f t="array" ref="J4316">IFERROR(INDEX('Retirement Calculator'!K:K,MATCH('Lorri 401b'!N4316,'Retirement Calculator'!A:A,0),0),0)</f>
        <v>0</v>
      </c>
      <c r="K4316" s="455">
        <f t="shared" ca="1" si="163"/>
        <v>-108849506165.08614</v>
      </c>
      <c r="L4316" s="455">
        <f t="shared" ca="1" si="164"/>
        <v>-26232730985785.758</v>
      </c>
      <c r="M4316" s="471">
        <f t="shared" si="166"/>
        <v>0.05</v>
      </c>
      <c r="N4316" s="475">
        <f t="shared" si="167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65"/>
        <v>-26232730985785.758</v>
      </c>
      <c r="J4317" s="455">
        <f t="array" ref="J4317">IFERROR(INDEX('Retirement Calculator'!K:K,MATCH('Lorri 401b'!N4317,'Retirement Calculator'!A:A,0),0),0)</f>
        <v>0</v>
      </c>
      <c r="K4317" s="455">
        <f t="shared" ca="1" si="163"/>
        <v>-109303045774.10733</v>
      </c>
      <c r="L4317" s="455">
        <f t="shared" ca="1" si="164"/>
        <v>-26342034031559.863</v>
      </c>
      <c r="M4317" s="471">
        <f t="shared" si="166"/>
        <v>0.05</v>
      </c>
      <c r="N4317" s="475">
        <f t="shared" si="167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65"/>
        <v>-26342034031559.863</v>
      </c>
      <c r="J4318" s="455">
        <f t="array" ref="J4318">IFERROR(INDEX('Retirement Calculator'!K:K,MATCH('Lorri 401b'!N4318,'Retirement Calculator'!A:A,0),0),0)</f>
        <v>0</v>
      </c>
      <c r="K4318" s="455">
        <f t="shared" ca="1" si="163"/>
        <v>-109758475131.49944</v>
      </c>
      <c r="L4318" s="455">
        <f t="shared" ca="1" si="164"/>
        <v>-26451792506691.363</v>
      </c>
      <c r="M4318" s="471">
        <f t="shared" si="166"/>
        <v>0.05</v>
      </c>
      <c r="N4318" s="475">
        <f t="shared" si="167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65"/>
        <v>-26451792506691.363</v>
      </c>
      <c r="J4319" s="455">
        <f t="array" ref="J4319">IFERROR(INDEX('Retirement Calculator'!K:K,MATCH('Lorri 401b'!N4319,'Retirement Calculator'!A:A,0),0),0)</f>
        <v>0</v>
      </c>
      <c r="K4319" s="455">
        <f t="shared" ca="1" si="163"/>
        <v>-110215802111.21402</v>
      </c>
      <c r="L4319" s="455">
        <f t="shared" ca="1" si="164"/>
        <v>-26562008308802.578</v>
      </c>
      <c r="M4319" s="471">
        <f t="shared" si="166"/>
        <v>0.05</v>
      </c>
      <c r="N4319" s="475">
        <f t="shared" si="167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65"/>
        <v>-26562008308802.578</v>
      </c>
      <c r="J4320" s="455">
        <f t="array" ref="J4320">IFERROR(INDEX('Retirement Calculator'!K:K,MATCH('Lorri 401b'!N4320,'Retirement Calculator'!A:A,0),0),0)</f>
        <v>0</v>
      </c>
      <c r="K4320" s="455">
        <f t="shared" ca="1" si="163"/>
        <v>-110675034620.01074</v>
      </c>
      <c r="L4320" s="455">
        <f t="shared" ca="1" si="164"/>
        <v>-26672683343422.59</v>
      </c>
      <c r="M4320" s="471">
        <f t="shared" si="166"/>
        <v>0.05</v>
      </c>
      <c r="N4320" s="475">
        <f t="shared" si="167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65"/>
        <v>-26672683343422.59</v>
      </c>
      <c r="J4321" s="455">
        <f t="array" ref="J4321">IFERROR(INDEX('Retirement Calculator'!K:K,MATCH('Lorri 401b'!N4321,'Retirement Calculator'!A:A,0),0),0)</f>
        <v>0</v>
      </c>
      <c r="K4321" s="455">
        <f t="shared" ca="1" si="163"/>
        <v>-111136180597.59412</v>
      </c>
      <c r="L4321" s="455">
        <f t="shared" ca="1" si="164"/>
        <v>-26783819524020.184</v>
      </c>
      <c r="M4321" s="471">
        <f t="shared" si="166"/>
        <v>0.05</v>
      </c>
      <c r="N4321" s="475">
        <f t="shared" si="167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65"/>
        <v>-26783819524020.184</v>
      </c>
      <c r="J4322" s="455">
        <f t="array" ref="J4322">IFERROR(INDEX('Retirement Calculator'!K:K,MATCH('Lorri 401b'!N4322,'Retirement Calculator'!A:A,0),0),0)</f>
        <v>0</v>
      </c>
      <c r="K4322" s="455">
        <f t="shared" ca="1" si="163"/>
        <v>-111599248016.75076</v>
      </c>
      <c r="L4322" s="455">
        <f t="shared" ca="1" si="164"/>
        <v>-26895418772036.934</v>
      </c>
      <c r="M4322" s="471">
        <f t="shared" si="166"/>
        <v>0.05</v>
      </c>
      <c r="N4322" s="475">
        <f t="shared" si="167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65"/>
        <v>-26895418772036.934</v>
      </c>
      <c r="J4323" s="455">
        <f t="array" ref="J4323">IFERROR(INDEX('Retirement Calculator'!K:K,MATCH('Lorri 401b'!N4323,'Retirement Calculator'!A:A,0),0),0)</f>
        <v>0</v>
      </c>
      <c r="K4323" s="455">
        <f t="shared" ca="1" si="163"/>
        <v>-112064244883.48723</v>
      </c>
      <c r="L4323" s="455">
        <f t="shared" ca="1" si="164"/>
        <v>-27007483016920.422</v>
      </c>
      <c r="M4323" s="471">
        <f t="shared" si="166"/>
        <v>0.05</v>
      </c>
      <c r="N4323" s="475">
        <f t="shared" si="167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65"/>
        <v>-27007483016920.422</v>
      </c>
      <c r="J4324" s="455">
        <f t="array" ref="J4324">IFERROR(INDEX('Retirement Calculator'!K:K,MATCH('Lorri 401b'!N4324,'Retirement Calculator'!A:A,0),0),0)</f>
        <v>0</v>
      </c>
      <c r="K4324" s="455">
        <f t="shared" ca="1" si="163"/>
        <v>-112531179237.16843</v>
      </c>
      <c r="L4324" s="455">
        <f t="shared" ca="1" si="164"/>
        <v>-27120014196157.59</v>
      </c>
      <c r="M4324" s="471">
        <f t="shared" si="166"/>
        <v>0.05</v>
      </c>
      <c r="N4324" s="475">
        <f t="shared" si="167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65"/>
        <v>-27120014196157.59</v>
      </c>
      <c r="J4325" s="455">
        <f t="array" ref="J4325">IFERROR(INDEX('Retirement Calculator'!K:K,MATCH('Lorri 401b'!N4325,'Retirement Calculator'!A:A,0),0),0)</f>
        <v>0</v>
      </c>
      <c r="K4325" s="455">
        <f t="shared" ca="1" si="163"/>
        <v>-113000059150.65662</v>
      </c>
      <c r="L4325" s="455">
        <f t="shared" ca="1" si="164"/>
        <v>-27233014255308.246</v>
      </c>
      <c r="M4325" s="471">
        <f t="shared" si="166"/>
        <v>0.05</v>
      </c>
      <c r="N4325" s="475">
        <f t="shared" si="167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65"/>
        <v>-27233014255308.246</v>
      </c>
      <c r="J4326" s="455">
        <f t="array" ref="J4326">IFERROR(INDEX('Retirement Calculator'!K:K,MATCH('Lorri 401b'!N4326,'Retirement Calculator'!A:A,0),0),0)</f>
        <v>0</v>
      </c>
      <c r="K4326" s="455">
        <f t="shared" ca="1" si="163"/>
        <v>-113470892730.45102</v>
      </c>
      <c r="L4326" s="455">
        <f t="shared" ca="1" si="164"/>
        <v>-27346485148038.695</v>
      </c>
      <c r="M4326" s="471">
        <f t="shared" si="166"/>
        <v>0.05</v>
      </c>
      <c r="N4326" s="475">
        <f t="shared" si="167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65"/>
        <v>-27346485148038.695</v>
      </c>
      <c r="J4327" s="455">
        <f t="array" ref="J4327">IFERROR(INDEX('Retirement Calculator'!K:K,MATCH('Lorri 401b'!N4327,'Retirement Calculator'!A:A,0),0),0)</f>
        <v>0</v>
      </c>
      <c r="K4327" s="455">
        <f t="shared" ca="1" si="163"/>
        <v>-113943688116.8279</v>
      </c>
      <c r="L4327" s="455">
        <f t="shared" ca="1" si="164"/>
        <v>-27460428836155.523</v>
      </c>
      <c r="M4327" s="471">
        <f t="shared" si="166"/>
        <v>0.05</v>
      </c>
      <c r="N4327" s="475">
        <f t="shared" si="167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65"/>
        <v>-27460428836155.523</v>
      </c>
      <c r="J4328" s="455">
        <f t="array" ref="J4328">IFERROR(INDEX('Retirement Calculator'!K:K,MATCH('Lorri 401b'!N4328,'Retirement Calculator'!A:A,0),0),0)</f>
        <v>0</v>
      </c>
      <c r="K4328" s="455">
        <f t="shared" ca="1" si="163"/>
        <v>-114418453483.98137</v>
      </c>
      <c r="L4328" s="455">
        <f t="shared" ca="1" si="164"/>
        <v>-27574847289639.504</v>
      </c>
      <c r="M4328" s="471">
        <f t="shared" si="166"/>
        <v>0.05</v>
      </c>
      <c r="N4328" s="475">
        <f t="shared" si="167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65"/>
        <v>-27574847289639.504</v>
      </c>
      <c r="J4329" s="455">
        <f t="array" ref="J4329">IFERROR(INDEX('Retirement Calculator'!K:K,MATCH('Lorri 401b'!N4329,'Retirement Calculator'!A:A,0),0),0)</f>
        <v>0</v>
      </c>
      <c r="K4329" s="455">
        <f t="shared" ca="1" si="163"/>
        <v>-114895197040.1646</v>
      </c>
      <c r="L4329" s="455">
        <f t="shared" ca="1" si="164"/>
        <v>-27689742486679.668</v>
      </c>
      <c r="M4329" s="471">
        <f t="shared" si="166"/>
        <v>0.05</v>
      </c>
      <c r="N4329" s="475">
        <f t="shared" si="167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65"/>
        <v>-27689742486679.668</v>
      </c>
      <c r="J4330" s="455">
        <f t="array" ref="J4330">IFERROR(INDEX('Retirement Calculator'!K:K,MATCH('Lorri 401b'!N4330,'Retirement Calculator'!A:A,0),0),0)</f>
        <v>0</v>
      </c>
      <c r="K4330" s="455">
        <f t="shared" ca="1" si="163"/>
        <v>-115373927027.83192</v>
      </c>
      <c r="L4330" s="455">
        <f t="shared" ca="1" si="164"/>
        <v>-27805116413707.5</v>
      </c>
      <c r="M4330" s="471">
        <f t="shared" si="166"/>
        <v>0.05</v>
      </c>
      <c r="N4330" s="475">
        <f t="shared" si="167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65"/>
        <v>-27805116413707.5</v>
      </c>
      <c r="J4331" s="455">
        <f t="array" ref="J4331">IFERROR(INDEX('Retirement Calculator'!K:K,MATCH('Lorri 401b'!N4331,'Retirement Calculator'!A:A,0),0),0)</f>
        <v>0</v>
      </c>
      <c r="K4331" s="455">
        <f t="shared" ca="1" si="163"/>
        <v>-115854651723.78127</v>
      </c>
      <c r="L4331" s="455">
        <f t="shared" ca="1" si="164"/>
        <v>-27920971065431.281</v>
      </c>
      <c r="M4331" s="471">
        <f t="shared" si="166"/>
        <v>0.05</v>
      </c>
      <c r="N4331" s="475">
        <f t="shared" si="167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65"/>
        <v>-27920971065431.281</v>
      </c>
      <c r="J4332" s="455">
        <f t="array" ref="J4332">IFERROR(INDEX('Retirement Calculator'!K:K,MATCH('Lorri 401b'!N4332,'Retirement Calculator'!A:A,0),0),0)</f>
        <v>0</v>
      </c>
      <c r="K4332" s="455">
        <f t="shared" ca="1" si="163"/>
        <v>-116337379439.297</v>
      </c>
      <c r="L4332" s="455">
        <f t="shared" ca="1" si="164"/>
        <v>-28037308444870.578</v>
      </c>
      <c r="M4332" s="471">
        <f t="shared" si="166"/>
        <v>0.05</v>
      </c>
      <c r="N4332" s="475">
        <f t="shared" si="167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65"/>
        <v>-28037308444870.578</v>
      </c>
      <c r="J4333" s="455">
        <f t="array" ref="J4333">IFERROR(INDEX('Retirement Calculator'!K:K,MATCH('Lorri 401b'!N4333,'Retirement Calculator'!A:A,0),0),0)</f>
        <v>0</v>
      </c>
      <c r="K4333" s="455">
        <f t="shared" ca="1" si="163"/>
        <v>-116822118520.29407</v>
      </c>
      <c r="L4333" s="455">
        <f t="shared" ca="1" si="164"/>
        <v>-28154130563390.871</v>
      </c>
      <c r="M4333" s="471">
        <f t="shared" si="166"/>
        <v>0.05</v>
      </c>
      <c r="N4333" s="475">
        <f t="shared" si="167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65"/>
        <v>-28154130563390.871</v>
      </c>
      <c r="J4334" s="455">
        <f t="array" ref="J4334">IFERROR(INDEX('Retirement Calculator'!K:K,MATCH('Lorri 401b'!N4334,'Retirement Calculator'!A:A,0),0),0)</f>
        <v>0</v>
      </c>
      <c r="K4334" s="455">
        <f t="shared" ca="1" si="163"/>
        <v>-117308877347.46196</v>
      </c>
      <c r="L4334" s="455">
        <f t="shared" ca="1" si="164"/>
        <v>-28271439440738.332</v>
      </c>
      <c r="M4334" s="471">
        <f t="shared" si="166"/>
        <v>0.05</v>
      </c>
      <c r="N4334" s="475">
        <f t="shared" si="167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65"/>
        <v>-28271439440738.332</v>
      </c>
      <c r="J4335" s="455">
        <f t="array" ref="J4335">IFERROR(INDEX('Retirement Calculator'!K:K,MATCH('Lorri 401b'!N4335,'Retirement Calculator'!A:A,0),0),0)</f>
        <v>0</v>
      </c>
      <c r="K4335" s="455">
        <f t="shared" ca="1" si="163"/>
        <v>-117797664336.40973</v>
      </c>
      <c r="L4335" s="455">
        <f t="shared" ca="1" si="164"/>
        <v>-28389237105074.742</v>
      </c>
      <c r="M4335" s="471">
        <f t="shared" si="166"/>
        <v>0.05</v>
      </c>
      <c r="N4335" s="475">
        <f t="shared" si="167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65"/>
        <v>-28389237105074.742</v>
      </c>
      <c r="J4336" s="455">
        <f t="array" ref="J4336">IFERROR(INDEX('Retirement Calculator'!K:K,MATCH('Lorri 401b'!N4336,'Retirement Calculator'!A:A,0),0),0)</f>
        <v>0</v>
      </c>
      <c r="K4336" s="455">
        <f t="shared" ca="1" si="163"/>
        <v>-118288487937.81145</v>
      </c>
      <c r="L4336" s="455">
        <f t="shared" ca="1" si="164"/>
        <v>-28507525593012.555</v>
      </c>
      <c r="M4336" s="471">
        <f t="shared" si="166"/>
        <v>0.05</v>
      </c>
      <c r="N4336" s="475">
        <f t="shared" si="167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65"/>
        <v>-28507525593012.555</v>
      </c>
      <c r="J4337" s="455">
        <f t="array" ref="J4337">IFERROR(INDEX('Retirement Calculator'!K:K,MATCH('Lorri 401b'!N4337,'Retirement Calculator'!A:A,0),0),0)</f>
        <v>0</v>
      </c>
      <c r="K4337" s="455">
        <f t="shared" ca="1" si="163"/>
        <v>-118781356637.55231</v>
      </c>
      <c r="L4337" s="455">
        <f t="shared" ca="1" si="164"/>
        <v>-28626306949650.105</v>
      </c>
      <c r="M4337" s="471">
        <f t="shared" si="166"/>
        <v>0.05</v>
      </c>
      <c r="N4337" s="475">
        <f t="shared" si="167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65"/>
        <v>-28626306949650.105</v>
      </c>
      <c r="J4338" s="455">
        <f t="array" ref="J4338">IFERROR(INDEX('Retirement Calculator'!K:K,MATCH('Lorri 401b'!N4338,'Retirement Calculator'!A:A,0),0),0)</f>
        <v>0</v>
      </c>
      <c r="K4338" s="455">
        <f t="shared" ca="1" si="163"/>
        <v>-119276278956.87546</v>
      </c>
      <c r="L4338" s="455">
        <f t="shared" ca="1" si="164"/>
        <v>-28745583228606.98</v>
      </c>
      <c r="M4338" s="471">
        <f t="shared" si="166"/>
        <v>0.05</v>
      </c>
      <c r="N4338" s="475">
        <f t="shared" si="167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65"/>
        <v>-28745583228606.98</v>
      </c>
      <c r="J4339" s="455">
        <f t="array" ref="J4339">IFERROR(INDEX('Retirement Calculator'!K:K,MATCH('Lorri 401b'!N4339,'Retirement Calculator'!A:A,0),0),0)</f>
        <v>0</v>
      </c>
      <c r="K4339" s="455">
        <f t="shared" ca="1" si="163"/>
        <v>-119773263452.52907</v>
      </c>
      <c r="L4339" s="455">
        <f t="shared" ca="1" si="164"/>
        <v>-28865356492059.508</v>
      </c>
      <c r="M4339" s="471">
        <f t="shared" si="166"/>
        <v>0.05</v>
      </c>
      <c r="N4339" s="475">
        <f t="shared" si="167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65"/>
        <v>-28865356492059.508</v>
      </c>
      <c r="J4340" s="455">
        <f t="array" ref="J4340">IFERROR(INDEX('Retirement Calculator'!K:K,MATCH('Lorri 401b'!N4340,'Retirement Calculator'!A:A,0),0),0)</f>
        <v>0</v>
      </c>
      <c r="K4340" s="455">
        <f t="shared" ca="1" si="163"/>
        <v>-120272318716.91461</v>
      </c>
      <c r="L4340" s="455">
        <f t="shared" ca="1" si="164"/>
        <v>-28985628810776.422</v>
      </c>
      <c r="M4340" s="471">
        <f t="shared" si="166"/>
        <v>0.05</v>
      </c>
      <c r="N4340" s="475">
        <f t="shared" si="167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65"/>
        <v>-28985628810776.422</v>
      </c>
      <c r="J4341" s="455">
        <f t="array" ref="J4341">IFERROR(INDEX('Retirement Calculator'!K:K,MATCH('Lorri 401b'!N4341,'Retirement Calculator'!A:A,0),0),0)</f>
        <v>0</v>
      </c>
      <c r="K4341" s="455">
        <f t="shared" ca="1" si="163"/>
        <v>-120773453378.23508</v>
      </c>
      <c r="L4341" s="455">
        <f t="shared" ca="1" si="164"/>
        <v>-29106402264154.656</v>
      </c>
      <c r="M4341" s="471">
        <f t="shared" si="166"/>
        <v>0.05</v>
      </c>
      <c r="N4341" s="475">
        <f t="shared" si="167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65"/>
        <v>-29106402264154.656</v>
      </c>
      <c r="J4342" s="455">
        <f t="array" ref="J4342">IFERROR(INDEX('Retirement Calculator'!K:K,MATCH('Lorri 401b'!N4342,'Retirement Calculator'!A:A,0),0),0)</f>
        <v>0</v>
      </c>
      <c r="K4342" s="455">
        <f t="shared" ca="1" si="163"/>
        <v>-121276676100.64439</v>
      </c>
      <c r="L4342" s="455">
        <f t="shared" ca="1" si="164"/>
        <v>-29227678940255.301</v>
      </c>
      <c r="M4342" s="471">
        <f t="shared" si="166"/>
        <v>0.05</v>
      </c>
      <c r="N4342" s="475">
        <f t="shared" si="167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65"/>
        <v>-29227678940255.301</v>
      </c>
      <c r="J4343" s="455">
        <f t="array" ref="J4343">IFERROR(INDEX('Retirement Calculator'!K:K,MATCH('Lorri 401b'!N4343,'Retirement Calculator'!A:A,0),0),0)</f>
        <v>0</v>
      </c>
      <c r="K4343" s="455">
        <f t="shared" ref="K4343:K4597" ca="1" si="168">IPMT(M4343/12,1,12,-I4343+J4343,,0)</f>
        <v>-121781995584.39708</v>
      </c>
      <c r="L4343" s="455">
        <f t="shared" ref="L4343:L4597" ca="1" si="169">I4343-J4343+K4343</f>
        <v>-29349460935839.699</v>
      </c>
      <c r="M4343" s="471">
        <f t="shared" si="166"/>
        <v>0.05</v>
      </c>
      <c r="N4343" s="475">
        <f t="shared" si="167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70">L4343</f>
        <v>-29349460935839.699</v>
      </c>
      <c r="J4344" s="455">
        <f t="array" ref="J4344">IFERROR(INDEX('Retirement Calculator'!K:K,MATCH('Lorri 401b'!N4344,'Retirement Calculator'!A:A,0),0),0)</f>
        <v>0</v>
      </c>
      <c r="K4344" s="455">
        <f t="shared" ca="1" si="168"/>
        <v>-122289420565.99875</v>
      </c>
      <c r="L4344" s="455">
        <f t="shared" ca="1" si="169"/>
        <v>-29471750356405.699</v>
      </c>
      <c r="M4344" s="471">
        <f t="shared" ref="M4344:M4598" si="171">M4343</f>
        <v>0.05</v>
      </c>
      <c r="N4344" s="475">
        <f t="shared" ref="N4344:N4598" si="172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70"/>
        <v>-29471750356405.699</v>
      </c>
      <c r="J4345" s="455">
        <f t="array" ref="J4345">IFERROR(INDEX('Retirement Calculator'!K:K,MATCH('Lorri 401b'!N4345,'Retirement Calculator'!A:A,0),0),0)</f>
        <v>0</v>
      </c>
      <c r="K4345" s="455">
        <f t="shared" ca="1" si="168"/>
        <v>-122798959818.35707</v>
      </c>
      <c r="L4345" s="455">
        <f t="shared" ca="1" si="169"/>
        <v>-29594549316224.055</v>
      </c>
      <c r="M4345" s="471">
        <f t="shared" si="171"/>
        <v>0.05</v>
      </c>
      <c r="N4345" s="475">
        <f t="shared" si="172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70"/>
        <v>-29594549316224.055</v>
      </c>
      <c r="J4346" s="455">
        <f t="array" ref="J4346">IFERROR(INDEX('Retirement Calculator'!K:K,MATCH('Lorri 401b'!N4346,'Retirement Calculator'!A:A,0),0),0)</f>
        <v>0</v>
      </c>
      <c r="K4346" s="455">
        <f t="shared" ca="1" si="168"/>
        <v>-123310622150.93356</v>
      </c>
      <c r="L4346" s="455">
        <f t="shared" ca="1" si="169"/>
        <v>-29717859938374.988</v>
      </c>
      <c r="M4346" s="471">
        <f t="shared" si="171"/>
        <v>0.05</v>
      </c>
      <c r="N4346" s="475">
        <f t="shared" si="172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70"/>
        <v>-29717859938374.988</v>
      </c>
      <c r="J4347" s="455">
        <f t="array" ref="J4347">IFERROR(INDEX('Retirement Calculator'!K:K,MATCH('Lorri 401b'!N4347,'Retirement Calculator'!A:A,0),0),0)</f>
        <v>0</v>
      </c>
      <c r="K4347" s="455">
        <f t="shared" ca="1" si="168"/>
        <v>-123824416409.89578</v>
      </c>
      <c r="L4347" s="455">
        <f t="shared" ca="1" si="169"/>
        <v>-29841684354784.883</v>
      </c>
      <c r="M4347" s="471">
        <f t="shared" si="171"/>
        <v>0.05</v>
      </c>
      <c r="N4347" s="475">
        <f t="shared" si="172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70"/>
        <v>-29841684354784.883</v>
      </c>
      <c r="J4348" s="455">
        <f t="array" ref="J4348">IFERROR(INDEX('Retirement Calculator'!K:K,MATCH('Lorri 401b'!N4348,'Retirement Calculator'!A:A,0),0),0)</f>
        <v>0</v>
      </c>
      <c r="K4348" s="455">
        <f t="shared" ca="1" si="168"/>
        <v>-124340351478.27034</v>
      </c>
      <c r="L4348" s="455">
        <f t="shared" ca="1" si="169"/>
        <v>-29966024706263.152</v>
      </c>
      <c r="M4348" s="471">
        <f t="shared" si="171"/>
        <v>0.05</v>
      </c>
      <c r="N4348" s="475">
        <f t="shared" si="172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70"/>
        <v>-29966024706263.152</v>
      </c>
      <c r="J4349" s="455">
        <f t="array" ref="J4349">IFERROR(INDEX('Retirement Calculator'!K:K,MATCH('Lorri 401b'!N4349,'Retirement Calculator'!A:A,0),0),0)</f>
        <v>0</v>
      </c>
      <c r="K4349" s="455">
        <f t="shared" ca="1" si="168"/>
        <v>-124858436276.09645</v>
      </c>
      <c r="L4349" s="455">
        <f t="shared" ca="1" si="169"/>
        <v>-30090883142539.25</v>
      </c>
      <c r="M4349" s="471">
        <f t="shared" si="171"/>
        <v>0.05</v>
      </c>
      <c r="N4349" s="475">
        <f t="shared" si="172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70"/>
        <v>-30090883142539.25</v>
      </c>
      <c r="J4350" s="455">
        <f t="array" ref="J4350">IFERROR(INDEX('Retirement Calculator'!K:K,MATCH('Lorri 401b'!N4350,'Retirement Calculator'!A:A,0),0),0)</f>
        <v>0</v>
      </c>
      <c r="K4350" s="455">
        <f t="shared" ca="1" si="168"/>
        <v>-125378679760.5802</v>
      </c>
      <c r="L4350" s="455">
        <f t="shared" ca="1" si="169"/>
        <v>-30216261822299.832</v>
      </c>
      <c r="M4350" s="471">
        <f t="shared" si="171"/>
        <v>0.05</v>
      </c>
      <c r="N4350" s="475">
        <f t="shared" si="172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70"/>
        <v>-30216261822299.832</v>
      </c>
      <c r="J4351" s="455">
        <f t="array" ref="J4351">IFERROR(INDEX('Retirement Calculator'!K:K,MATCH('Lorri 401b'!N4351,'Retirement Calculator'!A:A,0),0),0)</f>
        <v>0</v>
      </c>
      <c r="K4351" s="455">
        <f t="shared" ca="1" si="168"/>
        <v>-125901090926.2493</v>
      </c>
      <c r="L4351" s="455">
        <f t="shared" ca="1" si="169"/>
        <v>-30342162913226.082</v>
      </c>
      <c r="M4351" s="471">
        <f t="shared" si="171"/>
        <v>0.05</v>
      </c>
      <c r="N4351" s="475">
        <f t="shared" si="172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70"/>
        <v>-30342162913226.082</v>
      </c>
      <c r="J4352" s="455">
        <f t="array" ref="J4352">IFERROR(INDEX('Retirement Calculator'!K:K,MATCH('Lorri 401b'!N4352,'Retirement Calculator'!A:A,0),0),0)</f>
        <v>0</v>
      </c>
      <c r="K4352" s="455">
        <f t="shared" ca="1" si="168"/>
        <v>-126425678805.10867</v>
      </c>
      <c r="L4352" s="455">
        <f t="shared" ca="1" si="169"/>
        <v>-30468588592031.191</v>
      </c>
      <c r="M4352" s="471">
        <f t="shared" si="171"/>
        <v>0.05</v>
      </c>
      <c r="N4352" s="475">
        <f t="shared" si="172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70"/>
        <v>-30468588592031.191</v>
      </c>
      <c r="J4353" s="455">
        <f t="array" ref="J4353">IFERROR(INDEX('Retirement Calculator'!K:K,MATCH('Lorri 401b'!N4353,'Retirement Calculator'!A:A,0),0),0)</f>
        <v>0</v>
      </c>
      <c r="K4353" s="455">
        <f t="shared" ca="1" si="168"/>
        <v>-126952452466.79665</v>
      </c>
      <c r="L4353" s="455">
        <f t="shared" ca="1" si="169"/>
        <v>-30595541044497.988</v>
      </c>
      <c r="M4353" s="471">
        <f t="shared" si="171"/>
        <v>0.05</v>
      </c>
      <c r="N4353" s="475">
        <f t="shared" si="172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70"/>
        <v>-30595541044497.988</v>
      </c>
      <c r="J4354" s="455">
        <f t="array" ref="J4354">IFERROR(INDEX('Retirement Calculator'!K:K,MATCH('Lorri 401b'!N4354,'Retirement Calculator'!A:A,0),0),0)</f>
        <v>0</v>
      </c>
      <c r="K4354" s="455">
        <f t="shared" ca="1" si="168"/>
        <v>-127481421018.74159</v>
      </c>
      <c r="L4354" s="455">
        <f t="shared" ca="1" si="169"/>
        <v>-30723022465516.73</v>
      </c>
      <c r="M4354" s="471">
        <f t="shared" si="171"/>
        <v>0.05</v>
      </c>
      <c r="N4354" s="475">
        <f t="shared" si="172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70"/>
        <v>-30723022465516.73</v>
      </c>
      <c r="J4355" s="455">
        <f t="array" ref="J4355">IFERROR(INDEX('Retirement Calculator'!K:K,MATCH('Lorri 401b'!N4355,'Retirement Calculator'!A:A,0),0),0)</f>
        <v>0</v>
      </c>
      <c r="K4355" s="455">
        <f t="shared" ca="1" si="168"/>
        <v>-128012593606.3197</v>
      </c>
      <c r="L4355" s="455">
        <f t="shared" ca="1" si="169"/>
        <v>-30851035059123.051</v>
      </c>
      <c r="M4355" s="471">
        <f t="shared" si="171"/>
        <v>0.05</v>
      </c>
      <c r="N4355" s="475">
        <f t="shared" si="172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70"/>
        <v>-30851035059123.051</v>
      </c>
      <c r="J4356" s="455">
        <f t="array" ref="J4356">IFERROR(INDEX('Retirement Calculator'!K:K,MATCH('Lorri 401b'!N4356,'Retirement Calculator'!A:A,0),0),0)</f>
        <v>0</v>
      </c>
      <c r="K4356" s="455">
        <f t="shared" ca="1" si="168"/>
        <v>-128545979413.01271</v>
      </c>
      <c r="L4356" s="455">
        <f t="shared" ca="1" si="169"/>
        <v>-30979581038536.063</v>
      </c>
      <c r="M4356" s="471">
        <f t="shared" si="171"/>
        <v>0.05</v>
      </c>
      <c r="N4356" s="475">
        <f t="shared" si="172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70"/>
        <v>-30979581038536.063</v>
      </c>
      <c r="J4357" s="455">
        <f t="array" ref="J4357">IFERROR(INDEX('Retirement Calculator'!K:K,MATCH('Lorri 401b'!N4357,'Retirement Calculator'!A:A,0),0),0)</f>
        <v>0</v>
      </c>
      <c r="K4357" s="455">
        <f t="shared" ca="1" si="168"/>
        <v>-129081587660.56693</v>
      </c>
      <c r="L4357" s="455">
        <f t="shared" ca="1" si="169"/>
        <v>-31108662626196.629</v>
      </c>
      <c r="M4357" s="471">
        <f t="shared" si="171"/>
        <v>0.05</v>
      </c>
      <c r="N4357" s="475">
        <f t="shared" si="172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70"/>
        <v>-31108662626196.629</v>
      </c>
      <c r="J4358" s="455">
        <f t="array" ref="J4358">IFERROR(INDEX('Retirement Calculator'!K:K,MATCH('Lorri 401b'!N4358,'Retirement Calculator'!A:A,0),0),0)</f>
        <v>0</v>
      </c>
      <c r="K4358" s="455">
        <f t="shared" ca="1" si="168"/>
        <v>-129619427609.15262</v>
      </c>
      <c r="L4358" s="455">
        <f t="shared" ca="1" si="169"/>
        <v>-31238282053805.781</v>
      </c>
      <c r="M4358" s="471">
        <f t="shared" si="171"/>
        <v>0.05</v>
      </c>
      <c r="N4358" s="475">
        <f t="shared" si="172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70"/>
        <v>-31238282053805.781</v>
      </c>
      <c r="J4359" s="455">
        <f t="array" ref="J4359">IFERROR(INDEX('Retirement Calculator'!K:K,MATCH('Lorri 401b'!N4359,'Retirement Calculator'!A:A,0),0),0)</f>
        <v>0</v>
      </c>
      <c r="K4359" s="455">
        <f t="shared" ca="1" si="168"/>
        <v>-130159508557.52409</v>
      </c>
      <c r="L4359" s="455">
        <f t="shared" ca="1" si="169"/>
        <v>-31368441562363.305</v>
      </c>
      <c r="M4359" s="471">
        <f t="shared" si="171"/>
        <v>0.05</v>
      </c>
      <c r="N4359" s="475">
        <f t="shared" si="172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70"/>
        <v>-31368441562363.305</v>
      </c>
      <c r="J4360" s="455">
        <f t="array" ref="J4360">IFERROR(INDEX('Retirement Calculator'!K:K,MATCH('Lorri 401b'!N4360,'Retirement Calculator'!A:A,0),0),0)</f>
        <v>0</v>
      </c>
      <c r="K4360" s="455">
        <f t="shared" ca="1" si="168"/>
        <v>-130701839843.18044</v>
      </c>
      <c r="L4360" s="455">
        <f t="shared" ca="1" si="169"/>
        <v>-31499143402206.484</v>
      </c>
      <c r="M4360" s="471">
        <f t="shared" si="171"/>
        <v>0.05</v>
      </c>
      <c r="N4360" s="475">
        <f t="shared" si="172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70"/>
        <v>-31499143402206.484</v>
      </c>
      <c r="J4361" s="455">
        <f t="array" ref="J4361">IFERROR(INDEX('Retirement Calculator'!K:K,MATCH('Lorri 401b'!N4361,'Retirement Calculator'!A:A,0),0),0)</f>
        <v>0</v>
      </c>
      <c r="K4361" s="455">
        <f t="shared" ca="1" si="168"/>
        <v>-131246430842.52702</v>
      </c>
      <c r="L4361" s="455">
        <f t="shared" ca="1" si="169"/>
        <v>-31630389833049.012</v>
      </c>
      <c r="M4361" s="471">
        <f t="shared" si="171"/>
        <v>0.05</v>
      </c>
      <c r="N4361" s="475">
        <f t="shared" si="172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70"/>
        <v>-31630389833049.012</v>
      </c>
      <c r="J4362" s="455">
        <f t="array" ref="J4362">IFERROR(INDEX('Retirement Calculator'!K:K,MATCH('Lorri 401b'!N4362,'Retirement Calculator'!A:A,0),0),0)</f>
        <v>0</v>
      </c>
      <c r="K4362" s="455">
        <f t="shared" ca="1" si="168"/>
        <v>-131793290971.03757</v>
      </c>
      <c r="L4362" s="455">
        <f t="shared" ca="1" si="169"/>
        <v>-31762183124020.051</v>
      </c>
      <c r="M4362" s="471">
        <f t="shared" si="171"/>
        <v>0.05</v>
      </c>
      <c r="N4362" s="475">
        <f t="shared" si="172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70"/>
        <v>-31762183124020.051</v>
      </c>
      <c r="J4363" s="455">
        <f t="array" ref="J4363">IFERROR(INDEX('Retirement Calculator'!K:K,MATCH('Lorri 401b'!N4363,'Retirement Calculator'!A:A,0),0),0)</f>
        <v>0</v>
      </c>
      <c r="K4363" s="455">
        <f t="shared" ca="1" si="168"/>
        <v>-132342429683.41689</v>
      </c>
      <c r="L4363" s="455">
        <f t="shared" ca="1" si="169"/>
        <v>-31894525553703.469</v>
      </c>
      <c r="M4363" s="471">
        <f t="shared" si="171"/>
        <v>0.05</v>
      </c>
      <c r="N4363" s="475">
        <f t="shared" si="172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70"/>
        <v>-31894525553703.469</v>
      </c>
      <c r="J4364" s="455">
        <f t="array" ref="J4364">IFERROR(INDEX('Retirement Calculator'!K:K,MATCH('Lorri 401b'!N4364,'Retirement Calculator'!A:A,0),0),0)</f>
        <v>0</v>
      </c>
      <c r="K4364" s="455">
        <f t="shared" ca="1" si="168"/>
        <v>-132893856473.76445</v>
      </c>
      <c r="L4364" s="455">
        <f t="shared" ca="1" si="169"/>
        <v>-32027419410177.234</v>
      </c>
      <c r="M4364" s="471">
        <f t="shared" si="171"/>
        <v>0.05</v>
      </c>
      <c r="N4364" s="475">
        <f t="shared" si="172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70"/>
        <v>-32027419410177.234</v>
      </c>
      <c r="J4365" s="455">
        <f t="array" ref="J4365">IFERROR(INDEX('Retirement Calculator'!K:K,MATCH('Lorri 401b'!N4365,'Retirement Calculator'!A:A,0),0),0)</f>
        <v>0</v>
      </c>
      <c r="K4365" s="455">
        <f t="shared" ca="1" si="168"/>
        <v>-133447580875.73848</v>
      </c>
      <c r="L4365" s="455">
        <f t="shared" ca="1" si="169"/>
        <v>-32160866991052.973</v>
      </c>
      <c r="M4365" s="471">
        <f t="shared" si="171"/>
        <v>0.05</v>
      </c>
      <c r="N4365" s="475">
        <f t="shared" si="172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70"/>
        <v>-32160866991052.973</v>
      </c>
      <c r="J4366" s="455">
        <f t="array" ref="J4366">IFERROR(INDEX('Retirement Calculator'!K:K,MATCH('Lorri 401b'!N4366,'Retirement Calculator'!A:A,0),0),0)</f>
        <v>0</v>
      </c>
      <c r="K4366" s="455">
        <f t="shared" ca="1" si="168"/>
        <v>-134003612462.72073</v>
      </c>
      <c r="L4366" s="455">
        <f t="shared" ca="1" si="169"/>
        <v>-32294870603515.695</v>
      </c>
      <c r="M4366" s="471">
        <f t="shared" si="171"/>
        <v>0.05</v>
      </c>
      <c r="N4366" s="475">
        <f t="shared" si="172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70"/>
        <v>-32294870603515.695</v>
      </c>
      <c r="J4367" s="455">
        <f t="array" ref="J4367">IFERROR(INDEX('Retirement Calculator'!K:K,MATCH('Lorri 401b'!N4367,'Retirement Calculator'!A:A,0),0),0)</f>
        <v>0</v>
      </c>
      <c r="K4367" s="455">
        <f t="shared" ca="1" si="168"/>
        <v>-134561960847.98206</v>
      </c>
      <c r="L4367" s="455">
        <f t="shared" ca="1" si="169"/>
        <v>-32429432564363.676</v>
      </c>
      <c r="M4367" s="471">
        <f t="shared" si="171"/>
        <v>0.05</v>
      </c>
      <c r="N4367" s="475">
        <f t="shared" si="172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70"/>
        <v>-32429432564363.676</v>
      </c>
      <c r="J4368" s="455">
        <f t="array" ref="J4368">IFERROR(INDEX('Retirement Calculator'!K:K,MATCH('Lorri 401b'!N4368,'Retirement Calculator'!A:A,0),0),0)</f>
        <v>0</v>
      </c>
      <c r="K4368" s="455">
        <f t="shared" ca="1" si="168"/>
        <v>-135122635684.84866</v>
      </c>
      <c r="L4368" s="455">
        <f t="shared" ca="1" si="169"/>
        <v>-32564555200048.523</v>
      </c>
      <c r="M4368" s="471">
        <f t="shared" si="171"/>
        <v>0.05</v>
      </c>
      <c r="N4368" s="475">
        <f t="shared" si="172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70"/>
        <v>-32564555200048.523</v>
      </c>
      <c r="J4369" s="455">
        <f t="array" ref="J4369">IFERROR(INDEX('Retirement Calculator'!K:K,MATCH('Lorri 401b'!N4369,'Retirement Calculator'!A:A,0),0),0)</f>
        <v>0</v>
      </c>
      <c r="K4369" s="455">
        <f t="shared" ca="1" si="168"/>
        <v>-135685646666.86885</v>
      </c>
      <c r="L4369" s="455">
        <f t="shared" ca="1" si="169"/>
        <v>-32700240846715.391</v>
      </c>
      <c r="M4369" s="471">
        <f t="shared" si="171"/>
        <v>0.05</v>
      </c>
      <c r="N4369" s="475">
        <f t="shared" si="172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70"/>
        <v>-32700240846715.391</v>
      </c>
      <c r="J4370" s="455">
        <f t="array" ref="J4370">IFERROR(INDEX('Retirement Calculator'!K:K,MATCH('Lorri 401b'!N4370,'Retirement Calculator'!A:A,0),0),0)</f>
        <v>0</v>
      </c>
      <c r="K4370" s="455">
        <f t="shared" ca="1" si="168"/>
        <v>-136251003527.98077</v>
      </c>
      <c r="L4370" s="455">
        <f t="shared" ca="1" si="169"/>
        <v>-32836491850243.371</v>
      </c>
      <c r="M4370" s="471">
        <f t="shared" si="171"/>
        <v>0.05</v>
      </c>
      <c r="N4370" s="475">
        <f t="shared" si="172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70"/>
        <v>-32836491850243.371</v>
      </c>
      <c r="J4371" s="455">
        <f t="array" ref="J4371">IFERROR(INDEX('Retirement Calculator'!K:K,MATCH('Lorri 401b'!N4371,'Retirement Calculator'!A:A,0),0),0)</f>
        <v>0</v>
      </c>
      <c r="K4371" s="455">
        <f t="shared" ca="1" si="168"/>
        <v>-136818716042.68071</v>
      </c>
      <c r="L4371" s="455">
        <f t="shared" ca="1" si="169"/>
        <v>-32973310566286.051</v>
      </c>
      <c r="M4371" s="471">
        <f t="shared" si="171"/>
        <v>0.05</v>
      </c>
      <c r="N4371" s="475">
        <f t="shared" si="172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70"/>
        <v>-32973310566286.051</v>
      </c>
      <c r="J4372" s="455">
        <f t="array" ref="J4372">IFERROR(INDEX('Retirement Calculator'!K:K,MATCH('Lorri 401b'!N4372,'Retirement Calculator'!A:A,0),0),0)</f>
        <v>0</v>
      </c>
      <c r="K4372" s="455">
        <f t="shared" ca="1" si="168"/>
        <v>-137388794026.19186</v>
      </c>
      <c r="L4372" s="455">
        <f t="shared" ca="1" si="169"/>
        <v>-33110699360312.242</v>
      </c>
      <c r="M4372" s="471">
        <f t="shared" si="171"/>
        <v>0.05</v>
      </c>
      <c r="N4372" s="475">
        <f t="shared" si="172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70"/>
        <v>-33110699360312.242</v>
      </c>
      <c r="J4373" s="455">
        <f t="array" ref="J4373">IFERROR(INDEX('Retirement Calculator'!K:K,MATCH('Lorri 401b'!N4373,'Retirement Calculator'!A:A,0),0),0)</f>
        <v>0</v>
      </c>
      <c r="K4373" s="455">
        <f t="shared" ca="1" si="168"/>
        <v>-137961247334.63434</v>
      </c>
      <c r="L4373" s="455">
        <f t="shared" ca="1" si="169"/>
        <v>-33248660607646.875</v>
      </c>
      <c r="M4373" s="471">
        <f t="shared" si="171"/>
        <v>0.05</v>
      </c>
      <c r="N4373" s="475">
        <f t="shared" si="172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70"/>
        <v>-33248660607646.875</v>
      </c>
      <c r="J4374" s="455">
        <f t="array" ref="J4374">IFERROR(INDEX('Retirement Calculator'!K:K,MATCH('Lorri 401b'!N4374,'Retirement Calculator'!A:A,0),0),0)</f>
        <v>0</v>
      </c>
      <c r="K4374" s="455">
        <f t="shared" ca="1" si="168"/>
        <v>-138536085865.19531</v>
      </c>
      <c r="L4374" s="455">
        <f t="shared" ca="1" si="169"/>
        <v>-33387196693512.07</v>
      </c>
      <c r="M4374" s="471">
        <f t="shared" si="171"/>
        <v>0.05</v>
      </c>
      <c r="N4374" s="475">
        <f t="shared" si="172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70"/>
        <v>-33387196693512.07</v>
      </c>
      <c r="J4375" s="455">
        <f t="array" ref="J4375">IFERROR(INDEX('Retirement Calculator'!K:K,MATCH('Lorri 401b'!N4375,'Retirement Calculator'!A:A,0),0),0)</f>
        <v>0</v>
      </c>
      <c r="K4375" s="455">
        <f t="shared" ca="1" si="168"/>
        <v>-139113319556.30029</v>
      </c>
      <c r="L4375" s="455">
        <f t="shared" ca="1" si="169"/>
        <v>-33526310013068.371</v>
      </c>
      <c r="M4375" s="471">
        <f t="shared" si="171"/>
        <v>0.05</v>
      </c>
      <c r="N4375" s="475">
        <f t="shared" si="172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70"/>
        <v>-33526310013068.371</v>
      </c>
      <c r="J4376" s="455">
        <f t="array" ref="J4376">IFERROR(INDEX('Retirement Calculator'!K:K,MATCH('Lorri 401b'!N4376,'Retirement Calculator'!A:A,0),0),0)</f>
        <v>0</v>
      </c>
      <c r="K4376" s="455">
        <f t="shared" ca="1" si="168"/>
        <v>-139692958387.78488</v>
      </c>
      <c r="L4376" s="455">
        <f t="shared" ca="1" si="169"/>
        <v>-33666002971456.156</v>
      </c>
      <c r="M4376" s="471">
        <f t="shared" si="171"/>
        <v>0.05</v>
      </c>
      <c r="N4376" s="475">
        <f t="shared" si="172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70"/>
        <v>-33666002971456.156</v>
      </c>
      <c r="J4377" s="455">
        <f t="array" ref="J4377">IFERROR(INDEX('Retirement Calculator'!K:K,MATCH('Lorri 401b'!N4377,'Retirement Calculator'!A:A,0),0),0)</f>
        <v>0</v>
      </c>
      <c r="K4377" s="455">
        <f t="shared" ca="1" si="168"/>
        <v>-140275012381.06732</v>
      </c>
      <c r="L4377" s="455">
        <f t="shared" ca="1" si="169"/>
        <v>-33806277983837.223</v>
      </c>
      <c r="M4377" s="471">
        <f t="shared" si="171"/>
        <v>0.05</v>
      </c>
      <c r="N4377" s="475">
        <f t="shared" si="172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70"/>
        <v>-33806277983837.223</v>
      </c>
      <c r="J4378" s="455">
        <f t="array" ref="J4378">IFERROR(INDEX('Retirement Calculator'!K:K,MATCH('Lorri 401b'!N4378,'Retirement Calculator'!A:A,0),0),0)</f>
        <v>0</v>
      </c>
      <c r="K4378" s="455">
        <f t="shared" ca="1" si="168"/>
        <v>-140859491599.32175</v>
      </c>
      <c r="L4378" s="455">
        <f t="shared" ca="1" si="169"/>
        <v>-33947137475436.543</v>
      </c>
      <c r="M4378" s="471">
        <f t="shared" si="171"/>
        <v>0.05</v>
      </c>
      <c r="N4378" s="475">
        <f t="shared" si="172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70"/>
        <v>-33947137475436.543</v>
      </c>
      <c r="J4379" s="455">
        <f t="array" ref="J4379">IFERROR(INDEX('Retirement Calculator'!K:K,MATCH('Lorri 401b'!N4379,'Retirement Calculator'!A:A,0),0),0)</f>
        <v>0</v>
      </c>
      <c r="K4379" s="455">
        <f t="shared" ca="1" si="168"/>
        <v>-141446406147.65225</v>
      </c>
      <c r="L4379" s="455">
        <f t="shared" ca="1" si="169"/>
        <v>-34088583881584.195</v>
      </c>
      <c r="M4379" s="471">
        <f t="shared" si="171"/>
        <v>0.05</v>
      </c>
      <c r="N4379" s="475">
        <f t="shared" si="172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70"/>
        <v>-34088583881584.195</v>
      </c>
      <c r="J4380" s="455">
        <f t="array" ref="J4380">IFERROR(INDEX('Retirement Calculator'!K:K,MATCH('Lorri 401b'!N4380,'Retirement Calculator'!A:A,0),0),0)</f>
        <v>0</v>
      </c>
      <c r="K4380" s="455">
        <f t="shared" ca="1" si="168"/>
        <v>-142035766173.26749</v>
      </c>
      <c r="L4380" s="455">
        <f t="shared" ca="1" si="169"/>
        <v>-34230619647757.461</v>
      </c>
      <c r="M4380" s="471">
        <f t="shared" si="171"/>
        <v>0.05</v>
      </c>
      <c r="N4380" s="475">
        <f t="shared" si="172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70"/>
        <v>-34230619647757.461</v>
      </c>
      <c r="J4381" s="455">
        <f t="array" ref="J4381">IFERROR(INDEX('Retirement Calculator'!K:K,MATCH('Lorri 401b'!N4381,'Retirement Calculator'!A:A,0),0),0)</f>
        <v>0</v>
      </c>
      <c r="K4381" s="455">
        <f t="shared" ca="1" si="168"/>
        <v>-142627581865.6561</v>
      </c>
      <c r="L4381" s="455">
        <f t="shared" ca="1" si="169"/>
        <v>-34373247229623.117</v>
      </c>
      <c r="M4381" s="471">
        <f t="shared" si="171"/>
        <v>0.05</v>
      </c>
      <c r="N4381" s="475">
        <f t="shared" si="172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70"/>
        <v>-34373247229623.117</v>
      </c>
      <c r="J4382" s="455">
        <f t="array" ref="J4382">IFERROR(INDEX('Retirement Calculator'!K:K,MATCH('Lorri 401b'!N4382,'Retirement Calculator'!A:A,0),0),0)</f>
        <v>0</v>
      </c>
      <c r="K4382" s="455">
        <f t="shared" ca="1" si="168"/>
        <v>-143221863456.763</v>
      </c>
      <c r="L4382" s="455">
        <f t="shared" ca="1" si="169"/>
        <v>-34516469093079.879</v>
      </c>
      <c r="M4382" s="471">
        <f t="shared" si="171"/>
        <v>0.05</v>
      </c>
      <c r="N4382" s="475">
        <f t="shared" si="172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70"/>
        <v>-34516469093079.879</v>
      </c>
      <c r="J4383" s="455">
        <f t="array" ref="J4383">IFERROR(INDEX('Retirement Calculator'!K:K,MATCH('Lorri 401b'!N4383,'Retirement Calculator'!A:A,0),0),0)</f>
        <v>0</v>
      </c>
      <c r="K4383" s="455">
        <f t="shared" ca="1" si="168"/>
        <v>-143818621221.16617</v>
      </c>
      <c r="L4383" s="455">
        <f t="shared" ca="1" si="169"/>
        <v>-34660287714301.047</v>
      </c>
      <c r="M4383" s="471">
        <f t="shared" si="171"/>
        <v>0.05</v>
      </c>
      <c r="N4383" s="475">
        <f t="shared" si="172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70"/>
        <v>-34660287714301.047</v>
      </c>
      <c r="J4384" s="455">
        <f t="array" ref="J4384">IFERROR(INDEX('Retirement Calculator'!K:K,MATCH('Lorri 401b'!N4384,'Retirement Calculator'!A:A,0),0),0)</f>
        <v>0</v>
      </c>
      <c r="K4384" s="455">
        <f t="shared" ca="1" si="168"/>
        <v>-144417865476.25436</v>
      </c>
      <c r="L4384" s="455">
        <f t="shared" ca="1" si="169"/>
        <v>-34804705579777.301</v>
      </c>
      <c r="M4384" s="471">
        <f t="shared" si="171"/>
        <v>0.05</v>
      </c>
      <c r="N4384" s="475">
        <f t="shared" si="172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70"/>
        <v>-34804705579777.301</v>
      </c>
      <c r="J4385" s="455">
        <f t="array" ref="J4385">IFERROR(INDEX('Retirement Calculator'!K:K,MATCH('Lorri 401b'!N4385,'Retirement Calculator'!A:A,0),0),0)</f>
        <v>0</v>
      </c>
      <c r="K4385" s="455">
        <f t="shared" ca="1" si="168"/>
        <v>-145019606582.4054</v>
      </c>
      <c r="L4385" s="455">
        <f t="shared" ca="1" si="169"/>
        <v>-34949725186359.707</v>
      </c>
      <c r="M4385" s="471">
        <f t="shared" si="171"/>
        <v>0.05</v>
      </c>
      <c r="N4385" s="475">
        <f t="shared" si="172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70"/>
        <v>-34949725186359.707</v>
      </c>
      <c r="J4386" s="455">
        <f t="array" ref="J4386">IFERROR(INDEX('Retirement Calculator'!K:K,MATCH('Lorri 401b'!N4386,'Retirement Calculator'!A:A,0),0),0)</f>
        <v>0</v>
      </c>
      <c r="K4386" s="455">
        <f t="shared" ca="1" si="168"/>
        <v>-145623854943.16547</v>
      </c>
      <c r="L4386" s="455">
        <f t="shared" ca="1" si="169"/>
        <v>-35095349041302.871</v>
      </c>
      <c r="M4386" s="471">
        <f t="shared" si="171"/>
        <v>0.05</v>
      </c>
      <c r="N4386" s="475">
        <f t="shared" si="172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70"/>
        <v>-35095349041302.871</v>
      </c>
      <c r="J4387" s="455">
        <f t="array" ref="J4387">IFERROR(INDEX('Retirement Calculator'!K:K,MATCH('Lorri 401b'!N4387,'Retirement Calculator'!A:A,0),0),0)</f>
        <v>0</v>
      </c>
      <c r="K4387" s="455">
        <f t="shared" ca="1" si="168"/>
        <v>-146230621005.42862</v>
      </c>
      <c r="L4387" s="455">
        <f t="shared" ca="1" si="169"/>
        <v>-35241579662308.297</v>
      </c>
      <c r="M4387" s="471">
        <f t="shared" si="171"/>
        <v>0.05</v>
      </c>
      <c r="N4387" s="475">
        <f t="shared" si="172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70"/>
        <v>-35241579662308.297</v>
      </c>
      <c r="J4388" s="455">
        <f t="array" ref="J4388">IFERROR(INDEX('Retirement Calculator'!K:K,MATCH('Lorri 401b'!N4388,'Retirement Calculator'!A:A,0),0),0)</f>
        <v>0</v>
      </c>
      <c r="K4388" s="455">
        <f t="shared" ca="1" si="168"/>
        <v>-146839915259.61789</v>
      </c>
      <c r="L4388" s="455">
        <f t="shared" ca="1" si="169"/>
        <v>-35388419577567.914</v>
      </c>
      <c r="M4388" s="471">
        <f t="shared" si="171"/>
        <v>0.05</v>
      </c>
      <c r="N4388" s="475">
        <f t="shared" si="172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70"/>
        <v>-35388419577567.914</v>
      </c>
      <c r="J4389" s="455">
        <f t="array" ref="J4389">IFERROR(INDEX('Retirement Calculator'!K:K,MATCH('Lorri 401b'!N4389,'Retirement Calculator'!A:A,0),0),0)</f>
        <v>0</v>
      </c>
      <c r="K4389" s="455">
        <f t="shared" ca="1" si="168"/>
        <v>-147451748239.8663</v>
      </c>
      <c r="L4389" s="455">
        <f t="shared" ca="1" si="169"/>
        <v>-35535871325807.781</v>
      </c>
      <c r="M4389" s="471">
        <f t="shared" si="171"/>
        <v>0.05</v>
      </c>
      <c r="N4389" s="475">
        <f t="shared" si="172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70"/>
        <v>-35535871325807.781</v>
      </c>
      <c r="J4390" s="455">
        <f t="array" ref="J4390">IFERROR(INDEX('Retirement Calculator'!K:K,MATCH('Lorri 401b'!N4390,'Retirement Calculator'!A:A,0),0),0)</f>
        <v>0</v>
      </c>
      <c r="K4390" s="455">
        <f t="shared" ca="1" si="168"/>
        <v>-148066130524.1991</v>
      </c>
      <c r="L4390" s="455">
        <f t="shared" ca="1" si="169"/>
        <v>-35683937456331.977</v>
      </c>
      <c r="M4390" s="471">
        <f t="shared" si="171"/>
        <v>0.05</v>
      </c>
      <c r="N4390" s="475">
        <f t="shared" si="172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70"/>
        <v>-35683937456331.977</v>
      </c>
      <c r="J4391" s="455">
        <f t="array" ref="J4391">IFERROR(INDEX('Retirement Calculator'!K:K,MATCH('Lorri 401b'!N4391,'Retirement Calculator'!A:A,0),0),0)</f>
        <v>0</v>
      </c>
      <c r="K4391" s="455">
        <f t="shared" ca="1" si="168"/>
        <v>-148683072734.71655</v>
      </c>
      <c r="L4391" s="455">
        <f t="shared" ca="1" si="169"/>
        <v>-35832620529066.695</v>
      </c>
      <c r="M4391" s="471">
        <f t="shared" si="171"/>
        <v>0.05</v>
      </c>
      <c r="N4391" s="475">
        <f t="shared" si="172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70"/>
        <v>-35832620529066.695</v>
      </c>
      <c r="J4392" s="455">
        <f t="array" ref="J4392">IFERROR(INDEX('Retirement Calculator'!K:K,MATCH('Lorri 401b'!N4392,'Retirement Calculator'!A:A,0),0),0)</f>
        <v>0</v>
      </c>
      <c r="K4392" s="455">
        <f t="shared" ca="1" si="168"/>
        <v>-149302585537.77789</v>
      </c>
      <c r="L4392" s="455">
        <f t="shared" ca="1" si="169"/>
        <v>-35981923114604.477</v>
      </c>
      <c r="M4392" s="471">
        <f t="shared" si="171"/>
        <v>0.05</v>
      </c>
      <c r="N4392" s="475">
        <f t="shared" si="172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70"/>
        <v>-35981923114604.477</v>
      </c>
      <c r="J4393" s="455">
        <f t="array" ref="J4393">IFERROR(INDEX('Retirement Calculator'!K:K,MATCH('Lorri 401b'!N4393,'Retirement Calculator'!A:A,0),0),0)</f>
        <v>0</v>
      </c>
      <c r="K4393" s="455">
        <f t="shared" ca="1" si="168"/>
        <v>-149924679644.1853</v>
      </c>
      <c r="L4393" s="455">
        <f t="shared" ca="1" si="169"/>
        <v>-36131847794248.664</v>
      </c>
      <c r="M4393" s="471">
        <f t="shared" si="171"/>
        <v>0.05</v>
      </c>
      <c r="N4393" s="475">
        <f t="shared" si="172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70"/>
        <v>-36131847794248.664</v>
      </c>
      <c r="J4394" s="455">
        <f t="array" ref="J4394">IFERROR(INDEX('Retirement Calculator'!K:K,MATCH('Lorri 401b'!N4394,'Retirement Calculator'!A:A,0),0),0)</f>
        <v>0</v>
      </c>
      <c r="K4394" s="455">
        <f t="shared" ca="1" si="168"/>
        <v>-150549365809.36945</v>
      </c>
      <c r="L4394" s="455">
        <f t="shared" ca="1" si="169"/>
        <v>-36282397160058.031</v>
      </c>
      <c r="M4394" s="471">
        <f t="shared" si="171"/>
        <v>0.05</v>
      </c>
      <c r="N4394" s="475">
        <f t="shared" si="172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70"/>
        <v>-36282397160058.031</v>
      </c>
      <c r="J4395" s="455">
        <f t="array" ref="J4395">IFERROR(INDEX('Retirement Calculator'!K:K,MATCH('Lorri 401b'!N4395,'Retirement Calculator'!A:A,0),0),0)</f>
        <v>0</v>
      </c>
      <c r="K4395" s="455">
        <f t="shared" ca="1" si="168"/>
        <v>-151176654833.57513</v>
      </c>
      <c r="L4395" s="455">
        <f t="shared" ca="1" si="169"/>
        <v>-36433573814891.609</v>
      </c>
      <c r="M4395" s="471">
        <f t="shared" si="171"/>
        <v>0.05</v>
      </c>
      <c r="N4395" s="475">
        <f t="shared" si="172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70"/>
        <v>-36433573814891.609</v>
      </c>
      <c r="J4396" s="455">
        <f t="array" ref="J4396">IFERROR(INDEX('Retirement Calculator'!K:K,MATCH('Lorri 401b'!N4396,'Retirement Calculator'!A:A,0),0),0)</f>
        <v>0</v>
      </c>
      <c r="K4396" s="455">
        <f t="shared" ca="1" si="168"/>
        <v>-151806557562.04837</v>
      </c>
      <c r="L4396" s="455">
        <f t="shared" ca="1" si="169"/>
        <v>-36585380372453.656</v>
      </c>
      <c r="M4396" s="471">
        <f t="shared" si="171"/>
        <v>0.05</v>
      </c>
      <c r="N4396" s="475">
        <f t="shared" si="172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70"/>
        <v>-36585380372453.656</v>
      </c>
      <c r="J4397" s="455">
        <f t="array" ref="J4397">IFERROR(INDEX('Retirement Calculator'!K:K,MATCH('Lorri 401b'!N4397,'Retirement Calculator'!A:A,0),0),0)</f>
        <v>0</v>
      </c>
      <c r="K4397" s="455">
        <f t="shared" ca="1" si="168"/>
        <v>-152439084885.22357</v>
      </c>
      <c r="L4397" s="455">
        <f t="shared" ca="1" si="169"/>
        <v>-36737819457338.883</v>
      </c>
      <c r="M4397" s="471">
        <f t="shared" si="171"/>
        <v>0.05</v>
      </c>
      <c r="N4397" s="475">
        <f t="shared" si="172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70"/>
        <v>-36737819457338.883</v>
      </c>
      <c r="J4398" s="455">
        <f t="array" ref="J4398">IFERROR(INDEX('Retirement Calculator'!K:K,MATCH('Lorri 401b'!N4398,'Retirement Calculator'!A:A,0),0),0)</f>
        <v>0</v>
      </c>
      <c r="K4398" s="455">
        <f t="shared" ca="1" si="168"/>
        <v>-153074247738.91202</v>
      </c>
      <c r="L4398" s="455">
        <f t="shared" ca="1" si="169"/>
        <v>-36890893705077.797</v>
      </c>
      <c r="M4398" s="471">
        <f t="shared" si="171"/>
        <v>0.05</v>
      </c>
      <c r="N4398" s="475">
        <f t="shared" si="172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70"/>
        <v>-36890893705077.797</v>
      </c>
      <c r="J4399" s="455">
        <f t="array" ref="J4399">IFERROR(INDEX('Retirement Calculator'!K:K,MATCH('Lorri 401b'!N4399,'Retirement Calculator'!A:A,0),0),0)</f>
        <v>0</v>
      </c>
      <c r="K4399" s="455">
        <f t="shared" ca="1" si="168"/>
        <v>-153712057104.49081</v>
      </c>
      <c r="L4399" s="455">
        <f t="shared" ca="1" si="169"/>
        <v>-37044605762182.289</v>
      </c>
      <c r="M4399" s="471">
        <f t="shared" si="171"/>
        <v>0.05</v>
      </c>
      <c r="N4399" s="475">
        <f t="shared" si="172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70"/>
        <v>-37044605762182.289</v>
      </c>
      <c r="J4400" s="455">
        <f t="array" ref="J4400">IFERROR(INDEX('Retirement Calculator'!K:K,MATCH('Lorri 401b'!N4400,'Retirement Calculator'!A:A,0),0),0)</f>
        <v>0</v>
      </c>
      <c r="K4400" s="455">
        <f t="shared" ca="1" si="168"/>
        <v>-154352524009.09286</v>
      </c>
      <c r="L4400" s="455">
        <f t="shared" ca="1" si="169"/>
        <v>-37198958286191.383</v>
      </c>
      <c r="M4400" s="471">
        <f t="shared" si="171"/>
        <v>0.05</v>
      </c>
      <c r="N4400" s="475">
        <f t="shared" si="172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70"/>
        <v>-37198958286191.383</v>
      </c>
      <c r="J4401" s="455">
        <f t="array" ref="J4401">IFERROR(INDEX('Retirement Calculator'!K:K,MATCH('Lorri 401b'!N4401,'Retirement Calculator'!A:A,0),0),0)</f>
        <v>0</v>
      </c>
      <c r="K4401" s="455">
        <f t="shared" ca="1" si="168"/>
        <v>-154995659525.79742</v>
      </c>
      <c r="L4401" s="455">
        <f t="shared" ca="1" si="169"/>
        <v>-37353953945717.18</v>
      </c>
      <c r="M4401" s="471">
        <f t="shared" si="171"/>
        <v>0.05</v>
      </c>
      <c r="N4401" s="475">
        <f t="shared" si="172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70"/>
        <v>-37353953945717.18</v>
      </c>
      <c r="J4402" s="455">
        <f t="array" ref="J4402">IFERROR(INDEX('Retirement Calculator'!K:K,MATCH('Lorri 401b'!N4402,'Retirement Calculator'!A:A,0),0),0)</f>
        <v>0</v>
      </c>
      <c r="K4402" s="455">
        <f t="shared" ca="1" si="168"/>
        <v>-155641474773.82159</v>
      </c>
      <c r="L4402" s="455">
        <f t="shared" ca="1" si="169"/>
        <v>-37509595420491</v>
      </c>
      <c r="M4402" s="471">
        <f t="shared" si="171"/>
        <v>0.05</v>
      </c>
      <c r="N4402" s="475">
        <f t="shared" si="172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70"/>
        <v>-37509595420491</v>
      </c>
      <c r="J4403" s="455">
        <f t="array" ref="J4403">IFERROR(INDEX('Retirement Calculator'!K:K,MATCH('Lorri 401b'!N4403,'Retirement Calculator'!A:A,0),0),0)</f>
        <v>0</v>
      </c>
      <c r="K4403" s="455">
        <f t="shared" ca="1" si="168"/>
        <v>-156289980918.71249</v>
      </c>
      <c r="L4403" s="455">
        <f t="shared" ca="1" si="169"/>
        <v>-37665885401409.711</v>
      </c>
      <c r="M4403" s="471">
        <f t="shared" si="171"/>
        <v>0.05</v>
      </c>
      <c r="N4403" s="475">
        <f t="shared" si="172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70"/>
        <v>-37665885401409.711</v>
      </c>
      <c r="J4404" s="455">
        <f t="array" ref="J4404">IFERROR(INDEX('Retirement Calculator'!K:K,MATCH('Lorri 401b'!N4404,'Retirement Calculator'!A:A,0),0),0)</f>
        <v>0</v>
      </c>
      <c r="K4404" s="455">
        <f t="shared" ca="1" si="168"/>
        <v>-156941189172.54047</v>
      </c>
      <c r="L4404" s="455">
        <f t="shared" ca="1" si="169"/>
        <v>-37822826590582.25</v>
      </c>
      <c r="M4404" s="471">
        <f t="shared" si="171"/>
        <v>0.05</v>
      </c>
      <c r="N4404" s="475">
        <f t="shared" si="172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70"/>
        <v>-37822826590582.25</v>
      </c>
      <c r="J4405" s="455">
        <f t="array" ref="J4405">IFERROR(INDEX('Retirement Calculator'!K:K,MATCH('Lorri 401b'!N4405,'Retirement Calculator'!A:A,0),0),0)</f>
        <v>0</v>
      </c>
      <c r="K4405" s="455">
        <f t="shared" ca="1" si="168"/>
        <v>-157595110794.09271</v>
      </c>
      <c r="L4405" s="455">
        <f t="shared" ca="1" si="169"/>
        <v>-37980421701376.344</v>
      </c>
      <c r="M4405" s="471">
        <f t="shared" si="171"/>
        <v>0.05</v>
      </c>
      <c r="N4405" s="475">
        <f t="shared" si="172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70"/>
        <v>-37980421701376.344</v>
      </c>
      <c r="J4406" s="455">
        <f t="array" ref="J4406">IFERROR(INDEX('Retirement Calculator'!K:K,MATCH('Lorri 401b'!N4406,'Retirement Calculator'!A:A,0),0),0)</f>
        <v>0</v>
      </c>
      <c r="K4406" s="455">
        <f t="shared" ca="1" si="168"/>
        <v>-158251757089.06808</v>
      </c>
      <c r="L4406" s="455">
        <f t="shared" ca="1" si="169"/>
        <v>-38138673458465.414</v>
      </c>
      <c r="M4406" s="471">
        <f t="shared" si="171"/>
        <v>0.05</v>
      </c>
      <c r="N4406" s="475">
        <f t="shared" si="172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70"/>
        <v>-38138673458465.414</v>
      </c>
      <c r="J4407" s="455">
        <f t="array" ref="J4407">IFERROR(INDEX('Retirement Calculator'!K:K,MATCH('Lorri 401b'!N4407,'Retirement Calculator'!A:A,0),0),0)</f>
        <v>0</v>
      </c>
      <c r="K4407" s="455">
        <f t="shared" ca="1" si="168"/>
        <v>-158911139410.27255</v>
      </c>
      <c r="L4407" s="455">
        <f t="shared" ca="1" si="169"/>
        <v>-38297584597875.688</v>
      </c>
      <c r="M4407" s="471">
        <f t="shared" si="171"/>
        <v>0.05</v>
      </c>
      <c r="N4407" s="475">
        <f t="shared" si="172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70"/>
        <v>-38297584597875.688</v>
      </c>
      <c r="J4408" s="455">
        <f t="array" ref="J4408">IFERROR(INDEX('Retirement Calculator'!K:K,MATCH('Lorri 401b'!N4408,'Retirement Calculator'!A:A,0),0),0)</f>
        <v>0</v>
      </c>
      <c r="K4408" s="455">
        <f t="shared" ca="1" si="168"/>
        <v>-159573269157.81537</v>
      </c>
      <c r="L4408" s="455">
        <f t="shared" ca="1" si="169"/>
        <v>-38457157867033.5</v>
      </c>
      <c r="M4408" s="471">
        <f t="shared" si="171"/>
        <v>0.05</v>
      </c>
      <c r="N4408" s="475">
        <f t="shared" si="172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70"/>
        <v>-38457157867033.5</v>
      </c>
      <c r="J4409" s="455">
        <f t="array" ref="J4409">IFERROR(INDEX('Retirement Calculator'!K:K,MATCH('Lorri 401b'!N4409,'Retirement Calculator'!A:A,0),0),0)</f>
        <v>0</v>
      </c>
      <c r="K4409" s="455">
        <f t="shared" ca="1" si="168"/>
        <v>-160238157779.30624</v>
      </c>
      <c r="L4409" s="455">
        <f t="shared" ca="1" si="169"/>
        <v>-38617396024812.805</v>
      </c>
      <c r="M4409" s="471">
        <f t="shared" si="171"/>
        <v>0.05</v>
      </c>
      <c r="N4409" s="475">
        <f t="shared" si="172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70"/>
        <v>-38617396024812.805</v>
      </c>
      <c r="J4410" s="455">
        <f t="array" ref="J4410">IFERROR(INDEX('Retirement Calculator'!K:K,MATCH('Lorri 401b'!N4410,'Retirement Calculator'!A:A,0),0),0)</f>
        <v>0</v>
      </c>
      <c r="K4410" s="455">
        <f t="shared" ca="1" si="168"/>
        <v>-160905816770.05334</v>
      </c>
      <c r="L4410" s="455">
        <f t="shared" ca="1" si="169"/>
        <v>-38778301841582.859</v>
      </c>
      <c r="M4410" s="471">
        <f t="shared" si="171"/>
        <v>0.05</v>
      </c>
      <c r="N4410" s="475">
        <f t="shared" si="172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70"/>
        <v>-38778301841582.859</v>
      </c>
      <c r="J4411" s="455">
        <f t="array" ref="J4411">IFERROR(INDEX('Retirement Calculator'!K:K,MATCH('Lorri 401b'!N4411,'Retirement Calculator'!A:A,0),0),0)</f>
        <v>0</v>
      </c>
      <c r="K4411" s="455">
        <f t="shared" ca="1" si="168"/>
        <v>-161576257673.2619</v>
      </c>
      <c r="L4411" s="455">
        <f t="shared" ca="1" si="169"/>
        <v>-38939878099256.125</v>
      </c>
      <c r="M4411" s="471">
        <f t="shared" si="171"/>
        <v>0.05</v>
      </c>
      <c r="N4411" s="475">
        <f t="shared" si="172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70"/>
        <v>-38939878099256.125</v>
      </c>
      <c r="J4412" s="455">
        <f t="array" ref="J4412">IFERROR(INDEX('Retirement Calculator'!K:K,MATCH('Lorri 401b'!N4412,'Retirement Calculator'!A:A,0),0),0)</f>
        <v>0</v>
      </c>
      <c r="K4412" s="455">
        <f t="shared" ca="1" si="168"/>
        <v>-162249492080.23386</v>
      </c>
      <c r="L4412" s="455">
        <f t="shared" ca="1" si="169"/>
        <v>-39102127591336.359</v>
      </c>
      <c r="M4412" s="471">
        <f t="shared" si="171"/>
        <v>0.05</v>
      </c>
      <c r="N4412" s="475">
        <f t="shared" si="172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70"/>
        <v>-39102127591336.359</v>
      </c>
      <c r="J4413" s="455">
        <f t="array" ref="J4413">IFERROR(INDEX('Retirement Calculator'!K:K,MATCH('Lorri 401b'!N4413,'Retirement Calculator'!A:A,0),0),0)</f>
        <v>0</v>
      </c>
      <c r="K4413" s="455">
        <f t="shared" ca="1" si="168"/>
        <v>-162925531630.56818</v>
      </c>
      <c r="L4413" s="455">
        <f t="shared" ca="1" si="169"/>
        <v>-39265053122966.93</v>
      </c>
      <c r="M4413" s="471">
        <f t="shared" si="171"/>
        <v>0.05</v>
      </c>
      <c r="N4413" s="475">
        <f t="shared" si="172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70"/>
        <v>-39265053122966.93</v>
      </c>
      <c r="J4414" s="455">
        <f t="array" ref="J4414">IFERROR(INDEX('Retirement Calculator'!K:K,MATCH('Lorri 401b'!N4414,'Retirement Calculator'!A:A,0),0),0)</f>
        <v>0</v>
      </c>
      <c r="K4414" s="455">
        <f t="shared" ca="1" si="168"/>
        <v>-163604388012.36221</v>
      </c>
      <c r="L4414" s="455">
        <f t="shared" ca="1" si="169"/>
        <v>-39428657510979.289</v>
      </c>
      <c r="M4414" s="471">
        <f t="shared" si="171"/>
        <v>0.05</v>
      </c>
      <c r="N4414" s="475">
        <f t="shared" si="172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70"/>
        <v>-39428657510979.289</v>
      </c>
      <c r="J4415" s="455">
        <f t="array" ref="J4415">IFERROR(INDEX('Retirement Calculator'!K:K,MATCH('Lorri 401b'!N4415,'Retirement Calculator'!A:A,0),0),0)</f>
        <v>0</v>
      </c>
      <c r="K4415" s="455">
        <f t="shared" ca="1" si="168"/>
        <v>-164286072962.4137</v>
      </c>
      <c r="L4415" s="455">
        <f t="shared" ca="1" si="169"/>
        <v>-39592943583941.703</v>
      </c>
      <c r="M4415" s="471">
        <f t="shared" si="171"/>
        <v>0.05</v>
      </c>
      <c r="N4415" s="475">
        <f t="shared" si="172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70"/>
        <v>-39592943583941.703</v>
      </c>
      <c r="J4416" s="455">
        <f t="array" ref="J4416">IFERROR(INDEX('Retirement Calculator'!K:K,MATCH('Lorri 401b'!N4416,'Retirement Calculator'!A:A,0),0),0)</f>
        <v>0</v>
      </c>
      <c r="K4416" s="455">
        <f t="shared" ca="1" si="168"/>
        <v>-164970598266.42377</v>
      </c>
      <c r="L4416" s="455">
        <f t="shared" ca="1" si="169"/>
        <v>-39757914182208.125</v>
      </c>
      <c r="M4416" s="471">
        <f t="shared" si="171"/>
        <v>0.05</v>
      </c>
      <c r="N4416" s="475">
        <f t="shared" si="172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70"/>
        <v>-39757914182208.125</v>
      </c>
      <c r="J4417" s="455">
        <f t="array" ref="J4417">IFERROR(INDEX('Retirement Calculator'!K:K,MATCH('Lorri 401b'!N4417,'Retirement Calculator'!A:A,0),0),0)</f>
        <v>0</v>
      </c>
      <c r="K4417" s="455">
        <f t="shared" ca="1" si="168"/>
        <v>-165657975759.20053</v>
      </c>
      <c r="L4417" s="455">
        <f t="shared" ca="1" si="169"/>
        <v>-39923572157967.328</v>
      </c>
      <c r="M4417" s="471">
        <f t="shared" si="171"/>
        <v>0.05</v>
      </c>
      <c r="N4417" s="475">
        <f t="shared" si="172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70"/>
        <v>-39923572157967.328</v>
      </c>
      <c r="J4418" s="455">
        <f t="array" ref="J4418">IFERROR(INDEX('Retirement Calculator'!K:K,MATCH('Lorri 401b'!N4418,'Retirement Calculator'!A:A,0),0),0)</f>
        <v>0</v>
      </c>
      <c r="K4418" s="455">
        <f t="shared" ca="1" si="168"/>
        <v>-166348217324.86386</v>
      </c>
      <c r="L4418" s="455">
        <f t="shared" ca="1" si="169"/>
        <v>-40089920375292.195</v>
      </c>
      <c r="M4418" s="471">
        <f t="shared" si="171"/>
        <v>0.05</v>
      </c>
      <c r="N4418" s="475">
        <f t="shared" si="172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70"/>
        <v>-40089920375292.195</v>
      </c>
      <c r="J4419" s="455">
        <f t="array" ref="J4419">IFERROR(INDEX('Retirement Calculator'!K:K,MATCH('Lorri 401b'!N4419,'Retirement Calculator'!A:A,0),0),0)</f>
        <v>0</v>
      </c>
      <c r="K4419" s="455">
        <f t="shared" ca="1" si="168"/>
        <v>-167041334897.05081</v>
      </c>
      <c r="L4419" s="455">
        <f t="shared" ca="1" si="169"/>
        <v>-40256961710189.25</v>
      </c>
      <c r="M4419" s="471">
        <f t="shared" si="171"/>
        <v>0.05</v>
      </c>
      <c r="N4419" s="475">
        <f t="shared" si="172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70"/>
        <v>-40256961710189.25</v>
      </c>
      <c r="J4420" s="455">
        <f t="array" ref="J4420">IFERROR(INDEX('Retirement Calculator'!K:K,MATCH('Lorri 401b'!N4420,'Retirement Calculator'!A:A,0),0),0)</f>
        <v>0</v>
      </c>
      <c r="K4420" s="455">
        <f t="shared" ca="1" si="168"/>
        <v>-167737340459.12189</v>
      </c>
      <c r="L4420" s="455">
        <f t="shared" ca="1" si="169"/>
        <v>-40424699050648.375</v>
      </c>
      <c r="M4420" s="471">
        <f t="shared" si="171"/>
        <v>0.05</v>
      </c>
      <c r="N4420" s="475">
        <f t="shared" si="172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70"/>
        <v>-40424699050648.375</v>
      </c>
      <c r="J4421" s="455">
        <f t="array" ref="J4421">IFERROR(INDEX('Retirement Calculator'!K:K,MATCH('Lorri 401b'!N4421,'Retirement Calculator'!A:A,0),0),0)</f>
        <v>0</v>
      </c>
      <c r="K4421" s="455">
        <f t="shared" ca="1" si="168"/>
        <v>-168436246044.36823</v>
      </c>
      <c r="L4421" s="455">
        <f t="shared" ca="1" si="169"/>
        <v>-40593135296692.742</v>
      </c>
      <c r="M4421" s="471">
        <f t="shared" si="171"/>
        <v>0.05</v>
      </c>
      <c r="N4421" s="475">
        <f t="shared" si="172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70"/>
        <v>-40593135296692.742</v>
      </c>
      <c r="J4422" s="455">
        <f t="array" ref="J4422">IFERROR(INDEX('Retirement Calculator'!K:K,MATCH('Lorri 401b'!N4422,'Retirement Calculator'!A:A,0),0),0)</f>
        <v>0</v>
      </c>
      <c r="K4422" s="455">
        <f t="shared" ca="1" si="168"/>
        <v>-169138063736.21976</v>
      </c>
      <c r="L4422" s="455">
        <f t="shared" ca="1" si="169"/>
        <v>-40762273360428.961</v>
      </c>
      <c r="M4422" s="471">
        <f t="shared" si="171"/>
        <v>0.05</v>
      </c>
      <c r="N4422" s="475">
        <f t="shared" si="172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70"/>
        <v>-40762273360428.961</v>
      </c>
      <c r="J4423" s="455">
        <f t="array" ref="J4423">IFERROR(INDEX('Retirement Calculator'!K:K,MATCH('Lorri 401b'!N4423,'Retirement Calculator'!A:A,0),0),0)</f>
        <v>0</v>
      </c>
      <c r="K4423" s="455">
        <f t="shared" ca="1" si="168"/>
        <v>-169842805668.45401</v>
      </c>
      <c r="L4423" s="455">
        <f t="shared" ca="1" si="169"/>
        <v>-40932116166097.414</v>
      </c>
      <c r="M4423" s="471">
        <f t="shared" si="171"/>
        <v>0.05</v>
      </c>
      <c r="N4423" s="475">
        <f t="shared" si="172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70"/>
        <v>-40932116166097.414</v>
      </c>
      <c r="J4424" s="455">
        <f t="array" ref="J4424">IFERROR(INDEX('Retirement Calculator'!K:K,MATCH('Lorri 401b'!N4424,'Retirement Calculator'!A:A,0),0),0)</f>
        <v>0</v>
      </c>
      <c r="K4424" s="455">
        <f t="shared" ca="1" si="168"/>
        <v>-170550484025.40588</v>
      </c>
      <c r="L4424" s="455">
        <f t="shared" ca="1" si="169"/>
        <v>-41102666650122.82</v>
      </c>
      <c r="M4424" s="471">
        <f t="shared" si="171"/>
        <v>0.05</v>
      </c>
      <c r="N4424" s="475">
        <f t="shared" si="172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70"/>
        <v>-41102666650122.82</v>
      </c>
      <c r="J4425" s="455">
        <f t="array" ref="J4425">IFERROR(INDEX('Retirement Calculator'!K:K,MATCH('Lorri 401b'!N4425,'Retirement Calculator'!A:A,0),0),0)</f>
        <v>0</v>
      </c>
      <c r="K4425" s="455">
        <f t="shared" ca="1" si="168"/>
        <v>-171261111042.17841</v>
      </c>
      <c r="L4425" s="455">
        <f t="shared" ca="1" si="169"/>
        <v>-41273927761165</v>
      </c>
      <c r="M4425" s="471">
        <f t="shared" si="171"/>
        <v>0.05</v>
      </c>
      <c r="N4425" s="475">
        <f t="shared" si="172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70"/>
        <v>-41273927761165</v>
      </c>
      <c r="J4426" s="455">
        <f t="array" ref="J4426">IFERROR(INDEX('Retirement Calculator'!K:K,MATCH('Lorri 401b'!N4426,'Retirement Calculator'!A:A,0),0),0)</f>
        <v>0</v>
      </c>
      <c r="K4426" s="455">
        <f t="shared" ca="1" si="168"/>
        <v>-171974699004.85416</v>
      </c>
      <c r="L4426" s="455">
        <f t="shared" ca="1" si="169"/>
        <v>-41445902460169.852</v>
      </c>
      <c r="M4426" s="471">
        <f t="shared" si="171"/>
        <v>0.05</v>
      </c>
      <c r="N4426" s="475">
        <f t="shared" si="172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70"/>
        <v>-41445902460169.852</v>
      </c>
      <c r="J4427" s="455">
        <f t="array" ref="J4427">IFERROR(INDEX('Retirement Calculator'!K:K,MATCH('Lorri 401b'!N4427,'Retirement Calculator'!A:A,0),0),0)</f>
        <v>0</v>
      </c>
      <c r="K4427" s="455">
        <f t="shared" ca="1" si="168"/>
        <v>-172691260250.7077</v>
      </c>
      <c r="L4427" s="455">
        <f t="shared" ca="1" si="169"/>
        <v>-41618593720420.563</v>
      </c>
      <c r="M4427" s="471">
        <f t="shared" si="171"/>
        <v>0.05</v>
      </c>
      <c r="N4427" s="475">
        <f t="shared" si="172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70"/>
        <v>-41618593720420.563</v>
      </c>
      <c r="J4428" s="455">
        <f t="array" ref="J4428">IFERROR(INDEX('Retirement Calculator'!K:K,MATCH('Lorri 401b'!N4428,'Retirement Calculator'!A:A,0),0),0)</f>
        <v>0</v>
      </c>
      <c r="K4428" s="455">
        <f t="shared" ca="1" si="168"/>
        <v>-173410807168.41901</v>
      </c>
      <c r="L4428" s="455">
        <f t="shared" ca="1" si="169"/>
        <v>-41792004527588.984</v>
      </c>
      <c r="M4428" s="471">
        <f t="shared" si="171"/>
        <v>0.05</v>
      </c>
      <c r="N4428" s="475">
        <f t="shared" si="172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70"/>
        <v>-41792004527588.984</v>
      </c>
      <c r="J4429" s="455">
        <f t="array" ref="J4429">IFERROR(INDEX('Retirement Calculator'!K:K,MATCH('Lorri 401b'!N4429,'Retirement Calculator'!A:A,0),0),0)</f>
        <v>0</v>
      </c>
      <c r="K4429" s="455">
        <f t="shared" ca="1" si="168"/>
        <v>-174133352198.28745</v>
      </c>
      <c r="L4429" s="455">
        <f t="shared" ca="1" si="169"/>
        <v>-41966137879787.273</v>
      </c>
      <c r="M4429" s="471">
        <f t="shared" si="171"/>
        <v>0.05</v>
      </c>
      <c r="N4429" s="475">
        <f t="shared" si="172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70"/>
        <v>-41966137879787.273</v>
      </c>
      <c r="J4430" s="455">
        <f t="array" ref="J4430">IFERROR(INDEX('Retirement Calculator'!K:K,MATCH('Lorri 401b'!N4430,'Retirement Calculator'!A:A,0),0),0)</f>
        <v>0</v>
      </c>
      <c r="K4430" s="455">
        <f t="shared" ca="1" si="168"/>
        <v>-174858907832.44696</v>
      </c>
      <c r="L4430" s="455">
        <f t="shared" ca="1" si="169"/>
        <v>-42140996787619.719</v>
      </c>
      <c r="M4430" s="471">
        <f t="shared" si="171"/>
        <v>0.05</v>
      </c>
      <c r="N4430" s="475">
        <f t="shared" si="172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70"/>
        <v>-42140996787619.719</v>
      </c>
      <c r="J4431" s="455">
        <f t="array" ref="J4431">IFERROR(INDEX('Retirement Calculator'!K:K,MATCH('Lorri 401b'!N4431,'Retirement Calculator'!A:A,0),0),0)</f>
        <v>0</v>
      </c>
      <c r="K4431" s="455">
        <f t="shared" ca="1" si="168"/>
        <v>-175587486615.08215</v>
      </c>
      <c r="L4431" s="455">
        <f t="shared" ca="1" si="169"/>
        <v>-42316584274234.805</v>
      </c>
      <c r="M4431" s="471">
        <f t="shared" si="171"/>
        <v>0.05</v>
      </c>
      <c r="N4431" s="475">
        <f t="shared" si="172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70"/>
        <v>-42316584274234.805</v>
      </c>
      <c r="J4432" s="455">
        <f t="array" ref="J4432">IFERROR(INDEX('Retirement Calculator'!K:K,MATCH('Lorri 401b'!N4432,'Retirement Calculator'!A:A,0),0),0)</f>
        <v>0</v>
      </c>
      <c r="K4432" s="455">
        <f t="shared" ca="1" si="168"/>
        <v>-176319101142.64502</v>
      </c>
      <c r="L4432" s="455">
        <f t="shared" ca="1" si="169"/>
        <v>-42492903375377.453</v>
      </c>
      <c r="M4432" s="471">
        <f t="shared" si="171"/>
        <v>0.05</v>
      </c>
      <c r="N4432" s="475">
        <f t="shared" si="172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70"/>
        <v>-42492903375377.453</v>
      </c>
      <c r="J4433" s="455">
        <f t="array" ref="J4433">IFERROR(INDEX('Retirement Calculator'!K:K,MATCH('Lorri 401b'!N4433,'Retirement Calculator'!A:A,0),0),0)</f>
        <v>0</v>
      </c>
      <c r="K4433" s="455">
        <f t="shared" ca="1" si="168"/>
        <v>-177053764064.07272</v>
      </c>
      <c r="L4433" s="455">
        <f t="shared" ca="1" si="169"/>
        <v>-42669957139441.523</v>
      </c>
      <c r="M4433" s="471">
        <f t="shared" si="171"/>
        <v>0.05</v>
      </c>
      <c r="N4433" s="475">
        <f t="shared" si="172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70"/>
        <v>-42669957139441.523</v>
      </c>
      <c r="J4434" s="455">
        <f t="array" ref="J4434">IFERROR(INDEX('Retirement Calculator'!K:K,MATCH('Lorri 401b'!N4434,'Retirement Calculator'!A:A,0),0),0)</f>
        <v>0</v>
      </c>
      <c r="K4434" s="455">
        <f t="shared" ca="1" si="168"/>
        <v>-177791488081.00635</v>
      </c>
      <c r="L4434" s="455">
        <f t="shared" ca="1" si="169"/>
        <v>-42847748627522.531</v>
      </c>
      <c r="M4434" s="471">
        <f t="shared" si="171"/>
        <v>0.05</v>
      </c>
      <c r="N4434" s="475">
        <f t="shared" si="172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70"/>
        <v>-42847748627522.531</v>
      </c>
      <c r="J4435" s="455">
        <f t="array" ref="J4435">IFERROR(INDEX('Retirement Calculator'!K:K,MATCH('Lorri 401b'!N4435,'Retirement Calculator'!A:A,0),0),0)</f>
        <v>0</v>
      </c>
      <c r="K4435" s="455">
        <f t="shared" ca="1" si="168"/>
        <v>-178532285948.01056</v>
      </c>
      <c r="L4435" s="455">
        <f t="shared" ca="1" si="169"/>
        <v>-43026280913470.539</v>
      </c>
      <c r="M4435" s="471">
        <f t="shared" si="171"/>
        <v>0.05</v>
      </c>
      <c r="N4435" s="475">
        <f t="shared" si="172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70"/>
        <v>-43026280913470.539</v>
      </c>
      <c r="J4436" s="455">
        <f t="array" ref="J4436">IFERROR(INDEX('Retirement Calculator'!K:K,MATCH('Lorri 401b'!N4436,'Retirement Calculator'!A:A,0),0),0)</f>
        <v>0</v>
      </c>
      <c r="K4436" s="455">
        <f t="shared" ca="1" si="168"/>
        <v>-179276170472.79391</v>
      </c>
      <c r="L4436" s="455">
        <f t="shared" ca="1" si="169"/>
        <v>-43205557083943.336</v>
      </c>
      <c r="M4436" s="471">
        <f t="shared" si="171"/>
        <v>0.05</v>
      </c>
      <c r="N4436" s="475">
        <f t="shared" si="172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70"/>
        <v>-43205557083943.336</v>
      </c>
      <c r="J4437" s="455">
        <f t="array" ref="J4437">IFERROR(INDEX('Retirement Calculator'!K:K,MATCH('Lorri 401b'!N4437,'Retirement Calculator'!A:A,0),0),0)</f>
        <v>0</v>
      </c>
      <c r="K4437" s="455">
        <f t="shared" ca="1" si="168"/>
        <v>-180023154516.43057</v>
      </c>
      <c r="L4437" s="455">
        <f t="shared" ca="1" si="169"/>
        <v>-43385580238459.766</v>
      </c>
      <c r="M4437" s="471">
        <f t="shared" si="171"/>
        <v>0.05</v>
      </c>
      <c r="N4437" s="475">
        <f t="shared" si="172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70"/>
        <v>-43385580238459.766</v>
      </c>
      <c r="J4438" s="455">
        <f t="array" ref="J4438">IFERROR(INDEX('Retirement Calculator'!K:K,MATCH('Lorri 401b'!N4438,'Retirement Calculator'!A:A,0),0),0)</f>
        <v>0</v>
      </c>
      <c r="K4438" s="455">
        <f t="shared" ca="1" si="168"/>
        <v>-180773250993.58237</v>
      </c>
      <c r="L4438" s="455">
        <f t="shared" ca="1" si="169"/>
        <v>-43566353489453.352</v>
      </c>
      <c r="M4438" s="471">
        <f t="shared" si="171"/>
        <v>0.05</v>
      </c>
      <c r="N4438" s="475">
        <f t="shared" si="172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70"/>
        <v>-43566353489453.352</v>
      </c>
      <c r="J4439" s="455">
        <f t="array" ref="J4439">IFERROR(INDEX('Retirement Calculator'!K:K,MATCH('Lorri 401b'!N4439,'Retirement Calculator'!A:A,0),0),0)</f>
        <v>0</v>
      </c>
      <c r="K4439" s="455">
        <f t="shared" ca="1" si="168"/>
        <v>-181526472872.72229</v>
      </c>
      <c r="L4439" s="455">
        <f t="shared" ca="1" si="169"/>
        <v>-43747879962326.07</v>
      </c>
      <c r="M4439" s="471">
        <f t="shared" si="171"/>
        <v>0.05</v>
      </c>
      <c r="N4439" s="475">
        <f t="shared" si="172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70"/>
        <v>-43747879962326.07</v>
      </c>
      <c r="J4440" s="455">
        <f t="array" ref="J4440">IFERROR(INDEX('Retirement Calculator'!K:K,MATCH('Lorri 401b'!N4440,'Retirement Calculator'!A:A,0),0),0)</f>
        <v>0</v>
      </c>
      <c r="K4440" s="455">
        <f t="shared" ca="1" si="168"/>
        <v>-182282833176.35861</v>
      </c>
      <c r="L4440" s="455">
        <f t="shared" ca="1" si="169"/>
        <v>-43930162795502.43</v>
      </c>
      <c r="M4440" s="471">
        <f t="shared" si="171"/>
        <v>0.05</v>
      </c>
      <c r="N4440" s="475">
        <f t="shared" si="172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70"/>
        <v>-43930162795502.43</v>
      </c>
      <c r="J4441" s="455">
        <f t="array" ref="J4441">IFERROR(INDEX('Retirement Calculator'!K:K,MATCH('Lorri 401b'!N4441,'Retirement Calculator'!A:A,0),0),0)</f>
        <v>0</v>
      </c>
      <c r="K4441" s="455">
        <f t="shared" ca="1" si="168"/>
        <v>-183042344981.26013</v>
      </c>
      <c r="L4441" s="455">
        <f t="shared" ca="1" si="169"/>
        <v>-44113205140483.688</v>
      </c>
      <c r="M4441" s="471">
        <f t="shared" si="171"/>
        <v>0.05</v>
      </c>
      <c r="N4441" s="475">
        <f t="shared" si="172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70"/>
        <v>-44113205140483.688</v>
      </c>
      <c r="J4442" s="455">
        <f t="array" ref="J4442">IFERROR(INDEX('Retirement Calculator'!K:K,MATCH('Lorri 401b'!N4442,'Retirement Calculator'!A:A,0),0),0)</f>
        <v>0</v>
      </c>
      <c r="K4442" s="455">
        <f t="shared" ca="1" si="168"/>
        <v>-183805021418.68204</v>
      </c>
      <c r="L4442" s="455">
        <f t="shared" ca="1" si="169"/>
        <v>-44297010161902.367</v>
      </c>
      <c r="M4442" s="471">
        <f t="shared" si="171"/>
        <v>0.05</v>
      </c>
      <c r="N4442" s="475">
        <f t="shared" si="172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70"/>
        <v>-44297010161902.367</v>
      </c>
      <c r="J4443" s="455">
        <f t="array" ref="J4443">IFERROR(INDEX('Retirement Calculator'!K:K,MATCH('Lorri 401b'!N4443,'Retirement Calculator'!A:A,0),0),0)</f>
        <v>0</v>
      </c>
      <c r="K4443" s="455">
        <f t="shared" ca="1" si="168"/>
        <v>-184570875674.5932</v>
      </c>
      <c r="L4443" s="455">
        <f t="shared" ca="1" si="169"/>
        <v>-44481581037576.961</v>
      </c>
      <c r="M4443" s="471">
        <f t="shared" si="171"/>
        <v>0.05</v>
      </c>
      <c r="N4443" s="475">
        <f t="shared" si="172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70"/>
        <v>-44481581037576.961</v>
      </c>
      <c r="J4444" s="455">
        <f t="array" ref="J4444">IFERROR(INDEX('Retirement Calculator'!K:K,MATCH('Lorri 401b'!N4444,'Retirement Calculator'!A:A,0),0),0)</f>
        <v>0</v>
      </c>
      <c r="K4444" s="455">
        <f t="shared" ca="1" si="168"/>
        <v>-185339920989.90399</v>
      </c>
      <c r="L4444" s="455">
        <f t="shared" ca="1" si="169"/>
        <v>-44666920958566.867</v>
      </c>
      <c r="M4444" s="471">
        <f t="shared" si="171"/>
        <v>0.05</v>
      </c>
      <c r="N4444" s="475">
        <f t="shared" si="172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70"/>
        <v>-44666920958566.867</v>
      </c>
      <c r="J4445" s="455">
        <f t="array" ref="J4445">IFERROR(INDEX('Retirement Calculator'!K:K,MATCH('Lorri 401b'!N4445,'Retirement Calculator'!A:A,0),0),0)</f>
        <v>0</v>
      </c>
      <c r="K4445" s="455">
        <f t="shared" ca="1" si="168"/>
        <v>-186112170660.69528</v>
      </c>
      <c r="L4445" s="455">
        <f t="shared" ca="1" si="169"/>
        <v>-44853033129227.563</v>
      </c>
      <c r="M4445" s="471">
        <f t="shared" si="171"/>
        <v>0.05</v>
      </c>
      <c r="N4445" s="475">
        <f t="shared" si="172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70"/>
        <v>-44853033129227.563</v>
      </c>
      <c r="J4446" s="455">
        <f t="array" ref="J4446">IFERROR(INDEX('Retirement Calculator'!K:K,MATCH('Lorri 401b'!N4446,'Retirement Calculator'!A:A,0),0),0)</f>
        <v>0</v>
      </c>
      <c r="K4446" s="455">
        <f t="shared" ca="1" si="168"/>
        <v>-186887638038.44818</v>
      </c>
      <c r="L4446" s="455">
        <f t="shared" ca="1" si="169"/>
        <v>-45039920767266.008</v>
      </c>
      <c r="M4446" s="471">
        <f t="shared" si="171"/>
        <v>0.05</v>
      </c>
      <c r="N4446" s="475">
        <f t="shared" si="172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70"/>
        <v>-45039920767266.008</v>
      </c>
      <c r="J4447" s="455">
        <f t="array" ref="J4447">IFERROR(INDEX('Retirement Calculator'!K:K,MATCH('Lorri 401b'!N4447,'Retirement Calculator'!A:A,0),0),0)</f>
        <v>0</v>
      </c>
      <c r="K4447" s="455">
        <f t="shared" ca="1" si="168"/>
        <v>-187666336530.27502</v>
      </c>
      <c r="L4447" s="455">
        <f t="shared" ca="1" si="169"/>
        <v>-45227587103796.281</v>
      </c>
      <c r="M4447" s="471">
        <f t="shared" si="171"/>
        <v>0.05</v>
      </c>
      <c r="N4447" s="475">
        <f t="shared" si="172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70"/>
        <v>-45227587103796.281</v>
      </c>
      <c r="J4448" s="455">
        <f t="array" ref="J4448">IFERROR(INDEX('Retirement Calculator'!K:K,MATCH('Lorri 401b'!N4448,'Retirement Calculator'!A:A,0),0),0)</f>
        <v>0</v>
      </c>
      <c r="K4448" s="455">
        <f t="shared" ca="1" si="168"/>
        <v>-188448279599.15118</v>
      </c>
      <c r="L4448" s="455">
        <f t="shared" ca="1" si="169"/>
        <v>-45416035383395.43</v>
      </c>
      <c r="M4448" s="471">
        <f t="shared" si="171"/>
        <v>0.05</v>
      </c>
      <c r="N4448" s="475">
        <f t="shared" si="172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70"/>
        <v>-45416035383395.43</v>
      </c>
      <c r="J4449" s="455">
        <f t="array" ref="J4449">IFERROR(INDEX('Retirement Calculator'!K:K,MATCH('Lorri 401b'!N4449,'Retirement Calculator'!A:A,0),0),0)</f>
        <v>0</v>
      </c>
      <c r="K4449" s="455">
        <f t="shared" ca="1" si="168"/>
        <v>-189233480764.14761</v>
      </c>
      <c r="L4449" s="455">
        <f t="shared" ca="1" si="169"/>
        <v>-45605268864159.578</v>
      </c>
      <c r="M4449" s="471">
        <f t="shared" si="171"/>
        <v>0.05</v>
      </c>
      <c r="N4449" s="475">
        <f t="shared" si="172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70"/>
        <v>-45605268864159.578</v>
      </c>
      <c r="J4450" s="455">
        <f t="array" ref="J4450">IFERROR(INDEX('Retirement Calculator'!K:K,MATCH('Lorri 401b'!N4450,'Retirement Calculator'!A:A,0),0),0)</f>
        <v>0</v>
      </c>
      <c r="K4450" s="455">
        <f t="shared" ca="1" si="168"/>
        <v>-190021953600.66492</v>
      </c>
      <c r="L4450" s="455">
        <f t="shared" ca="1" si="169"/>
        <v>-45795290817760.242</v>
      </c>
      <c r="M4450" s="471">
        <f t="shared" si="171"/>
        <v>0.05</v>
      </c>
      <c r="N4450" s="475">
        <f t="shared" si="172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70"/>
        <v>-45795290817760.242</v>
      </c>
      <c r="J4451" s="455">
        <f t="array" ref="J4451">IFERROR(INDEX('Retirement Calculator'!K:K,MATCH('Lorri 401b'!N4451,'Retirement Calculator'!A:A,0),0),0)</f>
        <v>0</v>
      </c>
      <c r="K4451" s="455">
        <f t="shared" ca="1" si="168"/>
        <v>-190813711740.66766</v>
      </c>
      <c r="L4451" s="455">
        <f t="shared" ca="1" si="169"/>
        <v>-45986104529500.906</v>
      </c>
      <c r="M4451" s="471">
        <f t="shared" si="171"/>
        <v>0.05</v>
      </c>
      <c r="N4451" s="475">
        <f t="shared" si="172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70"/>
        <v>-45986104529500.906</v>
      </c>
      <c r="J4452" s="455">
        <f t="array" ref="J4452">IFERROR(INDEX('Retirement Calculator'!K:K,MATCH('Lorri 401b'!N4452,'Retirement Calculator'!A:A,0),0),0)</f>
        <v>0</v>
      </c>
      <c r="K4452" s="455">
        <f t="shared" ca="1" si="168"/>
        <v>-191608768872.92044</v>
      </c>
      <c r="L4452" s="455">
        <f t="shared" ca="1" si="169"/>
        <v>-46177713298373.828</v>
      </c>
      <c r="M4452" s="471">
        <f t="shared" si="171"/>
        <v>0.05</v>
      </c>
      <c r="N4452" s="475">
        <f t="shared" si="172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70"/>
        <v>-46177713298373.828</v>
      </c>
      <c r="J4453" s="455">
        <f t="array" ref="J4453">IFERROR(INDEX('Retirement Calculator'!K:K,MATCH('Lorri 401b'!N4453,'Retirement Calculator'!A:A,0),0),0)</f>
        <v>0</v>
      </c>
      <c r="K4453" s="455">
        <f t="shared" ca="1" si="168"/>
        <v>-192407138743.22427</v>
      </c>
      <c r="L4453" s="455">
        <f t="shared" ca="1" si="169"/>
        <v>-46370120437117.055</v>
      </c>
      <c r="M4453" s="471">
        <f t="shared" si="171"/>
        <v>0.05</v>
      </c>
      <c r="N4453" s="475">
        <f t="shared" si="172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70"/>
        <v>-46370120437117.055</v>
      </c>
      <c r="J4454" s="455">
        <f t="array" ref="J4454">IFERROR(INDEX('Retirement Calculator'!K:K,MATCH('Lorri 401b'!N4454,'Retirement Calculator'!A:A,0),0),0)</f>
        <v>0</v>
      </c>
      <c r="K4454" s="455">
        <f t="shared" ca="1" si="168"/>
        <v>-193208835154.65439</v>
      </c>
      <c r="L4454" s="455">
        <f t="shared" ca="1" si="169"/>
        <v>-46563329272271.711</v>
      </c>
      <c r="M4454" s="471">
        <f t="shared" si="171"/>
        <v>0.05</v>
      </c>
      <c r="N4454" s="475">
        <f t="shared" si="172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70"/>
        <v>-46563329272271.711</v>
      </c>
      <c r="J4455" s="455">
        <f t="array" ref="J4455">IFERROR(INDEX('Retirement Calculator'!K:K,MATCH('Lorri 401b'!N4455,'Retirement Calculator'!A:A,0),0),0)</f>
        <v>0</v>
      </c>
      <c r="K4455" s="455">
        <f t="shared" ca="1" si="168"/>
        <v>-194013871967.7988</v>
      </c>
      <c r="L4455" s="455">
        <f t="shared" ca="1" si="169"/>
        <v>-46757343144239.508</v>
      </c>
      <c r="M4455" s="471">
        <f t="shared" si="171"/>
        <v>0.05</v>
      </c>
      <c r="N4455" s="475">
        <f t="shared" si="172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70"/>
        <v>-46757343144239.508</v>
      </c>
      <c r="J4456" s="455">
        <f t="array" ref="J4456">IFERROR(INDEX('Retirement Calculator'!K:K,MATCH('Lorri 401b'!N4456,'Retirement Calculator'!A:A,0),0),0)</f>
        <v>0</v>
      </c>
      <c r="K4456" s="455">
        <f t="shared" ca="1" si="168"/>
        <v>-194822263100.99796</v>
      </c>
      <c r="L4456" s="455">
        <f t="shared" ca="1" si="169"/>
        <v>-46952165407340.508</v>
      </c>
      <c r="M4456" s="471">
        <f t="shared" si="171"/>
        <v>0.05</v>
      </c>
      <c r="N4456" s="475">
        <f t="shared" si="172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70"/>
        <v>-46952165407340.508</v>
      </c>
      <c r="J4457" s="455">
        <f t="array" ref="J4457">IFERROR(INDEX('Retirement Calculator'!K:K,MATCH('Lorri 401b'!N4457,'Retirement Calculator'!A:A,0),0),0)</f>
        <v>0</v>
      </c>
      <c r="K4457" s="455">
        <f t="shared" ca="1" si="168"/>
        <v>-195634022530.58545</v>
      </c>
      <c r="L4457" s="455">
        <f t="shared" ca="1" si="169"/>
        <v>-47147799429871.094</v>
      </c>
      <c r="M4457" s="471">
        <f t="shared" si="171"/>
        <v>0.05</v>
      </c>
      <c r="N4457" s="475">
        <f t="shared" si="172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70"/>
        <v>-47147799429871.094</v>
      </c>
      <c r="J4458" s="455">
        <f t="array" ref="J4458">IFERROR(INDEX('Retirement Calculator'!K:K,MATCH('Lorri 401b'!N4458,'Retirement Calculator'!A:A,0),0),0)</f>
        <v>0</v>
      </c>
      <c r="K4458" s="455">
        <f t="shared" ca="1" si="168"/>
        <v>-196449164291.12955</v>
      </c>
      <c r="L4458" s="455">
        <f t="shared" ca="1" si="169"/>
        <v>-47344248594162.227</v>
      </c>
      <c r="M4458" s="471">
        <f t="shared" si="171"/>
        <v>0.05</v>
      </c>
      <c r="N4458" s="475">
        <f t="shared" si="172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70"/>
        <v>-47344248594162.227</v>
      </c>
      <c r="J4459" s="455">
        <f t="array" ref="J4459">IFERROR(INDEX('Retirement Calculator'!K:K,MATCH('Lorri 401b'!N4459,'Retirement Calculator'!A:A,0),0),0)</f>
        <v>0</v>
      </c>
      <c r="K4459" s="455">
        <f t="shared" ca="1" si="168"/>
        <v>-197267702475.67593</v>
      </c>
      <c r="L4459" s="455">
        <f t="shared" ca="1" si="169"/>
        <v>-47541516296637.906</v>
      </c>
      <c r="M4459" s="471">
        <f t="shared" si="171"/>
        <v>0.05</v>
      </c>
      <c r="N4459" s="475">
        <f t="shared" si="172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70"/>
        <v>-47541516296637.906</v>
      </c>
      <c r="J4460" s="455">
        <f t="array" ref="J4460">IFERROR(INDEX('Retirement Calculator'!K:K,MATCH('Lorri 401b'!N4460,'Retirement Calculator'!A:A,0),0),0)</f>
        <v>0</v>
      </c>
      <c r="K4460" s="455">
        <f t="shared" ca="1" si="168"/>
        <v>-198089651235.99127</v>
      </c>
      <c r="L4460" s="455">
        <f t="shared" ca="1" si="169"/>
        <v>-47739605947873.898</v>
      </c>
      <c r="M4460" s="471">
        <f t="shared" si="171"/>
        <v>0.05</v>
      </c>
      <c r="N4460" s="475">
        <f t="shared" si="172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70"/>
        <v>-47739605947873.898</v>
      </c>
      <c r="J4461" s="455">
        <f t="array" ref="J4461">IFERROR(INDEX('Retirement Calculator'!K:K,MATCH('Lorri 401b'!N4461,'Retirement Calculator'!A:A,0),0),0)</f>
        <v>0</v>
      </c>
      <c r="K4461" s="455">
        <f t="shared" ca="1" si="168"/>
        <v>-198915024782.80792</v>
      </c>
      <c r="L4461" s="455">
        <f t="shared" ca="1" si="169"/>
        <v>-47938520972656.703</v>
      </c>
      <c r="M4461" s="471">
        <f t="shared" si="171"/>
        <v>0.05</v>
      </c>
      <c r="N4461" s="475">
        <f t="shared" si="172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70"/>
        <v>-47938520972656.703</v>
      </c>
      <c r="J4462" s="455">
        <f t="array" ref="J4462">IFERROR(INDEX('Retirement Calculator'!K:K,MATCH('Lorri 401b'!N4462,'Retirement Calculator'!A:A,0),0),0)</f>
        <v>0</v>
      </c>
      <c r="K4462" s="455">
        <f t="shared" ca="1" si="168"/>
        <v>-199743837386.06958</v>
      </c>
      <c r="L4462" s="455">
        <f t="shared" ca="1" si="169"/>
        <v>-48138264810042.773</v>
      </c>
      <c r="M4462" s="471">
        <f t="shared" si="171"/>
        <v>0.05</v>
      </c>
      <c r="N4462" s="475">
        <f t="shared" si="172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70"/>
        <v>-48138264810042.773</v>
      </c>
      <c r="J4463" s="455">
        <f t="array" ref="J4463">IFERROR(INDEX('Retirement Calculator'!K:K,MATCH('Lorri 401b'!N4463,'Retirement Calculator'!A:A,0),0),0)</f>
        <v>0</v>
      </c>
      <c r="K4463" s="455">
        <f t="shared" ca="1" si="168"/>
        <v>-200576103375.17822</v>
      </c>
      <c r="L4463" s="455">
        <f t="shared" ca="1" si="169"/>
        <v>-48338840913417.953</v>
      </c>
      <c r="M4463" s="471">
        <f t="shared" si="171"/>
        <v>0.05</v>
      </c>
      <c r="N4463" s="475">
        <f t="shared" si="172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70"/>
        <v>-48338840913417.953</v>
      </c>
      <c r="J4464" s="455">
        <f t="array" ref="J4464">IFERROR(INDEX('Retirement Calculator'!K:K,MATCH('Lorri 401b'!N4464,'Retirement Calculator'!A:A,0),0),0)</f>
        <v>0</v>
      </c>
      <c r="K4464" s="455">
        <f t="shared" ca="1" si="168"/>
        <v>-201411837139.24146</v>
      </c>
      <c r="L4464" s="455">
        <f t="shared" ca="1" si="169"/>
        <v>-48540252750557.195</v>
      </c>
      <c r="M4464" s="471">
        <f t="shared" si="171"/>
        <v>0.05</v>
      </c>
      <c r="N4464" s="475">
        <f t="shared" si="172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70"/>
        <v>-48540252750557.195</v>
      </c>
      <c r="J4465" s="455">
        <f t="array" ref="J4465">IFERROR(INDEX('Retirement Calculator'!K:K,MATCH('Lorri 401b'!N4465,'Retirement Calculator'!A:A,0),0),0)</f>
        <v>0</v>
      </c>
      <c r="K4465" s="455">
        <f t="shared" ca="1" si="168"/>
        <v>-202251053127.32166</v>
      </c>
      <c r="L4465" s="455">
        <f t="shared" ca="1" si="169"/>
        <v>-48742503803684.516</v>
      </c>
      <c r="M4465" s="471">
        <f t="shared" si="171"/>
        <v>0.05</v>
      </c>
      <c r="N4465" s="475">
        <f t="shared" si="172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70"/>
        <v>-48742503803684.516</v>
      </c>
      <c r="J4466" s="455">
        <f t="array" ref="J4466">IFERROR(INDEX('Retirement Calculator'!K:K,MATCH('Lorri 401b'!N4466,'Retirement Calculator'!A:A,0),0),0)</f>
        <v>0</v>
      </c>
      <c r="K4466" s="455">
        <f t="shared" ca="1" si="168"/>
        <v>-203093765848.68549</v>
      </c>
      <c r="L4466" s="455">
        <f t="shared" ca="1" si="169"/>
        <v>-48945597569533.203</v>
      </c>
      <c r="M4466" s="471">
        <f t="shared" si="171"/>
        <v>0.05</v>
      </c>
      <c r="N4466" s="475">
        <f t="shared" si="172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70"/>
        <v>-48945597569533.203</v>
      </c>
      <c r="J4467" s="455">
        <f t="array" ref="J4467">IFERROR(INDEX('Retirement Calculator'!K:K,MATCH('Lorri 401b'!N4467,'Retirement Calculator'!A:A,0),0),0)</f>
        <v>0</v>
      </c>
      <c r="K4467" s="455">
        <f t="shared" ca="1" si="168"/>
        <v>-203939989873.05502</v>
      </c>
      <c r="L4467" s="455">
        <f t="shared" ca="1" si="169"/>
        <v>-49149537559406.258</v>
      </c>
      <c r="M4467" s="471">
        <f t="shared" si="171"/>
        <v>0.05</v>
      </c>
      <c r="N4467" s="475">
        <f t="shared" si="172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70"/>
        <v>-49149537559406.258</v>
      </c>
      <c r="J4468" s="455">
        <f t="array" ref="J4468">IFERROR(INDEX('Retirement Calculator'!K:K,MATCH('Lorri 401b'!N4468,'Retirement Calculator'!A:A,0),0),0)</f>
        <v>0</v>
      </c>
      <c r="K4468" s="455">
        <f t="shared" ca="1" si="168"/>
        <v>-204789739830.85941</v>
      </c>
      <c r="L4468" s="455">
        <f t="shared" ca="1" si="169"/>
        <v>-49354327299237.117</v>
      </c>
      <c r="M4468" s="471">
        <f t="shared" si="171"/>
        <v>0.05</v>
      </c>
      <c r="N4468" s="475">
        <f t="shared" si="172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70"/>
        <v>-49354327299237.117</v>
      </c>
      <c r="J4469" s="455">
        <f t="array" ref="J4469">IFERROR(INDEX('Retirement Calculator'!K:K,MATCH('Lorri 401b'!N4469,'Retirement Calculator'!A:A,0),0),0)</f>
        <v>0</v>
      </c>
      <c r="K4469" s="455">
        <f t="shared" ca="1" si="168"/>
        <v>-205643030413.48798</v>
      </c>
      <c r="L4469" s="455">
        <f t="shared" ca="1" si="169"/>
        <v>-49559970329650.602</v>
      </c>
      <c r="M4469" s="471">
        <f t="shared" si="171"/>
        <v>0.05</v>
      </c>
      <c r="N4469" s="475">
        <f t="shared" si="172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70"/>
        <v>-49559970329650.602</v>
      </c>
      <c r="J4470" s="455">
        <f t="array" ref="J4470">IFERROR(INDEX('Retirement Calculator'!K:K,MATCH('Lorri 401b'!N4470,'Retirement Calculator'!A:A,0),0),0)</f>
        <v>0</v>
      </c>
      <c r="K4470" s="455">
        <f t="shared" ca="1" si="168"/>
        <v>-206499876373.54416</v>
      </c>
      <c r="L4470" s="455">
        <f t="shared" ca="1" si="169"/>
        <v>-49766470206024.148</v>
      </c>
      <c r="M4470" s="471">
        <f t="shared" si="171"/>
        <v>0.05</v>
      </c>
      <c r="N4470" s="475">
        <f t="shared" si="172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70"/>
        <v>-49766470206024.148</v>
      </c>
      <c r="J4471" s="455">
        <f t="array" ref="J4471">IFERROR(INDEX('Retirement Calculator'!K:K,MATCH('Lorri 401b'!N4471,'Retirement Calculator'!A:A,0),0),0)</f>
        <v>0</v>
      </c>
      <c r="K4471" s="455">
        <f t="shared" ca="1" si="168"/>
        <v>-207360292525.10062</v>
      </c>
      <c r="L4471" s="455">
        <f t="shared" ca="1" si="169"/>
        <v>-49973830498549.25</v>
      </c>
      <c r="M4471" s="471">
        <f t="shared" si="171"/>
        <v>0.05</v>
      </c>
      <c r="N4471" s="475">
        <f t="shared" si="172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70"/>
        <v>-49973830498549.25</v>
      </c>
      <c r="J4472" s="455">
        <f t="array" ref="J4472">IFERROR(INDEX('Retirement Calculator'!K:K,MATCH('Lorri 401b'!N4472,'Retirement Calculator'!A:A,0),0),0)</f>
        <v>0</v>
      </c>
      <c r="K4472" s="455">
        <f t="shared" ca="1" si="168"/>
        <v>-208224293743.9552</v>
      </c>
      <c r="L4472" s="455">
        <f t="shared" ca="1" si="169"/>
        <v>-50182054792293.203</v>
      </c>
      <c r="M4472" s="471">
        <f t="shared" si="171"/>
        <v>0.05</v>
      </c>
      <c r="N4472" s="475">
        <f t="shared" si="172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70"/>
        <v>-50182054792293.203</v>
      </c>
      <c r="J4473" s="455">
        <f t="array" ref="J4473">IFERROR(INDEX('Retirement Calculator'!K:K,MATCH('Lorri 401b'!N4473,'Retirement Calculator'!A:A,0),0),0)</f>
        <v>0</v>
      </c>
      <c r="K4473" s="455">
        <f t="shared" ca="1" si="168"/>
        <v>-209091894967.88834</v>
      </c>
      <c r="L4473" s="455">
        <f t="shared" ca="1" si="169"/>
        <v>-50391146687261.094</v>
      </c>
      <c r="M4473" s="471">
        <f t="shared" si="171"/>
        <v>0.05</v>
      </c>
      <c r="N4473" s="475">
        <f t="shared" si="172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70"/>
        <v>-50391146687261.094</v>
      </c>
      <c r="J4474" s="455">
        <f t="array" ref="J4474">IFERROR(INDEX('Retirement Calculator'!K:K,MATCH('Lorri 401b'!N4474,'Retirement Calculator'!A:A,0),0),0)</f>
        <v>0</v>
      </c>
      <c r="K4474" s="455">
        <f t="shared" ca="1" si="168"/>
        <v>-209963111196.92123</v>
      </c>
      <c r="L4474" s="455">
        <f t="shared" ca="1" si="169"/>
        <v>-50601109798458.016</v>
      </c>
      <c r="M4474" s="471">
        <f t="shared" si="171"/>
        <v>0.05</v>
      </c>
      <c r="N4474" s="475">
        <f t="shared" si="172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70"/>
        <v>-50601109798458.016</v>
      </c>
      <c r="J4475" s="455">
        <f t="array" ref="J4475">IFERROR(INDEX('Retirement Calculator'!K:K,MATCH('Lorri 401b'!N4475,'Retirement Calculator'!A:A,0),0),0)</f>
        <v>0</v>
      </c>
      <c r="K4475" s="455">
        <f t="shared" ca="1" si="168"/>
        <v>-210837957493.57507</v>
      </c>
      <c r="L4475" s="455">
        <f t="shared" ca="1" si="169"/>
        <v>-50811947755951.594</v>
      </c>
      <c r="M4475" s="471">
        <f t="shared" si="171"/>
        <v>0.05</v>
      </c>
      <c r="N4475" s="475">
        <f t="shared" si="172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70"/>
        <v>-50811947755951.594</v>
      </c>
      <c r="J4476" s="455">
        <f t="array" ref="J4476">IFERROR(INDEX('Retirement Calculator'!K:K,MATCH('Lorri 401b'!N4476,'Retirement Calculator'!A:A,0),0),0)</f>
        <v>0</v>
      </c>
      <c r="K4476" s="455">
        <f t="shared" ca="1" si="168"/>
        <v>-211716448983.13165</v>
      </c>
      <c r="L4476" s="455">
        <f t="shared" ca="1" si="169"/>
        <v>-51023664204934.727</v>
      </c>
      <c r="M4476" s="471">
        <f t="shared" si="171"/>
        <v>0.05</v>
      </c>
      <c r="N4476" s="475">
        <f t="shared" si="172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70"/>
        <v>-51023664204934.727</v>
      </c>
      <c r="J4477" s="455">
        <f t="array" ref="J4477">IFERROR(INDEX('Retirement Calculator'!K:K,MATCH('Lorri 401b'!N4477,'Retirement Calculator'!A:A,0),0),0)</f>
        <v>0</v>
      </c>
      <c r="K4477" s="455">
        <f t="shared" ca="1" si="168"/>
        <v>-212598600853.89468</v>
      </c>
      <c r="L4477" s="455">
        <f t="shared" ca="1" si="169"/>
        <v>-51236262805788.625</v>
      </c>
      <c r="M4477" s="471">
        <f t="shared" si="171"/>
        <v>0.05</v>
      </c>
      <c r="N4477" s="475">
        <f t="shared" si="172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70"/>
        <v>-51236262805788.625</v>
      </c>
      <c r="J4478" s="455">
        <f t="array" ref="J4478">IFERROR(INDEX('Retirement Calculator'!K:K,MATCH('Lorri 401b'!N4478,'Retirement Calculator'!A:A,0),0),0)</f>
        <v>0</v>
      </c>
      <c r="K4478" s="455">
        <f t="shared" ca="1" si="168"/>
        <v>-213484428357.45261</v>
      </c>
      <c r="L4478" s="455">
        <f t="shared" ca="1" si="169"/>
        <v>-51449747234146.078</v>
      </c>
      <c r="M4478" s="471">
        <f t="shared" si="171"/>
        <v>0.05</v>
      </c>
      <c r="N4478" s="475">
        <f t="shared" si="172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70"/>
        <v>-51449747234146.078</v>
      </c>
      <c r="J4479" s="455">
        <f t="array" ref="J4479">IFERROR(INDEX('Retirement Calculator'!K:K,MATCH('Lorri 401b'!N4479,'Retirement Calculator'!A:A,0),0),0)</f>
        <v>0</v>
      </c>
      <c r="K4479" s="455">
        <f t="shared" ca="1" si="168"/>
        <v>-214373946808.94199</v>
      </c>
      <c r="L4479" s="455">
        <f t="shared" ca="1" si="169"/>
        <v>-51664121180955.023</v>
      </c>
      <c r="M4479" s="471">
        <f t="shared" si="171"/>
        <v>0.05</v>
      </c>
      <c r="N4479" s="475">
        <f t="shared" si="172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70"/>
        <v>-51664121180955.023</v>
      </c>
      <c r="J4480" s="455">
        <f t="array" ref="J4480">IFERROR(INDEX('Retirement Calculator'!K:K,MATCH('Lorri 401b'!N4480,'Retirement Calculator'!A:A,0),0),0)</f>
        <v>0</v>
      </c>
      <c r="K4480" s="455">
        <f t="shared" ca="1" si="168"/>
        <v>-215267171587.31259</v>
      </c>
      <c r="L4480" s="455">
        <f t="shared" ca="1" si="169"/>
        <v>-51879388352542.336</v>
      </c>
      <c r="M4480" s="471">
        <f t="shared" si="171"/>
        <v>0.05</v>
      </c>
      <c r="N4480" s="475">
        <f t="shared" si="172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70"/>
        <v>-51879388352542.336</v>
      </c>
      <c r="J4481" s="455">
        <f t="array" ref="J4481">IFERROR(INDEX('Retirement Calculator'!K:K,MATCH('Lorri 401b'!N4481,'Retirement Calculator'!A:A,0),0),0)</f>
        <v>0</v>
      </c>
      <c r="K4481" s="455">
        <f t="shared" ca="1" si="168"/>
        <v>-216164118135.59308</v>
      </c>
      <c r="L4481" s="455">
        <f t="shared" ca="1" si="169"/>
        <v>-52095552470677.93</v>
      </c>
      <c r="M4481" s="471">
        <f t="shared" si="171"/>
        <v>0.05</v>
      </c>
      <c r="N4481" s="475">
        <f t="shared" si="172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70"/>
        <v>-52095552470677.93</v>
      </c>
      <c r="J4482" s="455">
        <f t="array" ref="J4482">IFERROR(INDEX('Retirement Calculator'!K:K,MATCH('Lorri 401b'!N4482,'Retirement Calculator'!A:A,0),0),0)</f>
        <v>0</v>
      </c>
      <c r="K4482" s="455">
        <f t="shared" ca="1" si="168"/>
        <v>-217064801961.15805</v>
      </c>
      <c r="L4482" s="455">
        <f t="shared" ca="1" si="169"/>
        <v>-52312617272639.086</v>
      </c>
      <c r="M4482" s="471">
        <f t="shared" si="171"/>
        <v>0.05</v>
      </c>
      <c r="N4482" s="475">
        <f t="shared" si="172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70"/>
        <v>-52312617272639.086</v>
      </c>
      <c r="J4483" s="455">
        <f t="array" ref="J4483">IFERROR(INDEX('Retirement Calculator'!K:K,MATCH('Lorri 401b'!N4483,'Retirement Calculator'!A:A,0),0),0)</f>
        <v>0</v>
      </c>
      <c r="K4483" s="455">
        <f t="shared" ca="1" si="168"/>
        <v>-217969238635.99619</v>
      </c>
      <c r="L4483" s="455">
        <f t="shared" ca="1" si="169"/>
        <v>-52530586511275.086</v>
      </c>
      <c r="M4483" s="471">
        <f t="shared" si="171"/>
        <v>0.05</v>
      </c>
      <c r="N4483" s="475">
        <f t="shared" si="172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70"/>
        <v>-52530586511275.086</v>
      </c>
      <c r="J4484" s="455">
        <f t="array" ref="J4484">IFERROR(INDEX('Retirement Calculator'!K:K,MATCH('Lorri 401b'!N4484,'Retirement Calculator'!A:A,0),0),0)</f>
        <v>0</v>
      </c>
      <c r="K4484" s="455">
        <f t="shared" ca="1" si="168"/>
        <v>-218877443796.97952</v>
      </c>
      <c r="L4484" s="455">
        <f t="shared" ca="1" si="169"/>
        <v>-52749463955072.063</v>
      </c>
      <c r="M4484" s="471">
        <f t="shared" si="171"/>
        <v>0.05</v>
      </c>
      <c r="N4484" s="475">
        <f t="shared" si="172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70"/>
        <v>-52749463955072.063</v>
      </c>
      <c r="J4485" s="455">
        <f t="array" ref="J4485">IFERROR(INDEX('Retirement Calculator'!K:K,MATCH('Lorri 401b'!N4485,'Retirement Calculator'!A:A,0),0),0)</f>
        <v>0</v>
      </c>
      <c r="K4485" s="455">
        <f t="shared" ca="1" si="168"/>
        <v>-219789433146.13361</v>
      </c>
      <c r="L4485" s="455">
        <f t="shared" ca="1" si="169"/>
        <v>-52969253388218.195</v>
      </c>
      <c r="M4485" s="471">
        <f t="shared" si="171"/>
        <v>0.05</v>
      </c>
      <c r="N4485" s="475">
        <f t="shared" si="172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70"/>
        <v>-52969253388218.195</v>
      </c>
      <c r="J4486" s="455">
        <f t="array" ref="J4486">IFERROR(INDEX('Retirement Calculator'!K:K,MATCH('Lorri 401b'!N4486,'Retirement Calculator'!A:A,0),0),0)</f>
        <v>0</v>
      </c>
      <c r="K4486" s="455">
        <f t="shared" ca="1" si="168"/>
        <v>-220705222450.90915</v>
      </c>
      <c r="L4486" s="455">
        <f t="shared" ca="1" si="169"/>
        <v>-53189958610669.102</v>
      </c>
      <c r="M4486" s="471">
        <f t="shared" si="171"/>
        <v>0.05</v>
      </c>
      <c r="N4486" s="475">
        <f t="shared" si="172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70"/>
        <v>-53189958610669.102</v>
      </c>
      <c r="J4487" s="455">
        <f t="array" ref="J4487">IFERROR(INDEX('Retirement Calculator'!K:K,MATCH('Lorri 401b'!N4487,'Retirement Calculator'!A:A,0),0),0)</f>
        <v>0</v>
      </c>
      <c r="K4487" s="455">
        <f t="shared" ca="1" si="168"/>
        <v>-221624827544.45459</v>
      </c>
      <c r="L4487" s="455">
        <f t="shared" ca="1" si="169"/>
        <v>-53411583438213.555</v>
      </c>
      <c r="M4487" s="471">
        <f t="shared" si="171"/>
        <v>0.05</v>
      </c>
      <c r="N4487" s="475">
        <f t="shared" si="172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70"/>
        <v>-53411583438213.555</v>
      </c>
      <c r="J4488" s="455">
        <f t="array" ref="J4488">IFERROR(INDEX('Retirement Calculator'!K:K,MATCH('Lorri 401b'!N4488,'Retirement Calculator'!A:A,0),0),0)</f>
        <v>0</v>
      </c>
      <c r="K4488" s="455">
        <f t="shared" ca="1" si="168"/>
        <v>-222548264325.8898</v>
      </c>
      <c r="L4488" s="455">
        <f t="shared" ca="1" si="169"/>
        <v>-53634131702539.445</v>
      </c>
      <c r="M4488" s="471">
        <f t="shared" si="171"/>
        <v>0.05</v>
      </c>
      <c r="N4488" s="475">
        <f t="shared" si="172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70"/>
        <v>-53634131702539.445</v>
      </c>
      <c r="J4489" s="455">
        <f t="array" ref="J4489">IFERROR(INDEX('Retirement Calculator'!K:K,MATCH('Lorri 401b'!N4489,'Retirement Calculator'!A:A,0),0),0)</f>
        <v>0</v>
      </c>
      <c r="K4489" s="455">
        <f t="shared" ca="1" si="168"/>
        <v>-223475548760.58102</v>
      </c>
      <c r="L4489" s="455">
        <f t="shared" ca="1" si="169"/>
        <v>-53857607251300.023</v>
      </c>
      <c r="M4489" s="471">
        <f t="shared" si="171"/>
        <v>0.05</v>
      </c>
      <c r="N4489" s="475">
        <f t="shared" si="172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70"/>
        <v>-53857607251300.023</v>
      </c>
      <c r="J4490" s="455">
        <f t="array" ref="J4490">IFERROR(INDEX('Retirement Calculator'!K:K,MATCH('Lorri 401b'!N4490,'Retirement Calculator'!A:A,0),0),0)</f>
        <v>0</v>
      </c>
      <c r="K4490" s="455">
        <f t="shared" ca="1" si="168"/>
        <v>-224406696880.41675</v>
      </c>
      <c r="L4490" s="455">
        <f t="shared" ca="1" si="169"/>
        <v>-54082013948180.438</v>
      </c>
      <c r="M4490" s="471">
        <f t="shared" si="171"/>
        <v>0.05</v>
      </c>
      <c r="N4490" s="475">
        <f t="shared" si="172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70"/>
        <v>-54082013948180.438</v>
      </c>
      <c r="J4491" s="455">
        <f t="array" ref="J4491">IFERROR(INDEX('Retirement Calculator'!K:K,MATCH('Lorri 401b'!N4491,'Retirement Calculator'!A:A,0),0),0)</f>
        <v>0</v>
      </c>
      <c r="K4491" s="455">
        <f t="shared" ca="1" si="168"/>
        <v>-225341724784.08514</v>
      </c>
      <c r="L4491" s="455">
        <f t="shared" ca="1" si="169"/>
        <v>-54307355672964.523</v>
      </c>
      <c r="M4491" s="471">
        <f t="shared" si="171"/>
        <v>0.05</v>
      </c>
      <c r="N4491" s="475">
        <f t="shared" si="172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70"/>
        <v>-54307355672964.523</v>
      </c>
      <c r="J4492" s="455">
        <f t="array" ref="J4492">IFERROR(INDEX('Retirement Calculator'!K:K,MATCH('Lorri 401b'!N4492,'Retirement Calculator'!A:A,0),0),0)</f>
        <v>0</v>
      </c>
      <c r="K4492" s="455">
        <f t="shared" ca="1" si="168"/>
        <v>-226280648637.35217</v>
      </c>
      <c r="L4492" s="455">
        <f t="shared" ca="1" si="169"/>
        <v>-54533636321601.875</v>
      </c>
      <c r="M4492" s="471">
        <f t="shared" si="171"/>
        <v>0.05</v>
      </c>
      <c r="N4492" s="475">
        <f t="shared" si="172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70"/>
        <v>-54533636321601.875</v>
      </c>
      <c r="J4493" s="455">
        <f t="array" ref="J4493">IFERROR(INDEX('Retirement Calculator'!K:K,MATCH('Lorri 401b'!N4493,'Retirement Calculator'!A:A,0),0),0)</f>
        <v>0</v>
      </c>
      <c r="K4493" s="455">
        <f t="shared" ca="1" si="168"/>
        <v>-227223484673.34116</v>
      </c>
      <c r="L4493" s="455">
        <f t="shared" ca="1" si="169"/>
        <v>-54760859806275.219</v>
      </c>
      <c r="M4493" s="471">
        <f t="shared" si="171"/>
        <v>0.05</v>
      </c>
      <c r="N4493" s="475">
        <f t="shared" si="172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70"/>
        <v>-54760859806275.219</v>
      </c>
      <c r="J4494" s="455">
        <f t="array" ref="J4494">IFERROR(INDEX('Retirement Calculator'!K:K,MATCH('Lorri 401b'!N4494,'Retirement Calculator'!A:A,0),0),0)</f>
        <v>0</v>
      </c>
      <c r="K4494" s="455">
        <f t="shared" ca="1" si="168"/>
        <v>-228170249192.81342</v>
      </c>
      <c r="L4494" s="455">
        <f t="shared" ca="1" si="169"/>
        <v>-54989030055468.031</v>
      </c>
      <c r="M4494" s="471">
        <f t="shared" si="171"/>
        <v>0.05</v>
      </c>
      <c r="N4494" s="475">
        <f t="shared" si="172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70"/>
        <v>-54989030055468.031</v>
      </c>
      <c r="J4495" s="455">
        <f t="array" ref="J4495">IFERROR(INDEX('Retirement Calculator'!K:K,MATCH('Lorri 401b'!N4495,'Retirement Calculator'!A:A,0),0),0)</f>
        <v>0</v>
      </c>
      <c r="K4495" s="455">
        <f t="shared" ca="1" si="168"/>
        <v>-229120958564.45013</v>
      </c>
      <c r="L4495" s="455">
        <f t="shared" ca="1" si="169"/>
        <v>-55218151014032.484</v>
      </c>
      <c r="M4495" s="471">
        <f t="shared" si="171"/>
        <v>0.05</v>
      </c>
      <c r="N4495" s="475">
        <f t="shared" si="172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70"/>
        <v>-55218151014032.484</v>
      </c>
      <c r="J4496" s="455">
        <f t="array" ref="J4496">IFERROR(INDEX('Retirement Calculator'!K:K,MATCH('Lorri 401b'!N4496,'Retirement Calculator'!A:A,0),0),0)</f>
        <v>0</v>
      </c>
      <c r="K4496" s="455">
        <f t="shared" ca="1" si="168"/>
        <v>-230075629225.13535</v>
      </c>
      <c r="L4496" s="455">
        <f t="shared" ca="1" si="169"/>
        <v>-55448226643257.617</v>
      </c>
      <c r="M4496" s="471">
        <f t="shared" si="171"/>
        <v>0.05</v>
      </c>
      <c r="N4496" s="475">
        <f t="shared" si="172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70"/>
        <v>-55448226643257.617</v>
      </c>
      <c r="J4497" s="455">
        <f t="array" ref="J4497">IFERROR(INDEX('Retirement Calculator'!K:K,MATCH('Lorri 401b'!N4497,'Retirement Calculator'!A:A,0),0),0)</f>
        <v>0</v>
      </c>
      <c r="K4497" s="455">
        <f t="shared" ca="1" si="168"/>
        <v>-231034277680.24002</v>
      </c>
      <c r="L4497" s="455">
        <f t="shared" ca="1" si="169"/>
        <v>-55679260920937.859</v>
      </c>
      <c r="M4497" s="471">
        <f t="shared" si="171"/>
        <v>0.05</v>
      </c>
      <c r="N4497" s="475">
        <f t="shared" si="172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70"/>
        <v>-55679260920937.859</v>
      </c>
      <c r="J4498" s="455">
        <f t="array" ref="J4498">IFERROR(INDEX('Retirement Calculator'!K:K,MATCH('Lorri 401b'!N4498,'Retirement Calculator'!A:A,0),0),0)</f>
        <v>0</v>
      </c>
      <c r="K4498" s="455">
        <f t="shared" ca="1" si="168"/>
        <v>-231996920503.90771</v>
      </c>
      <c r="L4498" s="455">
        <f t="shared" ca="1" si="169"/>
        <v>-55911257841441.766</v>
      </c>
      <c r="M4498" s="471">
        <f t="shared" si="171"/>
        <v>0.05</v>
      </c>
      <c r="N4498" s="475">
        <f t="shared" si="172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70"/>
        <v>-55911257841441.766</v>
      </c>
      <c r="J4499" s="455">
        <f t="array" ref="J4499">IFERROR(INDEX('Retirement Calculator'!K:K,MATCH('Lorri 401b'!N4499,'Retirement Calculator'!A:A,0),0),0)</f>
        <v>0</v>
      </c>
      <c r="K4499" s="455">
        <f t="shared" ca="1" si="168"/>
        <v>-232963574339.3407</v>
      </c>
      <c r="L4499" s="455">
        <f t="shared" ca="1" si="169"/>
        <v>-56144221415781.109</v>
      </c>
      <c r="M4499" s="471">
        <f t="shared" si="171"/>
        <v>0.05</v>
      </c>
      <c r="N4499" s="475">
        <f t="shared" si="172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70"/>
        <v>-56144221415781.109</v>
      </c>
      <c r="J4500" s="455">
        <f t="array" ref="J4500">IFERROR(INDEX('Retirement Calculator'!K:K,MATCH('Lorri 401b'!N4500,'Retirement Calculator'!A:A,0),0),0)</f>
        <v>0</v>
      </c>
      <c r="K4500" s="455">
        <f t="shared" ca="1" si="168"/>
        <v>-233934255899.08798</v>
      </c>
      <c r="L4500" s="455">
        <f t="shared" ca="1" si="169"/>
        <v>-56378155671680.195</v>
      </c>
      <c r="M4500" s="471">
        <f t="shared" si="171"/>
        <v>0.05</v>
      </c>
      <c r="N4500" s="475">
        <f t="shared" si="172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70"/>
        <v>-56378155671680.195</v>
      </c>
      <c r="J4501" s="455">
        <f t="array" ref="J4501">IFERROR(INDEX('Retirement Calculator'!K:K,MATCH('Lorri 401b'!N4501,'Retirement Calculator'!A:A,0),0),0)</f>
        <v>0</v>
      </c>
      <c r="K4501" s="455">
        <f t="shared" ca="1" si="168"/>
        <v>-234908981965.33414</v>
      </c>
      <c r="L4501" s="455">
        <f t="shared" ca="1" si="169"/>
        <v>-56613064653645.531</v>
      </c>
      <c r="M4501" s="471">
        <f t="shared" si="171"/>
        <v>0.05</v>
      </c>
      <c r="N4501" s="475">
        <f t="shared" si="172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70"/>
        <v>-56613064653645.531</v>
      </c>
      <c r="J4502" s="455">
        <f t="array" ref="J4502">IFERROR(INDEX('Retirement Calculator'!K:K,MATCH('Lorri 401b'!N4502,'Retirement Calculator'!A:A,0),0),0)</f>
        <v>0</v>
      </c>
      <c r="K4502" s="455">
        <f t="shared" ca="1" si="168"/>
        <v>-235887769390.1897</v>
      </c>
      <c r="L4502" s="455">
        <f t="shared" ca="1" si="169"/>
        <v>-56848952423035.719</v>
      </c>
      <c r="M4502" s="471">
        <f t="shared" si="171"/>
        <v>0.05</v>
      </c>
      <c r="N4502" s="475">
        <f t="shared" si="172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70"/>
        <v>-56848952423035.719</v>
      </c>
      <c r="J4503" s="455">
        <f t="array" ref="J4503">IFERROR(INDEX('Retirement Calculator'!K:K,MATCH('Lorri 401b'!N4503,'Retirement Calculator'!A:A,0),0),0)</f>
        <v>0</v>
      </c>
      <c r="K4503" s="455">
        <f t="shared" ca="1" si="168"/>
        <v>-236870635095.98215</v>
      </c>
      <c r="L4503" s="455">
        <f t="shared" ca="1" si="169"/>
        <v>-57085823058131.703</v>
      </c>
      <c r="M4503" s="471">
        <f t="shared" si="171"/>
        <v>0.05</v>
      </c>
      <c r="N4503" s="475">
        <f t="shared" si="172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70"/>
        <v>-57085823058131.703</v>
      </c>
      <c r="J4504" s="455">
        <f t="array" ref="J4504">IFERROR(INDEX('Retirement Calculator'!K:K,MATCH('Lorri 401b'!N4504,'Retirement Calculator'!A:A,0),0),0)</f>
        <v>0</v>
      </c>
      <c r="K4504" s="455">
        <f t="shared" ca="1" si="168"/>
        <v>-237857596075.54877</v>
      </c>
      <c r="L4504" s="455">
        <f t="shared" ca="1" si="169"/>
        <v>-57323680654207.25</v>
      </c>
      <c r="M4504" s="471">
        <f t="shared" si="171"/>
        <v>0.05</v>
      </c>
      <c r="N4504" s="475">
        <f t="shared" si="172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70"/>
        <v>-57323680654207.25</v>
      </c>
      <c r="J4505" s="455">
        <f t="array" ref="J4505">IFERROR(INDEX('Retirement Calculator'!K:K,MATCH('Lorri 401b'!N4505,'Retirement Calculator'!A:A,0),0),0)</f>
        <v>0</v>
      </c>
      <c r="K4505" s="455">
        <f t="shared" ca="1" si="168"/>
        <v>-238848669392.53024</v>
      </c>
      <c r="L4505" s="455">
        <f t="shared" ca="1" si="169"/>
        <v>-57562529323599.781</v>
      </c>
      <c r="M4505" s="471">
        <f t="shared" si="171"/>
        <v>0.05</v>
      </c>
      <c r="N4505" s="475">
        <f t="shared" si="172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70"/>
        <v>-57562529323599.781</v>
      </c>
      <c r="J4506" s="455">
        <f t="array" ref="J4506">IFERROR(INDEX('Retirement Calculator'!K:K,MATCH('Lorri 401b'!N4506,'Retirement Calculator'!A:A,0),0),0)</f>
        <v>0</v>
      </c>
      <c r="K4506" s="455">
        <f t="shared" ca="1" si="168"/>
        <v>-239843872181.66571</v>
      </c>
      <c r="L4506" s="455">
        <f t="shared" ca="1" si="169"/>
        <v>-57802373195781.445</v>
      </c>
      <c r="M4506" s="471">
        <f t="shared" si="171"/>
        <v>0.05</v>
      </c>
      <c r="N4506" s="475">
        <f t="shared" si="172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70"/>
        <v>-57802373195781.445</v>
      </c>
      <c r="J4507" s="455">
        <f t="array" ref="J4507">IFERROR(INDEX('Retirement Calculator'!K:K,MATCH('Lorri 401b'!N4507,'Retirement Calculator'!A:A,0),0),0)</f>
        <v>0</v>
      </c>
      <c r="K4507" s="455">
        <f t="shared" ca="1" si="168"/>
        <v>-240843221649.08936</v>
      </c>
      <c r="L4507" s="455">
        <f t="shared" ca="1" si="169"/>
        <v>-58043216417430.531</v>
      </c>
      <c r="M4507" s="471">
        <f t="shared" si="171"/>
        <v>0.05</v>
      </c>
      <c r="N4507" s="475">
        <f t="shared" si="172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70"/>
        <v>-58043216417430.531</v>
      </c>
      <c r="J4508" s="455">
        <f t="array" ref="J4508">IFERROR(INDEX('Retirement Calculator'!K:K,MATCH('Lorri 401b'!N4508,'Retirement Calculator'!A:A,0),0),0)</f>
        <v>0</v>
      </c>
      <c r="K4508" s="455">
        <f t="shared" ca="1" si="168"/>
        <v>-241846735072.6272</v>
      </c>
      <c r="L4508" s="455">
        <f t="shared" ca="1" si="169"/>
        <v>-58285063152503.156</v>
      </c>
      <c r="M4508" s="471">
        <f t="shared" si="171"/>
        <v>0.05</v>
      </c>
      <c r="N4508" s="475">
        <f t="shared" si="172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70"/>
        <v>-58285063152503.156</v>
      </c>
      <c r="J4509" s="455">
        <f t="array" ref="J4509">IFERROR(INDEX('Retirement Calculator'!K:K,MATCH('Lorri 401b'!N4509,'Retirement Calculator'!A:A,0),0),0)</f>
        <v>0</v>
      </c>
      <c r="K4509" s="455">
        <f t="shared" ca="1" si="168"/>
        <v>-242854429802.09653</v>
      </c>
      <c r="L4509" s="455">
        <f t="shared" ca="1" si="169"/>
        <v>-58527917582305.25</v>
      </c>
      <c r="M4509" s="471">
        <f t="shared" si="171"/>
        <v>0.05</v>
      </c>
      <c r="N4509" s="475">
        <f t="shared" si="172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70"/>
        <v>-58527917582305.25</v>
      </c>
      <c r="J4510" s="455">
        <f t="array" ref="J4510">IFERROR(INDEX('Retirement Calculator'!K:K,MATCH('Lorri 401b'!N4510,'Retirement Calculator'!A:A,0),0),0)</f>
        <v>0</v>
      </c>
      <c r="K4510" s="455">
        <f t="shared" ca="1" si="168"/>
        <v>-243866323259.60519</v>
      </c>
      <c r="L4510" s="455">
        <f t="shared" ca="1" si="169"/>
        <v>-58771783905564.852</v>
      </c>
      <c r="M4510" s="471">
        <f t="shared" si="171"/>
        <v>0.05</v>
      </c>
      <c r="N4510" s="475">
        <f t="shared" si="172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70"/>
        <v>-58771783905564.852</v>
      </c>
      <c r="J4511" s="455">
        <f t="array" ref="J4511">IFERROR(INDEX('Retirement Calculator'!K:K,MATCH('Lorri 401b'!N4511,'Retirement Calculator'!A:A,0),0),0)</f>
        <v>0</v>
      </c>
      <c r="K4511" s="455">
        <f t="shared" ca="1" si="168"/>
        <v>-244882432939.85355</v>
      </c>
      <c r="L4511" s="455">
        <f t="shared" ca="1" si="169"/>
        <v>-59016666338504.703</v>
      </c>
      <c r="M4511" s="471">
        <f t="shared" si="171"/>
        <v>0.05</v>
      </c>
      <c r="N4511" s="475">
        <f t="shared" si="172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70"/>
        <v>-59016666338504.703</v>
      </c>
      <c r="J4512" s="455">
        <f t="array" ref="J4512">IFERROR(INDEX('Retirement Calculator'!K:K,MATCH('Lorri 401b'!N4512,'Retirement Calculator'!A:A,0),0),0)</f>
        <v>0</v>
      </c>
      <c r="K4512" s="455">
        <f t="shared" ca="1" si="168"/>
        <v>-245902776410.43625</v>
      </c>
      <c r="L4512" s="455">
        <f t="shared" ca="1" si="169"/>
        <v>-59262569114915.141</v>
      </c>
      <c r="M4512" s="471">
        <f t="shared" si="171"/>
        <v>0.05</v>
      </c>
      <c r="N4512" s="475">
        <f t="shared" si="172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70"/>
        <v>-59262569114915.141</v>
      </c>
      <c r="J4513" s="455">
        <f t="array" ref="J4513">IFERROR(INDEX('Retirement Calculator'!K:K,MATCH('Lorri 401b'!N4513,'Retirement Calculator'!A:A,0),0),0)</f>
        <v>0</v>
      </c>
      <c r="K4513" s="455">
        <f t="shared" ca="1" si="168"/>
        <v>-246927371312.14645</v>
      </c>
      <c r="L4513" s="455">
        <f t="shared" ca="1" si="169"/>
        <v>-59509496486227.289</v>
      </c>
      <c r="M4513" s="471">
        <f t="shared" si="171"/>
        <v>0.05</v>
      </c>
      <c r="N4513" s="475">
        <f t="shared" si="172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70"/>
        <v>-59509496486227.289</v>
      </c>
      <c r="J4514" s="455">
        <f t="array" ref="J4514">IFERROR(INDEX('Retirement Calculator'!K:K,MATCH('Lorri 401b'!N4514,'Retirement Calculator'!A:A,0),0),0)</f>
        <v>0</v>
      </c>
      <c r="K4514" s="455">
        <f t="shared" ca="1" si="168"/>
        <v>-247956235359.28036</v>
      </c>
      <c r="L4514" s="455">
        <f t="shared" ca="1" si="169"/>
        <v>-59757452721586.57</v>
      </c>
      <c r="M4514" s="471">
        <f t="shared" si="171"/>
        <v>0.05</v>
      </c>
      <c r="N4514" s="475">
        <f t="shared" si="172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70"/>
        <v>-59757452721586.57</v>
      </c>
      <c r="J4515" s="455">
        <f t="array" ref="J4515">IFERROR(INDEX('Retirement Calculator'!K:K,MATCH('Lorri 401b'!N4515,'Retirement Calculator'!A:A,0),0),0)</f>
        <v>0</v>
      </c>
      <c r="K4515" s="455">
        <f t="shared" ca="1" si="168"/>
        <v>-248989386339.94406</v>
      </c>
      <c r="L4515" s="455">
        <f t="shared" ca="1" si="169"/>
        <v>-60006442107926.516</v>
      </c>
      <c r="M4515" s="471">
        <f t="shared" si="171"/>
        <v>0.05</v>
      </c>
      <c r="N4515" s="475">
        <f t="shared" si="172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70"/>
        <v>-60006442107926.516</v>
      </c>
      <c r="J4516" s="455">
        <f t="array" ref="J4516">IFERROR(INDEX('Retirement Calculator'!K:K,MATCH('Lorri 401b'!N4516,'Retirement Calculator'!A:A,0),0),0)</f>
        <v>0</v>
      </c>
      <c r="K4516" s="455">
        <f t="shared" ca="1" si="168"/>
        <v>-250026842116.36047</v>
      </c>
      <c r="L4516" s="455">
        <f t="shared" ca="1" si="169"/>
        <v>-60256468950042.875</v>
      </c>
      <c r="M4516" s="471">
        <f t="shared" si="171"/>
        <v>0.05</v>
      </c>
      <c r="N4516" s="475">
        <f t="shared" si="172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70"/>
        <v>-60256468950042.875</v>
      </c>
      <c r="J4517" s="455">
        <f t="array" ref="J4517">IFERROR(INDEX('Retirement Calculator'!K:K,MATCH('Lorri 401b'!N4517,'Retirement Calculator'!A:A,0),0),0)</f>
        <v>0</v>
      </c>
      <c r="K4517" s="455">
        <f t="shared" ca="1" si="168"/>
        <v>-251068620625.17865</v>
      </c>
      <c r="L4517" s="455">
        <f t="shared" ca="1" si="169"/>
        <v>-60507537570668.055</v>
      </c>
      <c r="M4517" s="471">
        <f t="shared" si="171"/>
        <v>0.05</v>
      </c>
      <c r="N4517" s="475">
        <f t="shared" si="172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70"/>
        <v>-60507537570668.055</v>
      </c>
      <c r="J4518" s="455">
        <f t="array" ref="J4518">IFERROR(INDEX('Retirement Calculator'!K:K,MATCH('Lorri 401b'!N4518,'Retirement Calculator'!A:A,0),0),0)</f>
        <v>0</v>
      </c>
      <c r="K4518" s="455">
        <f t="shared" ca="1" si="168"/>
        <v>-252114739877.78357</v>
      </c>
      <c r="L4518" s="455">
        <f t="shared" ca="1" si="169"/>
        <v>-60759652310545.836</v>
      </c>
      <c r="M4518" s="471">
        <f t="shared" si="171"/>
        <v>0.05</v>
      </c>
      <c r="N4518" s="475">
        <f t="shared" si="172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70"/>
        <v>-60759652310545.836</v>
      </c>
      <c r="J4519" s="455">
        <f t="array" ref="J4519">IFERROR(INDEX('Retirement Calculator'!K:K,MATCH('Lorri 401b'!N4519,'Retirement Calculator'!A:A,0),0),0)</f>
        <v>0</v>
      </c>
      <c r="K4519" s="455">
        <f t="shared" ca="1" si="168"/>
        <v>-253165217960.6076</v>
      </c>
      <c r="L4519" s="455">
        <f t="shared" ca="1" si="169"/>
        <v>-61012817528506.445</v>
      </c>
      <c r="M4519" s="471">
        <f t="shared" si="171"/>
        <v>0.05</v>
      </c>
      <c r="N4519" s="475">
        <f t="shared" si="172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70"/>
        <v>-61012817528506.445</v>
      </c>
      <c r="J4520" s="455">
        <f t="array" ref="J4520">IFERROR(INDEX('Retirement Calculator'!K:K,MATCH('Lorri 401b'!N4520,'Retirement Calculator'!A:A,0),0),0)</f>
        <v>0</v>
      </c>
      <c r="K4520" s="455">
        <f t="shared" ca="1" si="168"/>
        <v>-254220073035.44351</v>
      </c>
      <c r="L4520" s="455">
        <f t="shared" ca="1" si="169"/>
        <v>-61267037601541.891</v>
      </c>
      <c r="M4520" s="471">
        <f t="shared" si="171"/>
        <v>0.05</v>
      </c>
      <c r="N4520" s="475">
        <f t="shared" si="172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70"/>
        <v>-61267037601541.891</v>
      </c>
      <c r="J4521" s="455">
        <f t="array" ref="J4521">IFERROR(INDEX('Retirement Calculator'!K:K,MATCH('Lorri 401b'!N4521,'Retirement Calculator'!A:A,0),0),0)</f>
        <v>0</v>
      </c>
      <c r="K4521" s="455">
        <f t="shared" ca="1" si="168"/>
        <v>-255279323339.75787</v>
      </c>
      <c r="L4521" s="455">
        <f t="shared" ca="1" si="169"/>
        <v>-61522316924881.648</v>
      </c>
      <c r="M4521" s="471">
        <f t="shared" si="171"/>
        <v>0.05</v>
      </c>
      <c r="N4521" s="475">
        <f t="shared" si="172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70"/>
        <v>-61522316924881.648</v>
      </c>
      <c r="J4522" s="455">
        <f t="array" ref="J4522">IFERROR(INDEX('Retirement Calculator'!K:K,MATCH('Lorri 401b'!N4522,'Retirement Calculator'!A:A,0),0),0)</f>
        <v>0</v>
      </c>
      <c r="K4522" s="455">
        <f t="shared" ca="1" si="168"/>
        <v>-256342987187.00684</v>
      </c>
      <c r="L4522" s="455">
        <f t="shared" ca="1" si="169"/>
        <v>-61778659912068.656</v>
      </c>
      <c r="M4522" s="471">
        <f t="shared" si="171"/>
        <v>0.05</v>
      </c>
      <c r="N4522" s="475">
        <f t="shared" si="172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70"/>
        <v>-61778659912068.656</v>
      </c>
      <c r="J4523" s="455">
        <f t="array" ref="J4523">IFERROR(INDEX('Retirement Calculator'!K:K,MATCH('Lorri 401b'!N4523,'Retirement Calculator'!A:A,0),0),0)</f>
        <v>0</v>
      </c>
      <c r="K4523" s="455">
        <f t="shared" ca="1" si="168"/>
        <v>-257411082966.95273</v>
      </c>
      <c r="L4523" s="455">
        <f t="shared" ca="1" si="169"/>
        <v>-62036070995035.609</v>
      </c>
      <c r="M4523" s="471">
        <f t="shared" si="171"/>
        <v>0.05</v>
      </c>
      <c r="N4523" s="475">
        <f t="shared" si="172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70"/>
        <v>-62036070995035.609</v>
      </c>
      <c r="J4524" s="455">
        <f t="array" ref="J4524">IFERROR(INDEX('Retirement Calculator'!K:K,MATCH('Lorri 401b'!N4524,'Retirement Calculator'!A:A,0),0),0)</f>
        <v>0</v>
      </c>
      <c r="K4524" s="455">
        <f t="shared" ca="1" si="168"/>
        <v>-258483629145.98169</v>
      </c>
      <c r="L4524" s="455">
        <f t="shared" ca="1" si="169"/>
        <v>-62294554624181.594</v>
      </c>
      <c r="M4524" s="471">
        <f t="shared" si="171"/>
        <v>0.05</v>
      </c>
      <c r="N4524" s="475">
        <f t="shared" si="172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70"/>
        <v>-62294554624181.594</v>
      </c>
      <c r="J4525" s="455">
        <f t="array" ref="J4525">IFERROR(INDEX('Retirement Calculator'!K:K,MATCH('Lorri 401b'!N4525,'Retirement Calculator'!A:A,0),0),0)</f>
        <v>0</v>
      </c>
      <c r="K4525" s="455">
        <f t="shared" ca="1" si="168"/>
        <v>-259560644267.42331</v>
      </c>
      <c r="L4525" s="455">
        <f t="shared" ca="1" si="169"/>
        <v>-62554115268449.016</v>
      </c>
      <c r="M4525" s="471">
        <f t="shared" si="171"/>
        <v>0.05</v>
      </c>
      <c r="N4525" s="475">
        <f t="shared" si="172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70"/>
        <v>-62554115268449.016</v>
      </c>
      <c r="J4526" s="455">
        <f t="array" ref="J4526">IFERROR(INDEX('Retirement Calculator'!K:K,MATCH('Lorri 401b'!N4526,'Retirement Calculator'!A:A,0),0),0)</f>
        <v>0</v>
      </c>
      <c r="K4526" s="455">
        <f t="shared" ca="1" si="168"/>
        <v>-260642146951.87088</v>
      </c>
      <c r="L4526" s="455">
        <f t="shared" ca="1" si="169"/>
        <v>-62814757415400.883</v>
      </c>
      <c r="M4526" s="471">
        <f t="shared" si="171"/>
        <v>0.05</v>
      </c>
      <c r="N4526" s="475">
        <f t="shared" si="172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70"/>
        <v>-62814757415400.883</v>
      </c>
      <c r="J4527" s="455">
        <f t="array" ref="J4527">IFERROR(INDEX('Retirement Calculator'!K:K,MATCH('Lorri 401b'!N4527,'Retirement Calculator'!A:A,0),0),0)</f>
        <v>0</v>
      </c>
      <c r="K4527" s="455">
        <f t="shared" ca="1" si="168"/>
        <v>-261728155897.50366</v>
      </c>
      <c r="L4527" s="455">
        <f t="shared" ca="1" si="169"/>
        <v>-63076485571298.383</v>
      </c>
      <c r="M4527" s="471">
        <f t="shared" si="171"/>
        <v>0.05</v>
      </c>
      <c r="N4527" s="475">
        <f t="shared" si="172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70"/>
        <v>-63076485571298.383</v>
      </c>
      <c r="J4528" s="455">
        <f t="array" ref="J4528">IFERROR(INDEX('Retirement Calculator'!K:K,MATCH('Lorri 401b'!N4528,'Retirement Calculator'!A:A,0),0),0)</f>
        <v>0</v>
      </c>
      <c r="K4528" s="455">
        <f t="shared" ca="1" si="168"/>
        <v>-262818689880.40994</v>
      </c>
      <c r="L4528" s="455">
        <f t="shared" ca="1" si="169"/>
        <v>-63339304261178.789</v>
      </c>
      <c r="M4528" s="471">
        <f t="shared" si="171"/>
        <v>0.05</v>
      </c>
      <c r="N4528" s="475">
        <f t="shared" si="172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70"/>
        <v>-63339304261178.789</v>
      </c>
      <c r="J4529" s="455">
        <f t="array" ref="J4529">IFERROR(INDEX('Retirement Calculator'!K:K,MATCH('Lorri 401b'!N4529,'Retirement Calculator'!A:A,0),0),0)</f>
        <v>0</v>
      </c>
      <c r="K4529" s="455">
        <f t="shared" ca="1" si="168"/>
        <v>-263913767754.91162</v>
      </c>
      <c r="L4529" s="455">
        <f t="shared" ca="1" si="169"/>
        <v>-63603218028933.703</v>
      </c>
      <c r="M4529" s="471">
        <f t="shared" si="171"/>
        <v>0.05</v>
      </c>
      <c r="N4529" s="475">
        <f t="shared" si="172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70"/>
        <v>-63603218028933.703</v>
      </c>
      <c r="J4530" s="455">
        <f t="array" ref="J4530">IFERROR(INDEX('Retirement Calculator'!K:K,MATCH('Lorri 401b'!N4530,'Retirement Calculator'!A:A,0),0),0)</f>
        <v>0</v>
      </c>
      <c r="K4530" s="455">
        <f t="shared" ca="1" si="168"/>
        <v>-265013408453.89038</v>
      </c>
      <c r="L4530" s="455">
        <f t="shared" ca="1" si="169"/>
        <v>-63868231437387.594</v>
      </c>
      <c r="M4530" s="471">
        <f t="shared" si="171"/>
        <v>0.05</v>
      </c>
      <c r="N4530" s="475">
        <f t="shared" si="172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70"/>
        <v>-63868231437387.594</v>
      </c>
      <c r="J4531" s="455">
        <f t="array" ref="J4531">IFERROR(INDEX('Retirement Calculator'!K:K,MATCH('Lorri 401b'!N4531,'Retirement Calculator'!A:A,0),0),0)</f>
        <v>0</v>
      </c>
      <c r="K4531" s="455">
        <f t="shared" ca="1" si="168"/>
        <v>-266117630989.11496</v>
      </c>
      <c r="L4531" s="455">
        <f t="shared" ca="1" si="169"/>
        <v>-64134349068376.711</v>
      </c>
      <c r="M4531" s="471">
        <f t="shared" si="171"/>
        <v>0.05</v>
      </c>
      <c r="N4531" s="475">
        <f t="shared" si="172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70"/>
        <v>-64134349068376.711</v>
      </c>
      <c r="J4532" s="455">
        <f t="array" ref="J4532">IFERROR(INDEX('Retirement Calculator'!K:K,MATCH('Lorri 401b'!N4532,'Retirement Calculator'!A:A,0),0),0)</f>
        <v>0</v>
      </c>
      <c r="K4532" s="455">
        <f t="shared" ca="1" si="168"/>
        <v>-267226454451.56961</v>
      </c>
      <c r="L4532" s="455">
        <f t="shared" ca="1" si="169"/>
        <v>-64401575522828.281</v>
      </c>
      <c r="M4532" s="471">
        <f t="shared" si="171"/>
        <v>0.05</v>
      </c>
      <c r="N4532" s="475">
        <f t="shared" si="172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70"/>
        <v>-64401575522828.281</v>
      </c>
      <c r="J4533" s="455">
        <f t="array" ref="J4533">IFERROR(INDEX('Retirement Calculator'!K:K,MATCH('Lorri 401b'!N4533,'Retirement Calculator'!A:A,0),0),0)</f>
        <v>0</v>
      </c>
      <c r="K4533" s="455">
        <f t="shared" ca="1" si="168"/>
        <v>-268339898011.78452</v>
      </c>
      <c r="L4533" s="455">
        <f t="shared" ca="1" si="169"/>
        <v>-64669915420840.063</v>
      </c>
      <c r="M4533" s="471">
        <f t="shared" si="171"/>
        <v>0.05</v>
      </c>
      <c r="N4533" s="475">
        <f t="shared" si="172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70"/>
        <v>-64669915420840.063</v>
      </c>
      <c r="J4534" s="455">
        <f t="array" ref="J4534">IFERROR(INDEX('Retirement Calculator'!K:K,MATCH('Lorri 401b'!N4534,'Retirement Calculator'!A:A,0),0),0)</f>
        <v>0</v>
      </c>
      <c r="K4534" s="455">
        <f t="shared" ca="1" si="168"/>
        <v>-269457980920.16693</v>
      </c>
      <c r="L4534" s="455">
        <f t="shared" ca="1" si="169"/>
        <v>-64939373401760.227</v>
      </c>
      <c r="M4534" s="471">
        <f t="shared" si="171"/>
        <v>0.05</v>
      </c>
      <c r="N4534" s="475">
        <f t="shared" si="172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70"/>
        <v>-64939373401760.227</v>
      </c>
      <c r="J4535" s="455">
        <f t="array" ref="J4535">IFERROR(INDEX('Retirement Calculator'!K:K,MATCH('Lorri 401b'!N4535,'Retirement Calculator'!A:A,0),0),0)</f>
        <v>0</v>
      </c>
      <c r="K4535" s="455">
        <f t="shared" ca="1" si="168"/>
        <v>-270580722507.33426</v>
      </c>
      <c r="L4535" s="455">
        <f t="shared" ca="1" si="169"/>
        <v>-65209954124267.563</v>
      </c>
      <c r="M4535" s="471">
        <f t="shared" si="171"/>
        <v>0.05</v>
      </c>
      <c r="N4535" s="475">
        <f t="shared" si="172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70"/>
        <v>-65209954124267.563</v>
      </c>
      <c r="J4536" s="455">
        <f t="array" ref="J4536">IFERROR(INDEX('Retirement Calculator'!K:K,MATCH('Lorri 401b'!N4536,'Retirement Calculator'!A:A,0),0),0)</f>
        <v>0</v>
      </c>
      <c r="K4536" s="455">
        <f t="shared" ca="1" si="168"/>
        <v>-271708142184.44818</v>
      </c>
      <c r="L4536" s="455">
        <f t="shared" ca="1" si="169"/>
        <v>-65481662266452.008</v>
      </c>
      <c r="M4536" s="471">
        <f t="shared" si="171"/>
        <v>0.05</v>
      </c>
      <c r="N4536" s="475">
        <f t="shared" si="172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70"/>
        <v>-65481662266452.008</v>
      </c>
      <c r="J4537" s="455">
        <f t="array" ref="J4537">IFERROR(INDEX('Retirement Calculator'!K:K,MATCH('Lorri 401b'!N4537,'Retirement Calculator'!A:A,0),0),0)</f>
        <v>0</v>
      </c>
      <c r="K4537" s="455">
        <f t="shared" ca="1" si="168"/>
        <v>-272840259443.55005</v>
      </c>
      <c r="L4537" s="455">
        <f t="shared" ca="1" si="169"/>
        <v>-65754502525895.555</v>
      </c>
      <c r="M4537" s="471">
        <f t="shared" si="171"/>
        <v>0.05</v>
      </c>
      <c r="N4537" s="475">
        <f t="shared" si="172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70"/>
        <v>-65754502525895.555</v>
      </c>
      <c r="J4538" s="455">
        <f t="array" ref="J4538">IFERROR(INDEX('Retirement Calculator'!K:K,MATCH('Lorri 401b'!N4538,'Retirement Calculator'!A:A,0),0),0)</f>
        <v>0</v>
      </c>
      <c r="K4538" s="455">
        <f t="shared" ca="1" si="168"/>
        <v>-273977093857.89813</v>
      </c>
      <c r="L4538" s="455">
        <f t="shared" ca="1" si="169"/>
        <v>-66028479619753.453</v>
      </c>
      <c r="M4538" s="471">
        <f t="shared" si="171"/>
        <v>0.05</v>
      </c>
      <c r="N4538" s="475">
        <f t="shared" si="172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70"/>
        <v>-66028479619753.453</v>
      </c>
      <c r="J4539" s="455">
        <f t="array" ref="J4539">IFERROR(INDEX('Retirement Calculator'!K:K,MATCH('Lorri 401b'!N4539,'Retirement Calculator'!A:A,0),0),0)</f>
        <v>0</v>
      </c>
      <c r="K4539" s="455">
        <f t="shared" ca="1" si="168"/>
        <v>-275118665082.30603</v>
      </c>
      <c r="L4539" s="455">
        <f t="shared" ca="1" si="169"/>
        <v>-66303598284835.758</v>
      </c>
      <c r="M4539" s="471">
        <f t="shared" si="171"/>
        <v>0.05</v>
      </c>
      <c r="N4539" s="475">
        <f t="shared" si="172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70"/>
        <v>-66303598284835.758</v>
      </c>
      <c r="J4540" s="455">
        <f t="array" ref="J4540">IFERROR(INDEX('Retirement Calculator'!K:K,MATCH('Lorri 401b'!N4540,'Retirement Calculator'!A:A,0),0),0)</f>
        <v>0</v>
      </c>
      <c r="K4540" s="455">
        <f t="shared" ca="1" si="168"/>
        <v>-276264992853.4823</v>
      </c>
      <c r="L4540" s="455">
        <f t="shared" ca="1" si="169"/>
        <v>-66579863277689.242</v>
      </c>
      <c r="M4540" s="471">
        <f t="shared" si="171"/>
        <v>0.05</v>
      </c>
      <c r="N4540" s="475">
        <f t="shared" si="172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70"/>
        <v>-66579863277689.242</v>
      </c>
      <c r="J4541" s="455">
        <f t="array" ref="J4541">IFERROR(INDEX('Retirement Calculator'!K:K,MATCH('Lorri 401b'!N4541,'Retirement Calculator'!A:A,0),0),0)</f>
        <v>0</v>
      </c>
      <c r="K4541" s="455">
        <f t="shared" ca="1" si="168"/>
        <v>-277416096990.37189</v>
      </c>
      <c r="L4541" s="455">
        <f t="shared" ca="1" si="169"/>
        <v>-66857279374679.617</v>
      </c>
      <c r="M4541" s="471">
        <f t="shared" si="171"/>
        <v>0.05</v>
      </c>
      <c r="N4541" s="475">
        <f t="shared" si="172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70"/>
        <v>-66857279374679.617</v>
      </c>
      <c r="J4542" s="455">
        <f t="array" ref="J4542">IFERROR(INDEX('Retirement Calculator'!K:K,MATCH('Lorri 401b'!N4542,'Retirement Calculator'!A:A,0),0),0)</f>
        <v>0</v>
      </c>
      <c r="K4542" s="455">
        <f t="shared" ca="1" si="168"/>
        <v>-278571997394.49841</v>
      </c>
      <c r="L4542" s="455">
        <f t="shared" ca="1" si="169"/>
        <v>-67135851372074.117</v>
      </c>
      <c r="M4542" s="471">
        <f t="shared" si="171"/>
        <v>0.05</v>
      </c>
      <c r="N4542" s="475">
        <f t="shared" si="172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70"/>
        <v>-67135851372074.117</v>
      </c>
      <c r="J4543" s="455">
        <f t="array" ref="J4543">IFERROR(INDEX('Retirement Calculator'!K:K,MATCH('Lorri 401b'!N4543,'Retirement Calculator'!A:A,0),0),0)</f>
        <v>0</v>
      </c>
      <c r="K4543" s="455">
        <f t="shared" ca="1" si="168"/>
        <v>-279732714050.30884</v>
      </c>
      <c r="L4543" s="455">
        <f t="shared" ca="1" si="169"/>
        <v>-67415584086124.43</v>
      </c>
      <c r="M4543" s="471">
        <f t="shared" si="171"/>
        <v>0.05</v>
      </c>
      <c r="N4543" s="475">
        <f t="shared" si="172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70"/>
        <v>-67415584086124.43</v>
      </c>
      <c r="J4544" s="455">
        <f t="array" ref="J4544">IFERROR(INDEX('Retirement Calculator'!K:K,MATCH('Lorri 401b'!N4544,'Retirement Calculator'!A:A,0),0),0)</f>
        <v>0</v>
      </c>
      <c r="K4544" s="455">
        <f t="shared" ca="1" si="168"/>
        <v>-280898267025.51843</v>
      </c>
      <c r="L4544" s="455">
        <f t="shared" ca="1" si="169"/>
        <v>-67696482353149.945</v>
      </c>
      <c r="M4544" s="471">
        <f t="shared" si="171"/>
        <v>0.05</v>
      </c>
      <c r="N4544" s="475">
        <f t="shared" si="172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70"/>
        <v>-67696482353149.945</v>
      </c>
      <c r="J4545" s="455">
        <f t="array" ref="J4545">IFERROR(INDEX('Retirement Calculator'!K:K,MATCH('Lorri 401b'!N4545,'Retirement Calculator'!A:A,0),0),0)</f>
        <v>0</v>
      </c>
      <c r="K4545" s="455">
        <f t="shared" ca="1" si="168"/>
        <v>-282068676471.45813</v>
      </c>
      <c r="L4545" s="455">
        <f t="shared" ca="1" si="169"/>
        <v>-67978551029621.406</v>
      </c>
      <c r="M4545" s="471">
        <f t="shared" si="171"/>
        <v>0.05</v>
      </c>
      <c r="N4545" s="475">
        <f t="shared" si="172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70"/>
        <v>-67978551029621.406</v>
      </c>
      <c r="J4546" s="455">
        <f t="array" ref="J4546">IFERROR(INDEX('Retirement Calculator'!K:K,MATCH('Lorri 401b'!N4546,'Retirement Calculator'!A:A,0),0),0)</f>
        <v>0</v>
      </c>
      <c r="K4546" s="455">
        <f t="shared" ca="1" si="168"/>
        <v>-283243962623.42255</v>
      </c>
      <c r="L4546" s="455">
        <f t="shared" ca="1" si="169"/>
        <v>-68261794992244.828</v>
      </c>
      <c r="M4546" s="471">
        <f t="shared" si="171"/>
        <v>0.05</v>
      </c>
      <c r="N4546" s="475">
        <f t="shared" si="172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70"/>
        <v>-68261794992244.828</v>
      </c>
      <c r="J4547" s="455">
        <f t="array" ref="J4547">IFERROR(INDEX('Retirement Calculator'!K:K,MATCH('Lorri 401b'!N4547,'Retirement Calculator'!A:A,0),0),0)</f>
        <v>0</v>
      </c>
      <c r="K4547" s="455">
        <f t="shared" ca="1" si="168"/>
        <v>-284424145801.02014</v>
      </c>
      <c r="L4547" s="455">
        <f t="shared" ca="1" si="169"/>
        <v>-68546219138045.852</v>
      </c>
      <c r="M4547" s="471">
        <f t="shared" si="171"/>
        <v>0.05</v>
      </c>
      <c r="N4547" s="475">
        <f t="shared" si="172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70"/>
        <v>-68546219138045.852</v>
      </c>
      <c r="J4548" s="455">
        <f t="array" ref="J4548">IFERROR(INDEX('Retirement Calculator'!K:K,MATCH('Lorri 401b'!N4548,'Retirement Calculator'!A:A,0),0),0)</f>
        <v>0</v>
      </c>
      <c r="K4548" s="455">
        <f t="shared" ca="1" si="168"/>
        <v>-285609246408.52435</v>
      </c>
      <c r="L4548" s="455">
        <f t="shared" ca="1" si="169"/>
        <v>-68831828384454.375</v>
      </c>
      <c r="M4548" s="471">
        <f t="shared" si="171"/>
        <v>0.05</v>
      </c>
      <c r="N4548" s="475">
        <f t="shared" si="172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70"/>
        <v>-68831828384454.375</v>
      </c>
      <c r="J4549" s="455">
        <f t="array" ref="J4549">IFERROR(INDEX('Retirement Calculator'!K:K,MATCH('Lorri 401b'!N4549,'Retirement Calculator'!A:A,0),0),0)</f>
        <v>0</v>
      </c>
      <c r="K4549" s="455">
        <f t="shared" ca="1" si="168"/>
        <v>-286799284935.22656</v>
      </c>
      <c r="L4549" s="455">
        <f t="shared" ca="1" si="169"/>
        <v>-69118627669389.602</v>
      </c>
      <c r="M4549" s="471">
        <f t="shared" si="171"/>
        <v>0.05</v>
      </c>
      <c r="N4549" s="475">
        <f t="shared" si="172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70"/>
        <v>-69118627669389.602</v>
      </c>
      <c r="J4550" s="455">
        <f t="array" ref="J4550">IFERROR(INDEX('Retirement Calculator'!K:K,MATCH('Lorri 401b'!N4550,'Retirement Calculator'!A:A,0),0),0)</f>
        <v>0</v>
      </c>
      <c r="K4550" s="455">
        <f t="shared" ca="1" si="168"/>
        <v>-287994281955.78998</v>
      </c>
      <c r="L4550" s="455">
        <f t="shared" ca="1" si="169"/>
        <v>-69406621951345.391</v>
      </c>
      <c r="M4550" s="471">
        <f t="shared" si="171"/>
        <v>0.05</v>
      </c>
      <c r="N4550" s="475">
        <f t="shared" si="172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70"/>
        <v>-69406621951345.391</v>
      </c>
      <c r="J4551" s="455">
        <f t="array" ref="J4551">IFERROR(INDEX('Retirement Calculator'!K:K,MATCH('Lorri 401b'!N4551,'Retirement Calculator'!A:A,0),0),0)</f>
        <v>0</v>
      </c>
      <c r="K4551" s="455">
        <f t="shared" ca="1" si="168"/>
        <v>-289194258130.60577</v>
      </c>
      <c r="L4551" s="455">
        <f t="shared" ca="1" si="169"/>
        <v>-69695816209476</v>
      </c>
      <c r="M4551" s="471">
        <f t="shared" si="171"/>
        <v>0.05</v>
      </c>
      <c r="N4551" s="475">
        <f t="shared" si="172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70"/>
        <v>-69695816209476</v>
      </c>
      <c r="J4552" s="455">
        <f t="array" ref="J4552">IFERROR(INDEX('Retirement Calculator'!K:K,MATCH('Lorri 401b'!N4552,'Retirement Calculator'!A:A,0),0),0)</f>
        <v>0</v>
      </c>
      <c r="K4552" s="455">
        <f t="shared" ca="1" si="168"/>
        <v>-290399234206.15002</v>
      </c>
      <c r="L4552" s="455">
        <f t="shared" ca="1" si="169"/>
        <v>-69986215443682.148</v>
      </c>
      <c r="M4552" s="471">
        <f t="shared" si="171"/>
        <v>0.05</v>
      </c>
      <c r="N4552" s="475">
        <f t="shared" si="172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70"/>
        <v>-69986215443682.148</v>
      </c>
      <c r="J4553" s="455">
        <f t="array" ref="J4553">IFERROR(INDEX('Retirement Calculator'!K:K,MATCH('Lorri 401b'!N4553,'Retirement Calculator'!A:A,0),0),0)</f>
        <v>0</v>
      </c>
      <c r="K4553" s="455">
        <f t="shared" ca="1" si="168"/>
        <v>-291609231015.34229</v>
      </c>
      <c r="L4553" s="455">
        <f t="shared" ca="1" si="169"/>
        <v>-70277824674697.492</v>
      </c>
      <c r="M4553" s="471">
        <f t="shared" si="171"/>
        <v>0.05</v>
      </c>
      <c r="N4553" s="475">
        <f t="shared" si="172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70"/>
        <v>-70277824674697.492</v>
      </c>
      <c r="J4554" s="455">
        <f t="array" ref="J4554">IFERROR(INDEX('Retirement Calculator'!K:K,MATCH('Lorri 401b'!N4554,'Retirement Calculator'!A:A,0),0),0)</f>
        <v>0</v>
      </c>
      <c r="K4554" s="455">
        <f t="shared" ca="1" si="168"/>
        <v>-292824269477.90619</v>
      </c>
      <c r="L4554" s="455">
        <f t="shared" ca="1" si="169"/>
        <v>-70570648944175.391</v>
      </c>
      <c r="M4554" s="471">
        <f t="shared" si="171"/>
        <v>0.05</v>
      </c>
      <c r="N4554" s="475">
        <f t="shared" si="172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70"/>
        <v>-70570648944175.391</v>
      </c>
      <c r="J4555" s="455">
        <f t="array" ref="J4555">IFERROR(INDEX('Retirement Calculator'!K:K,MATCH('Lorri 401b'!N4555,'Retirement Calculator'!A:A,0),0),0)</f>
        <v>0</v>
      </c>
      <c r="K4555" s="455">
        <f t="shared" ca="1" si="168"/>
        <v>-294044370600.73077</v>
      </c>
      <c r="L4555" s="455">
        <f t="shared" ca="1" si="169"/>
        <v>-70864693314776.125</v>
      </c>
      <c r="M4555" s="471">
        <f t="shared" si="171"/>
        <v>0.05</v>
      </c>
      <c r="N4555" s="475">
        <f t="shared" si="172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70"/>
        <v>-70864693314776.125</v>
      </c>
      <c r="J4556" s="455">
        <f t="array" ref="J4556">IFERROR(INDEX('Retirement Calculator'!K:K,MATCH('Lorri 401b'!N4556,'Retirement Calculator'!A:A,0),0),0)</f>
        <v>0</v>
      </c>
      <c r="K4556" s="455">
        <f t="shared" ca="1" si="168"/>
        <v>-295269555478.23383</v>
      </c>
      <c r="L4556" s="455">
        <f t="shared" ca="1" si="169"/>
        <v>-71159962870254.359</v>
      </c>
      <c r="M4556" s="471">
        <f t="shared" si="171"/>
        <v>0.05</v>
      </c>
      <c r="N4556" s="475">
        <f t="shared" si="172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70"/>
        <v>-71159962870254.359</v>
      </c>
      <c r="J4557" s="455">
        <f t="array" ref="J4557">IFERROR(INDEX('Retirement Calculator'!K:K,MATCH('Lorri 401b'!N4557,'Retirement Calculator'!A:A,0),0),0)</f>
        <v>0</v>
      </c>
      <c r="K4557" s="455">
        <f t="shared" ca="1" si="168"/>
        <v>-296499845292.7265</v>
      </c>
      <c r="L4557" s="455">
        <f t="shared" ca="1" si="169"/>
        <v>-71456462715547.078</v>
      </c>
      <c r="M4557" s="471">
        <f t="shared" si="171"/>
        <v>0.05</v>
      </c>
      <c r="N4557" s="475">
        <f t="shared" si="172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70"/>
        <v>-71456462715547.078</v>
      </c>
      <c r="J4558" s="455">
        <f t="array" ref="J4558">IFERROR(INDEX('Retirement Calculator'!K:K,MATCH('Lorri 401b'!N4558,'Retirement Calculator'!A:A,0),0),0)</f>
        <v>0</v>
      </c>
      <c r="K4558" s="455">
        <f t="shared" ca="1" si="168"/>
        <v>-297735261314.77948</v>
      </c>
      <c r="L4558" s="455">
        <f t="shared" ca="1" si="169"/>
        <v>-71754197976861.859</v>
      </c>
      <c r="M4558" s="471">
        <f t="shared" si="171"/>
        <v>0.05</v>
      </c>
      <c r="N4558" s="475">
        <f t="shared" si="172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70"/>
        <v>-71754197976861.859</v>
      </c>
      <c r="J4559" s="455">
        <f t="array" ref="J4559">IFERROR(INDEX('Retirement Calculator'!K:K,MATCH('Lorri 401b'!N4559,'Retirement Calculator'!A:A,0),0),0)</f>
        <v>0</v>
      </c>
      <c r="K4559" s="455">
        <f t="shared" ca="1" si="168"/>
        <v>-298975824903.59106</v>
      </c>
      <c r="L4559" s="455">
        <f t="shared" ca="1" si="169"/>
        <v>-72053173801765.453</v>
      </c>
      <c r="M4559" s="471">
        <f t="shared" si="171"/>
        <v>0.05</v>
      </c>
      <c r="N4559" s="475">
        <f t="shared" si="172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70"/>
        <v>-72053173801765.453</v>
      </c>
      <c r="J4560" s="455">
        <f t="array" ref="J4560">IFERROR(INDEX('Retirement Calculator'!K:K,MATCH('Lorri 401b'!N4560,'Retirement Calculator'!A:A,0),0),0)</f>
        <v>0</v>
      </c>
      <c r="K4560" s="455">
        <f t="shared" ca="1" si="168"/>
        <v>-300221557507.35608</v>
      </c>
      <c r="L4560" s="455">
        <f t="shared" ca="1" si="169"/>
        <v>-72353395359272.813</v>
      </c>
      <c r="M4560" s="471">
        <f t="shared" si="171"/>
        <v>0.05</v>
      </c>
      <c r="N4560" s="475">
        <f t="shared" si="172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70"/>
        <v>-72353395359272.813</v>
      </c>
      <c r="J4561" s="455">
        <f t="array" ref="J4561">IFERROR(INDEX('Retirement Calculator'!K:K,MATCH('Lorri 401b'!N4561,'Retirement Calculator'!A:A,0),0),0)</f>
        <v>0</v>
      </c>
      <c r="K4561" s="455">
        <f t="shared" ca="1" si="168"/>
        <v>-301472480663.63672</v>
      </c>
      <c r="L4561" s="455">
        <f t="shared" ca="1" si="169"/>
        <v>-72654867839936.453</v>
      </c>
      <c r="M4561" s="471">
        <f t="shared" si="171"/>
        <v>0.05</v>
      </c>
      <c r="N4561" s="475">
        <f t="shared" si="172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70"/>
        <v>-72654867839936.453</v>
      </c>
      <c r="J4562" s="455">
        <f t="array" ref="J4562">IFERROR(INDEX('Retirement Calculator'!K:K,MATCH('Lorri 401b'!N4562,'Retirement Calculator'!A:A,0),0),0)</f>
        <v>0</v>
      </c>
      <c r="K4562" s="455">
        <f t="shared" ca="1" si="168"/>
        <v>-302728615999.73523</v>
      </c>
      <c r="L4562" s="455">
        <f t="shared" ca="1" si="169"/>
        <v>-72957596455936.188</v>
      </c>
      <c r="M4562" s="471">
        <f t="shared" si="171"/>
        <v>0.05</v>
      </c>
      <c r="N4562" s="475">
        <f t="shared" si="172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70"/>
        <v>-72957596455936.188</v>
      </c>
      <c r="J4563" s="455">
        <f t="array" ref="J4563">IFERROR(INDEX('Retirement Calculator'!K:K,MATCH('Lorri 401b'!N4563,'Retirement Calculator'!A:A,0),0),0)</f>
        <v>0</v>
      </c>
      <c r="K4563" s="455">
        <f t="shared" ca="1" si="168"/>
        <v>-303989985233.06744</v>
      </c>
      <c r="L4563" s="455">
        <f t="shared" ca="1" si="169"/>
        <v>-73261586441169.25</v>
      </c>
      <c r="M4563" s="471">
        <f t="shared" si="171"/>
        <v>0.05</v>
      </c>
      <c r="N4563" s="475">
        <f t="shared" si="172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70"/>
        <v>-73261586441169.25</v>
      </c>
      <c r="J4564" s="455">
        <f t="array" ref="J4564">IFERROR(INDEX('Retirement Calculator'!K:K,MATCH('Lorri 401b'!N4564,'Retirement Calculator'!A:A,0),0),0)</f>
        <v>0</v>
      </c>
      <c r="K4564" s="455">
        <f t="shared" ca="1" si="168"/>
        <v>-305256610171.53851</v>
      </c>
      <c r="L4564" s="455">
        <f t="shared" ca="1" si="169"/>
        <v>-73566843051340.781</v>
      </c>
      <c r="M4564" s="471">
        <f t="shared" si="171"/>
        <v>0.05</v>
      </c>
      <c r="N4564" s="475">
        <f t="shared" si="172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70"/>
        <v>-73566843051340.781</v>
      </c>
      <c r="J4565" s="455">
        <f t="array" ref="J4565">IFERROR(INDEX('Retirement Calculator'!K:K,MATCH('Lorri 401b'!N4565,'Retirement Calculator'!A:A,0),0),0)</f>
        <v>0</v>
      </c>
      <c r="K4565" s="455">
        <f t="shared" ca="1" si="168"/>
        <v>-306528512713.91992</v>
      </c>
      <c r="L4565" s="455">
        <f t="shared" ca="1" si="169"/>
        <v>-73873371564054.703</v>
      </c>
      <c r="M4565" s="471">
        <f t="shared" si="171"/>
        <v>0.05</v>
      </c>
      <c r="N4565" s="475">
        <f t="shared" si="172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70"/>
        <v>-73873371564054.703</v>
      </c>
      <c r="J4566" s="455">
        <f t="array" ref="J4566">IFERROR(INDEX('Retirement Calculator'!K:K,MATCH('Lorri 401b'!N4566,'Retirement Calculator'!A:A,0),0),0)</f>
        <v>0</v>
      </c>
      <c r="K4566" s="455">
        <f t="shared" ca="1" si="168"/>
        <v>-307805714850.22791</v>
      </c>
      <c r="L4566" s="455">
        <f t="shared" ca="1" si="169"/>
        <v>-74181177278904.938</v>
      </c>
      <c r="M4566" s="471">
        <f t="shared" si="171"/>
        <v>0.05</v>
      </c>
      <c r="N4566" s="475">
        <f t="shared" si="172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70"/>
        <v>-74181177278904.938</v>
      </c>
      <c r="J4567" s="455">
        <f t="array" ref="J4567">IFERROR(INDEX('Retirement Calculator'!K:K,MATCH('Lorri 401b'!N4567,'Retirement Calculator'!A:A,0),0),0)</f>
        <v>0</v>
      </c>
      <c r="K4567" s="455">
        <f t="shared" ca="1" si="168"/>
        <v>-309088238662.10388</v>
      </c>
      <c r="L4567" s="455">
        <f t="shared" ca="1" si="169"/>
        <v>-74490265517567.047</v>
      </c>
      <c r="M4567" s="471">
        <f t="shared" si="171"/>
        <v>0.05</v>
      </c>
      <c r="N4567" s="475">
        <f t="shared" si="172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70"/>
        <v>-74490265517567.047</v>
      </c>
      <c r="J4568" s="455">
        <f t="array" ref="J4568">IFERROR(INDEX('Retirement Calculator'!K:K,MATCH('Lorri 401b'!N4568,'Retirement Calculator'!A:A,0),0),0)</f>
        <v>0</v>
      </c>
      <c r="K4568" s="455">
        <f t="shared" ca="1" si="168"/>
        <v>-310376106323.19604</v>
      </c>
      <c r="L4568" s="455">
        <f t="shared" ca="1" si="169"/>
        <v>-74800641623890.25</v>
      </c>
      <c r="M4568" s="471">
        <f t="shared" si="171"/>
        <v>0.05</v>
      </c>
      <c r="N4568" s="475">
        <f t="shared" si="172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70"/>
        <v>-74800641623890.25</v>
      </c>
      <c r="J4569" s="455">
        <f t="array" ref="J4569">IFERROR(INDEX('Retirement Calculator'!K:K,MATCH('Lorri 401b'!N4569,'Retirement Calculator'!A:A,0),0),0)</f>
        <v>0</v>
      </c>
      <c r="K4569" s="455">
        <f t="shared" ca="1" si="168"/>
        <v>-311669340099.54272</v>
      </c>
      <c r="L4569" s="455">
        <f t="shared" ca="1" si="169"/>
        <v>-75112310963989.797</v>
      </c>
      <c r="M4569" s="471">
        <f t="shared" si="171"/>
        <v>0.05</v>
      </c>
      <c r="N4569" s="475">
        <f t="shared" si="172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70"/>
        <v>-75112310963989.797</v>
      </c>
      <c r="J4570" s="455">
        <f t="array" ref="J4570">IFERROR(INDEX('Retirement Calculator'!K:K,MATCH('Lorri 401b'!N4570,'Retirement Calculator'!A:A,0),0),0)</f>
        <v>0</v>
      </c>
      <c r="K4570" s="455">
        <f t="shared" ca="1" si="168"/>
        <v>-312967962349.95746</v>
      </c>
      <c r="L4570" s="455">
        <f t="shared" ca="1" si="169"/>
        <v>-75425278926339.75</v>
      </c>
      <c r="M4570" s="471">
        <f t="shared" si="171"/>
        <v>0.05</v>
      </c>
      <c r="N4570" s="475">
        <f t="shared" si="172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70"/>
        <v>-75425278926339.75</v>
      </c>
      <c r="J4571" s="455">
        <f t="array" ref="J4571">IFERROR(INDEX('Retirement Calculator'!K:K,MATCH('Lorri 401b'!N4571,'Retirement Calculator'!A:A,0),0),0)</f>
        <v>0</v>
      </c>
      <c r="K4571" s="455">
        <f t="shared" ca="1" si="168"/>
        <v>-314271995526.41565</v>
      </c>
      <c r="L4571" s="455">
        <f t="shared" ca="1" si="169"/>
        <v>-75739550921866.172</v>
      </c>
      <c r="M4571" s="471">
        <f t="shared" si="171"/>
        <v>0.05</v>
      </c>
      <c r="N4571" s="475">
        <f t="shared" si="172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70"/>
        <v>-75739550921866.172</v>
      </c>
      <c r="J4572" s="455">
        <f t="array" ref="J4572">IFERROR(INDEX('Retirement Calculator'!K:K,MATCH('Lorri 401b'!N4572,'Retirement Calculator'!A:A,0),0),0)</f>
        <v>0</v>
      </c>
      <c r="K4572" s="455">
        <f t="shared" ca="1" si="168"/>
        <v>-315581462174.44238</v>
      </c>
      <c r="L4572" s="455">
        <f t="shared" ca="1" si="169"/>
        <v>-76055132384040.609</v>
      </c>
      <c r="M4572" s="471">
        <f t="shared" si="171"/>
        <v>0.05</v>
      </c>
      <c r="N4572" s="475">
        <f t="shared" si="172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70"/>
        <v>-76055132384040.609</v>
      </c>
      <c r="J4573" s="455">
        <f t="array" ref="J4573">IFERROR(INDEX('Retirement Calculator'!K:K,MATCH('Lorri 401b'!N4573,'Retirement Calculator'!A:A,0),0),0)</f>
        <v>0</v>
      </c>
      <c r="K4573" s="455">
        <f t="shared" ca="1" si="168"/>
        <v>-316896384933.50256</v>
      </c>
      <c r="L4573" s="455">
        <f t="shared" ca="1" si="169"/>
        <v>-76372028768974.109</v>
      </c>
      <c r="M4573" s="471">
        <f t="shared" si="171"/>
        <v>0.05</v>
      </c>
      <c r="N4573" s="475">
        <f t="shared" si="172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70"/>
        <v>-76372028768974.109</v>
      </c>
      <c r="J4574" s="455">
        <f t="array" ref="J4574">IFERROR(INDEX('Retirement Calculator'!K:K,MATCH('Lorri 401b'!N4574,'Retirement Calculator'!A:A,0),0),0)</f>
        <v>0</v>
      </c>
      <c r="K4574" s="455">
        <f t="shared" ca="1" si="168"/>
        <v>-318216786537.39209</v>
      </c>
      <c r="L4574" s="455">
        <f t="shared" ca="1" si="169"/>
        <v>-76690245555511.5</v>
      </c>
      <c r="M4574" s="471">
        <f t="shared" si="171"/>
        <v>0.05</v>
      </c>
      <c r="N4574" s="475">
        <f t="shared" si="172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70"/>
        <v>-76690245555511.5</v>
      </c>
      <c r="J4575" s="455">
        <f t="array" ref="J4575">IFERROR(INDEX('Retirement Calculator'!K:K,MATCH('Lorri 401b'!N4575,'Retirement Calculator'!A:A,0),0),0)</f>
        <v>0</v>
      </c>
      <c r="K4575" s="455">
        <f t="shared" ca="1" si="168"/>
        <v>-319542689814.63123</v>
      </c>
      <c r="L4575" s="455">
        <f t="shared" ca="1" si="169"/>
        <v>-77009788245326.125</v>
      </c>
      <c r="M4575" s="471">
        <f t="shared" si="171"/>
        <v>0.05</v>
      </c>
      <c r="N4575" s="475">
        <f t="shared" si="172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70"/>
        <v>-77009788245326.125</v>
      </c>
      <c r="J4576" s="455">
        <f t="array" ref="J4576">IFERROR(INDEX('Retirement Calculator'!K:K,MATCH('Lorri 401b'!N4576,'Retirement Calculator'!A:A,0),0),0)</f>
        <v>0</v>
      </c>
      <c r="K4576" s="455">
        <f t="shared" ca="1" si="168"/>
        <v>-320874117688.85883</v>
      </c>
      <c r="L4576" s="455">
        <f t="shared" ca="1" si="169"/>
        <v>-77330662363014.984</v>
      </c>
      <c r="M4576" s="471">
        <f t="shared" si="171"/>
        <v>0.05</v>
      </c>
      <c r="N4576" s="475">
        <f t="shared" si="172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70"/>
        <v>-77330662363014.984</v>
      </c>
      <c r="J4577" s="455">
        <f t="array" ref="J4577">IFERROR(INDEX('Retirement Calculator'!K:K,MATCH('Lorri 401b'!N4577,'Retirement Calculator'!A:A,0),0),0)</f>
        <v>0</v>
      </c>
      <c r="K4577" s="455">
        <f t="shared" ca="1" si="168"/>
        <v>-322211093179.22913</v>
      </c>
      <c r="L4577" s="455">
        <f t="shared" ca="1" si="169"/>
        <v>-77652873456194.219</v>
      </c>
      <c r="M4577" s="471">
        <f t="shared" si="171"/>
        <v>0.05</v>
      </c>
      <c r="N4577" s="475">
        <f t="shared" si="172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70"/>
        <v>-77652873456194.219</v>
      </c>
      <c r="J4578" s="455">
        <f t="array" ref="J4578">IFERROR(INDEX('Retirement Calculator'!K:K,MATCH('Lorri 401b'!N4578,'Retirement Calculator'!A:A,0),0),0)</f>
        <v>0</v>
      </c>
      <c r="K4578" s="455">
        <f t="shared" ca="1" si="168"/>
        <v>-323553639400.80927</v>
      </c>
      <c r="L4578" s="455">
        <f t="shared" ca="1" si="169"/>
        <v>-77976427095595.031</v>
      </c>
      <c r="M4578" s="471">
        <f t="shared" si="171"/>
        <v>0.05</v>
      </c>
      <c r="N4578" s="475">
        <f t="shared" si="172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70"/>
        <v>-77976427095595.031</v>
      </c>
      <c r="J4579" s="455">
        <f t="array" ref="J4579">IFERROR(INDEX('Retirement Calculator'!K:K,MATCH('Lorri 401b'!N4579,'Retirement Calculator'!A:A,0),0),0)</f>
        <v>0</v>
      </c>
      <c r="K4579" s="455">
        <f t="shared" ca="1" si="168"/>
        <v>-324901779564.97931</v>
      </c>
      <c r="L4579" s="455">
        <f t="shared" ca="1" si="169"/>
        <v>-78301328875160.016</v>
      </c>
      <c r="M4579" s="471">
        <f t="shared" si="171"/>
        <v>0.05</v>
      </c>
      <c r="N4579" s="475">
        <f t="shared" si="172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70"/>
        <v>-78301328875160.016</v>
      </c>
      <c r="J4580" s="455">
        <f t="array" ref="J4580">IFERROR(INDEX('Retirement Calculator'!K:K,MATCH('Lorri 401b'!N4580,'Retirement Calculator'!A:A,0),0),0)</f>
        <v>0</v>
      </c>
      <c r="K4580" s="455">
        <f t="shared" ca="1" si="168"/>
        <v>-326255536979.83337</v>
      </c>
      <c r="L4580" s="455">
        <f t="shared" ca="1" si="169"/>
        <v>-78627584412139.844</v>
      </c>
      <c r="M4580" s="471">
        <f t="shared" si="171"/>
        <v>0.05</v>
      </c>
      <c r="N4580" s="475">
        <f t="shared" si="172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70"/>
        <v>-78627584412139.844</v>
      </c>
      <c r="J4581" s="455">
        <f t="array" ref="J4581">IFERROR(INDEX('Retirement Calculator'!K:K,MATCH('Lorri 401b'!N4581,'Retirement Calculator'!A:A,0),0),0)</f>
        <v>0</v>
      </c>
      <c r="K4581" s="455">
        <f t="shared" ca="1" si="168"/>
        <v>-327614935050.5827</v>
      </c>
      <c r="L4581" s="455">
        <f t="shared" ca="1" si="169"/>
        <v>-78955199347190.422</v>
      </c>
      <c r="M4581" s="471">
        <f t="shared" si="171"/>
        <v>0.05</v>
      </c>
      <c r="N4581" s="475">
        <f t="shared" si="172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70"/>
        <v>-78955199347190.422</v>
      </c>
      <c r="J4582" s="455">
        <f t="array" ref="J4582">IFERROR(INDEX('Retirement Calculator'!K:K,MATCH('Lorri 401b'!N4582,'Retirement Calculator'!A:A,0),0),0)</f>
        <v>0</v>
      </c>
      <c r="K4582" s="455">
        <f t="shared" ca="1" si="168"/>
        <v>-328979997279.96008</v>
      </c>
      <c r="L4582" s="455">
        <f t="shared" ca="1" si="169"/>
        <v>-79284179344470.375</v>
      </c>
      <c r="M4582" s="471">
        <f t="shared" si="171"/>
        <v>0.05</v>
      </c>
      <c r="N4582" s="475">
        <f t="shared" si="172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70"/>
        <v>-79284179344470.375</v>
      </c>
      <c r="J4583" s="455">
        <f t="array" ref="J4583">IFERROR(INDEX('Retirement Calculator'!K:K,MATCH('Lorri 401b'!N4583,'Retirement Calculator'!A:A,0),0),0)</f>
        <v>0</v>
      </c>
      <c r="K4583" s="455">
        <f t="shared" ca="1" si="168"/>
        <v>-330350747268.62659</v>
      </c>
      <c r="L4583" s="455">
        <f t="shared" ca="1" si="169"/>
        <v>-79614530091739</v>
      </c>
      <c r="M4583" s="471">
        <f t="shared" si="171"/>
        <v>0.05</v>
      </c>
      <c r="N4583" s="475">
        <f t="shared" si="172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70"/>
        <v>-79614530091739</v>
      </c>
      <c r="J4584" s="455">
        <f t="array" ref="J4584">IFERROR(INDEX('Retirement Calculator'!K:K,MATCH('Lorri 401b'!N4584,'Retirement Calculator'!A:A,0),0),0)</f>
        <v>0</v>
      </c>
      <c r="K4584" s="455">
        <f t="shared" ca="1" si="168"/>
        <v>-331727208715.57916</v>
      </c>
      <c r="L4584" s="455">
        <f t="shared" ca="1" si="169"/>
        <v>-79946257300454.578</v>
      </c>
      <c r="M4584" s="471">
        <f t="shared" si="171"/>
        <v>0.05</v>
      </c>
      <c r="N4584" s="475">
        <f t="shared" si="172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70"/>
        <v>-79946257300454.578</v>
      </c>
      <c r="J4585" s="455">
        <f t="array" ref="J4585">IFERROR(INDEX('Retirement Calculator'!K:K,MATCH('Lorri 401b'!N4585,'Retirement Calculator'!A:A,0),0),0)</f>
        <v>0</v>
      </c>
      <c r="K4585" s="455">
        <f t="shared" ca="1" si="168"/>
        <v>-333109405418.56073</v>
      </c>
      <c r="L4585" s="455">
        <f t="shared" ca="1" si="169"/>
        <v>-80279366705873.141</v>
      </c>
      <c r="M4585" s="471">
        <f t="shared" si="171"/>
        <v>0.05</v>
      </c>
      <c r="N4585" s="475">
        <f t="shared" si="172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70"/>
        <v>-80279366705873.141</v>
      </c>
      <c r="J4586" s="455">
        <f t="array" ref="J4586">IFERROR(INDEX('Retirement Calculator'!K:K,MATCH('Lorri 401b'!N4586,'Retirement Calculator'!A:A,0),0),0)</f>
        <v>0</v>
      </c>
      <c r="K4586" s="455">
        <f t="shared" ca="1" si="168"/>
        <v>-334497361274.47144</v>
      </c>
      <c r="L4586" s="455">
        <f t="shared" ca="1" si="169"/>
        <v>-80613864067147.609</v>
      </c>
      <c r="M4586" s="471">
        <f t="shared" si="171"/>
        <v>0.05</v>
      </c>
      <c r="N4586" s="475">
        <f t="shared" si="172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70"/>
        <v>-80613864067147.609</v>
      </c>
      <c r="J4587" s="455">
        <f t="array" ref="J4587">IFERROR(INDEX('Retirement Calculator'!K:K,MATCH('Lorri 401b'!N4587,'Retirement Calculator'!A:A,0),0),0)</f>
        <v>0</v>
      </c>
      <c r="K4587" s="455">
        <f t="shared" ca="1" si="168"/>
        <v>-335891100279.78168</v>
      </c>
      <c r="L4587" s="455">
        <f t="shared" ca="1" si="169"/>
        <v>-80949755167427.391</v>
      </c>
      <c r="M4587" s="471">
        <f t="shared" si="171"/>
        <v>0.05</v>
      </c>
      <c r="N4587" s="475">
        <f t="shared" si="172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70"/>
        <v>-80949755167427.391</v>
      </c>
      <c r="J4588" s="455">
        <f t="array" ref="J4588">IFERROR(INDEX('Retirement Calculator'!K:K,MATCH('Lorri 401b'!N4588,'Retirement Calculator'!A:A,0),0),0)</f>
        <v>0</v>
      </c>
      <c r="K4588" s="455">
        <f t="shared" ca="1" si="168"/>
        <v>-337290646530.94745</v>
      </c>
      <c r="L4588" s="455">
        <f t="shared" ca="1" si="169"/>
        <v>-81287045813958.344</v>
      </c>
      <c r="M4588" s="471">
        <f t="shared" si="171"/>
        <v>0.05</v>
      </c>
      <c r="N4588" s="475">
        <f t="shared" si="172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70"/>
        <v>-81287045813958.344</v>
      </c>
      <c r="J4589" s="455">
        <f t="array" ref="J4589">IFERROR(INDEX('Retirement Calculator'!K:K,MATCH('Lorri 401b'!N4589,'Retirement Calculator'!A:A,0),0),0)</f>
        <v>0</v>
      </c>
      <c r="K4589" s="455">
        <f t="shared" ca="1" si="168"/>
        <v>-338696024224.82642</v>
      </c>
      <c r="L4589" s="455">
        <f t="shared" ca="1" si="169"/>
        <v>-81625741838183.172</v>
      </c>
      <c r="M4589" s="471">
        <f t="shared" si="171"/>
        <v>0.05</v>
      </c>
      <c r="N4589" s="475">
        <f t="shared" si="172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70"/>
        <v>-81625741838183.172</v>
      </c>
      <c r="J4590" s="455">
        <f t="array" ref="J4590">IFERROR(INDEX('Retirement Calculator'!K:K,MATCH('Lorri 401b'!N4590,'Retirement Calculator'!A:A,0),0),0)</f>
        <v>0</v>
      </c>
      <c r="K4590" s="455">
        <f t="shared" ca="1" si="168"/>
        <v>-340107257659.09656</v>
      </c>
      <c r="L4590" s="455">
        <f t="shared" ca="1" si="169"/>
        <v>-81965849095842.266</v>
      </c>
      <c r="M4590" s="471">
        <f t="shared" si="171"/>
        <v>0.05</v>
      </c>
      <c r="N4590" s="475">
        <f t="shared" si="172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70"/>
        <v>-81965849095842.266</v>
      </c>
      <c r="J4591" s="455">
        <f t="array" ref="J4591">IFERROR(INDEX('Retirement Calculator'!K:K,MATCH('Lorri 401b'!N4591,'Retirement Calculator'!A:A,0),0),0)</f>
        <v>0</v>
      </c>
      <c r="K4591" s="455">
        <f t="shared" ca="1" si="168"/>
        <v>-341524371232.67609</v>
      </c>
      <c r="L4591" s="455">
        <f t="shared" ca="1" si="169"/>
        <v>-82307373467074.938</v>
      </c>
      <c r="M4591" s="471">
        <f t="shared" si="171"/>
        <v>0.05</v>
      </c>
      <c r="N4591" s="475">
        <f t="shared" si="172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70"/>
        <v>-82307373467074.938</v>
      </c>
      <c r="J4592" s="455">
        <f t="array" ref="J4592">IFERROR(INDEX('Retirement Calculator'!K:K,MATCH('Lorri 401b'!N4592,'Retirement Calculator'!A:A,0),0),0)</f>
        <v>0</v>
      </c>
      <c r="K4592" s="455">
        <f t="shared" ca="1" si="168"/>
        <v>-342947389446.14557</v>
      </c>
      <c r="L4592" s="455">
        <f t="shared" ca="1" si="169"/>
        <v>-82650320856521.078</v>
      </c>
      <c r="M4592" s="471">
        <f t="shared" si="171"/>
        <v>0.05</v>
      </c>
      <c r="N4592" s="475">
        <f t="shared" si="172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70"/>
        <v>-82650320856521.078</v>
      </c>
      <c r="J4593" s="455">
        <f t="array" ref="J4593">IFERROR(INDEX('Retirement Calculator'!K:K,MATCH('Lorri 401b'!N4593,'Retirement Calculator'!A:A,0),0),0)</f>
        <v>0</v>
      </c>
      <c r="K4593" s="455">
        <f t="shared" ca="1" si="168"/>
        <v>-344376336902.17114</v>
      </c>
      <c r="L4593" s="455">
        <f t="shared" ca="1" si="169"/>
        <v>-82994697193423.25</v>
      </c>
      <c r="M4593" s="471">
        <f t="shared" si="171"/>
        <v>0.05</v>
      </c>
      <c r="N4593" s="475">
        <f t="shared" si="172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70"/>
        <v>-82994697193423.25</v>
      </c>
      <c r="J4594" s="455">
        <f t="array" ref="J4594">IFERROR(INDEX('Retirement Calculator'!K:K,MATCH('Lorri 401b'!N4594,'Retirement Calculator'!A:A,0),0),0)</f>
        <v>0</v>
      </c>
      <c r="K4594" s="455">
        <f t="shared" ca="1" si="168"/>
        <v>-345811238305.93018</v>
      </c>
      <c r="L4594" s="455">
        <f t="shared" ca="1" si="169"/>
        <v>-83340508431729.188</v>
      </c>
      <c r="M4594" s="471">
        <f t="shared" si="171"/>
        <v>0.05</v>
      </c>
      <c r="N4594" s="475">
        <f t="shared" si="172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70"/>
        <v>-83340508431729.188</v>
      </c>
      <c r="J4595" s="455">
        <f t="array" ref="J4595">IFERROR(INDEX('Retirement Calculator'!K:K,MATCH('Lorri 401b'!N4595,'Retirement Calculator'!A:A,0),0),0)</f>
        <v>0</v>
      </c>
      <c r="K4595" s="455">
        <f t="shared" ca="1" si="168"/>
        <v>-347252118465.53827</v>
      </c>
      <c r="L4595" s="455">
        <f t="shared" ca="1" si="169"/>
        <v>-83687760550194.719</v>
      </c>
      <c r="M4595" s="471">
        <f t="shared" si="171"/>
        <v>0.05</v>
      </c>
      <c r="N4595" s="475">
        <f t="shared" si="172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70"/>
        <v>-83687760550194.719</v>
      </c>
      <c r="J4596" s="455">
        <f t="array" ref="J4596">IFERROR(INDEX('Retirement Calculator'!K:K,MATCH('Lorri 401b'!N4596,'Retirement Calculator'!A:A,0),0),0)</f>
        <v>0</v>
      </c>
      <c r="K4596" s="455">
        <f t="shared" ca="1" si="168"/>
        <v>-348699002292.47797</v>
      </c>
      <c r="L4596" s="455">
        <f t="shared" ca="1" si="169"/>
        <v>-84036459552487.203</v>
      </c>
      <c r="M4596" s="471">
        <f t="shared" si="171"/>
        <v>0.05</v>
      </c>
      <c r="N4596" s="475">
        <f t="shared" si="172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70"/>
        <v>-84036459552487.203</v>
      </c>
      <c r="J4597" s="455">
        <f t="array" ref="J4597">IFERROR(INDEX('Retirement Calculator'!K:K,MATCH('Lorri 401b'!N4597,'Retirement Calculator'!A:A,0),0),0)</f>
        <v>0</v>
      </c>
      <c r="K4597" s="455">
        <f t="shared" ca="1" si="168"/>
        <v>-350151914802.03003</v>
      </c>
      <c r="L4597" s="455">
        <f t="shared" ca="1" si="169"/>
        <v>-84386611467289.234</v>
      </c>
      <c r="M4597" s="471">
        <f t="shared" si="171"/>
        <v>0.05</v>
      </c>
      <c r="N4597" s="475">
        <f t="shared" si="172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70"/>
        <v>-84386611467289.234</v>
      </c>
      <c r="J4598" s="455">
        <f t="array" ref="J4598">IFERROR(INDEX('Retirement Calculator'!K:K,MATCH('Lorri 401b'!N4598,'Retirement Calculator'!A:A,0),0),0)</f>
        <v>0</v>
      </c>
      <c r="K4598" s="455">
        <f t="shared" ref="K4598:K4852" ca="1" si="173">IPMT(M4598/12,1,12,-I4598+J4598,,0)</f>
        <v>-351610881113.70514</v>
      </c>
      <c r="L4598" s="455">
        <f t="shared" ref="L4598:L4852" ca="1" si="174">I4598-J4598+K4598</f>
        <v>-84738222348402.938</v>
      </c>
      <c r="M4598" s="471">
        <f t="shared" si="171"/>
        <v>0.05</v>
      </c>
      <c r="N4598" s="475">
        <f t="shared" si="172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75">L4598</f>
        <v>-84738222348402.938</v>
      </c>
      <c r="J4599" s="455">
        <f t="array" ref="J4599">IFERROR(INDEX('Retirement Calculator'!K:K,MATCH('Lorri 401b'!N4599,'Retirement Calculator'!A:A,0),0),0)</f>
        <v>0</v>
      </c>
      <c r="K4599" s="455">
        <f t="shared" ca="1" si="173"/>
        <v>-353075926451.67889</v>
      </c>
      <c r="L4599" s="455">
        <f t="shared" ca="1" si="174"/>
        <v>-85091298274854.609</v>
      </c>
      <c r="M4599" s="471">
        <f t="shared" ref="M4599:M4853" si="176">M4598</f>
        <v>0.05</v>
      </c>
      <c r="N4599" s="475">
        <f t="shared" ref="N4599:N4853" si="177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75"/>
        <v>-85091298274854.609</v>
      </c>
      <c r="J4600" s="455">
        <f t="array" ref="J4600">IFERROR(INDEX('Retirement Calculator'!K:K,MATCH('Lorri 401b'!N4600,'Retirement Calculator'!A:A,0),0),0)</f>
        <v>0</v>
      </c>
      <c r="K4600" s="455">
        <f t="shared" ca="1" si="173"/>
        <v>-354547076145.22754</v>
      </c>
      <c r="L4600" s="455">
        <f t="shared" ca="1" si="174"/>
        <v>-85445845350999.844</v>
      </c>
      <c r="M4600" s="471">
        <f t="shared" si="176"/>
        <v>0.05</v>
      </c>
      <c r="N4600" s="475">
        <f t="shared" si="177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75"/>
        <v>-85445845350999.844</v>
      </c>
      <c r="J4601" s="455">
        <f t="array" ref="J4601">IFERROR(INDEX('Retirement Calculator'!K:K,MATCH('Lorri 401b'!N4601,'Retirement Calculator'!A:A,0),0),0)</f>
        <v>0</v>
      </c>
      <c r="K4601" s="455">
        <f t="shared" ca="1" si="173"/>
        <v>-356024355629.16602</v>
      </c>
      <c r="L4601" s="455">
        <f t="shared" ca="1" si="174"/>
        <v>-85801869706629.016</v>
      </c>
      <c r="M4601" s="471">
        <f t="shared" si="176"/>
        <v>0.05</v>
      </c>
      <c r="N4601" s="475">
        <f t="shared" si="177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75"/>
        <v>-85801869706629.016</v>
      </c>
      <c r="J4602" s="455">
        <f t="array" ref="J4602">IFERROR(INDEX('Retirement Calculator'!K:K,MATCH('Lorri 401b'!N4602,'Retirement Calculator'!A:A,0),0),0)</f>
        <v>0</v>
      </c>
      <c r="K4602" s="455">
        <f t="shared" ca="1" si="173"/>
        <v>-357507790444.28754</v>
      </c>
      <c r="L4602" s="455">
        <f t="shared" ca="1" si="174"/>
        <v>-86159377497073.297</v>
      </c>
      <c r="M4602" s="471">
        <f t="shared" si="176"/>
        <v>0.05</v>
      </c>
      <c r="N4602" s="475">
        <f t="shared" si="177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75"/>
        <v>-86159377497073.297</v>
      </c>
      <c r="J4603" s="455">
        <f t="array" ref="J4603">IFERROR(INDEX('Retirement Calculator'!K:K,MATCH('Lorri 401b'!N4603,'Retirement Calculator'!A:A,0),0),0)</f>
        <v>0</v>
      </c>
      <c r="K4603" s="455">
        <f t="shared" ca="1" si="173"/>
        <v>-358997406237.80542</v>
      </c>
      <c r="L4603" s="455">
        <f t="shared" ca="1" si="174"/>
        <v>-86518374903311.109</v>
      </c>
      <c r="M4603" s="471">
        <f t="shared" si="176"/>
        <v>0.05</v>
      </c>
      <c r="N4603" s="475">
        <f t="shared" si="177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75"/>
        <v>-86518374903311.109</v>
      </c>
      <c r="J4604" s="455">
        <f t="array" ref="J4604">IFERROR(INDEX('Retirement Calculator'!K:K,MATCH('Lorri 401b'!N4604,'Retirement Calculator'!A:A,0),0),0)</f>
        <v>0</v>
      </c>
      <c r="K4604" s="455">
        <f t="shared" ca="1" si="173"/>
        <v>-360493228763.79626</v>
      </c>
      <c r="L4604" s="455">
        <f t="shared" ca="1" si="174"/>
        <v>-86878868132074.906</v>
      </c>
      <c r="M4604" s="471">
        <f t="shared" si="176"/>
        <v>0.05</v>
      </c>
      <c r="N4604" s="475">
        <f t="shared" si="177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75"/>
        <v>-86878868132074.906</v>
      </c>
      <c r="J4605" s="455">
        <f t="array" ref="J4605">IFERROR(INDEX('Retirement Calculator'!K:K,MATCH('Lorri 401b'!N4605,'Retirement Calculator'!A:A,0),0),0)</f>
        <v>0</v>
      </c>
      <c r="K4605" s="455">
        <f t="shared" ca="1" si="173"/>
        <v>-361995283883.64545</v>
      </c>
      <c r="L4605" s="455">
        <f t="shared" ca="1" si="174"/>
        <v>-87240863415958.547</v>
      </c>
      <c r="M4605" s="471">
        <f t="shared" si="176"/>
        <v>0.05</v>
      </c>
      <c r="N4605" s="475">
        <f t="shared" si="177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75"/>
        <v>-87240863415958.547</v>
      </c>
      <c r="J4606" s="455">
        <f t="array" ref="J4606">IFERROR(INDEX('Retirement Calculator'!K:K,MATCH('Lorri 401b'!N4606,'Retirement Calculator'!A:A,0),0),0)</f>
        <v>0</v>
      </c>
      <c r="K4606" s="455">
        <f t="shared" ca="1" si="173"/>
        <v>-363503597566.49396</v>
      </c>
      <c r="L4606" s="455">
        <f t="shared" ca="1" si="174"/>
        <v>-87604367013525.047</v>
      </c>
      <c r="M4606" s="471">
        <f t="shared" si="176"/>
        <v>0.05</v>
      </c>
      <c r="N4606" s="475">
        <f t="shared" si="177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75"/>
        <v>-87604367013525.047</v>
      </c>
      <c r="J4607" s="455">
        <f t="array" ref="J4607">IFERROR(INDEX('Retirement Calculator'!K:K,MATCH('Lorri 401b'!N4607,'Retirement Calculator'!A:A,0),0),0)</f>
        <v>0</v>
      </c>
      <c r="K4607" s="455">
        <f t="shared" ca="1" si="173"/>
        <v>-365018195889.68768</v>
      </c>
      <c r="L4607" s="455">
        <f t="shared" ca="1" si="174"/>
        <v>-87969385209414.734</v>
      </c>
      <c r="M4607" s="471">
        <f t="shared" si="176"/>
        <v>0.05</v>
      </c>
      <c r="N4607" s="475">
        <f t="shared" si="177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75"/>
        <v>-87969385209414.734</v>
      </c>
      <c r="J4608" s="455">
        <f t="array" ref="J4608">IFERROR(INDEX('Retirement Calculator'!K:K,MATCH('Lorri 401b'!N4608,'Retirement Calculator'!A:A,0),0),0)</f>
        <v>0</v>
      </c>
      <c r="K4608" s="455">
        <f t="shared" ca="1" si="173"/>
        <v>-366539105039.22803</v>
      </c>
      <c r="L4608" s="455">
        <f t="shared" ca="1" si="174"/>
        <v>-88335924314453.969</v>
      </c>
      <c r="M4608" s="471">
        <f t="shared" si="176"/>
        <v>0.05</v>
      </c>
      <c r="N4608" s="475">
        <f t="shared" si="177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75"/>
        <v>-88335924314453.969</v>
      </c>
      <c r="J4609" s="455">
        <f t="array" ref="J4609">IFERROR(INDEX('Retirement Calculator'!K:K,MATCH('Lorri 401b'!N4609,'Retirement Calculator'!A:A,0),0),0)</f>
        <v>0</v>
      </c>
      <c r="K4609" s="455">
        <f t="shared" ca="1" si="173"/>
        <v>-368066351310.22485</v>
      </c>
      <c r="L4609" s="455">
        <f t="shared" ca="1" si="174"/>
        <v>-88703990665764.188</v>
      </c>
      <c r="M4609" s="471">
        <f t="shared" si="176"/>
        <v>0.05</v>
      </c>
      <c r="N4609" s="475">
        <f t="shared" si="177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75"/>
        <v>-88703990665764.188</v>
      </c>
      <c r="J4610" s="455">
        <f t="array" ref="J4610">IFERROR(INDEX('Retirement Calculator'!K:K,MATCH('Lorri 401b'!N4610,'Retirement Calculator'!A:A,0),0),0)</f>
        <v>0</v>
      </c>
      <c r="K4610" s="455">
        <f t="shared" ca="1" si="173"/>
        <v>-369599961107.35077</v>
      </c>
      <c r="L4610" s="455">
        <f t="shared" ca="1" si="174"/>
        <v>-89073590626871.531</v>
      </c>
      <c r="M4610" s="471">
        <f t="shared" si="176"/>
        <v>0.05</v>
      </c>
      <c r="N4610" s="475">
        <f t="shared" si="177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75"/>
        <v>-89073590626871.531</v>
      </c>
      <c r="J4611" s="455">
        <f t="array" ref="J4611">IFERROR(INDEX('Retirement Calculator'!K:K,MATCH('Lorri 401b'!N4611,'Retirement Calculator'!A:A,0),0),0)</f>
        <v>0</v>
      </c>
      <c r="K4611" s="455">
        <f t="shared" ca="1" si="173"/>
        <v>-371139960945.29803</v>
      </c>
      <c r="L4611" s="455">
        <f t="shared" ca="1" si="174"/>
        <v>-89444730587816.828</v>
      </c>
      <c r="M4611" s="471">
        <f t="shared" si="176"/>
        <v>0.05</v>
      </c>
      <c r="N4611" s="475">
        <f t="shared" si="177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75"/>
        <v>-89444730587816.828</v>
      </c>
      <c r="J4612" s="455">
        <f t="array" ref="J4612">IFERROR(INDEX('Retirement Calculator'!K:K,MATCH('Lorri 401b'!N4612,'Retirement Calculator'!A:A,0),0),0)</f>
        <v>0</v>
      </c>
      <c r="K4612" s="455">
        <f t="shared" ca="1" si="173"/>
        <v>-372686377449.23676</v>
      </c>
      <c r="L4612" s="455">
        <f t="shared" ca="1" si="174"/>
        <v>-89817416965266.063</v>
      </c>
      <c r="M4612" s="471">
        <f t="shared" si="176"/>
        <v>0.05</v>
      </c>
      <c r="N4612" s="475">
        <f t="shared" si="177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75"/>
        <v>-89817416965266.063</v>
      </c>
      <c r="J4613" s="455">
        <f t="array" ref="J4613">IFERROR(INDEX('Retirement Calculator'!K:K,MATCH('Lorri 401b'!N4613,'Retirement Calculator'!A:A,0),0),0)</f>
        <v>0</v>
      </c>
      <c r="K4613" s="455">
        <f t="shared" ca="1" si="173"/>
        <v>-374239237355.27527</v>
      </c>
      <c r="L4613" s="455">
        <f t="shared" ca="1" si="174"/>
        <v>-90191656202621.344</v>
      </c>
      <c r="M4613" s="471">
        <f t="shared" si="176"/>
        <v>0.05</v>
      </c>
      <c r="N4613" s="475">
        <f t="shared" si="177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75"/>
        <v>-90191656202621.344</v>
      </c>
      <c r="J4614" s="455">
        <f t="array" ref="J4614">IFERROR(INDEX('Retirement Calculator'!K:K,MATCH('Lorri 401b'!N4614,'Retirement Calculator'!A:A,0),0),0)</f>
        <v>0</v>
      </c>
      <c r="K4614" s="455">
        <f t="shared" ca="1" si="173"/>
        <v>-375798567510.92224</v>
      </c>
      <c r="L4614" s="455">
        <f t="shared" ca="1" si="174"/>
        <v>-90567454770132.266</v>
      </c>
      <c r="M4614" s="471">
        <f t="shared" si="176"/>
        <v>0.05</v>
      </c>
      <c r="N4614" s="475">
        <f t="shared" si="177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75"/>
        <v>-90567454770132.266</v>
      </c>
      <c r="J4615" s="455">
        <f t="array" ref="J4615">IFERROR(INDEX('Retirement Calculator'!K:K,MATCH('Lorri 401b'!N4615,'Retirement Calculator'!A:A,0),0),0)</f>
        <v>0</v>
      </c>
      <c r="K4615" s="455">
        <f t="shared" ca="1" si="173"/>
        <v>-377364394875.55109</v>
      </c>
      <c r="L4615" s="455">
        <f t="shared" ca="1" si="174"/>
        <v>-90944819165007.813</v>
      </c>
      <c r="M4615" s="471">
        <f t="shared" si="176"/>
        <v>0.05</v>
      </c>
      <c r="N4615" s="475">
        <f t="shared" si="177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75"/>
        <v>-90944819165007.813</v>
      </c>
      <c r="J4616" s="455">
        <f t="array" ref="J4616">IFERROR(INDEX('Retirement Calculator'!K:K,MATCH('Lorri 401b'!N4616,'Retirement Calculator'!A:A,0),0),0)</f>
        <v>0</v>
      </c>
      <c r="K4616" s="455">
        <f t="shared" ca="1" si="173"/>
        <v>-378936746520.86591</v>
      </c>
      <c r="L4616" s="455">
        <f t="shared" ca="1" si="174"/>
        <v>-91323755911528.672</v>
      </c>
      <c r="M4616" s="471">
        <f t="shared" si="176"/>
        <v>0.05</v>
      </c>
      <c r="N4616" s="475">
        <f t="shared" si="177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75"/>
        <v>-91323755911528.672</v>
      </c>
      <c r="J4617" s="455">
        <f t="array" ref="J4617">IFERROR(INDEX('Retirement Calculator'!K:K,MATCH('Lorri 401b'!N4617,'Retirement Calculator'!A:A,0),0),0)</f>
        <v>0</v>
      </c>
      <c r="K4617" s="455">
        <f t="shared" ca="1" si="173"/>
        <v>-380515649631.36945</v>
      </c>
      <c r="L4617" s="455">
        <f t="shared" ca="1" si="174"/>
        <v>-91704271561160.047</v>
      </c>
      <c r="M4617" s="471">
        <f t="shared" si="176"/>
        <v>0.05</v>
      </c>
      <c r="N4617" s="475">
        <f t="shared" si="177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75"/>
        <v>-91704271561160.047</v>
      </c>
      <c r="J4618" s="455">
        <f t="array" ref="J4618">IFERROR(INDEX('Retirement Calculator'!K:K,MATCH('Lorri 401b'!N4618,'Retirement Calculator'!A:A,0),0),0)</f>
        <v>0</v>
      </c>
      <c r="K4618" s="455">
        <f t="shared" ca="1" si="173"/>
        <v>-382101131504.8335</v>
      </c>
      <c r="L4618" s="455">
        <f t="shared" ca="1" si="174"/>
        <v>-92086372692664.875</v>
      </c>
      <c r="M4618" s="471">
        <f t="shared" si="176"/>
        <v>0.05</v>
      </c>
      <c r="N4618" s="475">
        <f t="shared" si="177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75"/>
        <v>-92086372692664.875</v>
      </c>
      <c r="J4619" s="455">
        <f t="array" ref="J4619">IFERROR(INDEX('Retirement Calculator'!K:K,MATCH('Lorri 401b'!N4619,'Retirement Calculator'!A:A,0),0),0)</f>
        <v>0</v>
      </c>
      <c r="K4619" s="455">
        <f t="shared" ca="1" si="173"/>
        <v>-383693219552.77032</v>
      </c>
      <c r="L4619" s="455">
        <f t="shared" ca="1" si="174"/>
        <v>-92470065912217.641</v>
      </c>
      <c r="M4619" s="471">
        <f t="shared" si="176"/>
        <v>0.05</v>
      </c>
      <c r="N4619" s="475">
        <f t="shared" si="177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75"/>
        <v>-92470065912217.641</v>
      </c>
      <c r="J4620" s="455">
        <f t="array" ref="J4620">IFERROR(INDEX('Retirement Calculator'!K:K,MATCH('Lorri 401b'!N4620,'Retirement Calculator'!A:A,0),0),0)</f>
        <v>0</v>
      </c>
      <c r="K4620" s="455">
        <f t="shared" ca="1" si="173"/>
        <v>-385291941300.90686</v>
      </c>
      <c r="L4620" s="455">
        <f t="shared" ca="1" si="174"/>
        <v>-92855357853518.547</v>
      </c>
      <c r="M4620" s="471">
        <f t="shared" si="176"/>
        <v>0.05</v>
      </c>
      <c r="N4620" s="475">
        <f t="shared" si="177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75"/>
        <v>-92855357853518.547</v>
      </c>
      <c r="J4621" s="455">
        <f t="array" ref="J4621">IFERROR(INDEX('Retirement Calculator'!K:K,MATCH('Lorri 401b'!N4621,'Retirement Calculator'!A:A,0),0),0)</f>
        <v>0</v>
      </c>
      <c r="K4621" s="455">
        <f t="shared" ca="1" si="173"/>
        <v>-386897324389.66058</v>
      </c>
      <c r="L4621" s="455">
        <f t="shared" ca="1" si="174"/>
        <v>-93242255177908.203</v>
      </c>
      <c r="M4621" s="471">
        <f t="shared" si="176"/>
        <v>0.05</v>
      </c>
      <c r="N4621" s="475">
        <f t="shared" si="177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75"/>
        <v>-93242255177908.203</v>
      </c>
      <c r="J4622" s="455">
        <f t="array" ref="J4622">IFERROR(INDEX('Retirement Calculator'!K:K,MATCH('Lorri 401b'!N4622,'Retirement Calculator'!A:A,0),0),0)</f>
        <v>0</v>
      </c>
      <c r="K4622" s="455">
        <f t="shared" ca="1" si="173"/>
        <v>-388509396574.61749</v>
      </c>
      <c r="L4622" s="455">
        <f t="shared" ca="1" si="174"/>
        <v>-93630764574482.828</v>
      </c>
      <c r="M4622" s="471">
        <f t="shared" si="176"/>
        <v>0.05</v>
      </c>
      <c r="N4622" s="475">
        <f t="shared" si="177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75"/>
        <v>-93630764574482.828</v>
      </c>
      <c r="J4623" s="455">
        <f t="array" ref="J4623">IFERROR(INDEX('Retirement Calculator'!K:K,MATCH('Lorri 401b'!N4623,'Retirement Calculator'!A:A,0),0),0)</f>
        <v>0</v>
      </c>
      <c r="K4623" s="455">
        <f t="shared" ca="1" si="173"/>
        <v>-390128185727.01178</v>
      </c>
      <c r="L4623" s="455">
        <f t="shared" ca="1" si="174"/>
        <v>-94020892760209.844</v>
      </c>
      <c r="M4623" s="471">
        <f t="shared" si="176"/>
        <v>0.05</v>
      </c>
      <c r="N4623" s="475">
        <f t="shared" si="177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75"/>
        <v>-94020892760209.844</v>
      </c>
      <c r="J4624" s="455">
        <f t="array" ref="J4624">IFERROR(INDEX('Retirement Calculator'!K:K,MATCH('Lorri 401b'!N4624,'Retirement Calculator'!A:A,0),0),0)</f>
        <v>0</v>
      </c>
      <c r="K4624" s="455">
        <f t="shared" ca="1" si="173"/>
        <v>-391753719834.2077</v>
      </c>
      <c r="L4624" s="455">
        <f t="shared" ca="1" si="174"/>
        <v>-94412646480044.047</v>
      </c>
      <c r="M4624" s="471">
        <f t="shared" si="176"/>
        <v>0.05</v>
      </c>
      <c r="N4624" s="475">
        <f t="shared" si="177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75"/>
        <v>-94412646480044.047</v>
      </c>
      <c r="J4625" s="455">
        <f t="array" ref="J4625">IFERROR(INDEX('Retirement Calculator'!K:K,MATCH('Lorri 401b'!N4625,'Retirement Calculator'!A:A,0),0),0)</f>
        <v>0</v>
      </c>
      <c r="K4625" s="455">
        <f t="shared" ca="1" si="173"/>
        <v>-393386027000.18353</v>
      </c>
      <c r="L4625" s="455">
        <f t="shared" ca="1" si="174"/>
        <v>-94806032507044.234</v>
      </c>
      <c r="M4625" s="471">
        <f t="shared" si="176"/>
        <v>0.05</v>
      </c>
      <c r="N4625" s="475">
        <f t="shared" si="177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75"/>
        <v>-94806032507044.234</v>
      </c>
      <c r="J4626" s="455">
        <f t="array" ref="J4626">IFERROR(INDEX('Retirement Calculator'!K:K,MATCH('Lorri 401b'!N4626,'Retirement Calculator'!A:A,0),0),0)</f>
        <v>0</v>
      </c>
      <c r="K4626" s="455">
        <f t="shared" ca="1" si="173"/>
        <v>-395025135446.01764</v>
      </c>
      <c r="L4626" s="455">
        <f t="shared" ca="1" si="174"/>
        <v>-95201057642490.25</v>
      </c>
      <c r="M4626" s="471">
        <f t="shared" si="176"/>
        <v>0.05</v>
      </c>
      <c r="N4626" s="475">
        <f t="shared" si="177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75"/>
        <v>-95201057642490.25</v>
      </c>
      <c r="J4627" s="455">
        <f t="array" ref="J4627">IFERROR(INDEX('Retirement Calculator'!K:K,MATCH('Lorri 401b'!N4627,'Retirement Calculator'!A:A,0),0),0)</f>
        <v>0</v>
      </c>
      <c r="K4627" s="455">
        <f t="shared" ca="1" si="173"/>
        <v>-396671073510.37604</v>
      </c>
      <c r="L4627" s="455">
        <f t="shared" ca="1" si="174"/>
        <v>-95597728716000.625</v>
      </c>
      <c r="M4627" s="471">
        <f t="shared" si="176"/>
        <v>0.05</v>
      </c>
      <c r="N4627" s="475">
        <f t="shared" si="177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75"/>
        <v>-95597728716000.625</v>
      </c>
      <c r="J4628" s="455">
        <f t="array" ref="J4628">IFERROR(INDEX('Retirement Calculator'!K:K,MATCH('Lorri 401b'!N4628,'Retirement Calculator'!A:A,0),0),0)</f>
        <v>0</v>
      </c>
      <c r="K4628" s="455">
        <f t="shared" ca="1" si="173"/>
        <v>-398323869650.00262</v>
      </c>
      <c r="L4628" s="455">
        <f t="shared" ca="1" si="174"/>
        <v>-95996052585650.625</v>
      </c>
      <c r="M4628" s="471">
        <f t="shared" si="176"/>
        <v>0.05</v>
      </c>
      <c r="N4628" s="475">
        <f t="shared" si="177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75"/>
        <v>-95996052585650.625</v>
      </c>
      <c r="J4629" s="455">
        <f t="array" ref="J4629">IFERROR(INDEX('Retirement Calculator'!K:K,MATCH('Lorri 401b'!N4629,'Retirement Calculator'!A:A,0),0),0)</f>
        <v>0</v>
      </c>
      <c r="K4629" s="455">
        <f t="shared" ca="1" si="173"/>
        <v>-399983552440.21094</v>
      </c>
      <c r="L4629" s="455">
        <f t="shared" ca="1" si="174"/>
        <v>-96396036138090.844</v>
      </c>
      <c r="M4629" s="471">
        <f t="shared" si="176"/>
        <v>0.05</v>
      </c>
      <c r="N4629" s="475">
        <f t="shared" si="177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75"/>
        <v>-96396036138090.844</v>
      </c>
      <c r="J4630" s="455">
        <f t="array" ref="J4630">IFERROR(INDEX('Retirement Calculator'!K:K,MATCH('Lorri 401b'!N4630,'Retirement Calculator'!A:A,0),0),0)</f>
        <v>0</v>
      </c>
      <c r="K4630" s="455">
        <f t="shared" ca="1" si="173"/>
        <v>-401650150575.37854</v>
      </c>
      <c r="L4630" s="455">
        <f t="shared" ca="1" si="174"/>
        <v>-96797686288666.219</v>
      </c>
      <c r="M4630" s="471">
        <f t="shared" si="176"/>
        <v>0.05</v>
      </c>
      <c r="N4630" s="475">
        <f t="shared" si="177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75"/>
        <v>-96797686288666.219</v>
      </c>
      <c r="J4631" s="455">
        <f t="array" ref="J4631">IFERROR(INDEX('Retirement Calculator'!K:K,MATCH('Lorri 401b'!N4631,'Retirement Calculator'!A:A,0),0),0)</f>
        <v>0</v>
      </c>
      <c r="K4631" s="455">
        <f t="shared" ca="1" si="173"/>
        <v>-403323692869.44257</v>
      </c>
      <c r="L4631" s="455">
        <f t="shared" ca="1" si="174"/>
        <v>-97201009981535.656</v>
      </c>
      <c r="M4631" s="471">
        <f t="shared" si="176"/>
        <v>0.05</v>
      </c>
      <c r="N4631" s="475">
        <f t="shared" si="177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75"/>
        <v>-97201009981535.656</v>
      </c>
      <c r="J4632" s="455">
        <f t="array" ref="J4632">IFERROR(INDEX('Retirement Calculator'!K:K,MATCH('Lorri 401b'!N4632,'Retirement Calculator'!A:A,0),0),0)</f>
        <v>0</v>
      </c>
      <c r="K4632" s="455">
        <f t="shared" ca="1" si="173"/>
        <v>-405004208256.39856</v>
      </c>
      <c r="L4632" s="455">
        <f t="shared" ca="1" si="174"/>
        <v>-97606014189792.063</v>
      </c>
      <c r="M4632" s="471">
        <f t="shared" si="176"/>
        <v>0.05</v>
      </c>
      <c r="N4632" s="475">
        <f t="shared" si="177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75"/>
        <v>-97606014189792.063</v>
      </c>
      <c r="J4633" s="455">
        <f t="array" ref="J4633">IFERROR(INDEX('Retirement Calculator'!K:K,MATCH('Lorri 401b'!N4633,'Retirement Calculator'!A:A,0),0),0)</f>
        <v>0</v>
      </c>
      <c r="K4633" s="455">
        <f t="shared" ca="1" si="173"/>
        <v>-406691725790.80023</v>
      </c>
      <c r="L4633" s="455">
        <f t="shared" ca="1" si="174"/>
        <v>-98012705915582.859</v>
      </c>
      <c r="M4633" s="471">
        <f t="shared" si="176"/>
        <v>0.05</v>
      </c>
      <c r="N4633" s="475">
        <f t="shared" si="177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75"/>
        <v>-98012705915582.859</v>
      </c>
      <c r="J4634" s="455">
        <f t="array" ref="J4634">IFERROR(INDEX('Retirement Calculator'!K:K,MATCH('Lorri 401b'!N4634,'Retirement Calculator'!A:A,0),0),0)</f>
        <v>0</v>
      </c>
      <c r="K4634" s="455">
        <f t="shared" ca="1" si="173"/>
        <v>-408386274648.2619</v>
      </c>
      <c r="L4634" s="455">
        <f t="shared" ca="1" si="174"/>
        <v>-98421092190231.125</v>
      </c>
      <c r="M4634" s="471">
        <f t="shared" si="176"/>
        <v>0.05</v>
      </c>
      <c r="N4634" s="475">
        <f t="shared" si="177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75"/>
        <v>-98421092190231.125</v>
      </c>
      <c r="J4635" s="455">
        <f t="array" ref="J4635">IFERROR(INDEX('Retirement Calculator'!K:K,MATCH('Lorri 401b'!N4635,'Retirement Calculator'!A:A,0),0),0)</f>
        <v>0</v>
      </c>
      <c r="K4635" s="455">
        <f t="shared" ca="1" si="173"/>
        <v>-410087884125.96301</v>
      </c>
      <c r="L4635" s="455">
        <f t="shared" ca="1" si="174"/>
        <v>-98831180074357.094</v>
      </c>
      <c r="M4635" s="471">
        <f t="shared" si="176"/>
        <v>0.05</v>
      </c>
      <c r="N4635" s="475">
        <f t="shared" si="177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75"/>
        <v>-98831180074357.094</v>
      </c>
      <c r="J4636" s="455">
        <f t="array" ref="J4636">IFERROR(INDEX('Retirement Calculator'!K:K,MATCH('Lorri 401b'!N4636,'Retirement Calculator'!A:A,0),0),0)</f>
        <v>0</v>
      </c>
      <c r="K4636" s="455">
        <f t="shared" ca="1" si="173"/>
        <v>-411796583643.15454</v>
      </c>
      <c r="L4636" s="455">
        <f t="shared" ca="1" si="174"/>
        <v>-99242976658000.25</v>
      </c>
      <c r="M4636" s="471">
        <f t="shared" si="176"/>
        <v>0.05</v>
      </c>
      <c r="N4636" s="475">
        <f t="shared" si="177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75"/>
        <v>-99242976658000.25</v>
      </c>
      <c r="J4637" s="455">
        <f t="array" ref="J4637">IFERROR(INDEX('Retirement Calculator'!K:K,MATCH('Lorri 401b'!N4637,'Retirement Calculator'!A:A,0),0),0)</f>
        <v>0</v>
      </c>
      <c r="K4637" s="455">
        <f t="shared" ca="1" si="173"/>
        <v>-413512402741.66772</v>
      </c>
      <c r="L4637" s="455">
        <f t="shared" ca="1" si="174"/>
        <v>-99656489060741.922</v>
      </c>
      <c r="M4637" s="471">
        <f t="shared" si="176"/>
        <v>0.05</v>
      </c>
      <c r="N4637" s="475">
        <f t="shared" si="177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75"/>
        <v>-99656489060741.922</v>
      </c>
      <c r="J4638" s="455">
        <f t="array" ref="J4638">IFERROR(INDEX('Retirement Calculator'!K:K,MATCH('Lorri 401b'!N4638,'Retirement Calculator'!A:A,0),0),0)</f>
        <v>0</v>
      </c>
      <c r="K4638" s="455">
        <f t="shared" ca="1" si="173"/>
        <v>-415235371086.42468</v>
      </c>
      <c r="L4638" s="455">
        <f t="shared" ca="1" si="174"/>
        <v>-100071724431828.34</v>
      </c>
      <c r="M4638" s="471">
        <f t="shared" si="176"/>
        <v>0.05</v>
      </c>
      <c r="N4638" s="475">
        <f t="shared" si="177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75"/>
        <v>-100071724431828.34</v>
      </c>
      <c r="J4639" s="455">
        <f t="array" ref="J4639">IFERROR(INDEX('Retirement Calculator'!K:K,MATCH('Lorri 401b'!N4639,'Retirement Calculator'!A:A,0),0),0)</f>
        <v>0</v>
      </c>
      <c r="K4639" s="455">
        <f t="shared" ca="1" si="173"/>
        <v>-416965518465.95142</v>
      </c>
      <c r="L4639" s="455">
        <f t="shared" ca="1" si="174"/>
        <v>-100488689950294.3</v>
      </c>
      <c r="M4639" s="471">
        <f t="shared" si="176"/>
        <v>0.05</v>
      </c>
      <c r="N4639" s="475">
        <f t="shared" si="177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75"/>
        <v>-100488689950294.3</v>
      </c>
      <c r="J4640" s="455">
        <f t="array" ref="J4640">IFERROR(INDEX('Retirement Calculator'!K:K,MATCH('Lorri 401b'!N4640,'Retirement Calculator'!A:A,0),0),0)</f>
        <v>0</v>
      </c>
      <c r="K4640" s="455">
        <f t="shared" ca="1" si="173"/>
        <v>-418702874792.89288</v>
      </c>
      <c r="L4640" s="455">
        <f t="shared" ca="1" si="174"/>
        <v>-100907392825087.19</v>
      </c>
      <c r="M4640" s="471">
        <f t="shared" si="176"/>
        <v>0.05</v>
      </c>
      <c r="N4640" s="475">
        <f t="shared" si="177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75"/>
        <v>-100907392825087.19</v>
      </c>
      <c r="J4641" s="455">
        <f t="array" ref="J4641">IFERROR(INDEX('Retirement Calculator'!K:K,MATCH('Lorri 401b'!N4641,'Retirement Calculator'!A:A,0),0),0)</f>
        <v>0</v>
      </c>
      <c r="K4641" s="455">
        <f t="shared" ca="1" si="173"/>
        <v>-420447470104.52997</v>
      </c>
      <c r="L4641" s="455">
        <f t="shared" ca="1" si="174"/>
        <v>-101327840295191.72</v>
      </c>
      <c r="M4641" s="471">
        <f t="shared" si="176"/>
        <v>0.05</v>
      </c>
      <c r="N4641" s="475">
        <f t="shared" si="177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75"/>
        <v>-101327840295191.72</v>
      </c>
      <c r="J4642" s="455">
        <f t="array" ref="J4642">IFERROR(INDEX('Retirement Calculator'!K:K,MATCH('Lorri 401b'!N4642,'Retirement Calculator'!A:A,0),0),0)</f>
        <v>0</v>
      </c>
      <c r="K4642" s="455">
        <f t="shared" ca="1" si="173"/>
        <v>-422199334563.29883</v>
      </c>
      <c r="L4642" s="455">
        <f t="shared" ca="1" si="174"/>
        <v>-101750039629755.02</v>
      </c>
      <c r="M4642" s="471">
        <f t="shared" si="176"/>
        <v>0.05</v>
      </c>
      <c r="N4642" s="475">
        <f t="shared" si="177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75"/>
        <v>-101750039629755.02</v>
      </c>
      <c r="J4643" s="455">
        <f t="array" ref="J4643">IFERROR(INDEX('Retirement Calculator'!K:K,MATCH('Lorri 401b'!N4643,'Retirement Calculator'!A:A,0),0),0)</f>
        <v>0</v>
      </c>
      <c r="K4643" s="455">
        <f t="shared" ca="1" si="173"/>
        <v>-423958498457.31256</v>
      </c>
      <c r="L4643" s="455">
        <f t="shared" ca="1" si="174"/>
        <v>-102173998128212.33</v>
      </c>
      <c r="M4643" s="471">
        <f t="shared" si="176"/>
        <v>0.05</v>
      </c>
      <c r="N4643" s="475">
        <f t="shared" si="177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75"/>
        <v>-102173998128212.33</v>
      </c>
      <c r="J4644" s="455">
        <f t="array" ref="J4644">IFERROR(INDEX('Retirement Calculator'!K:K,MATCH('Lorri 401b'!N4644,'Retirement Calculator'!A:A,0),0),0)</f>
        <v>0</v>
      </c>
      <c r="K4644" s="455">
        <f t="shared" ca="1" si="173"/>
        <v>-425724992200.8847</v>
      </c>
      <c r="L4644" s="455">
        <f t="shared" ca="1" si="174"/>
        <v>-102599723120413.22</v>
      </c>
      <c r="M4644" s="471">
        <f t="shared" si="176"/>
        <v>0.05</v>
      </c>
      <c r="N4644" s="475">
        <f t="shared" si="177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75"/>
        <v>-102599723120413.22</v>
      </c>
      <c r="J4645" s="455">
        <f t="array" ref="J4645">IFERROR(INDEX('Retirement Calculator'!K:K,MATCH('Lorri 401b'!N4645,'Retirement Calculator'!A:A,0),0),0)</f>
        <v>0</v>
      </c>
      <c r="K4645" s="455">
        <f t="shared" ca="1" si="173"/>
        <v>-427498846335.05505</v>
      </c>
      <c r="L4645" s="455">
        <f t="shared" ca="1" si="174"/>
        <v>-103027221966748.28</v>
      </c>
      <c r="M4645" s="471">
        <f t="shared" si="176"/>
        <v>0.05</v>
      </c>
      <c r="N4645" s="475">
        <f t="shared" si="177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75"/>
        <v>-103027221966748.28</v>
      </c>
      <c r="J4646" s="455">
        <f t="array" ref="J4646">IFERROR(INDEX('Retirement Calculator'!K:K,MATCH('Lorri 401b'!N4646,'Retirement Calculator'!A:A,0),0),0)</f>
        <v>0</v>
      </c>
      <c r="K4646" s="455">
        <f t="shared" ca="1" si="173"/>
        <v>-429280091528.11786</v>
      </c>
      <c r="L4646" s="455">
        <f t="shared" ca="1" si="174"/>
        <v>-103456502058276.41</v>
      </c>
      <c r="M4646" s="471">
        <f t="shared" si="176"/>
        <v>0.05</v>
      </c>
      <c r="N4646" s="475">
        <f t="shared" si="177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75"/>
        <v>-103456502058276.41</v>
      </c>
      <c r="J4647" s="455">
        <f t="array" ref="J4647">IFERROR(INDEX('Retirement Calculator'!K:K,MATCH('Lorri 401b'!N4647,'Retirement Calculator'!A:A,0),0),0)</f>
        <v>0</v>
      </c>
      <c r="K4647" s="455">
        <f t="shared" ca="1" si="173"/>
        <v>-431068758576.15167</v>
      </c>
      <c r="L4647" s="455">
        <f t="shared" ca="1" si="174"/>
        <v>-103887570816852.56</v>
      </c>
      <c r="M4647" s="471">
        <f t="shared" si="176"/>
        <v>0.05</v>
      </c>
      <c r="N4647" s="475">
        <f t="shared" si="177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75"/>
        <v>-103887570816852.56</v>
      </c>
      <c r="J4648" s="455">
        <f t="array" ref="J4648">IFERROR(INDEX('Retirement Calculator'!K:K,MATCH('Lorri 401b'!N4648,'Retirement Calculator'!A:A,0),0),0)</f>
        <v>0</v>
      </c>
      <c r="K4648" s="455">
        <f t="shared" ca="1" si="173"/>
        <v>-432864878403.55237</v>
      </c>
      <c r="L4648" s="455">
        <f t="shared" ca="1" si="174"/>
        <v>-104320435695256.11</v>
      </c>
      <c r="M4648" s="471">
        <f t="shared" si="176"/>
        <v>0.05</v>
      </c>
      <c r="N4648" s="475">
        <f t="shared" si="177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75"/>
        <v>-104320435695256.11</v>
      </c>
      <c r="J4649" s="455">
        <f t="array" ref="J4649">IFERROR(INDEX('Retirement Calculator'!K:K,MATCH('Lorri 401b'!N4649,'Retirement Calculator'!A:A,0),0),0)</f>
        <v>0</v>
      </c>
      <c r="K4649" s="455">
        <f t="shared" ca="1" si="173"/>
        <v>-434668482063.56714</v>
      </c>
      <c r="L4649" s="455">
        <f t="shared" ca="1" si="174"/>
        <v>-104755104177319.67</v>
      </c>
      <c r="M4649" s="471">
        <f t="shared" si="176"/>
        <v>0.05</v>
      </c>
      <c r="N4649" s="475">
        <f t="shared" si="177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75"/>
        <v>-104755104177319.67</v>
      </c>
      <c r="J4650" s="455">
        <f t="array" ref="J4650">IFERROR(INDEX('Retirement Calculator'!K:K,MATCH('Lorri 401b'!N4650,'Retirement Calculator'!A:A,0),0),0)</f>
        <v>0</v>
      </c>
      <c r="K4650" s="455">
        <f t="shared" ca="1" si="173"/>
        <v>-436479600738.83197</v>
      </c>
      <c r="L4650" s="455">
        <f t="shared" ca="1" si="174"/>
        <v>-105191583778058.5</v>
      </c>
      <c r="M4650" s="471">
        <f t="shared" si="176"/>
        <v>0.05</v>
      </c>
      <c r="N4650" s="475">
        <f t="shared" si="177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75"/>
        <v>-105191583778058.5</v>
      </c>
      <c r="J4651" s="455">
        <f t="array" ref="J4651">IFERROR(INDEX('Retirement Calculator'!K:K,MATCH('Lorri 401b'!N4651,'Retirement Calculator'!A:A,0),0),0)</f>
        <v>0</v>
      </c>
      <c r="K4651" s="455">
        <f t="shared" ca="1" si="173"/>
        <v>-438298265741.9104</v>
      </c>
      <c r="L4651" s="455">
        <f t="shared" ca="1" si="174"/>
        <v>-105629882043800.41</v>
      </c>
      <c r="M4651" s="471">
        <f t="shared" si="176"/>
        <v>0.05</v>
      </c>
      <c r="N4651" s="475">
        <f t="shared" si="177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75"/>
        <v>-105629882043800.41</v>
      </c>
      <c r="J4652" s="455">
        <f t="array" ref="J4652">IFERROR(INDEX('Retirement Calculator'!K:K,MATCH('Lorri 401b'!N4652,'Retirement Calculator'!A:A,0),0),0)</f>
        <v>0</v>
      </c>
      <c r="K4652" s="455">
        <f t="shared" ca="1" si="173"/>
        <v>-440124508515.83502</v>
      </c>
      <c r="L4652" s="455">
        <f t="shared" ca="1" si="174"/>
        <v>-106070006552316.23</v>
      </c>
      <c r="M4652" s="471">
        <f t="shared" si="176"/>
        <v>0.05</v>
      </c>
      <c r="N4652" s="475">
        <f t="shared" si="177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75"/>
        <v>-106070006552316.23</v>
      </c>
      <c r="J4653" s="455">
        <f t="array" ref="J4653">IFERROR(INDEX('Retirement Calculator'!K:K,MATCH('Lorri 401b'!N4653,'Retirement Calculator'!A:A,0),0),0)</f>
        <v>0</v>
      </c>
      <c r="K4653" s="455">
        <f t="shared" ca="1" si="173"/>
        <v>-441958360634.65094</v>
      </c>
      <c r="L4653" s="455">
        <f t="shared" ca="1" si="174"/>
        <v>-106511964912950.89</v>
      </c>
      <c r="M4653" s="471">
        <f t="shared" si="176"/>
        <v>0.05</v>
      </c>
      <c r="N4653" s="475">
        <f t="shared" si="177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75"/>
        <v>-106511964912950.89</v>
      </c>
      <c r="J4654" s="455">
        <f t="array" ref="J4654">IFERROR(INDEX('Retirement Calculator'!K:K,MATCH('Lorri 401b'!N4654,'Retirement Calculator'!A:A,0),0),0)</f>
        <v>0</v>
      </c>
      <c r="K4654" s="455">
        <f t="shared" ca="1" si="173"/>
        <v>-443799853803.96204</v>
      </c>
      <c r="L4654" s="455">
        <f t="shared" ca="1" si="174"/>
        <v>-106955764766754.86</v>
      </c>
      <c r="M4654" s="471">
        <f t="shared" si="176"/>
        <v>0.05</v>
      </c>
      <c r="N4654" s="475">
        <f t="shared" si="177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75"/>
        <v>-106955764766754.86</v>
      </c>
      <c r="J4655" s="455">
        <f t="array" ref="J4655">IFERROR(INDEX('Retirement Calculator'!K:K,MATCH('Lorri 401b'!N4655,'Retirement Calculator'!A:A,0),0),0)</f>
        <v>0</v>
      </c>
      <c r="K4655" s="455">
        <f t="shared" ca="1" si="173"/>
        <v>-445649019861.47858</v>
      </c>
      <c r="L4655" s="455">
        <f t="shared" ca="1" si="174"/>
        <v>-107401413786616.34</v>
      </c>
      <c r="M4655" s="471">
        <f t="shared" si="176"/>
        <v>0.05</v>
      </c>
      <c r="N4655" s="475">
        <f t="shared" si="177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75"/>
        <v>-107401413786616.34</v>
      </c>
      <c r="J4656" s="455">
        <f t="array" ref="J4656">IFERROR(INDEX('Retirement Calculator'!K:K,MATCH('Lorri 401b'!N4656,'Retirement Calculator'!A:A,0),0),0)</f>
        <v>0</v>
      </c>
      <c r="K4656" s="455">
        <f t="shared" ca="1" si="173"/>
        <v>-447505890777.56812</v>
      </c>
      <c r="L4656" s="455">
        <f t="shared" ca="1" si="174"/>
        <v>-107848919677393.91</v>
      </c>
      <c r="M4656" s="471">
        <f t="shared" si="176"/>
        <v>0.05</v>
      </c>
      <c r="N4656" s="475">
        <f t="shared" si="177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75"/>
        <v>-107848919677393.91</v>
      </c>
      <c r="J4657" s="455">
        <f t="array" ref="J4657">IFERROR(INDEX('Retirement Calculator'!K:K,MATCH('Lorri 401b'!N4657,'Retirement Calculator'!A:A,0),0),0)</f>
        <v>0</v>
      </c>
      <c r="K4657" s="455">
        <f t="shared" ca="1" si="173"/>
        <v>-449370498655.80792</v>
      </c>
      <c r="L4657" s="455">
        <f t="shared" ca="1" si="174"/>
        <v>-108298290176049.72</v>
      </c>
      <c r="M4657" s="471">
        <f t="shared" si="176"/>
        <v>0.05</v>
      </c>
      <c r="N4657" s="475">
        <f t="shared" si="177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75"/>
        <v>-108298290176049.72</v>
      </c>
      <c r="J4658" s="455">
        <f t="array" ref="J4658">IFERROR(INDEX('Retirement Calculator'!K:K,MATCH('Lorri 401b'!N4658,'Retirement Calculator'!A:A,0),0),0)</f>
        <v>0</v>
      </c>
      <c r="K4658" s="455">
        <f t="shared" ca="1" si="173"/>
        <v>-451242875733.54047</v>
      </c>
      <c r="L4658" s="455">
        <f t="shared" ca="1" si="174"/>
        <v>-108749533051783.27</v>
      </c>
      <c r="M4658" s="471">
        <f t="shared" si="176"/>
        <v>0.05</v>
      </c>
      <c r="N4658" s="475">
        <f t="shared" si="177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75"/>
        <v>-108749533051783.27</v>
      </c>
      <c r="J4659" s="455">
        <f t="array" ref="J4659">IFERROR(INDEX('Retirement Calculator'!K:K,MATCH('Lorri 401b'!N4659,'Retirement Calculator'!A:A,0),0),0)</f>
        <v>0</v>
      </c>
      <c r="K4659" s="455">
        <f t="shared" ca="1" si="173"/>
        <v>-453123054382.43024</v>
      </c>
      <c r="L4659" s="455">
        <f t="shared" ca="1" si="174"/>
        <v>-109202656106165.7</v>
      </c>
      <c r="M4659" s="471">
        <f t="shared" si="176"/>
        <v>0.05</v>
      </c>
      <c r="N4659" s="475">
        <f t="shared" si="177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75"/>
        <v>-109202656106165.7</v>
      </c>
      <c r="J4660" s="455">
        <f t="array" ref="J4660">IFERROR(INDEX('Retirement Calculator'!K:K,MATCH('Lorri 401b'!N4660,'Retirement Calculator'!A:A,0),0),0)</f>
        <v>0</v>
      </c>
      <c r="K4660" s="455">
        <f t="shared" ca="1" si="173"/>
        <v>-455011067109.02374</v>
      </c>
      <c r="L4660" s="455">
        <f t="shared" ca="1" si="174"/>
        <v>-109657667173274.73</v>
      </c>
      <c r="M4660" s="471">
        <f t="shared" si="176"/>
        <v>0.05</v>
      </c>
      <c r="N4660" s="475">
        <f t="shared" si="177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75"/>
        <v>-109657667173274.73</v>
      </c>
      <c r="J4661" s="455">
        <f t="array" ref="J4661">IFERROR(INDEX('Retirement Calculator'!K:K,MATCH('Lorri 401b'!N4661,'Retirement Calculator'!A:A,0),0),0)</f>
        <v>0</v>
      </c>
      <c r="K4661" s="455">
        <f t="shared" ca="1" si="173"/>
        <v>-456906946555.3114</v>
      </c>
      <c r="L4661" s="455">
        <f t="shared" ca="1" si="174"/>
        <v>-110114574119830.05</v>
      </c>
      <c r="M4661" s="471">
        <f t="shared" si="176"/>
        <v>0.05</v>
      </c>
      <c r="N4661" s="475">
        <f t="shared" si="177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75"/>
        <v>-110114574119830.05</v>
      </c>
      <c r="J4662" s="455">
        <f t="array" ref="J4662">IFERROR(INDEX('Retirement Calculator'!K:K,MATCH('Lorri 401b'!N4662,'Retirement Calculator'!A:A,0),0),0)</f>
        <v>0</v>
      </c>
      <c r="K4662" s="455">
        <f t="shared" ca="1" si="173"/>
        <v>-458810725499.29187</v>
      </c>
      <c r="L4662" s="455">
        <f t="shared" ca="1" si="174"/>
        <v>-110573384845329.34</v>
      </c>
      <c r="M4662" s="471">
        <f t="shared" si="176"/>
        <v>0.05</v>
      </c>
      <c r="N4662" s="475">
        <f t="shared" si="177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75"/>
        <v>-110573384845329.34</v>
      </c>
      <c r="J4663" s="455">
        <f t="array" ref="J4663">IFERROR(INDEX('Retirement Calculator'!K:K,MATCH('Lorri 401b'!N4663,'Retirement Calculator'!A:A,0),0),0)</f>
        <v>0</v>
      </c>
      <c r="K4663" s="455">
        <f t="shared" ca="1" si="173"/>
        <v>-460722436855.539</v>
      </c>
      <c r="L4663" s="455">
        <f t="shared" ca="1" si="174"/>
        <v>-111034107282184.88</v>
      </c>
      <c r="M4663" s="471">
        <f t="shared" si="176"/>
        <v>0.05</v>
      </c>
      <c r="N4663" s="475">
        <f t="shared" si="177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75"/>
        <v>-111034107282184.88</v>
      </c>
      <c r="J4664" s="455">
        <f t="array" ref="J4664">IFERROR(INDEX('Retirement Calculator'!K:K,MATCH('Lorri 401b'!N4664,'Retirement Calculator'!A:A,0),0),0)</f>
        <v>0</v>
      </c>
      <c r="K4664" s="455">
        <f t="shared" ca="1" si="173"/>
        <v>-462642113675.77039</v>
      </c>
      <c r="L4664" s="455">
        <f t="shared" ca="1" si="174"/>
        <v>-111496749395860.64</v>
      </c>
      <c r="M4664" s="471">
        <f t="shared" si="176"/>
        <v>0.05</v>
      </c>
      <c r="N4664" s="475">
        <f t="shared" si="177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75"/>
        <v>-111496749395860.64</v>
      </c>
      <c r="J4665" s="455">
        <f t="array" ref="J4665">IFERROR(INDEX('Retirement Calculator'!K:K,MATCH('Lorri 401b'!N4665,'Retirement Calculator'!A:A,0),0),0)</f>
        <v>0</v>
      </c>
      <c r="K4665" s="455">
        <f t="shared" ca="1" si="173"/>
        <v>-464569789149.41931</v>
      </c>
      <c r="L4665" s="455">
        <f t="shared" ca="1" si="174"/>
        <v>-111961319185010.06</v>
      </c>
      <c r="M4665" s="471">
        <f t="shared" si="176"/>
        <v>0.05</v>
      </c>
      <c r="N4665" s="475">
        <f t="shared" si="177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75"/>
        <v>-111961319185010.06</v>
      </c>
      <c r="J4666" s="455">
        <f t="array" ref="J4666">IFERROR(INDEX('Retirement Calculator'!K:K,MATCH('Lorri 401b'!N4666,'Retirement Calculator'!A:A,0),0),0)</f>
        <v>0</v>
      </c>
      <c r="K4666" s="455">
        <f t="shared" ca="1" si="173"/>
        <v>-466505496604.20856</v>
      </c>
      <c r="L4666" s="455">
        <f t="shared" ca="1" si="174"/>
        <v>-112427824681614.27</v>
      </c>
      <c r="M4666" s="471">
        <f t="shared" si="176"/>
        <v>0.05</v>
      </c>
      <c r="N4666" s="475">
        <f t="shared" si="177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75"/>
        <v>-112427824681614.27</v>
      </c>
      <c r="J4667" s="455">
        <f t="array" ref="J4667">IFERROR(INDEX('Retirement Calculator'!K:K,MATCH('Lorri 401b'!N4667,'Retirement Calculator'!A:A,0),0),0)</f>
        <v>0</v>
      </c>
      <c r="K4667" s="455">
        <f t="shared" ca="1" si="173"/>
        <v>-468449269506.72607</v>
      </c>
      <c r="L4667" s="455">
        <f t="shared" ca="1" si="174"/>
        <v>-112896273951120.98</v>
      </c>
      <c r="M4667" s="471">
        <f t="shared" si="176"/>
        <v>0.05</v>
      </c>
      <c r="N4667" s="475">
        <f t="shared" si="177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75"/>
        <v>-112896273951120.98</v>
      </c>
      <c r="J4668" s="455">
        <f t="array" ref="J4668">IFERROR(INDEX('Retirement Calculator'!K:K,MATCH('Lorri 401b'!N4668,'Retirement Calculator'!A:A,0),0),0)</f>
        <v>0</v>
      </c>
      <c r="K4668" s="455">
        <f t="shared" ca="1" si="173"/>
        <v>-470401141463.00409</v>
      </c>
      <c r="L4668" s="455">
        <f t="shared" ca="1" si="174"/>
        <v>-113366675092583.98</v>
      </c>
      <c r="M4668" s="471">
        <f t="shared" si="176"/>
        <v>0.05</v>
      </c>
      <c r="N4668" s="475">
        <f t="shared" si="177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75"/>
        <v>-113366675092583.98</v>
      </c>
      <c r="J4669" s="455">
        <f t="array" ref="J4669">IFERROR(INDEX('Retirement Calculator'!K:K,MATCH('Lorri 401b'!N4669,'Retirement Calculator'!A:A,0),0),0)</f>
        <v>0</v>
      </c>
      <c r="K4669" s="455">
        <f t="shared" ca="1" si="173"/>
        <v>-472361146219.09991</v>
      </c>
      <c r="L4669" s="455">
        <f t="shared" ca="1" si="174"/>
        <v>-113839036238803.08</v>
      </c>
      <c r="M4669" s="471">
        <f t="shared" si="176"/>
        <v>0.05</v>
      </c>
      <c r="N4669" s="475">
        <f t="shared" si="177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75"/>
        <v>-113839036238803.08</v>
      </c>
      <c r="J4670" s="455">
        <f t="array" ref="J4670">IFERROR(INDEX('Retirement Calculator'!K:K,MATCH('Lorri 401b'!N4670,'Retirement Calculator'!A:A,0),0),0)</f>
        <v>0</v>
      </c>
      <c r="K4670" s="455">
        <f t="shared" ca="1" si="173"/>
        <v>-474329317661.67944</v>
      </c>
      <c r="L4670" s="455">
        <f t="shared" ca="1" si="174"/>
        <v>-114313365556464.75</v>
      </c>
      <c r="M4670" s="471">
        <f t="shared" si="176"/>
        <v>0.05</v>
      </c>
      <c r="N4670" s="475">
        <f t="shared" si="177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75"/>
        <v>-114313365556464.75</v>
      </c>
      <c r="J4671" s="455">
        <f t="array" ref="J4671">IFERROR(INDEX('Retirement Calculator'!K:K,MATCH('Lorri 401b'!N4671,'Retirement Calculator'!A:A,0),0),0)</f>
        <v>0</v>
      </c>
      <c r="K4671" s="455">
        <f t="shared" ca="1" si="173"/>
        <v>-476305689818.60309</v>
      </c>
      <c r="L4671" s="455">
        <f t="shared" ca="1" si="174"/>
        <v>-114789671246283.36</v>
      </c>
      <c r="M4671" s="471">
        <f t="shared" si="176"/>
        <v>0.05</v>
      </c>
      <c r="N4671" s="475">
        <f t="shared" si="177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75"/>
        <v>-114789671246283.36</v>
      </c>
      <c r="J4672" s="455">
        <f t="array" ref="J4672">IFERROR(INDEX('Retirement Calculator'!K:K,MATCH('Lorri 401b'!N4672,'Retirement Calculator'!A:A,0),0),0)</f>
        <v>0</v>
      </c>
      <c r="K4672" s="455">
        <f t="shared" ca="1" si="173"/>
        <v>-478290296859.51398</v>
      </c>
      <c r="L4672" s="455">
        <f t="shared" ca="1" si="174"/>
        <v>-115267961543142.88</v>
      </c>
      <c r="M4672" s="471">
        <f t="shared" si="176"/>
        <v>0.05</v>
      </c>
      <c r="N4672" s="475">
        <f t="shared" si="177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75"/>
        <v>-115267961543142.88</v>
      </c>
      <c r="J4673" s="455">
        <f t="array" ref="J4673">IFERROR(INDEX('Retirement Calculator'!K:K,MATCH('Lorri 401b'!N4673,'Retirement Calculator'!A:A,0),0),0)</f>
        <v>0</v>
      </c>
      <c r="K4673" s="455">
        <f t="shared" ca="1" si="173"/>
        <v>-480283173096.42865</v>
      </c>
      <c r="L4673" s="455">
        <f t="shared" ca="1" si="174"/>
        <v>-115748244716239.3</v>
      </c>
      <c r="M4673" s="471">
        <f t="shared" si="176"/>
        <v>0.05</v>
      </c>
      <c r="N4673" s="475">
        <f t="shared" si="177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75"/>
        <v>-115748244716239.3</v>
      </c>
      <c r="J4674" s="455">
        <f t="array" ref="J4674">IFERROR(INDEX('Retirement Calculator'!K:K,MATCH('Lorri 401b'!N4674,'Retirement Calculator'!A:A,0),0),0)</f>
        <v>0</v>
      </c>
      <c r="K4674" s="455">
        <f t="shared" ca="1" si="173"/>
        <v>-482284352984.33038</v>
      </c>
      <c r="L4674" s="455">
        <f t="shared" ca="1" si="174"/>
        <v>-116230529069223.63</v>
      </c>
      <c r="M4674" s="471">
        <f t="shared" si="176"/>
        <v>0.05</v>
      </c>
      <c r="N4674" s="475">
        <f t="shared" si="177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75"/>
        <v>-116230529069223.63</v>
      </c>
      <c r="J4675" s="455">
        <f t="array" ref="J4675">IFERROR(INDEX('Retirement Calculator'!K:K,MATCH('Lorri 401b'!N4675,'Retirement Calculator'!A:A,0),0),0)</f>
        <v>0</v>
      </c>
      <c r="K4675" s="455">
        <f t="shared" ca="1" si="173"/>
        <v>-484293871121.76508</v>
      </c>
      <c r="L4675" s="455">
        <f t="shared" ca="1" si="174"/>
        <v>-116714822940345.39</v>
      </c>
      <c r="M4675" s="471">
        <f t="shared" si="176"/>
        <v>0.05</v>
      </c>
      <c r="N4675" s="475">
        <f t="shared" si="177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75"/>
        <v>-116714822940345.39</v>
      </c>
      <c r="J4676" s="455">
        <f t="array" ref="J4676">IFERROR(INDEX('Retirement Calculator'!K:K,MATCH('Lorri 401b'!N4676,'Retirement Calculator'!A:A,0),0),0)</f>
        <v>0</v>
      </c>
      <c r="K4676" s="455">
        <f t="shared" ca="1" si="173"/>
        <v>-486311762251.43915</v>
      </c>
      <c r="L4676" s="455">
        <f t="shared" ca="1" si="174"/>
        <v>-117201134702596.83</v>
      </c>
      <c r="M4676" s="471">
        <f t="shared" si="176"/>
        <v>0.05</v>
      </c>
      <c r="N4676" s="475">
        <f t="shared" si="177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75"/>
        <v>-117201134702596.83</v>
      </c>
      <c r="J4677" s="455">
        <f t="array" ref="J4677">IFERROR(INDEX('Retirement Calculator'!K:K,MATCH('Lorri 401b'!N4677,'Retirement Calculator'!A:A,0),0),0)</f>
        <v>0</v>
      </c>
      <c r="K4677" s="455">
        <f t="shared" ca="1" si="173"/>
        <v>-488338061260.82019</v>
      </c>
      <c r="L4677" s="455">
        <f t="shared" ca="1" si="174"/>
        <v>-117689472763857.64</v>
      </c>
      <c r="M4677" s="471">
        <f t="shared" si="176"/>
        <v>0.05</v>
      </c>
      <c r="N4677" s="475">
        <f t="shared" si="177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75"/>
        <v>-117689472763857.64</v>
      </c>
      <c r="J4678" s="455">
        <f t="array" ref="J4678">IFERROR(INDEX('Retirement Calculator'!K:K,MATCH('Lorri 401b'!N4678,'Retirement Calculator'!A:A,0),0),0)</f>
        <v>0</v>
      </c>
      <c r="K4678" s="455">
        <f t="shared" ca="1" si="173"/>
        <v>-490372803182.74017</v>
      </c>
      <c r="L4678" s="455">
        <f t="shared" ca="1" si="174"/>
        <v>-118179845567040.38</v>
      </c>
      <c r="M4678" s="471">
        <f t="shared" si="176"/>
        <v>0.05</v>
      </c>
      <c r="N4678" s="475">
        <f t="shared" si="177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75"/>
        <v>-118179845567040.38</v>
      </c>
      <c r="J4679" s="455">
        <f t="array" ref="J4679">IFERROR(INDEX('Retirement Calculator'!K:K,MATCH('Lorri 401b'!N4679,'Retirement Calculator'!A:A,0),0),0)</f>
        <v>0</v>
      </c>
      <c r="K4679" s="455">
        <f t="shared" ca="1" si="173"/>
        <v>-492416023196.00153</v>
      </c>
      <c r="L4679" s="455">
        <f t="shared" ca="1" si="174"/>
        <v>-118672261590236.38</v>
      </c>
      <c r="M4679" s="471">
        <f t="shared" si="176"/>
        <v>0.05</v>
      </c>
      <c r="N4679" s="475">
        <f t="shared" si="177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75"/>
        <v>-118672261590236.38</v>
      </c>
      <c r="J4680" s="455">
        <f t="array" ref="J4680">IFERROR(INDEX('Retirement Calculator'!K:K,MATCH('Lorri 401b'!N4680,'Retirement Calculator'!A:A,0),0),0)</f>
        <v>0</v>
      </c>
      <c r="K4680" s="455">
        <f t="shared" ca="1" si="173"/>
        <v>-494467756625.9848</v>
      </c>
      <c r="L4680" s="455">
        <f t="shared" ca="1" si="174"/>
        <v>-119166729346862.36</v>
      </c>
      <c r="M4680" s="471">
        <f t="shared" si="176"/>
        <v>0.05</v>
      </c>
      <c r="N4680" s="475">
        <f t="shared" si="177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75"/>
        <v>-119166729346862.36</v>
      </c>
      <c r="J4681" s="455">
        <f t="array" ref="J4681">IFERROR(INDEX('Retirement Calculator'!K:K,MATCH('Lorri 401b'!N4681,'Retirement Calculator'!A:A,0),0),0)</f>
        <v>0</v>
      </c>
      <c r="K4681" s="455">
        <f t="shared" ca="1" si="173"/>
        <v>-496528038945.25983</v>
      </c>
      <c r="L4681" s="455">
        <f t="shared" ca="1" si="174"/>
        <v>-119663257385807.63</v>
      </c>
      <c r="M4681" s="471">
        <f t="shared" si="176"/>
        <v>0.05</v>
      </c>
      <c r="N4681" s="475">
        <f t="shared" si="177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75"/>
        <v>-119663257385807.63</v>
      </c>
      <c r="J4682" s="455">
        <f t="array" ref="J4682">IFERROR(INDEX('Retirement Calculator'!K:K,MATCH('Lorri 401b'!N4682,'Retirement Calculator'!A:A,0),0),0)</f>
        <v>0</v>
      </c>
      <c r="K4682" s="455">
        <f t="shared" ca="1" si="173"/>
        <v>-498596905774.19843</v>
      </c>
      <c r="L4682" s="455">
        <f t="shared" ca="1" si="174"/>
        <v>-120161854291581.83</v>
      </c>
      <c r="M4682" s="471">
        <f t="shared" si="176"/>
        <v>0.05</v>
      </c>
      <c r="N4682" s="475">
        <f t="shared" si="177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75"/>
        <v>-120161854291581.83</v>
      </c>
      <c r="J4683" s="455">
        <f t="array" ref="J4683">IFERROR(INDEX('Retirement Calculator'!K:K,MATCH('Lorri 401b'!N4683,'Retirement Calculator'!A:A,0),0),0)</f>
        <v>0</v>
      </c>
      <c r="K4683" s="455">
        <f t="shared" ca="1" si="173"/>
        <v>-500674392881.59088</v>
      </c>
      <c r="L4683" s="455">
        <f t="shared" ca="1" si="174"/>
        <v>-120662528684463.42</v>
      </c>
      <c r="M4683" s="471">
        <f t="shared" si="176"/>
        <v>0.05</v>
      </c>
      <c r="N4683" s="475">
        <f t="shared" si="177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75"/>
        <v>-120662528684463.42</v>
      </c>
      <c r="J4684" s="455">
        <f t="array" ref="J4684">IFERROR(INDEX('Retirement Calculator'!K:K,MATCH('Lorri 401b'!N4684,'Retirement Calculator'!A:A,0),0),0)</f>
        <v>0</v>
      </c>
      <c r="K4684" s="455">
        <f t="shared" ca="1" si="173"/>
        <v>-502760536185.26434</v>
      </c>
      <c r="L4684" s="455">
        <f t="shared" ca="1" si="174"/>
        <v>-121165289220648.69</v>
      </c>
      <c r="M4684" s="471">
        <f t="shared" si="176"/>
        <v>0.05</v>
      </c>
      <c r="N4684" s="475">
        <f t="shared" si="177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75"/>
        <v>-121165289220648.69</v>
      </c>
      <c r="J4685" s="455">
        <f t="array" ref="J4685">IFERROR(INDEX('Retirement Calculator'!K:K,MATCH('Lorri 401b'!N4685,'Retirement Calculator'!A:A,0),0),0)</f>
        <v>0</v>
      </c>
      <c r="K4685" s="455">
        <f t="shared" ca="1" si="173"/>
        <v>-504855371752.70288</v>
      </c>
      <c r="L4685" s="455">
        <f t="shared" ca="1" si="174"/>
        <v>-121670144592401.39</v>
      </c>
      <c r="M4685" s="471">
        <f t="shared" si="176"/>
        <v>0.05</v>
      </c>
      <c r="N4685" s="475">
        <f t="shared" si="177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75"/>
        <v>-121670144592401.39</v>
      </c>
      <c r="J4686" s="455">
        <f t="array" ref="J4686">IFERROR(INDEX('Retirement Calculator'!K:K,MATCH('Lorri 401b'!N4686,'Retirement Calculator'!A:A,0),0),0)</f>
        <v>0</v>
      </c>
      <c r="K4686" s="455">
        <f t="shared" ca="1" si="173"/>
        <v>-506958935801.67242</v>
      </c>
      <c r="L4686" s="455">
        <f t="shared" ca="1" si="174"/>
        <v>-122177103528203.06</v>
      </c>
      <c r="M4686" s="471">
        <f t="shared" si="176"/>
        <v>0.05</v>
      </c>
      <c r="N4686" s="475">
        <f t="shared" si="177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75"/>
        <v>-122177103528203.06</v>
      </c>
      <c r="J4687" s="455">
        <f t="array" ref="J4687">IFERROR(INDEX('Retirement Calculator'!K:K,MATCH('Lorri 401b'!N4687,'Retirement Calculator'!A:A,0),0),0)</f>
        <v>0</v>
      </c>
      <c r="K4687" s="455">
        <f t="shared" ca="1" si="173"/>
        <v>-509071264700.84607</v>
      </c>
      <c r="L4687" s="455">
        <f t="shared" ca="1" si="174"/>
        <v>-122686174792903.91</v>
      </c>
      <c r="M4687" s="471">
        <f t="shared" si="176"/>
        <v>0.05</v>
      </c>
      <c r="N4687" s="475">
        <f t="shared" si="177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75"/>
        <v>-122686174792903.91</v>
      </c>
      <c r="J4688" s="455">
        <f t="array" ref="J4688">IFERROR(INDEX('Retirement Calculator'!K:K,MATCH('Lorri 401b'!N4688,'Retirement Calculator'!A:A,0),0),0)</f>
        <v>0</v>
      </c>
      <c r="K4688" s="455">
        <f t="shared" ca="1" si="173"/>
        <v>-511192394970.43292</v>
      </c>
      <c r="L4688" s="455">
        <f t="shared" ca="1" si="174"/>
        <v>-123197367187874.34</v>
      </c>
      <c r="M4688" s="471">
        <f t="shared" si="176"/>
        <v>0.05</v>
      </c>
      <c r="N4688" s="475">
        <f t="shared" si="177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75"/>
        <v>-123197367187874.34</v>
      </c>
      <c r="J4689" s="455">
        <f t="array" ref="J4689">IFERROR(INDEX('Retirement Calculator'!K:K,MATCH('Lorri 401b'!N4689,'Retirement Calculator'!A:A,0),0),0)</f>
        <v>0</v>
      </c>
      <c r="K4689" s="455">
        <f t="shared" ca="1" si="173"/>
        <v>-513322363282.80969</v>
      </c>
      <c r="L4689" s="455">
        <f t="shared" ca="1" si="174"/>
        <v>-123710689551157.16</v>
      </c>
      <c r="M4689" s="471">
        <f t="shared" si="176"/>
        <v>0.05</v>
      </c>
      <c r="N4689" s="475">
        <f t="shared" si="177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75"/>
        <v>-123710689551157.16</v>
      </c>
      <c r="J4690" s="455">
        <f t="array" ref="J4690">IFERROR(INDEX('Retirement Calculator'!K:K,MATCH('Lorri 401b'!N4690,'Retirement Calculator'!A:A,0),0),0)</f>
        <v>0</v>
      </c>
      <c r="K4690" s="455">
        <f t="shared" ca="1" si="173"/>
        <v>-515461206463.15485</v>
      </c>
      <c r="L4690" s="455">
        <f t="shared" ca="1" si="174"/>
        <v>-124226150757620.31</v>
      </c>
      <c r="M4690" s="471">
        <f t="shared" si="176"/>
        <v>0.05</v>
      </c>
      <c r="N4690" s="475">
        <f t="shared" si="177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75"/>
        <v>-124226150757620.31</v>
      </c>
      <c r="J4691" s="455">
        <f t="array" ref="J4691">IFERROR(INDEX('Retirement Calculator'!K:K,MATCH('Lorri 401b'!N4691,'Retirement Calculator'!A:A,0),0),0)</f>
        <v>0</v>
      </c>
      <c r="K4691" s="455">
        <f t="shared" ca="1" si="173"/>
        <v>-517608961490.08453</v>
      </c>
      <c r="L4691" s="455">
        <f t="shared" ca="1" si="174"/>
        <v>-124743759719110.39</v>
      </c>
      <c r="M4691" s="471">
        <f t="shared" si="176"/>
        <v>0.05</v>
      </c>
      <c r="N4691" s="475">
        <f t="shared" si="177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75"/>
        <v>-124743759719110.39</v>
      </c>
      <c r="J4692" s="455">
        <f t="array" ref="J4692">IFERROR(INDEX('Retirement Calculator'!K:K,MATCH('Lorri 401b'!N4692,'Retirement Calculator'!A:A,0),0),0)</f>
        <v>0</v>
      </c>
      <c r="K4692" s="455">
        <f t="shared" ca="1" si="173"/>
        <v>-519765665496.29327</v>
      </c>
      <c r="L4692" s="455">
        <f t="shared" ca="1" si="174"/>
        <v>-125263525384606.69</v>
      </c>
      <c r="M4692" s="471">
        <f t="shared" si="176"/>
        <v>0.05</v>
      </c>
      <c r="N4692" s="475">
        <f t="shared" si="177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75"/>
        <v>-125263525384606.69</v>
      </c>
      <c r="J4693" s="455">
        <f t="array" ref="J4693">IFERROR(INDEX('Retirement Calculator'!K:K,MATCH('Lorri 401b'!N4693,'Retirement Calculator'!A:A,0),0),0)</f>
        <v>0</v>
      </c>
      <c r="K4693" s="455">
        <f t="shared" ca="1" si="173"/>
        <v>-521931355769.19446</v>
      </c>
      <c r="L4693" s="455">
        <f t="shared" ca="1" si="174"/>
        <v>-125785456740375.88</v>
      </c>
      <c r="M4693" s="471">
        <f t="shared" si="176"/>
        <v>0.05</v>
      </c>
      <c r="N4693" s="475">
        <f t="shared" si="177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75"/>
        <v>-125785456740375.88</v>
      </c>
      <c r="J4694" s="455">
        <f t="array" ref="J4694">IFERROR(INDEX('Retirement Calculator'!K:K,MATCH('Lorri 401b'!N4694,'Retirement Calculator'!A:A,0),0),0)</f>
        <v>0</v>
      </c>
      <c r="K4694" s="455">
        <f t="shared" ca="1" si="173"/>
        <v>-524106069751.56616</v>
      </c>
      <c r="L4694" s="455">
        <f t="shared" ca="1" si="174"/>
        <v>-126309562810127.44</v>
      </c>
      <c r="M4694" s="471">
        <f t="shared" si="176"/>
        <v>0.05</v>
      </c>
      <c r="N4694" s="475">
        <f t="shared" si="177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75"/>
        <v>-126309562810127.44</v>
      </c>
      <c r="J4695" s="455">
        <f t="array" ref="J4695">IFERROR(INDEX('Retirement Calculator'!K:K,MATCH('Lorri 401b'!N4695,'Retirement Calculator'!A:A,0),0),0)</f>
        <v>0</v>
      </c>
      <c r="K4695" s="455">
        <f t="shared" ca="1" si="173"/>
        <v>-526289845042.19763</v>
      </c>
      <c r="L4695" s="455">
        <f t="shared" ca="1" si="174"/>
        <v>-126835852655169.64</v>
      </c>
      <c r="M4695" s="471">
        <f t="shared" si="176"/>
        <v>0.05</v>
      </c>
      <c r="N4695" s="475">
        <f t="shared" si="177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75"/>
        <v>-126835852655169.64</v>
      </c>
      <c r="J4696" s="455">
        <f t="array" ref="J4696">IFERROR(INDEX('Retirement Calculator'!K:K,MATCH('Lorri 401b'!N4696,'Retirement Calculator'!A:A,0),0),0)</f>
        <v>0</v>
      </c>
      <c r="K4696" s="455">
        <f t="shared" ca="1" si="173"/>
        <v>-528482719396.54016</v>
      </c>
      <c r="L4696" s="455">
        <f t="shared" ca="1" si="174"/>
        <v>-127364335374566.19</v>
      </c>
      <c r="M4696" s="471">
        <f t="shared" si="176"/>
        <v>0.05</v>
      </c>
      <c r="N4696" s="475">
        <f t="shared" si="177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75"/>
        <v>-127364335374566.19</v>
      </c>
      <c r="J4697" s="455">
        <f t="array" ref="J4697">IFERROR(INDEX('Retirement Calculator'!K:K,MATCH('Lorri 401b'!N4697,'Retirement Calculator'!A:A,0),0),0)</f>
        <v>0</v>
      </c>
      <c r="K4697" s="455">
        <f t="shared" ca="1" si="173"/>
        <v>-530684730727.35907</v>
      </c>
      <c r="L4697" s="455">
        <f t="shared" ca="1" si="174"/>
        <v>-127895020105293.55</v>
      </c>
      <c r="M4697" s="471">
        <f t="shared" si="176"/>
        <v>0.05</v>
      </c>
      <c r="N4697" s="475">
        <f t="shared" si="177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75"/>
        <v>-127895020105293.55</v>
      </c>
      <c r="J4698" s="455">
        <f t="array" ref="J4698">IFERROR(INDEX('Retirement Calculator'!K:K,MATCH('Lorri 401b'!N4698,'Retirement Calculator'!A:A,0),0),0)</f>
        <v>0</v>
      </c>
      <c r="K4698" s="455">
        <f t="shared" ca="1" si="173"/>
        <v>-532895917105.38977</v>
      </c>
      <c r="L4698" s="455">
        <f t="shared" ca="1" si="174"/>
        <v>-128427916022398.94</v>
      </c>
      <c r="M4698" s="471">
        <f t="shared" si="176"/>
        <v>0.05</v>
      </c>
      <c r="N4698" s="475">
        <f t="shared" si="177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75"/>
        <v>-128427916022398.94</v>
      </c>
      <c r="J4699" s="455">
        <f t="array" ref="J4699">IFERROR(INDEX('Retirement Calculator'!K:K,MATCH('Lorri 401b'!N4699,'Retirement Calculator'!A:A,0),0),0)</f>
        <v>0</v>
      </c>
      <c r="K4699" s="455">
        <f t="shared" ca="1" si="173"/>
        <v>-535116316759.99548</v>
      </c>
      <c r="L4699" s="455">
        <f t="shared" ca="1" si="174"/>
        <v>-128963032339158.94</v>
      </c>
      <c r="M4699" s="471">
        <f t="shared" si="176"/>
        <v>0.05</v>
      </c>
      <c r="N4699" s="475">
        <f t="shared" si="177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75"/>
        <v>-128963032339158.94</v>
      </c>
      <c r="J4700" s="455">
        <f t="array" ref="J4700">IFERROR(INDEX('Retirement Calculator'!K:K,MATCH('Lorri 401b'!N4700,'Retirement Calculator'!A:A,0),0),0)</f>
        <v>0</v>
      </c>
      <c r="K4700" s="455">
        <f t="shared" ca="1" si="173"/>
        <v>-537345968079.82892</v>
      </c>
      <c r="L4700" s="455">
        <f t="shared" ca="1" si="174"/>
        <v>-129500378307238.77</v>
      </c>
      <c r="M4700" s="471">
        <f t="shared" si="176"/>
        <v>0.05</v>
      </c>
      <c r="N4700" s="475">
        <f t="shared" si="177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75"/>
        <v>-129500378307238.77</v>
      </c>
      <c r="J4701" s="455">
        <f t="array" ref="J4701">IFERROR(INDEX('Retirement Calculator'!K:K,MATCH('Lorri 401b'!N4701,'Retirement Calculator'!A:A,0),0),0)</f>
        <v>0</v>
      </c>
      <c r="K4701" s="455">
        <f t="shared" ca="1" si="173"/>
        <v>-539584909613.49487</v>
      </c>
      <c r="L4701" s="455">
        <f t="shared" ca="1" si="174"/>
        <v>-130039963216852.27</v>
      </c>
      <c r="M4701" s="471">
        <f t="shared" si="176"/>
        <v>0.05</v>
      </c>
      <c r="N4701" s="475">
        <f t="shared" si="177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75"/>
        <v>-130039963216852.27</v>
      </c>
      <c r="J4702" s="455">
        <f t="array" ref="J4702">IFERROR(INDEX('Retirement Calculator'!K:K,MATCH('Lorri 401b'!N4702,'Retirement Calculator'!A:A,0),0),0)</f>
        <v>0</v>
      </c>
      <c r="K4702" s="455">
        <f t="shared" ca="1" si="173"/>
        <v>-541833180070.21783</v>
      </c>
      <c r="L4702" s="455">
        <f t="shared" ca="1" si="174"/>
        <v>-130581796396922.48</v>
      </c>
      <c r="M4702" s="471">
        <f t="shared" si="176"/>
        <v>0.05</v>
      </c>
      <c r="N4702" s="475">
        <f t="shared" si="177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75"/>
        <v>-130581796396922.48</v>
      </c>
      <c r="J4703" s="455">
        <f t="array" ref="J4703">IFERROR(INDEX('Retirement Calculator'!K:K,MATCH('Lorri 401b'!N4703,'Retirement Calculator'!A:A,0),0),0)</f>
        <v>0</v>
      </c>
      <c r="K4703" s="455">
        <f t="shared" ca="1" si="173"/>
        <v>-544090818320.51031</v>
      </c>
      <c r="L4703" s="455">
        <f t="shared" ca="1" si="174"/>
        <v>-131125887215243</v>
      </c>
      <c r="M4703" s="471">
        <f t="shared" si="176"/>
        <v>0.05</v>
      </c>
      <c r="N4703" s="475">
        <f t="shared" si="177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75"/>
        <v>-131125887215243</v>
      </c>
      <c r="J4704" s="455">
        <f t="array" ref="J4704">IFERROR(INDEX('Retirement Calculator'!K:K,MATCH('Lorri 401b'!N4704,'Retirement Calculator'!A:A,0),0),0)</f>
        <v>0</v>
      </c>
      <c r="K4704" s="455">
        <f t="shared" ca="1" si="173"/>
        <v>-546357863396.84583</v>
      </c>
      <c r="L4704" s="455">
        <f t="shared" ca="1" si="174"/>
        <v>-131672245078639.84</v>
      </c>
      <c r="M4704" s="471">
        <f t="shared" si="176"/>
        <v>0.05</v>
      </c>
      <c r="N4704" s="475">
        <f t="shared" si="177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75"/>
        <v>-131672245078639.84</v>
      </c>
      <c r="J4705" s="455">
        <f t="array" ref="J4705">IFERROR(INDEX('Retirement Calculator'!K:K,MATCH('Lorri 401b'!N4705,'Retirement Calculator'!A:A,0),0),0)</f>
        <v>0</v>
      </c>
      <c r="K4705" s="455">
        <f t="shared" ca="1" si="173"/>
        <v>-548634354494.3327</v>
      </c>
      <c r="L4705" s="455">
        <f t="shared" ca="1" si="174"/>
        <v>-132220879433134.17</v>
      </c>
      <c r="M4705" s="471">
        <f t="shared" si="176"/>
        <v>0.05</v>
      </c>
      <c r="N4705" s="475">
        <f t="shared" si="177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75"/>
        <v>-132220879433134.17</v>
      </c>
      <c r="J4706" s="455">
        <f t="array" ref="J4706">IFERROR(INDEX('Retirement Calculator'!K:K,MATCH('Lorri 401b'!N4706,'Retirement Calculator'!A:A,0),0),0)</f>
        <v>0</v>
      </c>
      <c r="K4706" s="455">
        <f t="shared" ca="1" si="173"/>
        <v>-550920330971.39233</v>
      </c>
      <c r="L4706" s="455">
        <f t="shared" ca="1" si="174"/>
        <v>-132771799764105.56</v>
      </c>
      <c r="M4706" s="471">
        <f t="shared" si="176"/>
        <v>0.05</v>
      </c>
      <c r="N4706" s="475">
        <f t="shared" si="177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75"/>
        <v>-132771799764105.56</v>
      </c>
      <c r="J4707" s="455">
        <f t="array" ref="J4707">IFERROR(INDEX('Retirement Calculator'!K:K,MATCH('Lorri 401b'!N4707,'Retirement Calculator'!A:A,0),0),0)</f>
        <v>0</v>
      </c>
      <c r="K4707" s="455">
        <f t="shared" ca="1" si="173"/>
        <v>-553215832350.43982</v>
      </c>
      <c r="L4707" s="455">
        <f t="shared" ca="1" si="174"/>
        <v>-133325015596456</v>
      </c>
      <c r="M4707" s="471">
        <f t="shared" si="176"/>
        <v>0.05</v>
      </c>
      <c r="N4707" s="475">
        <f t="shared" si="177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75"/>
        <v>-133325015596456</v>
      </c>
      <c r="J4708" s="455">
        <f t="array" ref="J4708">IFERROR(INDEX('Retirement Calculator'!K:K,MATCH('Lorri 401b'!N4708,'Retirement Calculator'!A:A,0),0),0)</f>
        <v>0</v>
      </c>
      <c r="K4708" s="455">
        <f t="shared" ca="1" si="173"/>
        <v>-555520898318.56665</v>
      </c>
      <c r="L4708" s="455">
        <f t="shared" ca="1" si="174"/>
        <v>-133880536494774.56</v>
      </c>
      <c r="M4708" s="471">
        <f t="shared" si="176"/>
        <v>0.05</v>
      </c>
      <c r="N4708" s="475">
        <f t="shared" si="177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75"/>
        <v>-133880536494774.56</v>
      </c>
      <c r="J4709" s="455">
        <f t="array" ref="J4709">IFERROR(INDEX('Retirement Calculator'!K:K,MATCH('Lorri 401b'!N4709,'Retirement Calculator'!A:A,0),0),0)</f>
        <v>0</v>
      </c>
      <c r="K4709" s="455">
        <f t="shared" ca="1" si="173"/>
        <v>-557835568728.22729</v>
      </c>
      <c r="L4709" s="455">
        <f t="shared" ca="1" si="174"/>
        <v>-134438372063502.8</v>
      </c>
      <c r="M4709" s="471">
        <f t="shared" si="176"/>
        <v>0.05</v>
      </c>
      <c r="N4709" s="475">
        <f t="shared" si="177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75"/>
        <v>-134438372063502.8</v>
      </c>
      <c r="J4710" s="455">
        <f t="array" ref="J4710">IFERROR(INDEX('Retirement Calculator'!K:K,MATCH('Lorri 401b'!N4710,'Retirement Calculator'!A:A,0),0),0)</f>
        <v>0</v>
      </c>
      <c r="K4710" s="455">
        <f t="shared" ca="1" si="173"/>
        <v>-560159883597.92834</v>
      </c>
      <c r="L4710" s="455">
        <f t="shared" ca="1" si="174"/>
        <v>-134998531947100.72</v>
      </c>
      <c r="M4710" s="471">
        <f t="shared" si="176"/>
        <v>0.05</v>
      </c>
      <c r="N4710" s="475">
        <f t="shared" si="177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75"/>
        <v>-134998531947100.72</v>
      </c>
      <c r="J4711" s="455">
        <f t="array" ref="J4711">IFERROR(INDEX('Retirement Calculator'!K:K,MATCH('Lorri 401b'!N4711,'Retirement Calculator'!A:A,0),0),0)</f>
        <v>0</v>
      </c>
      <c r="K4711" s="455">
        <f t="shared" ca="1" si="173"/>
        <v>-562493883112.91968</v>
      </c>
      <c r="L4711" s="455">
        <f t="shared" ca="1" si="174"/>
        <v>-135561025830213.64</v>
      </c>
      <c r="M4711" s="471">
        <f t="shared" si="176"/>
        <v>0.05</v>
      </c>
      <c r="N4711" s="475">
        <f t="shared" si="177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75"/>
        <v>-135561025830213.64</v>
      </c>
      <c r="J4712" s="455">
        <f t="array" ref="J4712">IFERROR(INDEX('Retirement Calculator'!K:K,MATCH('Lorri 401b'!N4712,'Retirement Calculator'!A:A,0),0),0)</f>
        <v>0</v>
      </c>
      <c r="K4712" s="455">
        <f t="shared" ca="1" si="173"/>
        <v>-564837607625.89014</v>
      </c>
      <c r="L4712" s="455">
        <f t="shared" ca="1" si="174"/>
        <v>-136125863437839.53</v>
      </c>
      <c r="M4712" s="471">
        <f t="shared" si="176"/>
        <v>0.05</v>
      </c>
      <c r="N4712" s="475">
        <f t="shared" si="177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75"/>
        <v>-136125863437839.53</v>
      </c>
      <c r="J4713" s="455">
        <f t="array" ref="J4713">IFERROR(INDEX('Retirement Calculator'!K:K,MATCH('Lorri 401b'!N4713,'Retirement Calculator'!A:A,0),0),0)</f>
        <v>0</v>
      </c>
      <c r="K4713" s="455">
        <f t="shared" ca="1" si="173"/>
        <v>-567191097657.66467</v>
      </c>
      <c r="L4713" s="455">
        <f t="shared" ca="1" si="174"/>
        <v>-136693054535497.2</v>
      </c>
      <c r="M4713" s="471">
        <f t="shared" si="176"/>
        <v>0.05</v>
      </c>
      <c r="N4713" s="475">
        <f t="shared" si="177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75"/>
        <v>-136693054535497.2</v>
      </c>
      <c r="J4714" s="455">
        <f t="array" ref="J4714">IFERROR(INDEX('Retirement Calculator'!K:K,MATCH('Lorri 401b'!N4714,'Retirement Calculator'!A:A,0),0),0)</f>
        <v>0</v>
      </c>
      <c r="K4714" s="455">
        <f t="shared" ca="1" si="173"/>
        <v>-569554393897.90503</v>
      </c>
      <c r="L4714" s="455">
        <f t="shared" ca="1" si="174"/>
        <v>-137262608929395.11</v>
      </c>
      <c r="M4714" s="471">
        <f t="shared" si="176"/>
        <v>0.05</v>
      </c>
      <c r="N4714" s="475">
        <f t="shared" si="177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75"/>
        <v>-137262608929395.11</v>
      </c>
      <c r="J4715" s="455">
        <f t="array" ref="J4715">IFERROR(INDEX('Retirement Calculator'!K:K,MATCH('Lorri 401b'!N4715,'Retirement Calculator'!A:A,0),0),0)</f>
        <v>0</v>
      </c>
      <c r="K4715" s="455">
        <f t="shared" ca="1" si="173"/>
        <v>-571927537205.81299</v>
      </c>
      <c r="L4715" s="455">
        <f t="shared" ca="1" si="174"/>
        <v>-137834536466600.92</v>
      </c>
      <c r="M4715" s="471">
        <f t="shared" si="176"/>
        <v>0.05</v>
      </c>
      <c r="N4715" s="475">
        <f t="shared" si="177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75"/>
        <v>-137834536466600.92</v>
      </c>
      <c r="J4716" s="455">
        <f t="array" ref="J4716">IFERROR(INDEX('Retirement Calculator'!K:K,MATCH('Lorri 401b'!N4716,'Retirement Calculator'!A:A,0),0),0)</f>
        <v>0</v>
      </c>
      <c r="K4716" s="455">
        <f t="shared" ca="1" si="173"/>
        <v>-574310568610.83716</v>
      </c>
      <c r="L4716" s="455">
        <f t="shared" ca="1" si="174"/>
        <v>-138408847035211.77</v>
      </c>
      <c r="M4716" s="471">
        <f t="shared" si="176"/>
        <v>0.05</v>
      </c>
      <c r="N4716" s="475">
        <f t="shared" si="177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75"/>
        <v>-138408847035211.77</v>
      </c>
      <c r="J4717" s="455">
        <f t="array" ref="J4717">IFERROR(INDEX('Retirement Calculator'!K:K,MATCH('Lorri 401b'!N4717,'Retirement Calculator'!A:A,0),0),0)</f>
        <v>0</v>
      </c>
      <c r="K4717" s="455">
        <f t="shared" ca="1" si="173"/>
        <v>-576703529313.38232</v>
      </c>
      <c r="L4717" s="455">
        <f t="shared" ca="1" si="174"/>
        <v>-138985550564525.14</v>
      </c>
      <c r="M4717" s="471">
        <f t="shared" si="176"/>
        <v>0.05</v>
      </c>
      <c r="N4717" s="475">
        <f t="shared" si="177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75"/>
        <v>-138985550564525.14</v>
      </c>
      <c r="J4718" s="455">
        <f t="array" ref="J4718">IFERROR(INDEX('Retirement Calculator'!K:K,MATCH('Lorri 401b'!N4718,'Retirement Calculator'!A:A,0),0),0)</f>
        <v>0</v>
      </c>
      <c r="K4718" s="455">
        <f t="shared" ca="1" si="173"/>
        <v>-579106460685.52136</v>
      </c>
      <c r="L4718" s="455">
        <f t="shared" ca="1" si="174"/>
        <v>-139564657025210.66</v>
      </c>
      <c r="M4718" s="471">
        <f t="shared" si="176"/>
        <v>0.05</v>
      </c>
      <c r="N4718" s="475">
        <f t="shared" si="177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75"/>
        <v>-139564657025210.66</v>
      </c>
      <c r="J4719" s="455">
        <f t="array" ref="J4719">IFERROR(INDEX('Retirement Calculator'!K:K,MATCH('Lorri 401b'!N4719,'Retirement Calculator'!A:A,0),0),0)</f>
        <v>0</v>
      </c>
      <c r="K4719" s="455">
        <f t="shared" ca="1" si="173"/>
        <v>-581519404271.71094</v>
      </c>
      <c r="L4719" s="455">
        <f t="shared" ca="1" si="174"/>
        <v>-140146176429482.38</v>
      </c>
      <c r="M4719" s="471">
        <f t="shared" si="176"/>
        <v>0.05</v>
      </c>
      <c r="N4719" s="475">
        <f t="shared" si="177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75"/>
        <v>-140146176429482.38</v>
      </c>
      <c r="J4720" s="455">
        <f t="array" ref="J4720">IFERROR(INDEX('Retirement Calculator'!K:K,MATCH('Lorri 401b'!N4720,'Retirement Calculator'!A:A,0),0),0)</f>
        <v>0</v>
      </c>
      <c r="K4720" s="455">
        <f t="shared" ca="1" si="173"/>
        <v>-583942401789.51001</v>
      </c>
      <c r="L4720" s="455">
        <f t="shared" ca="1" si="174"/>
        <v>-140730118831271.89</v>
      </c>
      <c r="M4720" s="471">
        <f t="shared" si="176"/>
        <v>0.05</v>
      </c>
      <c r="N4720" s="475">
        <f t="shared" si="177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75"/>
        <v>-140730118831271.89</v>
      </c>
      <c r="J4721" s="455">
        <f t="array" ref="J4721">IFERROR(INDEX('Retirement Calculator'!K:K,MATCH('Lorri 401b'!N4721,'Retirement Calculator'!A:A,0),0),0)</f>
        <v>0</v>
      </c>
      <c r="K4721" s="455">
        <f t="shared" ca="1" si="173"/>
        <v>-586375495130.29956</v>
      </c>
      <c r="L4721" s="455">
        <f t="shared" ca="1" si="174"/>
        <v>-141316494326402.19</v>
      </c>
      <c r="M4721" s="471">
        <f t="shared" si="176"/>
        <v>0.05</v>
      </c>
      <c r="N4721" s="475">
        <f t="shared" si="177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75"/>
        <v>-141316494326402.19</v>
      </c>
      <c r="J4722" s="455">
        <f t="array" ref="J4722">IFERROR(INDEX('Retirement Calculator'!K:K,MATCH('Lorri 401b'!N4722,'Retirement Calculator'!A:A,0),0),0)</f>
        <v>0</v>
      </c>
      <c r="K4722" s="455">
        <f t="shared" ca="1" si="173"/>
        <v>-588818726360.00916</v>
      </c>
      <c r="L4722" s="455">
        <f t="shared" ca="1" si="174"/>
        <v>-141905313052762.19</v>
      </c>
      <c r="M4722" s="471">
        <f t="shared" si="176"/>
        <v>0.05</v>
      </c>
      <c r="N4722" s="475">
        <f t="shared" si="177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75"/>
        <v>-141905313052762.19</v>
      </c>
      <c r="J4723" s="455">
        <f t="array" ref="J4723">IFERROR(INDEX('Retirement Calculator'!K:K,MATCH('Lorri 401b'!N4723,'Retirement Calculator'!A:A,0),0),0)</f>
        <v>0</v>
      </c>
      <c r="K4723" s="455">
        <f t="shared" ca="1" si="173"/>
        <v>-591272137719.84241</v>
      </c>
      <c r="L4723" s="455">
        <f t="shared" ca="1" si="174"/>
        <v>-142496585190482.03</v>
      </c>
      <c r="M4723" s="471">
        <f t="shared" si="176"/>
        <v>0.05</v>
      </c>
      <c r="N4723" s="475">
        <f t="shared" si="177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75"/>
        <v>-142496585190482.03</v>
      </c>
      <c r="J4724" s="455">
        <f t="array" ref="J4724">IFERROR(INDEX('Retirement Calculator'!K:K,MATCH('Lorri 401b'!N4724,'Retirement Calculator'!A:A,0),0),0)</f>
        <v>0</v>
      </c>
      <c r="K4724" s="455">
        <f t="shared" ca="1" si="173"/>
        <v>-593735771627.00842</v>
      </c>
      <c r="L4724" s="455">
        <f t="shared" ca="1" si="174"/>
        <v>-143090320962109.03</v>
      </c>
      <c r="M4724" s="471">
        <f t="shared" si="176"/>
        <v>0.05</v>
      </c>
      <c r="N4724" s="475">
        <f t="shared" si="177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75"/>
        <v>-143090320962109.03</v>
      </c>
      <c r="J4725" s="455">
        <f t="array" ref="J4725">IFERROR(INDEX('Retirement Calculator'!K:K,MATCH('Lorri 401b'!N4725,'Retirement Calculator'!A:A,0),0),0)</f>
        <v>0</v>
      </c>
      <c r="K4725" s="455">
        <f t="shared" ca="1" si="173"/>
        <v>-596209670675.45435</v>
      </c>
      <c r="L4725" s="455">
        <f t="shared" ca="1" si="174"/>
        <v>-143686530632784.5</v>
      </c>
      <c r="M4725" s="471">
        <f t="shared" si="176"/>
        <v>0.05</v>
      </c>
      <c r="N4725" s="475">
        <f t="shared" si="177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75"/>
        <v>-143686530632784.5</v>
      </c>
      <c r="J4726" s="455">
        <f t="array" ref="J4726">IFERROR(INDEX('Retirement Calculator'!K:K,MATCH('Lorri 401b'!N4726,'Retirement Calculator'!A:A,0),0),0)</f>
        <v>0</v>
      </c>
      <c r="K4726" s="455">
        <f t="shared" ca="1" si="173"/>
        <v>-598693877636.60205</v>
      </c>
      <c r="L4726" s="455">
        <f t="shared" ca="1" si="174"/>
        <v>-144285224510421.09</v>
      </c>
      <c r="M4726" s="471">
        <f t="shared" si="176"/>
        <v>0.05</v>
      </c>
      <c r="N4726" s="475">
        <f t="shared" si="177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75"/>
        <v>-144285224510421.09</v>
      </c>
      <c r="J4727" s="455">
        <f t="array" ref="J4727">IFERROR(INDEX('Retirement Calculator'!K:K,MATCH('Lorri 401b'!N4727,'Retirement Calculator'!A:A,0),0),0)</f>
        <v>0</v>
      </c>
      <c r="K4727" s="455">
        <f t="shared" ca="1" si="173"/>
        <v>-601188435460.08789</v>
      </c>
      <c r="L4727" s="455">
        <f t="shared" ca="1" si="174"/>
        <v>-144886412945881.19</v>
      </c>
      <c r="M4727" s="471">
        <f t="shared" si="176"/>
        <v>0.05</v>
      </c>
      <c r="N4727" s="475">
        <f t="shared" si="177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75"/>
        <v>-144886412945881.19</v>
      </c>
      <c r="J4728" s="455">
        <f t="array" ref="J4728">IFERROR(INDEX('Retirement Calculator'!K:K,MATCH('Lorri 401b'!N4728,'Retirement Calculator'!A:A,0),0),0)</f>
        <v>0</v>
      </c>
      <c r="K4728" s="455">
        <f t="shared" ca="1" si="173"/>
        <v>-603693387274.50488</v>
      </c>
      <c r="L4728" s="455">
        <f t="shared" ca="1" si="174"/>
        <v>-145490106333155.69</v>
      </c>
      <c r="M4728" s="471">
        <f t="shared" si="176"/>
        <v>0.05</v>
      </c>
      <c r="N4728" s="475">
        <f t="shared" si="177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75"/>
        <v>-145490106333155.69</v>
      </c>
      <c r="J4729" s="455">
        <f t="array" ref="J4729">IFERROR(INDEX('Retirement Calculator'!K:K,MATCH('Lorri 401b'!N4729,'Retirement Calculator'!A:A,0),0),0)</f>
        <v>0</v>
      </c>
      <c r="K4729" s="455">
        <f t="shared" ca="1" si="173"/>
        <v>-606208776388.14868</v>
      </c>
      <c r="L4729" s="455">
        <f t="shared" ca="1" si="174"/>
        <v>-146096315109543.84</v>
      </c>
      <c r="M4729" s="471">
        <f t="shared" si="176"/>
        <v>0.05</v>
      </c>
      <c r="N4729" s="475">
        <f t="shared" si="177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75"/>
        <v>-146096315109543.84</v>
      </c>
      <c r="J4730" s="455">
        <f t="array" ref="J4730">IFERROR(INDEX('Retirement Calculator'!K:K,MATCH('Lorri 401b'!N4730,'Retirement Calculator'!A:A,0),0),0)</f>
        <v>0</v>
      </c>
      <c r="K4730" s="455">
        <f t="shared" ca="1" si="173"/>
        <v>-608734646289.76599</v>
      </c>
      <c r="L4730" s="455">
        <f t="shared" ca="1" si="174"/>
        <v>-146705049755833.63</v>
      </c>
      <c r="M4730" s="471">
        <f t="shared" si="176"/>
        <v>0.05</v>
      </c>
      <c r="N4730" s="475">
        <f t="shared" si="177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75"/>
        <v>-146705049755833.63</v>
      </c>
      <c r="J4731" s="455">
        <f t="array" ref="J4731">IFERROR(INDEX('Retirement Calculator'!K:K,MATCH('Lorri 401b'!N4731,'Retirement Calculator'!A:A,0),0),0)</f>
        <v>0</v>
      </c>
      <c r="K4731" s="455">
        <f t="shared" ca="1" si="173"/>
        <v>-611271040649.30676</v>
      </c>
      <c r="L4731" s="455">
        <f t="shared" ca="1" si="174"/>
        <v>-147316320796482.94</v>
      </c>
      <c r="M4731" s="471">
        <f t="shared" si="176"/>
        <v>0.05</v>
      </c>
      <c r="N4731" s="475">
        <f t="shared" si="177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75"/>
        <v>-147316320796482.94</v>
      </c>
      <c r="J4732" s="455">
        <f t="array" ref="J4732">IFERROR(INDEX('Retirement Calculator'!K:K,MATCH('Lorri 401b'!N4732,'Retirement Calculator'!A:A,0),0),0)</f>
        <v>0</v>
      </c>
      <c r="K4732" s="455">
        <f t="shared" ca="1" si="173"/>
        <v>-613818003318.67896</v>
      </c>
      <c r="L4732" s="455">
        <f t="shared" ca="1" si="174"/>
        <v>-147930138799801.63</v>
      </c>
      <c r="M4732" s="471">
        <f t="shared" si="176"/>
        <v>0.05</v>
      </c>
      <c r="N4732" s="475">
        <f t="shared" si="177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75"/>
        <v>-147930138799801.63</v>
      </c>
      <c r="J4733" s="455">
        <f t="array" ref="J4733">IFERROR(INDEX('Retirement Calculator'!K:K,MATCH('Lorri 401b'!N4733,'Retirement Calculator'!A:A,0),0),0)</f>
        <v>0</v>
      </c>
      <c r="K4733" s="455">
        <f t="shared" ca="1" si="173"/>
        <v>-616375578332.50671</v>
      </c>
      <c r="L4733" s="455">
        <f t="shared" ca="1" si="174"/>
        <v>-148546514378134.13</v>
      </c>
      <c r="M4733" s="471">
        <f t="shared" si="176"/>
        <v>0.05</v>
      </c>
      <c r="N4733" s="475">
        <f t="shared" si="177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75"/>
        <v>-148546514378134.13</v>
      </c>
      <c r="J4734" s="455">
        <f t="array" ref="J4734">IFERROR(INDEX('Retirement Calculator'!K:K,MATCH('Lorri 401b'!N4734,'Retirement Calculator'!A:A,0),0),0)</f>
        <v>0</v>
      </c>
      <c r="K4734" s="455">
        <f t="shared" ca="1" si="173"/>
        <v>-618943809908.89221</v>
      </c>
      <c r="L4734" s="455">
        <f t="shared" ca="1" si="174"/>
        <v>-149165458188043.03</v>
      </c>
      <c r="M4734" s="471">
        <f t="shared" si="176"/>
        <v>0.05</v>
      </c>
      <c r="N4734" s="475">
        <f t="shared" si="177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75"/>
        <v>-149165458188043.03</v>
      </c>
      <c r="J4735" s="455">
        <f t="array" ref="J4735">IFERROR(INDEX('Retirement Calculator'!K:K,MATCH('Lorri 401b'!N4735,'Retirement Calculator'!A:A,0),0),0)</f>
        <v>0</v>
      </c>
      <c r="K4735" s="455">
        <f t="shared" ca="1" si="173"/>
        <v>-621522742450.17932</v>
      </c>
      <c r="L4735" s="455">
        <f t="shared" ca="1" si="174"/>
        <v>-149786980930493.22</v>
      </c>
      <c r="M4735" s="471">
        <f t="shared" si="176"/>
        <v>0.05</v>
      </c>
      <c r="N4735" s="475">
        <f t="shared" si="177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75"/>
        <v>-149786980930493.22</v>
      </c>
      <c r="J4736" s="455">
        <f t="array" ref="J4736">IFERROR(INDEX('Retirement Calculator'!K:K,MATCH('Lorri 401b'!N4736,'Retirement Calculator'!A:A,0),0),0)</f>
        <v>0</v>
      </c>
      <c r="K4736" s="455">
        <f t="shared" ca="1" si="173"/>
        <v>-624112420543.72168</v>
      </c>
      <c r="L4736" s="455">
        <f t="shared" ca="1" si="174"/>
        <v>-150411093351036.94</v>
      </c>
      <c r="M4736" s="471">
        <f t="shared" si="176"/>
        <v>0.05</v>
      </c>
      <c r="N4736" s="475">
        <f t="shared" si="177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75"/>
        <v>-150411093351036.94</v>
      </c>
      <c r="J4737" s="455">
        <f t="array" ref="J4737">IFERROR(INDEX('Retirement Calculator'!K:K,MATCH('Lorri 401b'!N4737,'Retirement Calculator'!A:A,0),0),0)</f>
        <v>0</v>
      </c>
      <c r="K4737" s="455">
        <f t="shared" ca="1" si="173"/>
        <v>-626712888962.65393</v>
      </c>
      <c r="L4737" s="455">
        <f t="shared" ca="1" si="174"/>
        <v>-151037806239999.59</v>
      </c>
      <c r="M4737" s="471">
        <f t="shared" si="176"/>
        <v>0.05</v>
      </c>
      <c r="N4737" s="475">
        <f t="shared" si="177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75"/>
        <v>-151037806239999.59</v>
      </c>
      <c r="J4738" s="455">
        <f t="array" ref="J4738">IFERROR(INDEX('Retirement Calculator'!K:K,MATCH('Lorri 401b'!N4738,'Retirement Calculator'!A:A,0),0),0)</f>
        <v>0</v>
      </c>
      <c r="K4738" s="455">
        <f t="shared" ca="1" si="173"/>
        <v>-629324192666.66492</v>
      </c>
      <c r="L4738" s="455">
        <f t="shared" ca="1" si="174"/>
        <v>-151667130432666.25</v>
      </c>
      <c r="M4738" s="471">
        <f t="shared" si="176"/>
        <v>0.05</v>
      </c>
      <c r="N4738" s="475">
        <f t="shared" si="177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75"/>
        <v>-151667130432666.25</v>
      </c>
      <c r="J4739" s="455">
        <f t="array" ref="J4739">IFERROR(INDEX('Retirement Calculator'!K:K,MATCH('Lorri 401b'!N4739,'Retirement Calculator'!A:A,0),0),0)</f>
        <v>0</v>
      </c>
      <c r="K4739" s="455">
        <f t="shared" ca="1" si="173"/>
        <v>-631946376802.776</v>
      </c>
      <c r="L4739" s="455">
        <f t="shared" ca="1" si="174"/>
        <v>-152299076809469.03</v>
      </c>
      <c r="M4739" s="471">
        <f t="shared" si="176"/>
        <v>0.05</v>
      </c>
      <c r="N4739" s="475">
        <f t="shared" si="177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75"/>
        <v>-152299076809469.03</v>
      </c>
      <c r="J4740" s="455">
        <f t="array" ref="J4740">IFERROR(INDEX('Retirement Calculator'!K:K,MATCH('Lorri 401b'!N4740,'Retirement Calculator'!A:A,0),0),0)</f>
        <v>0</v>
      </c>
      <c r="K4740" s="455">
        <f t="shared" ca="1" si="173"/>
        <v>-634579486706.12097</v>
      </c>
      <c r="L4740" s="455">
        <f t="shared" ca="1" si="174"/>
        <v>-152933656296175.16</v>
      </c>
      <c r="M4740" s="471">
        <f t="shared" si="176"/>
        <v>0.05</v>
      </c>
      <c r="N4740" s="475">
        <f t="shared" si="177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75"/>
        <v>-152933656296175.16</v>
      </c>
      <c r="J4741" s="455">
        <f t="array" ref="J4741">IFERROR(INDEX('Retirement Calculator'!K:K,MATCH('Lorri 401b'!N4741,'Retirement Calculator'!A:A,0),0),0)</f>
        <v>0</v>
      </c>
      <c r="K4741" s="455">
        <f t="shared" ca="1" si="173"/>
        <v>-637223567900.72986</v>
      </c>
      <c r="L4741" s="455">
        <f t="shared" ca="1" si="174"/>
        <v>-153570879864075.88</v>
      </c>
      <c r="M4741" s="471">
        <f t="shared" si="176"/>
        <v>0.05</v>
      </c>
      <c r="N4741" s="475">
        <f t="shared" si="177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75"/>
        <v>-153570879864075.88</v>
      </c>
      <c r="J4742" s="455">
        <f t="array" ref="J4742">IFERROR(INDEX('Retirement Calculator'!K:K,MATCH('Lorri 401b'!N4742,'Retirement Calculator'!A:A,0),0),0)</f>
        <v>0</v>
      </c>
      <c r="K4742" s="455">
        <f t="shared" ca="1" si="173"/>
        <v>-639878666100.31616</v>
      </c>
      <c r="L4742" s="455">
        <f t="shared" ca="1" si="174"/>
        <v>-154210758530176.19</v>
      </c>
      <c r="M4742" s="471">
        <f t="shared" si="176"/>
        <v>0.05</v>
      </c>
      <c r="N4742" s="475">
        <f t="shared" si="177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75"/>
        <v>-154210758530176.19</v>
      </c>
      <c r="J4743" s="455">
        <f t="array" ref="J4743">IFERROR(INDEX('Retirement Calculator'!K:K,MATCH('Lorri 401b'!N4743,'Retirement Calculator'!A:A,0),0),0)</f>
        <v>0</v>
      </c>
      <c r="K4743" s="455">
        <f t="shared" ca="1" si="173"/>
        <v>-642544827209.06738</v>
      </c>
      <c r="L4743" s="455">
        <f t="shared" ca="1" si="174"/>
        <v>-154853303357385.25</v>
      </c>
      <c r="M4743" s="471">
        <f t="shared" si="176"/>
        <v>0.05</v>
      </c>
      <c r="N4743" s="475">
        <f t="shared" si="177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75"/>
        <v>-154853303357385.25</v>
      </c>
      <c r="J4744" s="455">
        <f t="array" ref="J4744">IFERROR(INDEX('Retirement Calculator'!K:K,MATCH('Lorri 401b'!N4744,'Retirement Calculator'!A:A,0),0),0)</f>
        <v>0</v>
      </c>
      <c r="K4744" s="455">
        <f t="shared" ca="1" si="173"/>
        <v>-645222097322.43848</v>
      </c>
      <c r="L4744" s="455">
        <f t="shared" ca="1" si="174"/>
        <v>-155498525454707.69</v>
      </c>
      <c r="M4744" s="471">
        <f t="shared" si="176"/>
        <v>0.05</v>
      </c>
      <c r="N4744" s="475">
        <f t="shared" si="177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75"/>
        <v>-155498525454707.69</v>
      </c>
      <c r="J4745" s="455">
        <f t="array" ref="J4745">IFERROR(INDEX('Retirement Calculator'!K:K,MATCH('Lorri 401b'!N4745,'Retirement Calculator'!A:A,0),0),0)</f>
        <v>0</v>
      </c>
      <c r="K4745" s="455">
        <f t="shared" ca="1" si="173"/>
        <v>-647910522727.94873</v>
      </c>
      <c r="L4745" s="455">
        <f t="shared" ca="1" si="174"/>
        <v>-156146435977435.63</v>
      </c>
      <c r="M4745" s="471">
        <f t="shared" si="176"/>
        <v>0.05</v>
      </c>
      <c r="N4745" s="475">
        <f t="shared" si="177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75"/>
        <v>-156146435977435.63</v>
      </c>
      <c r="J4746" s="455">
        <f t="array" ref="J4746">IFERROR(INDEX('Retirement Calculator'!K:K,MATCH('Lorri 401b'!N4746,'Retirement Calculator'!A:A,0),0),0)</f>
        <v>0</v>
      </c>
      <c r="K4746" s="455">
        <f t="shared" ca="1" si="173"/>
        <v>-650610149905.98181</v>
      </c>
      <c r="L4746" s="455">
        <f t="shared" ca="1" si="174"/>
        <v>-156797046127341.59</v>
      </c>
      <c r="M4746" s="471">
        <f t="shared" si="176"/>
        <v>0.05</v>
      </c>
      <c r="N4746" s="475">
        <f t="shared" si="177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75"/>
        <v>-156797046127341.59</v>
      </c>
      <c r="J4747" s="455">
        <f t="array" ref="J4747">IFERROR(INDEX('Retirement Calculator'!K:K,MATCH('Lorri 401b'!N4747,'Retirement Calculator'!A:A,0),0),0)</f>
        <v>0</v>
      </c>
      <c r="K4747" s="455">
        <f t="shared" ca="1" si="173"/>
        <v>-653321025530.58997</v>
      </c>
      <c r="L4747" s="455">
        <f t="shared" ca="1" si="174"/>
        <v>-157450367152872.19</v>
      </c>
      <c r="M4747" s="471">
        <f t="shared" si="176"/>
        <v>0.05</v>
      </c>
      <c r="N4747" s="475">
        <f t="shared" si="177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75"/>
        <v>-157450367152872.19</v>
      </c>
      <c r="J4748" s="455">
        <f t="array" ref="J4748">IFERROR(INDEX('Retirement Calculator'!K:K,MATCH('Lorri 401b'!N4748,'Retirement Calculator'!A:A,0),0),0)</f>
        <v>0</v>
      </c>
      <c r="K4748" s="455">
        <f t="shared" ca="1" si="173"/>
        <v>-656043196470.30078</v>
      </c>
      <c r="L4748" s="455">
        <f t="shared" ca="1" si="174"/>
        <v>-158106410349342.5</v>
      </c>
      <c r="M4748" s="471">
        <f t="shared" si="176"/>
        <v>0.05</v>
      </c>
      <c r="N4748" s="475">
        <f t="shared" si="177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75"/>
        <v>-158106410349342.5</v>
      </c>
      <c r="J4749" s="455">
        <f t="array" ref="J4749">IFERROR(INDEX('Retirement Calculator'!K:K,MATCH('Lorri 401b'!N4749,'Retirement Calculator'!A:A,0),0),0)</f>
        <v>0</v>
      </c>
      <c r="K4749" s="455">
        <f t="shared" ca="1" si="173"/>
        <v>-658776709788.92712</v>
      </c>
      <c r="L4749" s="455">
        <f t="shared" ca="1" si="174"/>
        <v>-158765187059131.44</v>
      </c>
      <c r="M4749" s="471">
        <f t="shared" si="176"/>
        <v>0.05</v>
      </c>
      <c r="N4749" s="475">
        <f t="shared" si="177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75"/>
        <v>-158765187059131.44</v>
      </c>
      <c r="J4750" s="455">
        <f t="array" ref="J4750">IFERROR(INDEX('Retirement Calculator'!K:K,MATCH('Lorri 401b'!N4750,'Retirement Calculator'!A:A,0),0),0)</f>
        <v>0</v>
      </c>
      <c r="K4750" s="455">
        <f t="shared" ca="1" si="173"/>
        <v>-661521612746.38098</v>
      </c>
      <c r="L4750" s="455">
        <f t="shared" ca="1" si="174"/>
        <v>-159426708671877.81</v>
      </c>
      <c r="M4750" s="471">
        <f t="shared" si="176"/>
        <v>0.05</v>
      </c>
      <c r="N4750" s="475">
        <f t="shared" si="177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75"/>
        <v>-159426708671877.81</v>
      </c>
      <c r="J4751" s="455">
        <f t="array" ref="J4751">IFERROR(INDEX('Retirement Calculator'!K:K,MATCH('Lorri 401b'!N4751,'Retirement Calculator'!A:A,0),0),0)</f>
        <v>0</v>
      </c>
      <c r="K4751" s="455">
        <f t="shared" ca="1" si="173"/>
        <v>-664277952799.49084</v>
      </c>
      <c r="L4751" s="455">
        <f t="shared" ca="1" si="174"/>
        <v>-160090986624677.31</v>
      </c>
      <c r="M4751" s="471">
        <f t="shared" si="176"/>
        <v>0.05</v>
      </c>
      <c r="N4751" s="475">
        <f t="shared" si="177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75"/>
        <v>-160090986624677.31</v>
      </c>
      <c r="J4752" s="455">
        <f t="array" ref="J4752">IFERROR(INDEX('Retirement Calculator'!K:K,MATCH('Lorri 401b'!N4752,'Retirement Calculator'!A:A,0),0),0)</f>
        <v>0</v>
      </c>
      <c r="K4752" s="455">
        <f t="shared" ca="1" si="173"/>
        <v>-667045777602.82214</v>
      </c>
      <c r="L4752" s="455">
        <f t="shared" ca="1" si="174"/>
        <v>-160758032402280.13</v>
      </c>
      <c r="M4752" s="471">
        <f t="shared" si="176"/>
        <v>0.05</v>
      </c>
      <c r="N4752" s="475">
        <f t="shared" si="177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75"/>
        <v>-160758032402280.13</v>
      </c>
      <c r="J4753" s="455">
        <f t="array" ref="J4753">IFERROR(INDEX('Retirement Calculator'!K:K,MATCH('Lorri 401b'!N4753,'Retirement Calculator'!A:A,0),0),0)</f>
        <v>0</v>
      </c>
      <c r="K4753" s="455">
        <f t="shared" ca="1" si="173"/>
        <v>-669825135009.50049</v>
      </c>
      <c r="L4753" s="455">
        <f t="shared" ca="1" si="174"/>
        <v>-161427857537289.63</v>
      </c>
      <c r="M4753" s="471">
        <f t="shared" si="176"/>
        <v>0.05</v>
      </c>
      <c r="N4753" s="475">
        <f t="shared" si="177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75"/>
        <v>-161427857537289.63</v>
      </c>
      <c r="J4754" s="455">
        <f t="array" ref="J4754">IFERROR(INDEX('Retirement Calculator'!K:K,MATCH('Lorri 401b'!N4754,'Retirement Calculator'!A:A,0),0),0)</f>
        <v>0</v>
      </c>
      <c r="K4754" s="455">
        <f t="shared" ca="1" si="173"/>
        <v>-672616073072.04004</v>
      </c>
      <c r="L4754" s="455">
        <f t="shared" ca="1" si="174"/>
        <v>-162100473610361.66</v>
      </c>
      <c r="M4754" s="471">
        <f t="shared" si="176"/>
        <v>0.05</v>
      </c>
      <c r="N4754" s="475">
        <f t="shared" si="177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75"/>
        <v>-162100473610361.66</v>
      </c>
      <c r="J4755" s="455">
        <f t="array" ref="J4755">IFERROR(INDEX('Retirement Calculator'!K:K,MATCH('Lorri 401b'!N4755,'Retirement Calculator'!A:A,0),0),0)</f>
        <v>0</v>
      </c>
      <c r="K4755" s="455">
        <f t="shared" ca="1" si="173"/>
        <v>-675418640043.17358</v>
      </c>
      <c r="L4755" s="455">
        <f t="shared" ca="1" si="174"/>
        <v>-162775892250404.84</v>
      </c>
      <c r="M4755" s="471">
        <f t="shared" si="176"/>
        <v>0.05</v>
      </c>
      <c r="N4755" s="475">
        <f t="shared" si="177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75"/>
        <v>-162775892250404.84</v>
      </c>
      <c r="J4756" s="455">
        <f t="array" ref="J4756">IFERROR(INDEX('Retirement Calculator'!K:K,MATCH('Lorri 401b'!N4756,'Retirement Calculator'!A:A,0),0),0)</f>
        <v>0</v>
      </c>
      <c r="K4756" s="455">
        <f t="shared" ca="1" si="173"/>
        <v>-678232884376.68689</v>
      </c>
      <c r="L4756" s="455">
        <f t="shared" ca="1" si="174"/>
        <v>-163454125134781.53</v>
      </c>
      <c r="M4756" s="471">
        <f t="shared" si="176"/>
        <v>0.05</v>
      </c>
      <c r="N4756" s="475">
        <f t="shared" si="177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75"/>
        <v>-163454125134781.53</v>
      </c>
      <c r="J4757" s="455">
        <f t="array" ref="J4757">IFERROR(INDEX('Retirement Calculator'!K:K,MATCH('Lorri 401b'!N4757,'Retirement Calculator'!A:A,0),0),0)</f>
        <v>0</v>
      </c>
      <c r="K4757" s="455">
        <f t="shared" ca="1" si="173"/>
        <v>-681058854728.25635</v>
      </c>
      <c r="L4757" s="455">
        <f t="shared" ca="1" si="174"/>
        <v>-164135183989509.78</v>
      </c>
      <c r="M4757" s="471">
        <f t="shared" si="176"/>
        <v>0.05</v>
      </c>
      <c r="N4757" s="475">
        <f t="shared" si="177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75"/>
        <v>-164135183989509.78</v>
      </c>
      <c r="J4758" s="455">
        <f t="array" ref="J4758">IFERROR(INDEX('Retirement Calculator'!K:K,MATCH('Lorri 401b'!N4758,'Retirement Calculator'!A:A,0),0),0)</f>
        <v>0</v>
      </c>
      <c r="K4758" s="455">
        <f t="shared" ca="1" si="173"/>
        <v>-683896599956.29077</v>
      </c>
      <c r="L4758" s="455">
        <f t="shared" ca="1" si="174"/>
        <v>-164819080589466.06</v>
      </c>
      <c r="M4758" s="471">
        <f t="shared" si="176"/>
        <v>0.05</v>
      </c>
      <c r="N4758" s="475">
        <f t="shared" si="177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75"/>
        <v>-164819080589466.06</v>
      </c>
      <c r="J4759" s="455">
        <f t="array" ref="J4759">IFERROR(INDEX('Retirement Calculator'!K:K,MATCH('Lorri 401b'!N4759,'Retirement Calculator'!A:A,0),0),0)</f>
        <v>0</v>
      </c>
      <c r="K4759" s="455">
        <f t="shared" ca="1" si="173"/>
        <v>-686746169122.77527</v>
      </c>
      <c r="L4759" s="455">
        <f t="shared" ca="1" si="174"/>
        <v>-165505826758588.84</v>
      </c>
      <c r="M4759" s="471">
        <f t="shared" si="176"/>
        <v>0.05</v>
      </c>
      <c r="N4759" s="475">
        <f t="shared" si="177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75"/>
        <v>-165505826758588.84</v>
      </c>
      <c r="J4760" s="455">
        <f t="array" ref="J4760">IFERROR(INDEX('Retirement Calculator'!K:K,MATCH('Lorri 401b'!N4760,'Retirement Calculator'!A:A,0),0),0)</f>
        <v>0</v>
      </c>
      <c r="K4760" s="455">
        <f t="shared" ca="1" si="173"/>
        <v>-689607611494.12012</v>
      </c>
      <c r="L4760" s="455">
        <f t="shared" ca="1" si="174"/>
        <v>-166195434370082.97</v>
      </c>
      <c r="M4760" s="471">
        <f t="shared" si="176"/>
        <v>0.05</v>
      </c>
      <c r="N4760" s="475">
        <f t="shared" si="177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75"/>
        <v>-166195434370082.97</v>
      </c>
      <c r="J4761" s="455">
        <f t="array" ref="J4761">IFERROR(INDEX('Retirement Calculator'!K:K,MATCH('Lorri 401b'!N4761,'Retirement Calculator'!A:A,0),0),0)</f>
        <v>0</v>
      </c>
      <c r="K4761" s="455">
        <f t="shared" ca="1" si="173"/>
        <v>-692480976542.01233</v>
      </c>
      <c r="L4761" s="455">
        <f t="shared" ca="1" si="174"/>
        <v>-166887915346624.97</v>
      </c>
      <c r="M4761" s="471">
        <f t="shared" si="176"/>
        <v>0.05</v>
      </c>
      <c r="N4761" s="475">
        <f t="shared" si="177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75"/>
        <v>-166887915346624.97</v>
      </c>
      <c r="J4762" s="455">
        <f t="array" ref="J4762">IFERROR(INDEX('Retirement Calculator'!K:K,MATCH('Lorri 401b'!N4762,'Retirement Calculator'!A:A,0),0),0)</f>
        <v>0</v>
      </c>
      <c r="K4762" s="455">
        <f t="shared" ca="1" si="173"/>
        <v>-695366313944.27075</v>
      </c>
      <c r="L4762" s="455">
        <f t="shared" ca="1" si="174"/>
        <v>-167583281660569.25</v>
      </c>
      <c r="M4762" s="471">
        <f t="shared" si="176"/>
        <v>0.05</v>
      </c>
      <c r="N4762" s="475">
        <f t="shared" si="177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75"/>
        <v>-167583281660569.25</v>
      </c>
      <c r="J4763" s="455">
        <f t="array" ref="J4763">IFERROR(INDEX('Retirement Calculator'!K:K,MATCH('Lorri 401b'!N4763,'Retirement Calculator'!A:A,0),0),0)</f>
        <v>0</v>
      </c>
      <c r="K4763" s="455">
        <f t="shared" ca="1" si="173"/>
        <v>-698263673585.7052</v>
      </c>
      <c r="L4763" s="455">
        <f t="shared" ca="1" si="174"/>
        <v>-168281545334154.97</v>
      </c>
      <c r="M4763" s="471">
        <f t="shared" si="176"/>
        <v>0.05</v>
      </c>
      <c r="N4763" s="475">
        <f t="shared" si="177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75"/>
        <v>-168281545334154.97</v>
      </c>
      <c r="J4764" s="455">
        <f t="array" ref="J4764">IFERROR(INDEX('Retirement Calculator'!K:K,MATCH('Lorri 401b'!N4764,'Retirement Calculator'!A:A,0),0),0)</f>
        <v>0</v>
      </c>
      <c r="K4764" s="455">
        <f t="shared" ca="1" si="173"/>
        <v>-701173105558.979</v>
      </c>
      <c r="L4764" s="455">
        <f t="shared" ca="1" si="174"/>
        <v>-168982718439713.94</v>
      </c>
      <c r="M4764" s="471">
        <f t="shared" si="176"/>
        <v>0.05</v>
      </c>
      <c r="N4764" s="475">
        <f t="shared" si="177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75"/>
        <v>-168982718439713.94</v>
      </c>
      <c r="J4765" s="455">
        <f t="array" ref="J4765">IFERROR(INDEX('Retirement Calculator'!K:K,MATCH('Lorri 401b'!N4765,'Retirement Calculator'!A:A,0),0),0)</f>
        <v>0</v>
      </c>
      <c r="K4765" s="455">
        <f t="shared" ca="1" si="173"/>
        <v>-704094660165.47473</v>
      </c>
      <c r="L4765" s="455">
        <f t="shared" ca="1" si="174"/>
        <v>-169686813099879.41</v>
      </c>
      <c r="M4765" s="471">
        <f t="shared" si="176"/>
        <v>0.05</v>
      </c>
      <c r="N4765" s="475">
        <f t="shared" si="177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75"/>
        <v>-169686813099879.41</v>
      </c>
      <c r="J4766" s="455">
        <f t="array" ref="J4766">IFERROR(INDEX('Retirement Calculator'!K:K,MATCH('Lorri 401b'!N4766,'Retirement Calculator'!A:A,0),0),0)</f>
        <v>0</v>
      </c>
      <c r="K4766" s="455">
        <f t="shared" ca="1" si="173"/>
        <v>-707028387916.16418</v>
      </c>
      <c r="L4766" s="455">
        <f t="shared" ca="1" si="174"/>
        <v>-170393841487795.56</v>
      </c>
      <c r="M4766" s="471">
        <f t="shared" si="176"/>
        <v>0.05</v>
      </c>
      <c r="N4766" s="475">
        <f t="shared" si="177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75"/>
        <v>-170393841487795.56</v>
      </c>
      <c r="J4767" s="455">
        <f t="array" ref="J4767">IFERROR(INDEX('Retirement Calculator'!K:K,MATCH('Lorri 401b'!N4767,'Retirement Calculator'!A:A,0),0),0)</f>
        <v>0</v>
      </c>
      <c r="K4767" s="455">
        <f t="shared" ca="1" si="173"/>
        <v>-709974339532.48145</v>
      </c>
      <c r="L4767" s="455">
        <f t="shared" ca="1" si="174"/>
        <v>-171103815827328.03</v>
      </c>
      <c r="M4767" s="471">
        <f t="shared" si="176"/>
        <v>0.05</v>
      </c>
      <c r="N4767" s="475">
        <f t="shared" si="177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75"/>
        <v>-171103815827328.03</v>
      </c>
      <c r="J4768" s="455">
        <f t="array" ref="J4768">IFERROR(INDEX('Retirement Calculator'!K:K,MATCH('Lorri 401b'!N4768,'Retirement Calculator'!A:A,0),0),0)</f>
        <v>0</v>
      </c>
      <c r="K4768" s="455">
        <f t="shared" ca="1" si="173"/>
        <v>-712932565947.20007</v>
      </c>
      <c r="L4768" s="455">
        <f t="shared" ca="1" si="174"/>
        <v>-171816748393275.22</v>
      </c>
      <c r="M4768" s="471">
        <f t="shared" si="176"/>
        <v>0.05</v>
      </c>
      <c r="N4768" s="475">
        <f t="shared" si="177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75"/>
        <v>-171816748393275.22</v>
      </c>
      <c r="J4769" s="455">
        <f t="array" ref="J4769">IFERROR(INDEX('Retirement Calculator'!K:K,MATCH('Lorri 401b'!N4769,'Retirement Calculator'!A:A,0),0),0)</f>
        <v>0</v>
      </c>
      <c r="K4769" s="455">
        <f t="shared" ca="1" si="173"/>
        <v>-715903118305.31335</v>
      </c>
      <c r="L4769" s="455">
        <f t="shared" ca="1" si="174"/>
        <v>-172532651511580.53</v>
      </c>
      <c r="M4769" s="471">
        <f t="shared" si="176"/>
        <v>0.05</v>
      </c>
      <c r="N4769" s="475">
        <f t="shared" si="177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75"/>
        <v>-172532651511580.53</v>
      </c>
      <c r="J4770" s="455">
        <f t="array" ref="J4770">IFERROR(INDEX('Retirement Calculator'!K:K,MATCH('Lorri 401b'!N4770,'Retirement Calculator'!A:A,0),0),0)</f>
        <v>0</v>
      </c>
      <c r="K4770" s="455">
        <f t="shared" ca="1" si="173"/>
        <v>-718886047964.91882</v>
      </c>
      <c r="L4770" s="455">
        <f t="shared" ca="1" si="174"/>
        <v>-173251537559545.44</v>
      </c>
      <c r="M4770" s="471">
        <f t="shared" si="176"/>
        <v>0.05</v>
      </c>
      <c r="N4770" s="475">
        <f t="shared" si="177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75"/>
        <v>-173251537559545.44</v>
      </c>
      <c r="J4771" s="455">
        <f t="array" ref="J4771">IFERROR(INDEX('Retirement Calculator'!K:K,MATCH('Lorri 401b'!N4771,'Retirement Calculator'!A:A,0),0),0)</f>
        <v>0</v>
      </c>
      <c r="K4771" s="455">
        <f t="shared" ca="1" si="173"/>
        <v>-721881406498.10596</v>
      </c>
      <c r="L4771" s="455">
        <f t="shared" ca="1" si="174"/>
        <v>-173973418966043.53</v>
      </c>
      <c r="M4771" s="471">
        <f t="shared" si="176"/>
        <v>0.05</v>
      </c>
      <c r="N4771" s="475">
        <f t="shared" si="177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75"/>
        <v>-173973418966043.53</v>
      </c>
      <c r="J4772" s="455">
        <f t="array" ref="J4772">IFERROR(INDEX('Retirement Calculator'!K:K,MATCH('Lorri 401b'!N4772,'Retirement Calculator'!A:A,0),0),0)</f>
        <v>0</v>
      </c>
      <c r="K4772" s="455">
        <f t="shared" ca="1" si="173"/>
        <v>-724889245691.84802</v>
      </c>
      <c r="L4772" s="455">
        <f t="shared" ca="1" si="174"/>
        <v>-174698308211735.38</v>
      </c>
      <c r="M4772" s="471">
        <f t="shared" si="176"/>
        <v>0.05</v>
      </c>
      <c r="N4772" s="475">
        <f t="shared" si="177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75"/>
        <v>-174698308211735.38</v>
      </c>
      <c r="J4773" s="455">
        <f t="array" ref="J4773">IFERROR(INDEX('Retirement Calculator'!K:K,MATCH('Lorri 401b'!N4773,'Retirement Calculator'!A:A,0),0),0)</f>
        <v>0</v>
      </c>
      <c r="K4773" s="455">
        <f t="shared" ca="1" si="173"/>
        <v>-727909617548.89734</v>
      </c>
      <c r="L4773" s="455">
        <f t="shared" ca="1" si="174"/>
        <v>-175426217829284.28</v>
      </c>
      <c r="M4773" s="471">
        <f t="shared" si="176"/>
        <v>0.05</v>
      </c>
      <c r="N4773" s="475">
        <f t="shared" si="177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75"/>
        <v>-175426217829284.28</v>
      </c>
      <c r="J4774" s="455">
        <f t="array" ref="J4774">IFERROR(INDEX('Retirement Calculator'!K:K,MATCH('Lorri 401b'!N4774,'Retirement Calculator'!A:A,0),0),0)</f>
        <v>0</v>
      </c>
      <c r="K4774" s="455">
        <f t="shared" ca="1" si="173"/>
        <v>-730942574288.68445</v>
      </c>
      <c r="L4774" s="455">
        <f t="shared" ca="1" si="174"/>
        <v>-176157160403572.97</v>
      </c>
      <c r="M4774" s="471">
        <f t="shared" si="176"/>
        <v>0.05</v>
      </c>
      <c r="N4774" s="475">
        <f t="shared" si="177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75"/>
        <v>-176157160403572.97</v>
      </c>
      <c r="J4775" s="455">
        <f t="array" ref="J4775">IFERROR(INDEX('Retirement Calculator'!K:K,MATCH('Lorri 401b'!N4775,'Retirement Calculator'!A:A,0),0),0)</f>
        <v>0</v>
      </c>
      <c r="K4775" s="455">
        <f t="shared" ca="1" si="173"/>
        <v>-733988168348.2207</v>
      </c>
      <c r="L4775" s="455">
        <f t="shared" ca="1" si="174"/>
        <v>-176891148571921.19</v>
      </c>
      <c r="M4775" s="471">
        <f t="shared" si="176"/>
        <v>0.05</v>
      </c>
      <c r="N4775" s="475">
        <f t="shared" si="177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75"/>
        <v>-176891148571921.19</v>
      </c>
      <c r="J4776" s="455">
        <f t="array" ref="J4776">IFERROR(INDEX('Retirement Calculator'!K:K,MATCH('Lorri 401b'!N4776,'Retirement Calculator'!A:A,0),0),0)</f>
        <v>0</v>
      </c>
      <c r="K4776" s="455">
        <f t="shared" ca="1" si="173"/>
        <v>-737046452383.00488</v>
      </c>
      <c r="L4776" s="455">
        <f t="shared" ca="1" si="174"/>
        <v>-177628195024304.19</v>
      </c>
      <c r="M4776" s="471">
        <f t="shared" si="176"/>
        <v>0.05</v>
      </c>
      <c r="N4776" s="475">
        <f t="shared" si="177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75"/>
        <v>-177628195024304.19</v>
      </c>
      <c r="J4777" s="455">
        <f t="array" ref="J4777">IFERROR(INDEX('Retirement Calculator'!K:K,MATCH('Lorri 401b'!N4777,'Retirement Calculator'!A:A,0),0),0)</f>
        <v>0</v>
      </c>
      <c r="K4777" s="455">
        <f t="shared" ca="1" si="173"/>
        <v>-740117479267.93408</v>
      </c>
      <c r="L4777" s="455">
        <f t="shared" ca="1" si="174"/>
        <v>-178368312503572.13</v>
      </c>
      <c r="M4777" s="471">
        <f t="shared" si="176"/>
        <v>0.05</v>
      </c>
      <c r="N4777" s="475">
        <f t="shared" si="177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75"/>
        <v>-178368312503572.13</v>
      </c>
      <c r="J4778" s="455">
        <f t="array" ref="J4778">IFERROR(INDEX('Retirement Calculator'!K:K,MATCH('Lorri 401b'!N4778,'Retirement Calculator'!A:A,0),0),0)</f>
        <v>0</v>
      </c>
      <c r="K4778" s="455">
        <f t="shared" ca="1" si="173"/>
        <v>-743201302098.21716</v>
      </c>
      <c r="L4778" s="455">
        <f t="shared" ca="1" si="174"/>
        <v>-179111513805670.34</v>
      </c>
      <c r="M4778" s="471">
        <f t="shared" si="176"/>
        <v>0.05</v>
      </c>
      <c r="N4778" s="475">
        <f t="shared" si="177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75"/>
        <v>-179111513805670.34</v>
      </c>
      <c r="J4779" s="455">
        <f t="array" ref="J4779">IFERROR(INDEX('Retirement Calculator'!K:K,MATCH('Lorri 401b'!N4779,'Retirement Calculator'!A:A,0),0),0)</f>
        <v>0</v>
      </c>
      <c r="K4779" s="455">
        <f t="shared" ca="1" si="173"/>
        <v>-746297974190.29309</v>
      </c>
      <c r="L4779" s="455">
        <f t="shared" ca="1" si="174"/>
        <v>-179857811779860.63</v>
      </c>
      <c r="M4779" s="471">
        <f t="shared" si="176"/>
        <v>0.05</v>
      </c>
      <c r="N4779" s="475">
        <f t="shared" si="177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75"/>
        <v>-179857811779860.63</v>
      </c>
      <c r="J4780" s="455">
        <f t="array" ref="J4780">IFERROR(INDEX('Retirement Calculator'!K:K,MATCH('Lorri 401b'!N4780,'Retirement Calculator'!A:A,0),0),0)</f>
        <v>0</v>
      </c>
      <c r="K4780" s="455">
        <f t="shared" ca="1" si="173"/>
        <v>-749407549082.75256</v>
      </c>
      <c r="L4780" s="455">
        <f t="shared" ca="1" si="174"/>
        <v>-180607219328943.38</v>
      </c>
      <c r="M4780" s="471">
        <f t="shared" si="176"/>
        <v>0.05</v>
      </c>
      <c r="N4780" s="475">
        <f t="shared" si="177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75"/>
        <v>-180607219328943.38</v>
      </c>
      <c r="J4781" s="455">
        <f t="array" ref="J4781">IFERROR(INDEX('Retirement Calculator'!K:K,MATCH('Lorri 401b'!N4781,'Retirement Calculator'!A:A,0),0),0)</f>
        <v>0</v>
      </c>
      <c r="K4781" s="455">
        <f t="shared" ca="1" si="173"/>
        <v>-752530080537.26404</v>
      </c>
      <c r="L4781" s="455">
        <f t="shared" ca="1" si="174"/>
        <v>-181359749409480.63</v>
      </c>
      <c r="M4781" s="471">
        <f t="shared" si="176"/>
        <v>0.05</v>
      </c>
      <c r="N4781" s="475">
        <f t="shared" si="177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75"/>
        <v>-181359749409480.63</v>
      </c>
      <c r="J4782" s="455">
        <f t="array" ref="J4782">IFERROR(INDEX('Retirement Calculator'!K:K,MATCH('Lorri 401b'!N4782,'Retirement Calculator'!A:A,0),0),0)</f>
        <v>0</v>
      </c>
      <c r="K4782" s="455">
        <f t="shared" ca="1" si="173"/>
        <v>-755665622539.50256</v>
      </c>
      <c r="L4782" s="455">
        <f t="shared" ca="1" si="174"/>
        <v>-182115415032020.13</v>
      </c>
      <c r="M4782" s="471">
        <f t="shared" si="176"/>
        <v>0.05</v>
      </c>
      <c r="N4782" s="475">
        <f t="shared" si="177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75"/>
        <v>-182115415032020.13</v>
      </c>
      <c r="J4783" s="455">
        <f t="array" ref="J4783">IFERROR(INDEX('Retirement Calculator'!K:K,MATCH('Lorri 401b'!N4783,'Retirement Calculator'!A:A,0),0),0)</f>
        <v>0</v>
      </c>
      <c r="K4783" s="455">
        <f t="shared" ca="1" si="173"/>
        <v>-758814229300.08386</v>
      </c>
      <c r="L4783" s="455">
        <f t="shared" ca="1" si="174"/>
        <v>-182874229261320.22</v>
      </c>
      <c r="M4783" s="471">
        <f t="shared" si="176"/>
        <v>0.05</v>
      </c>
      <c r="N4783" s="475">
        <f t="shared" si="177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75"/>
        <v>-182874229261320.22</v>
      </c>
      <c r="J4784" s="455">
        <f t="array" ref="J4784">IFERROR(INDEX('Retirement Calculator'!K:K,MATCH('Lorri 401b'!N4784,'Retirement Calculator'!A:A,0),0),0)</f>
        <v>0</v>
      </c>
      <c r="K4784" s="455">
        <f t="shared" ca="1" si="173"/>
        <v>-761975955255.50085</v>
      </c>
      <c r="L4784" s="455">
        <f t="shared" ca="1" si="174"/>
        <v>-183636205216575.72</v>
      </c>
      <c r="M4784" s="471">
        <f t="shared" si="176"/>
        <v>0.05</v>
      </c>
      <c r="N4784" s="475">
        <f t="shared" si="177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75"/>
        <v>-183636205216575.72</v>
      </c>
      <c r="J4785" s="455">
        <f t="array" ref="J4785">IFERROR(INDEX('Retirement Calculator'!K:K,MATCH('Lorri 401b'!N4785,'Retirement Calculator'!A:A,0),0),0)</f>
        <v>0</v>
      </c>
      <c r="K4785" s="455">
        <f t="shared" ca="1" si="173"/>
        <v>-765150855069.06543</v>
      </c>
      <c r="L4785" s="455">
        <f t="shared" ca="1" si="174"/>
        <v>-184401356071644.78</v>
      </c>
      <c r="M4785" s="471">
        <f t="shared" si="176"/>
        <v>0.05</v>
      </c>
      <c r="N4785" s="475">
        <f t="shared" si="177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75"/>
        <v>-184401356071644.78</v>
      </c>
      <c r="J4786" s="455">
        <f t="array" ref="J4786">IFERROR(INDEX('Retirement Calculator'!K:K,MATCH('Lorri 401b'!N4786,'Retirement Calculator'!A:A,0),0),0)</f>
        <v>0</v>
      </c>
      <c r="K4786" s="455">
        <f t="shared" ca="1" si="173"/>
        <v>-768338983631.85327</v>
      </c>
      <c r="L4786" s="455">
        <f t="shared" ca="1" si="174"/>
        <v>-185169695055276.63</v>
      </c>
      <c r="M4786" s="471">
        <f t="shared" si="176"/>
        <v>0.05</v>
      </c>
      <c r="N4786" s="475">
        <f t="shared" si="177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75"/>
        <v>-185169695055276.63</v>
      </c>
      <c r="J4787" s="455">
        <f t="array" ref="J4787">IFERROR(INDEX('Retirement Calculator'!K:K,MATCH('Lorri 401b'!N4787,'Retirement Calculator'!A:A,0),0),0)</f>
        <v>0</v>
      </c>
      <c r="K4787" s="455">
        <f t="shared" ca="1" si="173"/>
        <v>-771540396063.65259</v>
      </c>
      <c r="L4787" s="455">
        <f t="shared" ca="1" si="174"/>
        <v>-185941235451340.28</v>
      </c>
      <c r="M4787" s="471">
        <f t="shared" si="176"/>
        <v>0.05</v>
      </c>
      <c r="N4787" s="475">
        <f t="shared" si="177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75"/>
        <v>-185941235451340.28</v>
      </c>
      <c r="J4788" s="455">
        <f t="array" ref="J4788">IFERROR(INDEX('Retirement Calculator'!K:K,MATCH('Lorri 401b'!N4788,'Retirement Calculator'!A:A,0),0),0)</f>
        <v>0</v>
      </c>
      <c r="K4788" s="455">
        <f t="shared" ca="1" si="173"/>
        <v>-774755147713.91785</v>
      </c>
      <c r="L4788" s="455">
        <f t="shared" ca="1" si="174"/>
        <v>-186715990599054.19</v>
      </c>
      <c r="M4788" s="471">
        <f t="shared" si="176"/>
        <v>0.05</v>
      </c>
      <c r="N4788" s="475">
        <f t="shared" si="177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75"/>
        <v>-186715990599054.19</v>
      </c>
      <c r="J4789" s="455">
        <f t="array" ref="J4789">IFERROR(INDEX('Retirement Calculator'!K:K,MATCH('Lorri 401b'!N4789,'Retirement Calculator'!A:A,0),0),0)</f>
        <v>0</v>
      </c>
      <c r="K4789" s="455">
        <f t="shared" ca="1" si="173"/>
        <v>-777983294162.72583</v>
      </c>
      <c r="L4789" s="455">
        <f t="shared" ca="1" si="174"/>
        <v>-187493973893216.91</v>
      </c>
      <c r="M4789" s="471">
        <f t="shared" si="176"/>
        <v>0.05</v>
      </c>
      <c r="N4789" s="475">
        <f t="shared" si="177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75"/>
        <v>-187493973893216.91</v>
      </c>
      <c r="J4790" s="455">
        <f t="array" ref="J4790">IFERROR(INDEX('Retirement Calculator'!K:K,MATCH('Lorri 401b'!N4790,'Retirement Calculator'!A:A,0),0),0)</f>
        <v>0</v>
      </c>
      <c r="K4790" s="455">
        <f t="shared" ca="1" si="173"/>
        <v>-781224891221.73706</v>
      </c>
      <c r="L4790" s="455">
        <f t="shared" ca="1" si="174"/>
        <v>-188275198784438.66</v>
      </c>
      <c r="M4790" s="471">
        <f t="shared" si="176"/>
        <v>0.05</v>
      </c>
      <c r="N4790" s="475">
        <f t="shared" si="177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75"/>
        <v>-188275198784438.66</v>
      </c>
      <c r="J4791" s="455">
        <f t="array" ref="J4791">IFERROR(INDEX('Retirement Calculator'!K:K,MATCH('Lorri 401b'!N4791,'Retirement Calculator'!A:A,0),0),0)</f>
        <v>0</v>
      </c>
      <c r="K4791" s="455">
        <f t="shared" ca="1" si="173"/>
        <v>-784479994935.16101</v>
      </c>
      <c r="L4791" s="455">
        <f t="shared" ca="1" si="174"/>
        <v>-189059678779373.81</v>
      </c>
      <c r="M4791" s="471">
        <f t="shared" si="176"/>
        <v>0.05</v>
      </c>
      <c r="N4791" s="475">
        <f t="shared" si="177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75"/>
        <v>-189059678779373.81</v>
      </c>
      <c r="J4792" s="455">
        <f t="array" ref="J4792">IFERROR(INDEX('Retirement Calculator'!K:K,MATCH('Lorri 401b'!N4792,'Retirement Calculator'!A:A,0),0),0)</f>
        <v>0</v>
      </c>
      <c r="K4792" s="455">
        <f t="shared" ca="1" si="173"/>
        <v>-787748661580.72424</v>
      </c>
      <c r="L4792" s="455">
        <f t="shared" ca="1" si="174"/>
        <v>-189847427440954.53</v>
      </c>
      <c r="M4792" s="471">
        <f t="shared" si="176"/>
        <v>0.05</v>
      </c>
      <c r="N4792" s="475">
        <f t="shared" si="177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75"/>
        <v>-189847427440954.53</v>
      </c>
      <c r="J4793" s="455">
        <f t="array" ref="J4793">IFERROR(INDEX('Retirement Calculator'!K:K,MATCH('Lorri 401b'!N4793,'Retirement Calculator'!A:A,0),0),0)</f>
        <v>0</v>
      </c>
      <c r="K4793" s="455">
        <f t="shared" ca="1" si="173"/>
        <v>-791030947670.64392</v>
      </c>
      <c r="L4793" s="455">
        <f t="shared" ca="1" si="174"/>
        <v>-190638458388625.19</v>
      </c>
      <c r="M4793" s="471">
        <f t="shared" si="176"/>
        <v>0.05</v>
      </c>
      <c r="N4793" s="475">
        <f t="shared" si="177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75"/>
        <v>-190638458388625.19</v>
      </c>
      <c r="J4794" s="455">
        <f t="array" ref="J4794">IFERROR(INDEX('Retirement Calculator'!K:K,MATCH('Lorri 401b'!N4794,'Retirement Calculator'!A:A,0),0),0)</f>
        <v>0</v>
      </c>
      <c r="K4794" s="455">
        <f t="shared" ca="1" si="173"/>
        <v>-794326909952.60498</v>
      </c>
      <c r="L4794" s="455">
        <f t="shared" ca="1" si="174"/>
        <v>-191432785298577.78</v>
      </c>
      <c r="M4794" s="471">
        <f t="shared" si="176"/>
        <v>0.05</v>
      </c>
      <c r="N4794" s="475">
        <f t="shared" si="177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75"/>
        <v>-191432785298577.78</v>
      </c>
      <c r="J4795" s="455">
        <f t="array" ref="J4795">IFERROR(INDEX('Retirement Calculator'!K:K,MATCH('Lorri 401b'!N4795,'Retirement Calculator'!A:A,0),0),0)</f>
        <v>0</v>
      </c>
      <c r="K4795" s="455">
        <f t="shared" ca="1" si="173"/>
        <v>-797636605410.74072</v>
      </c>
      <c r="L4795" s="455">
        <f t="shared" ca="1" si="174"/>
        <v>-192230421903988.53</v>
      </c>
      <c r="M4795" s="471">
        <f t="shared" si="176"/>
        <v>0.05</v>
      </c>
      <c r="N4795" s="475">
        <f t="shared" si="177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75"/>
        <v>-192230421903988.53</v>
      </c>
      <c r="J4796" s="455">
        <f t="array" ref="J4796">IFERROR(INDEX('Retirement Calculator'!K:K,MATCH('Lorri 401b'!N4796,'Retirement Calculator'!A:A,0),0),0)</f>
        <v>0</v>
      </c>
      <c r="K4796" s="455">
        <f t="shared" ca="1" si="173"/>
        <v>-800960091266.6189</v>
      </c>
      <c r="L4796" s="455">
        <f t="shared" ca="1" si="174"/>
        <v>-193031381995255.16</v>
      </c>
      <c r="M4796" s="471">
        <f t="shared" si="176"/>
        <v>0.05</v>
      </c>
      <c r="N4796" s="475">
        <f t="shared" si="177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75"/>
        <v>-193031381995255.16</v>
      </c>
      <c r="J4797" s="455">
        <f t="array" ref="J4797">IFERROR(INDEX('Retirement Calculator'!K:K,MATCH('Lorri 401b'!N4797,'Retirement Calculator'!A:A,0),0),0)</f>
        <v>0</v>
      </c>
      <c r="K4797" s="455">
        <f t="shared" ca="1" si="173"/>
        <v>-804297424980.22986</v>
      </c>
      <c r="L4797" s="455">
        <f t="shared" ca="1" si="174"/>
        <v>-193835679420235.38</v>
      </c>
      <c r="M4797" s="471">
        <f t="shared" si="176"/>
        <v>0.05</v>
      </c>
      <c r="N4797" s="475">
        <f t="shared" si="177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75"/>
        <v>-193835679420235.38</v>
      </c>
      <c r="J4798" s="455">
        <f t="array" ref="J4798">IFERROR(INDEX('Retirement Calculator'!K:K,MATCH('Lorri 401b'!N4798,'Retirement Calculator'!A:A,0),0),0)</f>
        <v>0</v>
      </c>
      <c r="K4798" s="455">
        <f t="shared" ca="1" si="173"/>
        <v>-807648664250.98071</v>
      </c>
      <c r="L4798" s="455">
        <f t="shared" ca="1" si="174"/>
        <v>-194643328084486.34</v>
      </c>
      <c r="M4798" s="471">
        <f t="shared" si="176"/>
        <v>0.05</v>
      </c>
      <c r="N4798" s="475">
        <f t="shared" si="177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75"/>
        <v>-194643328084486.34</v>
      </c>
      <c r="J4799" s="455">
        <f t="array" ref="J4799">IFERROR(INDEX('Retirement Calculator'!K:K,MATCH('Lorri 401b'!N4799,'Retirement Calculator'!A:A,0),0),0)</f>
        <v>0</v>
      </c>
      <c r="K4799" s="455">
        <f t="shared" ca="1" si="173"/>
        <v>-811013867018.69312</v>
      </c>
      <c r="L4799" s="455">
        <f t="shared" ca="1" si="174"/>
        <v>-195454341951505.03</v>
      </c>
      <c r="M4799" s="471">
        <f t="shared" si="176"/>
        <v>0.05</v>
      </c>
      <c r="N4799" s="475">
        <f t="shared" si="177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75"/>
        <v>-195454341951505.03</v>
      </c>
      <c r="J4800" s="455">
        <f t="array" ref="J4800">IFERROR(INDEX('Retirement Calculator'!K:K,MATCH('Lorri 401b'!N4800,'Retirement Calculator'!A:A,0),0),0)</f>
        <v>0</v>
      </c>
      <c r="K4800" s="455">
        <f t="shared" ca="1" si="173"/>
        <v>-814393091464.60425</v>
      </c>
      <c r="L4800" s="455">
        <f t="shared" ca="1" si="174"/>
        <v>-196268735042969.63</v>
      </c>
      <c r="M4800" s="471">
        <f t="shared" si="176"/>
        <v>0.05</v>
      </c>
      <c r="N4800" s="475">
        <f t="shared" si="177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75"/>
        <v>-196268735042969.63</v>
      </c>
      <c r="J4801" s="455">
        <f t="array" ref="J4801">IFERROR(INDEX('Retirement Calculator'!K:K,MATCH('Lorri 401b'!N4801,'Retirement Calculator'!A:A,0),0),0)</f>
        <v>0</v>
      </c>
      <c r="K4801" s="455">
        <f t="shared" ca="1" si="173"/>
        <v>-817786396012.37341</v>
      </c>
      <c r="L4801" s="455">
        <f t="shared" ca="1" si="174"/>
        <v>-197086521438982</v>
      </c>
      <c r="M4801" s="471">
        <f t="shared" si="176"/>
        <v>0.05</v>
      </c>
      <c r="N4801" s="475">
        <f t="shared" si="177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75"/>
        <v>-197086521438982</v>
      </c>
      <c r="J4802" s="455">
        <f t="array" ref="J4802">IFERROR(INDEX('Retirement Calculator'!K:K,MATCH('Lorri 401b'!N4802,'Retirement Calculator'!A:A,0),0),0)</f>
        <v>0</v>
      </c>
      <c r="K4802" s="455">
        <f t="shared" ca="1" si="173"/>
        <v>-821193839329.09167</v>
      </c>
      <c r="L4802" s="455">
        <f t="shared" ca="1" si="174"/>
        <v>-197907715278311.09</v>
      </c>
      <c r="M4802" s="471">
        <f t="shared" si="176"/>
        <v>0.05</v>
      </c>
      <c r="N4802" s="475">
        <f t="shared" si="177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75"/>
        <v>-197907715278311.09</v>
      </c>
      <c r="J4803" s="455">
        <f t="array" ref="J4803">IFERROR(INDEX('Retirement Calculator'!K:K,MATCH('Lorri 401b'!N4803,'Retirement Calculator'!A:A,0),0),0)</f>
        <v>0</v>
      </c>
      <c r="K4803" s="455">
        <f t="shared" ca="1" si="173"/>
        <v>-824615480326.29626</v>
      </c>
      <c r="L4803" s="455">
        <f t="shared" ca="1" si="174"/>
        <v>-198732330758637.38</v>
      </c>
      <c r="M4803" s="471">
        <f t="shared" si="176"/>
        <v>0.05</v>
      </c>
      <c r="N4803" s="475">
        <f t="shared" si="177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75"/>
        <v>-198732330758637.38</v>
      </c>
      <c r="J4804" s="455">
        <f t="array" ref="J4804">IFERROR(INDEX('Retirement Calculator'!K:K,MATCH('Lorri 401b'!N4804,'Retirement Calculator'!A:A,0),0),0)</f>
        <v>0</v>
      </c>
      <c r="K4804" s="455">
        <f t="shared" ca="1" si="173"/>
        <v>-828051378160.98901</v>
      </c>
      <c r="L4804" s="455">
        <f t="shared" ca="1" si="174"/>
        <v>-199560382136798.38</v>
      </c>
      <c r="M4804" s="471">
        <f t="shared" si="176"/>
        <v>0.05</v>
      </c>
      <c r="N4804" s="475">
        <f t="shared" si="177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75"/>
        <v>-199560382136798.38</v>
      </c>
      <c r="J4805" s="455">
        <f t="array" ref="J4805">IFERROR(INDEX('Retirement Calculator'!K:K,MATCH('Lorri 401b'!N4805,'Retirement Calculator'!A:A,0),0),0)</f>
        <v>0</v>
      </c>
      <c r="K4805" s="455">
        <f t="shared" ca="1" si="173"/>
        <v>-831501592236.65991</v>
      </c>
      <c r="L4805" s="455">
        <f t="shared" ca="1" si="174"/>
        <v>-200391883729035.03</v>
      </c>
      <c r="M4805" s="471">
        <f t="shared" si="176"/>
        <v>0.05</v>
      </c>
      <c r="N4805" s="475">
        <f t="shared" si="177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75"/>
        <v>-200391883729035.03</v>
      </c>
      <c r="J4806" s="455">
        <f t="array" ref="J4806">IFERROR(INDEX('Retirement Calculator'!K:K,MATCH('Lorri 401b'!N4806,'Retirement Calculator'!A:A,0),0),0)</f>
        <v>0</v>
      </c>
      <c r="K4806" s="455">
        <f t="shared" ca="1" si="173"/>
        <v>-834966182204.31262</v>
      </c>
      <c r="L4806" s="455">
        <f t="shared" ca="1" si="174"/>
        <v>-201226849911239.34</v>
      </c>
      <c r="M4806" s="471">
        <f t="shared" si="176"/>
        <v>0.05</v>
      </c>
      <c r="N4806" s="475">
        <f t="shared" si="177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75"/>
        <v>-201226849911239.34</v>
      </c>
      <c r="J4807" s="455">
        <f t="array" ref="J4807">IFERROR(INDEX('Retirement Calculator'!K:K,MATCH('Lorri 401b'!N4807,'Retirement Calculator'!A:A,0),0),0)</f>
        <v>0</v>
      </c>
      <c r="K4807" s="455">
        <f t="shared" ca="1" si="173"/>
        <v>-838445207963.49731</v>
      </c>
      <c r="L4807" s="455">
        <f t="shared" ca="1" si="174"/>
        <v>-202065295119202.84</v>
      </c>
      <c r="M4807" s="471">
        <f t="shared" si="176"/>
        <v>0.05</v>
      </c>
      <c r="N4807" s="475">
        <f t="shared" si="177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75"/>
        <v>-202065295119202.84</v>
      </c>
      <c r="J4808" s="455">
        <f t="array" ref="J4808">IFERROR(INDEX('Retirement Calculator'!K:K,MATCH('Lorri 401b'!N4808,'Retirement Calculator'!A:A,0),0),0)</f>
        <v>0</v>
      </c>
      <c r="K4808" s="455">
        <f t="shared" ca="1" si="173"/>
        <v>-841938729663.34521</v>
      </c>
      <c r="L4808" s="455">
        <f t="shared" ca="1" si="174"/>
        <v>-202907233848866.19</v>
      </c>
      <c r="M4808" s="471">
        <f t="shared" si="176"/>
        <v>0.05</v>
      </c>
      <c r="N4808" s="475">
        <f t="shared" si="177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75"/>
        <v>-202907233848866.19</v>
      </c>
      <c r="J4809" s="455">
        <f t="array" ref="J4809">IFERROR(INDEX('Retirement Calculator'!K:K,MATCH('Lorri 401b'!N4809,'Retirement Calculator'!A:A,0),0),0)</f>
        <v>0</v>
      </c>
      <c r="K4809" s="455">
        <f t="shared" ca="1" si="173"/>
        <v>-845446807703.60913</v>
      </c>
      <c r="L4809" s="455">
        <f t="shared" ca="1" si="174"/>
        <v>-203752680656569.78</v>
      </c>
      <c r="M4809" s="471">
        <f t="shared" si="176"/>
        <v>0.05</v>
      </c>
      <c r="N4809" s="475">
        <f t="shared" si="177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75"/>
        <v>-203752680656569.78</v>
      </c>
      <c r="J4810" s="455">
        <f t="array" ref="J4810">IFERROR(INDEX('Retirement Calculator'!K:K,MATCH('Lorri 401b'!N4810,'Retirement Calculator'!A:A,0),0),0)</f>
        <v>0</v>
      </c>
      <c r="K4810" s="455">
        <f t="shared" ca="1" si="173"/>
        <v>-848969502735.7074</v>
      </c>
      <c r="L4810" s="455">
        <f t="shared" ca="1" si="174"/>
        <v>-204601650159305.5</v>
      </c>
      <c r="M4810" s="471">
        <f t="shared" si="176"/>
        <v>0.05</v>
      </c>
      <c r="N4810" s="475">
        <f t="shared" si="177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75"/>
        <v>-204601650159305.5</v>
      </c>
      <c r="J4811" s="455">
        <f t="array" ref="J4811">IFERROR(INDEX('Retirement Calculator'!K:K,MATCH('Lorri 401b'!N4811,'Retirement Calculator'!A:A,0),0),0)</f>
        <v>0</v>
      </c>
      <c r="K4811" s="455">
        <f t="shared" ca="1" si="173"/>
        <v>-852506875663.77295</v>
      </c>
      <c r="L4811" s="455">
        <f t="shared" ca="1" si="174"/>
        <v>-205454157034969.28</v>
      </c>
      <c r="M4811" s="471">
        <f t="shared" si="176"/>
        <v>0.05</v>
      </c>
      <c r="N4811" s="475">
        <f t="shared" si="177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75"/>
        <v>-205454157034969.28</v>
      </c>
      <c r="J4812" s="455">
        <f t="array" ref="J4812">IFERROR(INDEX('Retirement Calculator'!K:K,MATCH('Lorri 401b'!N4812,'Retirement Calculator'!A:A,0),0),0)</f>
        <v>0</v>
      </c>
      <c r="K4812" s="455">
        <f t="shared" ca="1" si="173"/>
        <v>-856058987645.70532</v>
      </c>
      <c r="L4812" s="455">
        <f t="shared" ca="1" si="174"/>
        <v>-206310216022615</v>
      </c>
      <c r="M4812" s="471">
        <f t="shared" si="176"/>
        <v>0.05</v>
      </c>
      <c r="N4812" s="475">
        <f t="shared" si="177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75"/>
        <v>-206310216022615</v>
      </c>
      <c r="J4813" s="455">
        <f t="array" ref="J4813">IFERROR(INDEX('Retirement Calculator'!K:K,MATCH('Lorri 401b'!N4813,'Retirement Calculator'!A:A,0),0),0)</f>
        <v>0</v>
      </c>
      <c r="K4813" s="455">
        <f t="shared" ca="1" si="173"/>
        <v>-859625900094.22913</v>
      </c>
      <c r="L4813" s="455">
        <f t="shared" ca="1" si="174"/>
        <v>-207169841922709.22</v>
      </c>
      <c r="M4813" s="471">
        <f t="shared" si="176"/>
        <v>0.05</v>
      </c>
      <c r="N4813" s="475">
        <f t="shared" si="177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75"/>
        <v>-207169841922709.22</v>
      </c>
      <c r="J4814" s="455">
        <f t="array" ref="J4814">IFERROR(INDEX('Retirement Calculator'!K:K,MATCH('Lorri 401b'!N4814,'Retirement Calculator'!A:A,0),0),0)</f>
        <v>0</v>
      </c>
      <c r="K4814" s="455">
        <f t="shared" ca="1" si="173"/>
        <v>-863207674677.95508</v>
      </c>
      <c r="L4814" s="455">
        <f t="shared" ca="1" si="174"/>
        <v>-208033049597387.19</v>
      </c>
      <c r="M4814" s="471">
        <f t="shared" si="176"/>
        <v>0.05</v>
      </c>
      <c r="N4814" s="475">
        <f t="shared" si="177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75"/>
        <v>-208033049597387.19</v>
      </c>
      <c r="J4815" s="455">
        <f t="array" ref="J4815">IFERROR(INDEX('Retirement Calculator'!K:K,MATCH('Lorri 401b'!N4815,'Retirement Calculator'!A:A,0),0),0)</f>
        <v>0</v>
      </c>
      <c r="K4815" s="455">
        <f t="shared" ca="1" si="173"/>
        <v>-866804373322.44666</v>
      </c>
      <c r="L4815" s="455">
        <f t="shared" ca="1" si="174"/>
        <v>-208899853970709.63</v>
      </c>
      <c r="M4815" s="471">
        <f t="shared" si="176"/>
        <v>0.05</v>
      </c>
      <c r="N4815" s="475">
        <f t="shared" si="177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75"/>
        <v>-208899853970709.63</v>
      </c>
      <c r="J4816" s="455">
        <f t="array" ref="J4816">IFERROR(INDEX('Retirement Calculator'!K:K,MATCH('Lorri 401b'!N4816,'Retirement Calculator'!A:A,0),0),0)</f>
        <v>0</v>
      </c>
      <c r="K4816" s="455">
        <f t="shared" ca="1" si="173"/>
        <v>-870416058211.29004</v>
      </c>
      <c r="L4816" s="455">
        <f t="shared" ca="1" si="174"/>
        <v>-209770270028920.91</v>
      </c>
      <c r="M4816" s="471">
        <f t="shared" si="176"/>
        <v>0.05</v>
      </c>
      <c r="N4816" s="475">
        <f t="shared" si="177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75"/>
        <v>-209770270028920.91</v>
      </c>
      <c r="J4817" s="455">
        <f t="array" ref="J4817">IFERROR(INDEX('Retirement Calculator'!K:K,MATCH('Lorri 401b'!N4817,'Retirement Calculator'!A:A,0),0),0)</f>
        <v>0</v>
      </c>
      <c r="K4817" s="455">
        <f t="shared" ca="1" si="173"/>
        <v>-874042791787.17041</v>
      </c>
      <c r="L4817" s="455">
        <f t="shared" ca="1" si="174"/>
        <v>-210644312820708.06</v>
      </c>
      <c r="M4817" s="471">
        <f t="shared" si="176"/>
        <v>0.05</v>
      </c>
      <c r="N4817" s="475">
        <f t="shared" si="177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75"/>
        <v>-210644312820708.06</v>
      </c>
      <c r="J4818" s="455">
        <f t="array" ref="J4818">IFERROR(INDEX('Retirement Calculator'!K:K,MATCH('Lorri 401b'!N4818,'Retirement Calculator'!A:A,0),0),0)</f>
        <v>0</v>
      </c>
      <c r="K4818" s="455">
        <f t="shared" ca="1" si="173"/>
        <v>-877684636752.9502</v>
      </c>
      <c r="L4818" s="455">
        <f t="shared" ca="1" si="174"/>
        <v>-211521997457461</v>
      </c>
      <c r="M4818" s="471">
        <f t="shared" si="176"/>
        <v>0.05</v>
      </c>
      <c r="N4818" s="475">
        <f t="shared" si="177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75"/>
        <v>-211521997457461</v>
      </c>
      <c r="J4819" s="455">
        <f t="array" ref="J4819">IFERROR(INDEX('Retirement Calculator'!K:K,MATCH('Lorri 401b'!N4819,'Retirement Calculator'!A:A,0),0),0)</f>
        <v>0</v>
      </c>
      <c r="K4819" s="455">
        <f t="shared" ca="1" si="173"/>
        <v>-881341656072.75415</v>
      </c>
      <c r="L4819" s="455">
        <f t="shared" ca="1" si="174"/>
        <v>-212403339113533.75</v>
      </c>
      <c r="M4819" s="471">
        <f t="shared" si="176"/>
        <v>0.05</v>
      </c>
      <c r="N4819" s="475">
        <f t="shared" si="177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75"/>
        <v>-212403339113533.75</v>
      </c>
      <c r="J4820" s="455">
        <f t="array" ref="J4820">IFERROR(INDEX('Retirement Calculator'!K:K,MATCH('Lorri 401b'!N4820,'Retirement Calculator'!A:A,0),0),0)</f>
        <v>0</v>
      </c>
      <c r="K4820" s="455">
        <f t="shared" ca="1" si="173"/>
        <v>-885013912973.05725</v>
      </c>
      <c r="L4820" s="455">
        <f t="shared" ca="1" si="174"/>
        <v>-213288353026506.81</v>
      </c>
      <c r="M4820" s="471">
        <f t="shared" si="176"/>
        <v>0.05</v>
      </c>
      <c r="N4820" s="475">
        <f t="shared" si="177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75"/>
        <v>-213288353026506.81</v>
      </c>
      <c r="J4821" s="455">
        <f t="array" ref="J4821">IFERROR(INDEX('Retirement Calculator'!K:K,MATCH('Lorri 401b'!N4821,'Retirement Calculator'!A:A,0),0),0)</f>
        <v>0</v>
      </c>
      <c r="K4821" s="455">
        <f t="shared" ca="1" si="173"/>
        <v>-888701470943.77832</v>
      </c>
      <c r="L4821" s="455">
        <f t="shared" ca="1" si="174"/>
        <v>-214177054497450.59</v>
      </c>
      <c r="M4821" s="471">
        <f t="shared" si="176"/>
        <v>0.05</v>
      </c>
      <c r="N4821" s="475">
        <f t="shared" si="177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75"/>
        <v>-214177054497450.59</v>
      </c>
      <c r="J4822" s="455">
        <f t="array" ref="J4822">IFERROR(INDEX('Retirement Calculator'!K:K,MATCH('Lorri 401b'!N4822,'Retirement Calculator'!A:A,0),0),0)</f>
        <v>0</v>
      </c>
      <c r="K4822" s="455">
        <f t="shared" ca="1" si="173"/>
        <v>-892404393739.37744</v>
      </c>
      <c r="L4822" s="455">
        <f t="shared" ca="1" si="174"/>
        <v>-215069458891189.97</v>
      </c>
      <c r="M4822" s="471">
        <f t="shared" si="176"/>
        <v>0.05</v>
      </c>
      <c r="N4822" s="475">
        <f t="shared" si="177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75"/>
        <v>-215069458891189.97</v>
      </c>
      <c r="J4823" s="455">
        <f t="array" ref="J4823">IFERROR(INDEX('Retirement Calculator'!K:K,MATCH('Lorri 401b'!N4823,'Retirement Calculator'!A:A,0),0),0)</f>
        <v>0</v>
      </c>
      <c r="K4823" s="455">
        <f t="shared" ca="1" si="173"/>
        <v>-896122745379.95813</v>
      </c>
      <c r="L4823" s="455">
        <f t="shared" ca="1" si="174"/>
        <v>-215965581636569.94</v>
      </c>
      <c r="M4823" s="471">
        <f t="shared" si="176"/>
        <v>0.05</v>
      </c>
      <c r="N4823" s="475">
        <f t="shared" si="177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75"/>
        <v>-215965581636569.94</v>
      </c>
      <c r="J4824" s="455">
        <f t="array" ref="J4824">IFERROR(INDEX('Retirement Calculator'!K:K,MATCH('Lorri 401b'!N4824,'Retirement Calculator'!A:A,0),0),0)</f>
        <v>0</v>
      </c>
      <c r="K4824" s="455">
        <f t="shared" ca="1" si="173"/>
        <v>-899856590152.37476</v>
      </c>
      <c r="L4824" s="455">
        <f t="shared" ca="1" si="174"/>
        <v>-216865438226722.31</v>
      </c>
      <c r="M4824" s="471">
        <f t="shared" si="176"/>
        <v>0.05</v>
      </c>
      <c r="N4824" s="475">
        <f t="shared" si="177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75"/>
        <v>-216865438226722.31</v>
      </c>
      <c r="J4825" s="455">
        <f t="array" ref="J4825">IFERROR(INDEX('Retirement Calculator'!K:K,MATCH('Lorri 401b'!N4825,'Retirement Calculator'!A:A,0),0),0)</f>
        <v>0</v>
      </c>
      <c r="K4825" s="455">
        <f t="shared" ca="1" si="173"/>
        <v>-903605992611.3429</v>
      </c>
      <c r="L4825" s="455">
        <f t="shared" ca="1" si="174"/>
        <v>-217769044219333.66</v>
      </c>
      <c r="M4825" s="471">
        <f t="shared" si="176"/>
        <v>0.05</v>
      </c>
      <c r="N4825" s="475">
        <f t="shared" si="177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75"/>
        <v>-217769044219333.66</v>
      </c>
      <c r="J4826" s="455">
        <f t="array" ref="J4826">IFERROR(INDEX('Retirement Calculator'!K:K,MATCH('Lorri 401b'!N4826,'Retirement Calculator'!A:A,0),0),0)</f>
        <v>0</v>
      </c>
      <c r="K4826" s="455">
        <f t="shared" ca="1" si="173"/>
        <v>-907371017580.55688</v>
      </c>
      <c r="L4826" s="455">
        <f t="shared" ca="1" si="174"/>
        <v>-218676415236914.22</v>
      </c>
      <c r="M4826" s="471">
        <f t="shared" si="176"/>
        <v>0.05</v>
      </c>
      <c r="N4826" s="475">
        <f t="shared" si="177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75"/>
        <v>-218676415236914.22</v>
      </c>
      <c r="J4827" s="455">
        <f t="array" ref="J4827">IFERROR(INDEX('Retirement Calculator'!K:K,MATCH('Lorri 401b'!N4827,'Retirement Calculator'!A:A,0),0),0)</f>
        <v>0</v>
      </c>
      <c r="K4827" s="455">
        <f t="shared" ca="1" si="173"/>
        <v>-911151730153.8092</v>
      </c>
      <c r="L4827" s="455">
        <f t="shared" ca="1" si="174"/>
        <v>-219587566967068.03</v>
      </c>
      <c r="M4827" s="471">
        <f t="shared" si="176"/>
        <v>0.05</v>
      </c>
      <c r="N4827" s="475">
        <f t="shared" si="177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75"/>
        <v>-219587566967068.03</v>
      </c>
      <c r="J4828" s="455">
        <f t="array" ref="J4828">IFERROR(INDEX('Retirement Calculator'!K:K,MATCH('Lorri 401b'!N4828,'Retirement Calculator'!A:A,0),0),0)</f>
        <v>0</v>
      </c>
      <c r="K4828" s="455">
        <f t="shared" ca="1" si="173"/>
        <v>-914948195696.11682</v>
      </c>
      <c r="L4828" s="455">
        <f t="shared" ca="1" si="174"/>
        <v>-220502515162764.16</v>
      </c>
      <c r="M4828" s="471">
        <f t="shared" si="176"/>
        <v>0.05</v>
      </c>
      <c r="N4828" s="475">
        <f t="shared" si="177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75"/>
        <v>-220502515162764.16</v>
      </c>
      <c r="J4829" s="455">
        <f t="array" ref="J4829">IFERROR(INDEX('Retirement Calculator'!K:K,MATCH('Lorri 401b'!N4829,'Retirement Calculator'!A:A,0),0),0)</f>
        <v>0</v>
      </c>
      <c r="K4829" s="455">
        <f t="shared" ca="1" si="173"/>
        <v>-918760479844.85059</v>
      </c>
      <c r="L4829" s="455">
        <f t="shared" ca="1" si="174"/>
        <v>-221421275642609</v>
      </c>
      <c r="M4829" s="471">
        <f t="shared" si="176"/>
        <v>0.05</v>
      </c>
      <c r="N4829" s="475">
        <f t="shared" si="177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75"/>
        <v>-221421275642609</v>
      </c>
      <c r="J4830" s="455">
        <f t="array" ref="J4830">IFERROR(INDEX('Retirement Calculator'!K:K,MATCH('Lorri 401b'!N4830,'Retirement Calculator'!A:A,0),0),0)</f>
        <v>0</v>
      </c>
      <c r="K4830" s="455">
        <f t="shared" ca="1" si="173"/>
        <v>-922588648510.87073</v>
      </c>
      <c r="L4830" s="455">
        <f t="shared" ca="1" si="174"/>
        <v>-222343864291119.88</v>
      </c>
      <c r="M4830" s="471">
        <f t="shared" si="176"/>
        <v>0.05</v>
      </c>
      <c r="N4830" s="475">
        <f t="shared" si="177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75"/>
        <v>-222343864291119.88</v>
      </c>
      <c r="J4831" s="455">
        <f t="array" ref="J4831">IFERROR(INDEX('Retirement Calculator'!K:K,MATCH('Lorri 401b'!N4831,'Retirement Calculator'!A:A,0),0),0)</f>
        <v>0</v>
      </c>
      <c r="K4831" s="455">
        <f t="shared" ca="1" si="173"/>
        <v>-926432767879.66602</v>
      </c>
      <c r="L4831" s="455">
        <f t="shared" ca="1" si="174"/>
        <v>-223270297058999.53</v>
      </c>
      <c r="M4831" s="471">
        <f t="shared" si="176"/>
        <v>0.05</v>
      </c>
      <c r="N4831" s="475">
        <f t="shared" si="177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75"/>
        <v>-223270297058999.53</v>
      </c>
      <c r="J4832" s="455">
        <f t="array" ref="J4832">IFERROR(INDEX('Retirement Calculator'!K:K,MATCH('Lorri 401b'!N4832,'Retirement Calculator'!A:A,0),0),0)</f>
        <v>0</v>
      </c>
      <c r="K4832" s="455">
        <f t="shared" ca="1" si="173"/>
        <v>-930292904412.49817</v>
      </c>
      <c r="L4832" s="455">
        <f t="shared" ca="1" si="174"/>
        <v>-224200589963412.03</v>
      </c>
      <c r="M4832" s="471">
        <f t="shared" si="176"/>
        <v>0.05</v>
      </c>
      <c r="N4832" s="475">
        <f t="shared" si="177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75"/>
        <v>-224200589963412.03</v>
      </c>
      <c r="J4833" s="455">
        <f t="array" ref="J4833">IFERROR(INDEX('Retirement Calculator'!K:K,MATCH('Lorri 401b'!N4833,'Retirement Calculator'!A:A,0),0),0)</f>
        <v>0</v>
      </c>
      <c r="K4833" s="455">
        <f t="shared" ca="1" si="173"/>
        <v>-934169124847.55029</v>
      </c>
      <c r="L4833" s="455">
        <f t="shared" ca="1" si="174"/>
        <v>-225134759088259.59</v>
      </c>
      <c r="M4833" s="471">
        <f t="shared" si="176"/>
        <v>0.05</v>
      </c>
      <c r="N4833" s="475">
        <f t="shared" si="177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75"/>
        <v>-225134759088259.59</v>
      </c>
      <c r="J4834" s="455">
        <f t="array" ref="J4834">IFERROR(INDEX('Retirement Calculator'!K:K,MATCH('Lorri 401b'!N4834,'Retirement Calculator'!A:A,0),0),0)</f>
        <v>0</v>
      </c>
      <c r="K4834" s="455">
        <f t="shared" ca="1" si="173"/>
        <v>-938061496201.08167</v>
      </c>
      <c r="L4834" s="455">
        <f t="shared" ca="1" si="174"/>
        <v>-226072820584460.69</v>
      </c>
      <c r="M4834" s="471">
        <f t="shared" si="176"/>
        <v>0.05</v>
      </c>
      <c r="N4834" s="475">
        <f t="shared" si="177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75"/>
        <v>-226072820584460.69</v>
      </c>
      <c r="J4835" s="455">
        <f t="array" ref="J4835">IFERROR(INDEX('Retirement Calculator'!K:K,MATCH('Lorri 401b'!N4835,'Retirement Calculator'!A:A,0),0),0)</f>
        <v>0</v>
      </c>
      <c r="K4835" s="455">
        <f t="shared" ca="1" si="173"/>
        <v>-941970085768.5863</v>
      </c>
      <c r="L4835" s="455">
        <f t="shared" ca="1" si="174"/>
        <v>-227014790670229.28</v>
      </c>
      <c r="M4835" s="471">
        <f t="shared" si="176"/>
        <v>0.05</v>
      </c>
      <c r="N4835" s="475">
        <f t="shared" si="177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75"/>
        <v>-227014790670229.28</v>
      </c>
      <c r="J4836" s="455">
        <f t="array" ref="J4836">IFERROR(INDEX('Retirement Calculator'!K:K,MATCH('Lorri 401b'!N4836,'Retirement Calculator'!A:A,0),0),0)</f>
        <v>0</v>
      </c>
      <c r="K4836" s="455">
        <f t="shared" ca="1" si="173"/>
        <v>-945894961125.9552</v>
      </c>
      <c r="L4836" s="455">
        <f t="shared" ca="1" si="174"/>
        <v>-227960685631355.25</v>
      </c>
      <c r="M4836" s="471">
        <f t="shared" si="176"/>
        <v>0.05</v>
      </c>
      <c r="N4836" s="475">
        <f t="shared" si="177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75"/>
        <v>-227960685631355.25</v>
      </c>
      <c r="J4837" s="455">
        <f t="array" ref="J4837">IFERROR(INDEX('Retirement Calculator'!K:K,MATCH('Lorri 401b'!N4837,'Retirement Calculator'!A:A,0),0),0)</f>
        <v>0</v>
      </c>
      <c r="K4837" s="455">
        <f t="shared" ca="1" si="173"/>
        <v>-949836190130.64685</v>
      </c>
      <c r="L4837" s="455">
        <f t="shared" ca="1" si="174"/>
        <v>-228910521821485.91</v>
      </c>
      <c r="M4837" s="471">
        <f t="shared" si="176"/>
        <v>0.05</v>
      </c>
      <c r="N4837" s="475">
        <f t="shared" si="177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75"/>
        <v>-228910521821485.91</v>
      </c>
      <c r="J4838" s="455">
        <f t="array" ref="J4838">IFERROR(INDEX('Retirement Calculator'!K:K,MATCH('Lorri 401b'!N4838,'Retirement Calculator'!A:A,0),0),0)</f>
        <v>0</v>
      </c>
      <c r="K4838" s="455">
        <f t="shared" ca="1" si="173"/>
        <v>-953793840922.85791</v>
      </c>
      <c r="L4838" s="455">
        <f t="shared" ca="1" si="174"/>
        <v>-229864315662408.75</v>
      </c>
      <c r="M4838" s="471">
        <f t="shared" si="176"/>
        <v>0.05</v>
      </c>
      <c r="N4838" s="475">
        <f t="shared" si="177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75"/>
        <v>-229864315662408.75</v>
      </c>
      <c r="J4839" s="455">
        <f t="array" ref="J4839">IFERROR(INDEX('Retirement Calculator'!K:K,MATCH('Lorri 401b'!N4839,'Retirement Calculator'!A:A,0),0),0)</f>
        <v>0</v>
      </c>
      <c r="K4839" s="455">
        <f t="shared" ca="1" si="173"/>
        <v>-957767981926.70313</v>
      </c>
      <c r="L4839" s="455">
        <f t="shared" ca="1" si="174"/>
        <v>-230822083644335.44</v>
      </c>
      <c r="M4839" s="471">
        <f t="shared" si="176"/>
        <v>0.05</v>
      </c>
      <c r="N4839" s="475">
        <f t="shared" si="177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75"/>
        <v>-230822083644335.44</v>
      </c>
      <c r="J4840" s="455">
        <f t="array" ref="J4840">IFERROR(INDEX('Retirement Calculator'!K:K,MATCH('Lorri 401b'!N4840,'Retirement Calculator'!A:A,0),0),0)</f>
        <v>0</v>
      </c>
      <c r="K4840" s="455">
        <f t="shared" ca="1" si="173"/>
        <v>-961758681851.39758</v>
      </c>
      <c r="L4840" s="455">
        <f t="shared" ca="1" si="174"/>
        <v>-231783842326186.84</v>
      </c>
      <c r="M4840" s="471">
        <f t="shared" si="176"/>
        <v>0.05</v>
      </c>
      <c r="N4840" s="475">
        <f t="shared" si="177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75"/>
        <v>-231783842326186.84</v>
      </c>
      <c r="J4841" s="455">
        <f t="array" ref="J4841">IFERROR(INDEX('Retirement Calculator'!K:K,MATCH('Lorri 401b'!N4841,'Retirement Calculator'!A:A,0),0),0)</f>
        <v>0</v>
      </c>
      <c r="K4841" s="455">
        <f t="shared" ca="1" si="173"/>
        <v>-965766009692.44507</v>
      </c>
      <c r="L4841" s="455">
        <f t="shared" ca="1" si="174"/>
        <v>-232749608335879.28</v>
      </c>
      <c r="M4841" s="471">
        <f t="shared" si="176"/>
        <v>0.05</v>
      </c>
      <c r="N4841" s="475">
        <f t="shared" si="177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75"/>
        <v>-232749608335879.28</v>
      </c>
      <c r="J4842" s="455">
        <f t="array" ref="J4842">IFERROR(INDEX('Retirement Calculator'!K:K,MATCH('Lorri 401b'!N4842,'Retirement Calculator'!A:A,0),0),0)</f>
        <v>0</v>
      </c>
      <c r="K4842" s="455">
        <f t="shared" ca="1" si="173"/>
        <v>-969790034732.83032</v>
      </c>
      <c r="L4842" s="455">
        <f t="shared" ca="1" si="174"/>
        <v>-233719398370612.13</v>
      </c>
      <c r="M4842" s="471">
        <f t="shared" si="176"/>
        <v>0.05</v>
      </c>
      <c r="N4842" s="475">
        <f t="shared" si="177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75"/>
        <v>-233719398370612.13</v>
      </c>
      <c r="J4843" s="455">
        <f t="array" ref="J4843">IFERROR(INDEX('Retirement Calculator'!K:K,MATCH('Lorri 401b'!N4843,'Retirement Calculator'!A:A,0),0),0)</f>
        <v>0</v>
      </c>
      <c r="K4843" s="455">
        <f t="shared" ca="1" si="173"/>
        <v>-973830826544.21716</v>
      </c>
      <c r="L4843" s="455">
        <f t="shared" ca="1" si="174"/>
        <v>-234693229197156.34</v>
      </c>
      <c r="M4843" s="471">
        <f t="shared" si="176"/>
        <v>0.05</v>
      </c>
      <c r="N4843" s="475">
        <f t="shared" si="177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75"/>
        <v>-234693229197156.34</v>
      </c>
      <c r="J4844" s="455">
        <f t="array" ref="J4844">IFERROR(INDEX('Retirement Calculator'!K:K,MATCH('Lorri 401b'!N4844,'Retirement Calculator'!A:A,0),0),0)</f>
        <v>0</v>
      </c>
      <c r="K4844" s="455">
        <f t="shared" ca="1" si="173"/>
        <v>-977888454988.15137</v>
      </c>
      <c r="L4844" s="455">
        <f t="shared" ca="1" si="174"/>
        <v>-235671117652144.5</v>
      </c>
      <c r="M4844" s="471">
        <f t="shared" si="176"/>
        <v>0.05</v>
      </c>
      <c r="N4844" s="475">
        <f t="shared" si="177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75"/>
        <v>-235671117652144.5</v>
      </c>
      <c r="J4845" s="455">
        <f t="array" ref="J4845">IFERROR(INDEX('Retirement Calculator'!K:K,MATCH('Lorri 401b'!N4845,'Retirement Calculator'!A:A,0),0),0)</f>
        <v>0</v>
      </c>
      <c r="K4845" s="455">
        <f t="shared" ca="1" si="173"/>
        <v>-981962990217.26868</v>
      </c>
      <c r="L4845" s="455">
        <f t="shared" ca="1" si="174"/>
        <v>-236653080642361.78</v>
      </c>
      <c r="M4845" s="471">
        <f t="shared" si="176"/>
        <v>0.05</v>
      </c>
      <c r="N4845" s="475">
        <f t="shared" si="177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75"/>
        <v>-236653080642361.78</v>
      </c>
      <c r="J4846" s="455">
        <f t="array" ref="J4846">IFERROR(INDEX('Retirement Calculator'!K:K,MATCH('Lorri 401b'!N4846,'Retirement Calculator'!A:A,0),0),0)</f>
        <v>0</v>
      </c>
      <c r="K4846" s="455">
        <f t="shared" ca="1" si="173"/>
        <v>-986054502676.50745</v>
      </c>
      <c r="L4846" s="455">
        <f t="shared" ca="1" si="174"/>
        <v>-237639135145038.28</v>
      </c>
      <c r="M4846" s="471">
        <f t="shared" si="176"/>
        <v>0.05</v>
      </c>
      <c r="N4846" s="475">
        <f t="shared" si="177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75"/>
        <v>-237639135145038.28</v>
      </c>
      <c r="J4847" s="455">
        <f t="array" ref="J4847">IFERROR(INDEX('Retirement Calculator'!K:K,MATCH('Lorri 401b'!N4847,'Retirement Calculator'!A:A,0),0),0)</f>
        <v>0</v>
      </c>
      <c r="K4847" s="455">
        <f t="shared" ca="1" si="173"/>
        <v>-990163063104.32605</v>
      </c>
      <c r="L4847" s="455">
        <f t="shared" ca="1" si="174"/>
        <v>-238629298208142.59</v>
      </c>
      <c r="M4847" s="471">
        <f t="shared" si="176"/>
        <v>0.05</v>
      </c>
      <c r="N4847" s="475">
        <f t="shared" si="177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75"/>
        <v>-238629298208142.59</v>
      </c>
      <c r="J4848" s="455">
        <f t="array" ref="J4848">IFERROR(INDEX('Retirement Calculator'!K:K,MATCH('Lorri 401b'!N4848,'Retirement Calculator'!A:A,0),0),0)</f>
        <v>0</v>
      </c>
      <c r="K4848" s="455">
        <f t="shared" ca="1" si="173"/>
        <v>-994288742533.92749</v>
      </c>
      <c r="L4848" s="455">
        <f t="shared" ca="1" si="174"/>
        <v>-239623586950676.53</v>
      </c>
      <c r="M4848" s="471">
        <f t="shared" si="176"/>
        <v>0.05</v>
      </c>
      <c r="N4848" s="475">
        <f t="shared" si="177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75"/>
        <v>-239623586950676.53</v>
      </c>
      <c r="J4849" s="455">
        <f t="array" ref="J4849">IFERROR(INDEX('Retirement Calculator'!K:K,MATCH('Lorri 401b'!N4849,'Retirement Calculator'!A:A,0),0),0)</f>
        <v>0</v>
      </c>
      <c r="K4849" s="455">
        <f t="shared" ca="1" si="173"/>
        <v>-998431612294.48572</v>
      </c>
      <c r="L4849" s="455">
        <f t="shared" ca="1" si="174"/>
        <v>-240622018562971.03</v>
      </c>
      <c r="M4849" s="471">
        <f t="shared" si="176"/>
        <v>0.05</v>
      </c>
      <c r="N4849" s="475">
        <f t="shared" si="177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75"/>
        <v>-240622018562971.03</v>
      </c>
      <c r="J4850" s="455">
        <f t="array" ref="J4850">IFERROR(INDEX('Retirement Calculator'!K:K,MATCH('Lorri 401b'!N4850,'Retirement Calculator'!A:A,0),0),0)</f>
        <v>0</v>
      </c>
      <c r="K4850" s="455">
        <f t="shared" ca="1" si="173"/>
        <v>-1002591744012.3793</v>
      </c>
      <c r="L4850" s="455">
        <f t="shared" ca="1" si="174"/>
        <v>-241624610306983.41</v>
      </c>
      <c r="M4850" s="471">
        <f t="shared" si="176"/>
        <v>0.05</v>
      </c>
      <c r="N4850" s="475">
        <f t="shared" si="177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75"/>
        <v>-241624610306983.41</v>
      </c>
      <c r="J4851" s="455">
        <f t="array" ref="J4851">IFERROR(INDEX('Retirement Calculator'!K:K,MATCH('Lorri 401b'!N4851,'Retirement Calculator'!A:A,0),0),0)</f>
        <v>0</v>
      </c>
      <c r="K4851" s="455">
        <f t="shared" ca="1" si="173"/>
        <v>-1006769209612.4308</v>
      </c>
      <c r="L4851" s="455">
        <f t="shared" ca="1" si="174"/>
        <v>-242631379516595.84</v>
      </c>
      <c r="M4851" s="471">
        <f t="shared" si="176"/>
        <v>0.05</v>
      </c>
      <c r="N4851" s="475">
        <f t="shared" si="177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75"/>
        <v>-242631379516595.84</v>
      </c>
      <c r="J4852" s="455">
        <f t="array" ref="J4852">IFERROR(INDEX('Retirement Calculator'!K:K,MATCH('Lorri 401b'!N4852,'Retirement Calculator'!A:A,0),0),0)</f>
        <v>0</v>
      </c>
      <c r="K4852" s="455">
        <f t="shared" ca="1" si="173"/>
        <v>-1010964081319.1492</v>
      </c>
      <c r="L4852" s="455">
        <f t="shared" ca="1" si="174"/>
        <v>-243642343597915</v>
      </c>
      <c r="M4852" s="471">
        <f t="shared" si="176"/>
        <v>0.05</v>
      </c>
      <c r="N4852" s="475">
        <f t="shared" si="177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75"/>
        <v>-243642343597915</v>
      </c>
      <c r="J4853" s="455">
        <f t="array" ref="J4853">IFERROR(INDEX('Retirement Calculator'!K:K,MATCH('Lorri 401b'!N4853,'Retirement Calculator'!A:A,0),0),0)</f>
        <v>0</v>
      </c>
      <c r="K4853" s="455">
        <f t="shared" ref="K4853:K5107" ca="1" si="178">IPMT(M4853/12,1,12,-I4853+J4853,,0)</f>
        <v>-1015176431657.9791</v>
      </c>
      <c r="L4853" s="455">
        <f t="shared" ref="L4853:L5107" ca="1" si="179">I4853-J4853+K4853</f>
        <v>-244657520029572.97</v>
      </c>
      <c r="M4853" s="471">
        <f t="shared" si="176"/>
        <v>0.05</v>
      </c>
      <c r="N4853" s="475">
        <f t="shared" si="177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80">L4853</f>
        <v>-244657520029572.97</v>
      </c>
      <c r="J4854" s="455">
        <f t="array" ref="J4854">IFERROR(INDEX('Retirement Calculator'!K:K,MATCH('Lorri 401b'!N4854,'Retirement Calculator'!A:A,0),0),0)</f>
        <v>0</v>
      </c>
      <c r="K4854" s="455">
        <f t="shared" ca="1" si="178"/>
        <v>-1019406333456.5541</v>
      </c>
      <c r="L4854" s="455">
        <f t="shared" ca="1" si="179"/>
        <v>-245676926363029.53</v>
      </c>
      <c r="M4854" s="471">
        <f t="shared" ref="M4854:M5108" si="181">M4853</f>
        <v>0.05</v>
      </c>
      <c r="N4854" s="475">
        <f t="shared" ref="N4854:N5108" si="182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80"/>
        <v>-245676926363029.53</v>
      </c>
      <c r="J4855" s="455">
        <f t="array" ref="J4855">IFERROR(INDEX('Retirement Calculator'!K:K,MATCH('Lorri 401b'!N4855,'Retirement Calculator'!A:A,0),0),0)</f>
        <v>0</v>
      </c>
      <c r="K4855" s="455">
        <f t="shared" ca="1" si="178"/>
        <v>-1023653859845.9562</v>
      </c>
      <c r="L4855" s="455">
        <f t="shared" ca="1" si="179"/>
        <v>-246700580222875.5</v>
      </c>
      <c r="M4855" s="471">
        <f t="shared" si="181"/>
        <v>0.05</v>
      </c>
      <c r="N4855" s="475">
        <f t="shared" si="182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80"/>
        <v>-246700580222875.5</v>
      </c>
      <c r="J4856" s="455">
        <f t="array" ref="J4856">IFERROR(INDEX('Retirement Calculator'!K:K,MATCH('Lorri 401b'!N4856,'Retirement Calculator'!A:A,0),0),0)</f>
        <v>0</v>
      </c>
      <c r="K4856" s="455">
        <f t="shared" ca="1" si="178"/>
        <v>-1027919084261.9812</v>
      </c>
      <c r="L4856" s="455">
        <f t="shared" ca="1" si="179"/>
        <v>-247728499307137.47</v>
      </c>
      <c r="M4856" s="471">
        <f t="shared" si="181"/>
        <v>0.05</v>
      </c>
      <c r="N4856" s="475">
        <f t="shared" si="182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80"/>
        <v>-247728499307137.47</v>
      </c>
      <c r="J4857" s="455">
        <f t="array" ref="J4857">IFERROR(INDEX('Retirement Calculator'!K:K,MATCH('Lorri 401b'!N4857,'Retirement Calculator'!A:A,0),0),0)</f>
        <v>0</v>
      </c>
      <c r="K4857" s="455">
        <f t="shared" ca="1" si="178"/>
        <v>-1032202080446.4061</v>
      </c>
      <c r="L4857" s="455">
        <f t="shared" ca="1" si="179"/>
        <v>-248760701387583.88</v>
      </c>
      <c r="M4857" s="471">
        <f t="shared" si="181"/>
        <v>0.05</v>
      </c>
      <c r="N4857" s="475">
        <f t="shared" si="182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80"/>
        <v>-248760701387583.88</v>
      </c>
      <c r="J4858" s="455">
        <f t="array" ref="J4858">IFERROR(INDEX('Retirement Calculator'!K:K,MATCH('Lorri 401b'!N4858,'Retirement Calculator'!A:A,0),0),0)</f>
        <v>0</v>
      </c>
      <c r="K4858" s="455">
        <f t="shared" ca="1" si="178"/>
        <v>-1036502922448.2661</v>
      </c>
      <c r="L4858" s="455">
        <f t="shared" ca="1" si="179"/>
        <v>-249797204310032.16</v>
      </c>
      <c r="M4858" s="471">
        <f t="shared" si="181"/>
        <v>0.05</v>
      </c>
      <c r="N4858" s="475">
        <f t="shared" si="182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80"/>
        <v>-249797204310032.16</v>
      </c>
      <c r="J4859" s="455">
        <f t="array" ref="J4859">IFERROR(INDEX('Retirement Calculator'!K:K,MATCH('Lorri 401b'!N4859,'Retirement Calculator'!A:A,0),0),0)</f>
        <v>0</v>
      </c>
      <c r="K4859" s="455">
        <f t="shared" ca="1" si="178"/>
        <v>-1040821684625.1338</v>
      </c>
      <c r="L4859" s="455">
        <f t="shared" ca="1" si="179"/>
        <v>-250838025994657.28</v>
      </c>
      <c r="M4859" s="471">
        <f t="shared" si="181"/>
        <v>0.05</v>
      </c>
      <c r="N4859" s="475">
        <f t="shared" si="182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80"/>
        <v>-250838025994657.28</v>
      </c>
      <c r="J4860" s="455">
        <f t="array" ref="J4860">IFERROR(INDEX('Retirement Calculator'!K:K,MATCH('Lorri 401b'!N4860,'Retirement Calculator'!A:A,0),0),0)</f>
        <v>0</v>
      </c>
      <c r="K4860" s="455">
        <f t="shared" ca="1" si="178"/>
        <v>-1045158441644.4053</v>
      </c>
      <c r="L4860" s="455">
        <f t="shared" ca="1" si="179"/>
        <v>-251883184436301.69</v>
      </c>
      <c r="M4860" s="471">
        <f t="shared" si="181"/>
        <v>0.05</v>
      </c>
      <c r="N4860" s="475">
        <f t="shared" si="182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80"/>
        <v>-251883184436301.69</v>
      </c>
      <c r="J4861" s="455">
        <f t="array" ref="J4861">IFERROR(INDEX('Retirement Calculator'!K:K,MATCH('Lorri 401b'!N4861,'Retirement Calculator'!A:A,0),0),0)</f>
        <v>0</v>
      </c>
      <c r="K4861" s="455">
        <f t="shared" ca="1" si="178"/>
        <v>-1049513268484.5903</v>
      </c>
      <c r="L4861" s="455">
        <f t="shared" ca="1" si="179"/>
        <v>-252932697704786.28</v>
      </c>
      <c r="M4861" s="471">
        <f t="shared" si="181"/>
        <v>0.05</v>
      </c>
      <c r="N4861" s="475">
        <f t="shared" si="182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80"/>
        <v>-252932697704786.28</v>
      </c>
      <c r="J4862" s="455">
        <f t="array" ref="J4862">IFERROR(INDEX('Retirement Calculator'!K:K,MATCH('Lorri 401b'!N4862,'Retirement Calculator'!A:A,0),0),0)</f>
        <v>0</v>
      </c>
      <c r="K4862" s="455">
        <f t="shared" ca="1" si="178"/>
        <v>-1053886240436.6095</v>
      </c>
      <c r="L4862" s="455">
        <f t="shared" ca="1" si="179"/>
        <v>-253986583945222.91</v>
      </c>
      <c r="M4862" s="471">
        <f t="shared" si="181"/>
        <v>0.05</v>
      </c>
      <c r="N4862" s="475">
        <f t="shared" si="182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80"/>
        <v>-253986583945222.91</v>
      </c>
      <c r="J4863" s="455">
        <f t="array" ref="J4863">IFERROR(INDEX('Retirement Calculator'!K:K,MATCH('Lorri 401b'!N4863,'Retirement Calculator'!A:A,0),0),0)</f>
        <v>0</v>
      </c>
      <c r="K4863" s="455">
        <f t="shared" ca="1" si="178"/>
        <v>-1058277433105.0953</v>
      </c>
      <c r="L4863" s="455">
        <f t="shared" ca="1" si="179"/>
        <v>-255044861378328</v>
      </c>
      <c r="M4863" s="471">
        <f t="shared" si="181"/>
        <v>0.05</v>
      </c>
      <c r="N4863" s="475">
        <f t="shared" si="182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80"/>
        <v>-255044861378328</v>
      </c>
      <c r="J4864" s="455">
        <f t="array" ref="J4864">IFERROR(INDEX('Retirement Calculator'!K:K,MATCH('Lorri 401b'!N4864,'Retirement Calculator'!A:A,0),0),0)</f>
        <v>0</v>
      </c>
      <c r="K4864" s="455">
        <f t="shared" ca="1" si="178"/>
        <v>-1062686922409.7</v>
      </c>
      <c r="L4864" s="455">
        <f t="shared" ca="1" si="179"/>
        <v>-256107548300737.69</v>
      </c>
      <c r="M4864" s="471">
        <f t="shared" si="181"/>
        <v>0.05</v>
      </c>
      <c r="N4864" s="475">
        <f t="shared" si="182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80"/>
        <v>-256107548300737.69</v>
      </c>
      <c r="J4865" s="455">
        <f t="array" ref="J4865">IFERROR(INDEX('Retirement Calculator'!K:K,MATCH('Lorri 401b'!N4865,'Retirement Calculator'!A:A,0),0),0)</f>
        <v>0</v>
      </c>
      <c r="K4865" s="455">
        <f t="shared" ca="1" si="178"/>
        <v>-1067114784586.407</v>
      </c>
      <c r="L4865" s="455">
        <f t="shared" ca="1" si="179"/>
        <v>-257174663085324.09</v>
      </c>
      <c r="M4865" s="471">
        <f t="shared" si="181"/>
        <v>0.05</v>
      </c>
      <c r="N4865" s="475">
        <f t="shared" si="182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80"/>
        <v>-257174663085324.09</v>
      </c>
      <c r="J4866" s="455">
        <f t="array" ref="J4866">IFERROR(INDEX('Retirement Calculator'!K:K,MATCH('Lorri 401b'!N4866,'Retirement Calculator'!A:A,0),0),0)</f>
        <v>0</v>
      </c>
      <c r="K4866" s="455">
        <f t="shared" ca="1" si="178"/>
        <v>-1071561096188.8505</v>
      </c>
      <c r="L4866" s="455">
        <f t="shared" ca="1" si="179"/>
        <v>-258246224181512.94</v>
      </c>
      <c r="M4866" s="471">
        <f t="shared" si="181"/>
        <v>0.05</v>
      </c>
      <c r="N4866" s="475">
        <f t="shared" si="182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80"/>
        <v>-258246224181512.94</v>
      </c>
      <c r="J4867" s="455">
        <f t="array" ref="J4867">IFERROR(INDEX('Retirement Calculator'!K:K,MATCH('Lorri 401b'!N4867,'Retirement Calculator'!A:A,0),0),0)</f>
        <v>0</v>
      </c>
      <c r="K4867" s="455">
        <f t="shared" ca="1" si="178"/>
        <v>-1076025934089.6371</v>
      </c>
      <c r="L4867" s="455">
        <f t="shared" ca="1" si="179"/>
        <v>-259322250115602.56</v>
      </c>
      <c r="M4867" s="471">
        <f t="shared" si="181"/>
        <v>0.05</v>
      </c>
      <c r="N4867" s="475">
        <f t="shared" si="182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80"/>
        <v>-259322250115602.56</v>
      </c>
      <c r="J4868" s="455">
        <f t="array" ref="J4868">IFERROR(INDEX('Retirement Calculator'!K:K,MATCH('Lorri 401b'!N4868,'Retirement Calculator'!A:A,0),0),0)</f>
        <v>0</v>
      </c>
      <c r="K4868" s="455">
        <f t="shared" ca="1" si="178"/>
        <v>-1080509375481.6772</v>
      </c>
      <c r="L4868" s="455">
        <f t="shared" ca="1" si="179"/>
        <v>-260402759491084.25</v>
      </c>
      <c r="M4868" s="471">
        <f t="shared" si="181"/>
        <v>0.05</v>
      </c>
      <c r="N4868" s="475">
        <f t="shared" si="182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80"/>
        <v>-260402759491084.25</v>
      </c>
      <c r="J4869" s="455">
        <f t="array" ref="J4869">IFERROR(INDEX('Retirement Calculator'!K:K,MATCH('Lorri 401b'!N4869,'Retirement Calculator'!A:A,0),0),0)</f>
        <v>0</v>
      </c>
      <c r="K4869" s="455">
        <f t="shared" ca="1" si="178"/>
        <v>-1085011497879.5176</v>
      </c>
      <c r="L4869" s="455">
        <f t="shared" ca="1" si="179"/>
        <v>-261487770988963.78</v>
      </c>
      <c r="M4869" s="471">
        <f t="shared" si="181"/>
        <v>0.05</v>
      </c>
      <c r="N4869" s="475">
        <f t="shared" si="182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80"/>
        <v>-261487770988963.78</v>
      </c>
      <c r="J4870" s="455">
        <f t="array" ref="J4870">IFERROR(INDEX('Retirement Calculator'!K:K,MATCH('Lorri 401b'!N4870,'Retirement Calculator'!A:A,0),0),0)</f>
        <v>0</v>
      </c>
      <c r="K4870" s="455">
        <f t="shared" ca="1" si="178"/>
        <v>-1089532379120.6824</v>
      </c>
      <c r="L4870" s="455">
        <f t="shared" ca="1" si="179"/>
        <v>-262577303368084.47</v>
      </c>
      <c r="M4870" s="471">
        <f t="shared" si="181"/>
        <v>0.05</v>
      </c>
      <c r="N4870" s="475">
        <f t="shared" si="182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80"/>
        <v>-262577303368084.47</v>
      </c>
      <c r="J4871" s="455">
        <f t="array" ref="J4871">IFERROR(INDEX('Retirement Calculator'!K:K,MATCH('Lorri 401b'!N4871,'Retirement Calculator'!A:A,0),0),0)</f>
        <v>0</v>
      </c>
      <c r="K4871" s="455">
        <f t="shared" ca="1" si="178"/>
        <v>-1094072097367.0186</v>
      </c>
      <c r="L4871" s="455">
        <f t="shared" ca="1" si="179"/>
        <v>-263671375465451.5</v>
      </c>
      <c r="M4871" s="471">
        <f t="shared" si="181"/>
        <v>0.05</v>
      </c>
      <c r="N4871" s="475">
        <f t="shared" si="182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80"/>
        <v>-263671375465451.5</v>
      </c>
      <c r="J4872" s="455">
        <f t="array" ref="J4872">IFERROR(INDEX('Retirement Calculator'!K:K,MATCH('Lorri 401b'!N4872,'Retirement Calculator'!A:A,0),0),0)</f>
        <v>0</v>
      </c>
      <c r="K4872" s="455">
        <f t="shared" ca="1" si="178"/>
        <v>-1098630731106.0479</v>
      </c>
      <c r="L4872" s="455">
        <f t="shared" ca="1" si="179"/>
        <v>-264770006196557.56</v>
      </c>
      <c r="M4872" s="471">
        <f t="shared" si="181"/>
        <v>0.05</v>
      </c>
      <c r="N4872" s="475">
        <f t="shared" si="182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80"/>
        <v>-264770006196557.56</v>
      </c>
      <c r="J4873" s="455">
        <f t="array" ref="J4873">IFERROR(INDEX('Retirement Calculator'!K:K,MATCH('Lorri 401b'!N4873,'Retirement Calculator'!A:A,0),0),0)</f>
        <v>0</v>
      </c>
      <c r="K4873" s="455">
        <f t="shared" ca="1" si="178"/>
        <v>-1103208359152.323</v>
      </c>
      <c r="L4873" s="455">
        <f t="shared" ca="1" si="179"/>
        <v>-265873214555709.88</v>
      </c>
      <c r="M4873" s="471">
        <f t="shared" si="181"/>
        <v>0.05</v>
      </c>
      <c r="N4873" s="475">
        <f t="shared" si="182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80"/>
        <v>-265873214555709.88</v>
      </c>
      <c r="J4874" s="455">
        <f t="array" ref="J4874">IFERROR(INDEX('Retirement Calculator'!K:K,MATCH('Lorri 401b'!N4874,'Retirement Calculator'!A:A,0),0),0)</f>
        <v>0</v>
      </c>
      <c r="K4874" s="455">
        <f t="shared" ca="1" si="178"/>
        <v>-1107805060648.791</v>
      </c>
      <c r="L4874" s="455">
        <f t="shared" ca="1" si="179"/>
        <v>-266981019616358.66</v>
      </c>
      <c r="M4874" s="471">
        <f t="shared" si="181"/>
        <v>0.05</v>
      </c>
      <c r="N4874" s="475">
        <f t="shared" si="182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80"/>
        <v>-266981019616358.66</v>
      </c>
      <c r="J4875" s="455">
        <f t="array" ref="J4875">IFERROR(INDEX('Retirement Calculator'!K:K,MATCH('Lorri 401b'!N4875,'Retirement Calculator'!A:A,0),0),0)</f>
        <v>0</v>
      </c>
      <c r="K4875" s="455">
        <f t="shared" ca="1" si="178"/>
        <v>-1112420915068.1611</v>
      </c>
      <c r="L4875" s="455">
        <f t="shared" ca="1" si="179"/>
        <v>-268093440531426.81</v>
      </c>
      <c r="M4875" s="471">
        <f t="shared" si="181"/>
        <v>0.05</v>
      </c>
      <c r="N4875" s="475">
        <f t="shared" si="182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80"/>
        <v>-268093440531426.81</v>
      </c>
      <c r="J4876" s="455">
        <f t="array" ref="J4876">IFERROR(INDEX('Retirement Calculator'!K:K,MATCH('Lorri 401b'!N4876,'Retirement Calculator'!A:A,0),0),0)</f>
        <v>0</v>
      </c>
      <c r="K4876" s="455">
        <f t="shared" ca="1" si="178"/>
        <v>-1117056002214.2783</v>
      </c>
      <c r="L4876" s="455">
        <f t="shared" ca="1" si="179"/>
        <v>-269210496533641.09</v>
      </c>
      <c r="M4876" s="471">
        <f t="shared" si="181"/>
        <v>0.05</v>
      </c>
      <c r="N4876" s="475">
        <f t="shared" si="182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80"/>
        <v>-269210496533641.09</v>
      </c>
      <c r="J4877" s="455">
        <f t="array" ref="J4877">IFERROR(INDEX('Retirement Calculator'!K:K,MATCH('Lorri 401b'!N4877,'Retirement Calculator'!A:A,0),0),0)</f>
        <v>0</v>
      </c>
      <c r="K4877" s="455">
        <f t="shared" ca="1" si="178"/>
        <v>-1121710402223.5046</v>
      </c>
      <c r="L4877" s="455">
        <f t="shared" ca="1" si="179"/>
        <v>-270332206935864.59</v>
      </c>
      <c r="M4877" s="471">
        <f t="shared" si="181"/>
        <v>0.05</v>
      </c>
      <c r="N4877" s="475">
        <f t="shared" si="182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80"/>
        <v>-270332206935864.59</v>
      </c>
      <c r="J4878" s="455">
        <f t="array" ref="J4878">IFERROR(INDEX('Retirement Calculator'!K:K,MATCH('Lorri 401b'!N4878,'Retirement Calculator'!A:A,0),0),0)</f>
        <v>0</v>
      </c>
      <c r="K4878" s="455">
        <f t="shared" ca="1" si="178"/>
        <v>-1126384195566.1023</v>
      </c>
      <c r="L4878" s="455">
        <f t="shared" ca="1" si="179"/>
        <v>-271458591131430.69</v>
      </c>
      <c r="M4878" s="471">
        <f t="shared" si="181"/>
        <v>0.05</v>
      </c>
      <c r="N4878" s="475">
        <f t="shared" si="182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80"/>
        <v>-271458591131430.69</v>
      </c>
      <c r="J4879" s="455">
        <f t="array" ref="J4879">IFERROR(INDEX('Retirement Calculator'!K:K,MATCH('Lorri 401b'!N4879,'Retirement Calculator'!A:A,0),0),0)</f>
        <v>0</v>
      </c>
      <c r="K4879" s="455">
        <f t="shared" ca="1" si="178"/>
        <v>-1131077463047.6277</v>
      </c>
      <c r="L4879" s="455">
        <f t="shared" ca="1" si="179"/>
        <v>-272589668594478.31</v>
      </c>
      <c r="M4879" s="471">
        <f t="shared" si="181"/>
        <v>0.05</v>
      </c>
      <c r="N4879" s="475">
        <f t="shared" si="182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80"/>
        <v>-272589668594478.31</v>
      </c>
      <c r="J4880" s="455">
        <f t="array" ref="J4880">IFERROR(INDEX('Retirement Calculator'!K:K,MATCH('Lorri 401b'!N4880,'Retirement Calculator'!A:A,0),0),0)</f>
        <v>0</v>
      </c>
      <c r="K4880" s="455">
        <f t="shared" ca="1" si="178"/>
        <v>-1135790285810.3262</v>
      </c>
      <c r="L4880" s="455">
        <f t="shared" ca="1" si="179"/>
        <v>-273725458880288.63</v>
      </c>
      <c r="M4880" s="471">
        <f t="shared" si="181"/>
        <v>0.05</v>
      </c>
      <c r="N4880" s="475">
        <f t="shared" si="182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80"/>
        <v>-273725458880288.63</v>
      </c>
      <c r="J4881" s="455">
        <f t="array" ref="J4881">IFERROR(INDEX('Retirement Calculator'!K:K,MATCH('Lorri 401b'!N4881,'Retirement Calculator'!A:A,0),0),0)</f>
        <v>0</v>
      </c>
      <c r="K4881" s="455">
        <f t="shared" ca="1" si="178"/>
        <v>-1140522745334.5359</v>
      </c>
      <c r="L4881" s="455">
        <f t="shared" ca="1" si="179"/>
        <v>-274865981625623.16</v>
      </c>
      <c r="M4881" s="471">
        <f t="shared" si="181"/>
        <v>0.05</v>
      </c>
      <c r="N4881" s="475">
        <f t="shared" si="182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80"/>
        <v>-274865981625623.16</v>
      </c>
      <c r="J4882" s="455">
        <f t="array" ref="J4882">IFERROR(INDEX('Retirement Calculator'!K:K,MATCH('Lorri 401b'!N4882,'Retirement Calculator'!A:A,0),0),0)</f>
        <v>0</v>
      </c>
      <c r="K4882" s="455">
        <f t="shared" ca="1" si="178"/>
        <v>-1145274923440.0964</v>
      </c>
      <c r="L4882" s="455">
        <f t="shared" ca="1" si="179"/>
        <v>-276011256549063.25</v>
      </c>
      <c r="M4882" s="471">
        <f t="shared" si="181"/>
        <v>0.05</v>
      </c>
      <c r="N4882" s="475">
        <f t="shared" si="182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80"/>
        <v>-276011256549063.25</v>
      </c>
      <c r="J4883" s="455">
        <f t="array" ref="J4883">IFERROR(INDEX('Retirement Calculator'!K:K,MATCH('Lorri 401b'!N4883,'Retirement Calculator'!A:A,0),0),0)</f>
        <v>0</v>
      </c>
      <c r="K4883" s="455">
        <f t="shared" ca="1" si="178"/>
        <v>-1150046902287.7637</v>
      </c>
      <c r="L4883" s="455">
        <f t="shared" ca="1" si="179"/>
        <v>-277161303451351</v>
      </c>
      <c r="M4883" s="471">
        <f t="shared" si="181"/>
        <v>0.05</v>
      </c>
      <c r="N4883" s="475">
        <f t="shared" si="182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80"/>
        <v>-277161303451351</v>
      </c>
      <c r="J4884" s="455">
        <f t="array" ref="J4884">IFERROR(INDEX('Retirement Calculator'!K:K,MATCH('Lorri 401b'!N4884,'Retirement Calculator'!A:A,0),0),0)</f>
        <v>0</v>
      </c>
      <c r="K4884" s="455">
        <f t="shared" ca="1" si="178"/>
        <v>-1154838764380.6292</v>
      </c>
      <c r="L4884" s="455">
        <f t="shared" ca="1" si="179"/>
        <v>-278316142215731.63</v>
      </c>
      <c r="M4884" s="471">
        <f t="shared" si="181"/>
        <v>0.05</v>
      </c>
      <c r="N4884" s="475">
        <f t="shared" si="182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80"/>
        <v>-278316142215731.63</v>
      </c>
      <c r="J4885" s="455">
        <f t="array" ref="J4885">IFERROR(INDEX('Retirement Calculator'!K:K,MATCH('Lorri 401b'!N4885,'Retirement Calculator'!A:A,0),0),0)</f>
        <v>0</v>
      </c>
      <c r="K4885" s="455">
        <f t="shared" ca="1" si="178"/>
        <v>-1159650592565.5483</v>
      </c>
      <c r="L4885" s="455">
        <f t="shared" ca="1" si="179"/>
        <v>-279475792808297.19</v>
      </c>
      <c r="M4885" s="471">
        <f t="shared" si="181"/>
        <v>0.05</v>
      </c>
      <c r="N4885" s="475">
        <f t="shared" si="182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80"/>
        <v>-279475792808297.19</v>
      </c>
      <c r="J4886" s="455">
        <f t="array" ref="J4886">IFERROR(INDEX('Retirement Calculator'!K:K,MATCH('Lorri 401b'!N4886,'Retirement Calculator'!A:A,0),0),0)</f>
        <v>0</v>
      </c>
      <c r="K4886" s="455">
        <f t="shared" ca="1" si="178"/>
        <v>-1164482470034.5715</v>
      </c>
      <c r="L4886" s="455">
        <f t="shared" ca="1" si="179"/>
        <v>-280640275278331.75</v>
      </c>
      <c r="M4886" s="471">
        <f t="shared" si="181"/>
        <v>0.05</v>
      </c>
      <c r="N4886" s="475">
        <f t="shared" si="182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80"/>
        <v>-280640275278331.75</v>
      </c>
      <c r="J4887" s="455">
        <f t="array" ref="J4887">IFERROR(INDEX('Retirement Calculator'!K:K,MATCH('Lorri 401b'!N4887,'Retirement Calculator'!A:A,0),0),0)</f>
        <v>0</v>
      </c>
      <c r="K4887" s="455">
        <f t="shared" ca="1" si="178"/>
        <v>-1169334480326.3823</v>
      </c>
      <c r="L4887" s="455">
        <f t="shared" ca="1" si="179"/>
        <v>-281809609758658.13</v>
      </c>
      <c r="M4887" s="471">
        <f t="shared" si="181"/>
        <v>0.05</v>
      </c>
      <c r="N4887" s="475">
        <f t="shared" si="182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80"/>
        <v>-281809609758658.13</v>
      </c>
      <c r="J4888" s="455">
        <f t="array" ref="J4888">IFERROR(INDEX('Retirement Calculator'!K:K,MATCH('Lorri 401b'!N4888,'Retirement Calculator'!A:A,0),0),0)</f>
        <v>0</v>
      </c>
      <c r="K4888" s="455">
        <f t="shared" ca="1" si="178"/>
        <v>-1174206707327.7422</v>
      </c>
      <c r="L4888" s="455">
        <f t="shared" ca="1" si="179"/>
        <v>-282983816465985.88</v>
      </c>
      <c r="M4888" s="471">
        <f t="shared" si="181"/>
        <v>0.05</v>
      </c>
      <c r="N4888" s="475">
        <f t="shared" si="182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80"/>
        <v>-282983816465985.88</v>
      </c>
      <c r="J4889" s="455">
        <f t="array" ref="J4889">IFERROR(INDEX('Retirement Calculator'!K:K,MATCH('Lorri 401b'!N4889,'Retirement Calculator'!A:A,0),0),0)</f>
        <v>0</v>
      </c>
      <c r="K4889" s="455">
        <f t="shared" ca="1" si="178"/>
        <v>-1179099235274.9412</v>
      </c>
      <c r="L4889" s="455">
        <f t="shared" ca="1" si="179"/>
        <v>-284162915701260.81</v>
      </c>
      <c r="M4889" s="471">
        <f t="shared" si="181"/>
        <v>0.05</v>
      </c>
      <c r="N4889" s="475">
        <f t="shared" si="182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80"/>
        <v>-284162915701260.81</v>
      </c>
      <c r="J4890" s="455">
        <f t="array" ref="J4890">IFERROR(INDEX('Retirement Calculator'!K:K,MATCH('Lorri 401b'!N4890,'Retirement Calculator'!A:A,0),0),0)</f>
        <v>0</v>
      </c>
      <c r="K4890" s="455">
        <f t="shared" ca="1" si="178"/>
        <v>-1184012148755.2534</v>
      </c>
      <c r="L4890" s="455">
        <f t="shared" ca="1" si="179"/>
        <v>-285346927850016.06</v>
      </c>
      <c r="M4890" s="471">
        <f t="shared" si="181"/>
        <v>0.05</v>
      </c>
      <c r="N4890" s="475">
        <f t="shared" si="182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80"/>
        <v>-285346927850016.06</v>
      </c>
      <c r="J4891" s="455">
        <f t="array" ref="J4891">IFERROR(INDEX('Retirement Calculator'!K:K,MATCH('Lorri 401b'!N4891,'Retirement Calculator'!A:A,0),0),0)</f>
        <v>0</v>
      </c>
      <c r="K4891" s="455">
        <f t="shared" ca="1" si="178"/>
        <v>-1188945532708.4001</v>
      </c>
      <c r="L4891" s="455">
        <f t="shared" ca="1" si="179"/>
        <v>-286535873382724.44</v>
      </c>
      <c r="M4891" s="471">
        <f t="shared" si="181"/>
        <v>0.05</v>
      </c>
      <c r="N4891" s="475">
        <f t="shared" si="182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80"/>
        <v>-286535873382724.44</v>
      </c>
      <c r="J4892" s="455">
        <f t="array" ref="J4892">IFERROR(INDEX('Retirement Calculator'!K:K,MATCH('Lorri 401b'!N4892,'Retirement Calculator'!A:A,0),0),0)</f>
        <v>0</v>
      </c>
      <c r="K4892" s="455">
        <f t="shared" ca="1" si="178"/>
        <v>-1193899472428.0186</v>
      </c>
      <c r="L4892" s="455">
        <f t="shared" ca="1" si="179"/>
        <v>-287729772855152.44</v>
      </c>
      <c r="M4892" s="471">
        <f t="shared" si="181"/>
        <v>0.05</v>
      </c>
      <c r="N4892" s="475">
        <f t="shared" si="182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80"/>
        <v>-287729772855152.44</v>
      </c>
      <c r="J4893" s="455">
        <f t="array" ref="J4893">IFERROR(INDEX('Retirement Calculator'!K:K,MATCH('Lorri 401b'!N4893,'Retirement Calculator'!A:A,0),0),0)</f>
        <v>0</v>
      </c>
      <c r="K4893" s="455">
        <f t="shared" ca="1" si="178"/>
        <v>-1198874053563.1353</v>
      </c>
      <c r="L4893" s="455">
        <f t="shared" ca="1" si="179"/>
        <v>-288928646908715.56</v>
      </c>
      <c r="M4893" s="471">
        <f t="shared" si="181"/>
        <v>0.05</v>
      </c>
      <c r="N4893" s="475">
        <f t="shared" si="182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80"/>
        <v>-288928646908715.56</v>
      </c>
      <c r="J4894" s="455">
        <f t="array" ref="J4894">IFERROR(INDEX('Retirement Calculator'!K:K,MATCH('Lorri 401b'!N4894,'Retirement Calculator'!A:A,0),0),0)</f>
        <v>0</v>
      </c>
      <c r="K4894" s="455">
        <f t="shared" ca="1" si="178"/>
        <v>-1203869362119.6482</v>
      </c>
      <c r="L4894" s="455">
        <f t="shared" ca="1" si="179"/>
        <v>-290132516270835.19</v>
      </c>
      <c r="M4894" s="471">
        <f t="shared" si="181"/>
        <v>0.05</v>
      </c>
      <c r="N4894" s="475">
        <f t="shared" si="182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80"/>
        <v>-290132516270835.19</v>
      </c>
      <c r="J4895" s="455">
        <f t="array" ref="J4895">IFERROR(INDEX('Retirement Calculator'!K:K,MATCH('Lorri 401b'!N4895,'Retirement Calculator'!A:A,0),0),0)</f>
        <v>0</v>
      </c>
      <c r="K4895" s="455">
        <f t="shared" ca="1" si="178"/>
        <v>-1208885484461.8132</v>
      </c>
      <c r="L4895" s="455">
        <f t="shared" ca="1" si="179"/>
        <v>-291341401755297</v>
      </c>
      <c r="M4895" s="471">
        <f t="shared" si="181"/>
        <v>0.05</v>
      </c>
      <c r="N4895" s="475">
        <f t="shared" si="182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80"/>
        <v>-291341401755297</v>
      </c>
      <c r="J4896" s="455">
        <f t="array" ref="J4896">IFERROR(INDEX('Retirement Calculator'!K:K,MATCH('Lorri 401b'!N4896,'Retirement Calculator'!A:A,0),0),0)</f>
        <v>0</v>
      </c>
      <c r="K4896" s="455">
        <f t="shared" ca="1" si="178"/>
        <v>-1213922507313.7375</v>
      </c>
      <c r="L4896" s="455">
        <f t="shared" ca="1" si="179"/>
        <v>-292555324262610.75</v>
      </c>
      <c r="M4896" s="471">
        <f t="shared" si="181"/>
        <v>0.05</v>
      </c>
      <c r="N4896" s="475">
        <f t="shared" si="182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80"/>
        <v>-292555324262610.75</v>
      </c>
      <c r="J4897" s="455">
        <f t="array" ref="J4897">IFERROR(INDEX('Retirement Calculator'!K:K,MATCH('Lorri 401b'!N4897,'Retirement Calculator'!A:A,0),0),0)</f>
        <v>0</v>
      </c>
      <c r="K4897" s="455">
        <f t="shared" ca="1" si="178"/>
        <v>-1218980517760.8782</v>
      </c>
      <c r="L4897" s="455">
        <f t="shared" ca="1" si="179"/>
        <v>-293774304780371.63</v>
      </c>
      <c r="M4897" s="471">
        <f t="shared" si="181"/>
        <v>0.05</v>
      </c>
      <c r="N4897" s="475">
        <f t="shared" si="182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80"/>
        <v>-293774304780371.63</v>
      </c>
      <c r="J4898" s="455">
        <f t="array" ref="J4898">IFERROR(INDEX('Retirement Calculator'!K:K,MATCH('Lorri 401b'!N4898,'Retirement Calculator'!A:A,0),0),0)</f>
        <v>0</v>
      </c>
      <c r="K4898" s="455">
        <f t="shared" ca="1" si="178"/>
        <v>-1224059603251.5483</v>
      </c>
      <c r="L4898" s="455">
        <f t="shared" ca="1" si="179"/>
        <v>-294998364383623.19</v>
      </c>
      <c r="M4898" s="471">
        <f t="shared" si="181"/>
        <v>0.05</v>
      </c>
      <c r="N4898" s="475">
        <f t="shared" si="182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80"/>
        <v>-294998364383623.19</v>
      </c>
      <c r="J4899" s="455">
        <f t="array" ref="J4899">IFERROR(INDEX('Retirement Calculator'!K:K,MATCH('Lorri 401b'!N4899,'Retirement Calculator'!A:A,0),0),0)</f>
        <v>0</v>
      </c>
      <c r="K4899" s="455">
        <f t="shared" ca="1" si="178"/>
        <v>-1229159851598.4299</v>
      </c>
      <c r="L4899" s="455">
        <f t="shared" ca="1" si="179"/>
        <v>-296227524235221.63</v>
      </c>
      <c r="M4899" s="471">
        <f t="shared" si="181"/>
        <v>0.05</v>
      </c>
      <c r="N4899" s="475">
        <f t="shared" si="182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80"/>
        <v>-296227524235221.63</v>
      </c>
      <c r="J4900" s="455">
        <f t="array" ref="J4900">IFERROR(INDEX('Retirement Calculator'!K:K,MATCH('Lorri 401b'!N4900,'Retirement Calculator'!A:A,0),0),0)</f>
        <v>0</v>
      </c>
      <c r="K4900" s="455">
        <f t="shared" ca="1" si="178"/>
        <v>-1234281350980.0901</v>
      </c>
      <c r="L4900" s="455">
        <f t="shared" ca="1" si="179"/>
        <v>-297461805586201.69</v>
      </c>
      <c r="M4900" s="471">
        <f t="shared" si="181"/>
        <v>0.05</v>
      </c>
      <c r="N4900" s="475">
        <f t="shared" si="182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80"/>
        <v>-297461805586201.69</v>
      </c>
      <c r="J4901" s="455">
        <f t="array" ref="J4901">IFERROR(INDEX('Retirement Calculator'!K:K,MATCH('Lorri 401b'!N4901,'Retirement Calculator'!A:A,0),0),0)</f>
        <v>0</v>
      </c>
      <c r="K4901" s="455">
        <f t="shared" ca="1" si="178"/>
        <v>-1239424189942.5071</v>
      </c>
      <c r="L4901" s="455">
        <f t="shared" ca="1" si="179"/>
        <v>-298701229776144.19</v>
      </c>
      <c r="M4901" s="471">
        <f t="shared" si="181"/>
        <v>0.05</v>
      </c>
      <c r="N4901" s="475">
        <f t="shared" si="182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80"/>
        <v>-298701229776144.19</v>
      </c>
      <c r="J4902" s="455">
        <f t="array" ref="J4902">IFERROR(INDEX('Retirement Calculator'!K:K,MATCH('Lorri 401b'!N4902,'Retirement Calculator'!A:A,0),0),0)</f>
        <v>0</v>
      </c>
      <c r="K4902" s="455">
        <f t="shared" ca="1" si="178"/>
        <v>-1244588457400.6008</v>
      </c>
      <c r="L4902" s="455">
        <f t="shared" ca="1" si="179"/>
        <v>-299945818233544.81</v>
      </c>
      <c r="M4902" s="471">
        <f t="shared" si="181"/>
        <v>0.05</v>
      </c>
      <c r="N4902" s="475">
        <f t="shared" si="182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80"/>
        <v>-299945818233544.81</v>
      </c>
      <c r="J4903" s="455">
        <f t="array" ref="J4903">IFERROR(INDEX('Retirement Calculator'!K:K,MATCH('Lorri 401b'!N4903,'Retirement Calculator'!A:A,0),0),0)</f>
        <v>0</v>
      </c>
      <c r="K4903" s="455">
        <f t="shared" ca="1" si="178"/>
        <v>-1249774242639.77</v>
      </c>
      <c r="L4903" s="455">
        <f t="shared" ca="1" si="179"/>
        <v>-301195592476184.56</v>
      </c>
      <c r="M4903" s="471">
        <f t="shared" si="181"/>
        <v>0.05</v>
      </c>
      <c r="N4903" s="475">
        <f t="shared" si="182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80"/>
        <v>-301195592476184.56</v>
      </c>
      <c r="J4904" s="455">
        <f t="array" ref="J4904">IFERROR(INDEX('Retirement Calculator'!K:K,MATCH('Lorri 401b'!N4904,'Retirement Calculator'!A:A,0),0),0)</f>
        <v>0</v>
      </c>
      <c r="K4904" s="455">
        <f t="shared" ca="1" si="178"/>
        <v>-1254981635317.4355</v>
      </c>
      <c r="L4904" s="455">
        <f t="shared" ca="1" si="179"/>
        <v>-302450574111502</v>
      </c>
      <c r="M4904" s="471">
        <f t="shared" si="181"/>
        <v>0.05</v>
      </c>
      <c r="N4904" s="475">
        <f t="shared" si="182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80"/>
        <v>-302450574111502</v>
      </c>
      <c r="J4905" s="455">
        <f t="array" ref="J4905">IFERROR(INDEX('Retirement Calculator'!K:K,MATCH('Lorri 401b'!N4905,'Retirement Calculator'!A:A,0),0),0)</f>
        <v>0</v>
      </c>
      <c r="K4905" s="455">
        <f t="shared" ca="1" si="178"/>
        <v>-1260210725464.5916</v>
      </c>
      <c r="L4905" s="455">
        <f t="shared" ca="1" si="179"/>
        <v>-303710784836966.56</v>
      </c>
      <c r="M4905" s="471">
        <f t="shared" si="181"/>
        <v>0.05</v>
      </c>
      <c r="N4905" s="475">
        <f t="shared" si="182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80"/>
        <v>-303710784836966.56</v>
      </c>
      <c r="J4906" s="455">
        <f t="array" ref="J4906">IFERROR(INDEX('Retirement Calculator'!K:K,MATCH('Lorri 401b'!N4906,'Retirement Calculator'!A:A,0),0),0)</f>
        <v>0</v>
      </c>
      <c r="K4906" s="455">
        <f t="shared" ca="1" si="178"/>
        <v>-1265461603487.3606</v>
      </c>
      <c r="L4906" s="455">
        <f t="shared" ca="1" si="179"/>
        <v>-304976246440453.94</v>
      </c>
      <c r="M4906" s="471">
        <f t="shared" si="181"/>
        <v>0.05</v>
      </c>
      <c r="N4906" s="475">
        <f t="shared" si="182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80"/>
        <v>-304976246440453.94</v>
      </c>
      <c r="J4907" s="455">
        <f t="array" ref="J4907">IFERROR(INDEX('Retirement Calculator'!K:K,MATCH('Lorri 401b'!N4907,'Retirement Calculator'!A:A,0),0),0)</f>
        <v>0</v>
      </c>
      <c r="K4907" s="455">
        <f t="shared" ca="1" si="178"/>
        <v>-1270734360168.5581</v>
      </c>
      <c r="L4907" s="455">
        <f t="shared" ca="1" si="179"/>
        <v>-306246980800622.5</v>
      </c>
      <c r="M4907" s="471">
        <f t="shared" si="181"/>
        <v>0.05</v>
      </c>
      <c r="N4907" s="475">
        <f t="shared" si="182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80"/>
        <v>-306246980800622.5</v>
      </c>
      <c r="J4908" s="455">
        <f t="array" ref="J4908">IFERROR(INDEX('Retirement Calculator'!K:K,MATCH('Lorri 401b'!N4908,'Retirement Calculator'!A:A,0),0),0)</f>
        <v>0</v>
      </c>
      <c r="K4908" s="455">
        <f t="shared" ca="1" si="178"/>
        <v>-1276029086669.2605</v>
      </c>
      <c r="L4908" s="455">
        <f t="shared" ca="1" si="179"/>
        <v>-307523009887291.75</v>
      </c>
      <c r="M4908" s="471">
        <f t="shared" si="181"/>
        <v>0.05</v>
      </c>
      <c r="N4908" s="475">
        <f t="shared" si="182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80"/>
        <v>-307523009887291.75</v>
      </c>
      <c r="J4909" s="455">
        <f t="array" ref="J4909">IFERROR(INDEX('Retirement Calculator'!K:K,MATCH('Lorri 401b'!N4909,'Retirement Calculator'!A:A,0),0),0)</f>
        <v>0</v>
      </c>
      <c r="K4909" s="455">
        <f t="shared" ca="1" si="178"/>
        <v>-1281345874530.3823</v>
      </c>
      <c r="L4909" s="455">
        <f t="shared" ca="1" si="179"/>
        <v>-308804355761822.13</v>
      </c>
      <c r="M4909" s="471">
        <f t="shared" si="181"/>
        <v>0.05</v>
      </c>
      <c r="N4909" s="475">
        <f t="shared" si="182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80"/>
        <v>-308804355761822.13</v>
      </c>
      <c r="J4910" s="455">
        <f t="array" ref="J4910">IFERROR(INDEX('Retirement Calculator'!K:K,MATCH('Lorri 401b'!N4910,'Retirement Calculator'!A:A,0),0),0)</f>
        <v>0</v>
      </c>
      <c r="K4910" s="455">
        <f t="shared" ca="1" si="178"/>
        <v>-1286684815674.2588</v>
      </c>
      <c r="L4910" s="455">
        <f t="shared" ca="1" si="179"/>
        <v>-310091040577496.38</v>
      </c>
      <c r="M4910" s="471">
        <f t="shared" si="181"/>
        <v>0.05</v>
      </c>
      <c r="N4910" s="475">
        <f t="shared" si="182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80"/>
        <v>-310091040577496.38</v>
      </c>
      <c r="J4911" s="455">
        <f t="array" ref="J4911">IFERROR(INDEX('Retirement Calculator'!K:K,MATCH('Lorri 401b'!N4911,'Retirement Calculator'!A:A,0),0),0)</f>
        <v>0</v>
      </c>
      <c r="K4911" s="455">
        <f t="shared" ca="1" si="178"/>
        <v>-1292046002406.2349</v>
      </c>
      <c r="L4911" s="455">
        <f t="shared" ca="1" si="179"/>
        <v>-311383086579902.63</v>
      </c>
      <c r="M4911" s="471">
        <f t="shared" si="181"/>
        <v>0.05</v>
      </c>
      <c r="N4911" s="475">
        <f t="shared" si="182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80"/>
        <v>-311383086579902.63</v>
      </c>
      <c r="J4912" s="455">
        <f t="array" ref="J4912">IFERROR(INDEX('Retirement Calculator'!K:K,MATCH('Lorri 401b'!N4912,'Retirement Calculator'!A:A,0),0),0)</f>
        <v>0</v>
      </c>
      <c r="K4912" s="455">
        <f t="shared" ca="1" si="178"/>
        <v>-1297429527416.261</v>
      </c>
      <c r="L4912" s="455">
        <f t="shared" ca="1" si="179"/>
        <v>-312680516107318.88</v>
      </c>
      <c r="M4912" s="471">
        <f t="shared" si="181"/>
        <v>0.05</v>
      </c>
      <c r="N4912" s="475">
        <f t="shared" si="182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80"/>
        <v>-312680516107318.88</v>
      </c>
      <c r="J4913" s="455">
        <f t="array" ref="J4913">IFERROR(INDEX('Retirement Calculator'!K:K,MATCH('Lorri 401b'!N4913,'Retirement Calculator'!A:A,0),0),0)</f>
        <v>0</v>
      </c>
      <c r="K4913" s="455">
        <f t="shared" ca="1" si="178"/>
        <v>-1302835483780.4954</v>
      </c>
      <c r="L4913" s="455">
        <f t="shared" ca="1" si="179"/>
        <v>-313983351591099.38</v>
      </c>
      <c r="M4913" s="471">
        <f t="shared" si="181"/>
        <v>0.05</v>
      </c>
      <c r="N4913" s="475">
        <f t="shared" si="182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80"/>
        <v>-313983351591099.38</v>
      </c>
      <c r="J4914" s="455">
        <f t="array" ref="J4914">IFERROR(INDEX('Retirement Calculator'!K:K,MATCH('Lorri 401b'!N4914,'Retirement Calculator'!A:A,0),0),0)</f>
        <v>0</v>
      </c>
      <c r="K4914" s="455">
        <f t="shared" ca="1" si="178"/>
        <v>-1308263964962.9141</v>
      </c>
      <c r="L4914" s="455">
        <f t="shared" ca="1" si="179"/>
        <v>-315291615556062.31</v>
      </c>
      <c r="M4914" s="471">
        <f t="shared" si="181"/>
        <v>0.05</v>
      </c>
      <c r="N4914" s="475">
        <f t="shared" si="182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80"/>
        <v>-315291615556062.31</v>
      </c>
      <c r="J4915" s="455">
        <f t="array" ref="J4915">IFERROR(INDEX('Retirement Calculator'!K:K,MATCH('Lorri 401b'!N4915,'Retirement Calculator'!A:A,0),0),0)</f>
        <v>0</v>
      </c>
      <c r="K4915" s="455">
        <f t="shared" ca="1" si="178"/>
        <v>-1313715064816.9263</v>
      </c>
      <c r="L4915" s="455">
        <f t="shared" ca="1" si="179"/>
        <v>-316605330620879.25</v>
      </c>
      <c r="M4915" s="471">
        <f t="shared" si="181"/>
        <v>0.05</v>
      </c>
      <c r="N4915" s="475">
        <f t="shared" si="182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80"/>
        <v>-316605330620879.25</v>
      </c>
      <c r="J4916" s="455">
        <f t="array" ref="J4916">IFERROR(INDEX('Retirement Calculator'!K:K,MATCH('Lorri 401b'!N4916,'Retirement Calculator'!A:A,0),0),0)</f>
        <v>0</v>
      </c>
      <c r="K4916" s="455">
        <f t="shared" ca="1" si="178"/>
        <v>-1319188877586.9968</v>
      </c>
      <c r="L4916" s="455">
        <f t="shared" ca="1" si="179"/>
        <v>-317924519498466.25</v>
      </c>
      <c r="M4916" s="471">
        <f t="shared" si="181"/>
        <v>0.05</v>
      </c>
      <c r="N4916" s="475">
        <f t="shared" si="182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80"/>
        <v>-317924519498466.25</v>
      </c>
      <c r="J4917" s="455">
        <f t="array" ref="J4917">IFERROR(INDEX('Retirement Calculator'!K:K,MATCH('Lorri 401b'!N4917,'Retirement Calculator'!A:A,0),0),0)</f>
        <v>0</v>
      </c>
      <c r="K4917" s="455">
        <f t="shared" ca="1" si="178"/>
        <v>-1324685497910.2761</v>
      </c>
      <c r="L4917" s="455">
        <f t="shared" ca="1" si="179"/>
        <v>-319249204996376.5</v>
      </c>
      <c r="M4917" s="471">
        <f t="shared" si="181"/>
        <v>0.05</v>
      </c>
      <c r="N4917" s="475">
        <f t="shared" si="182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80"/>
        <v>-319249204996376.5</v>
      </c>
      <c r="J4918" s="455">
        <f t="array" ref="J4918">IFERROR(INDEX('Retirement Calculator'!K:K,MATCH('Lorri 401b'!N4918,'Retirement Calculator'!A:A,0),0),0)</f>
        <v>0</v>
      </c>
      <c r="K4918" s="455">
        <f t="shared" ca="1" si="178"/>
        <v>-1330205020818.2354</v>
      </c>
      <c r="L4918" s="455">
        <f t="shared" ca="1" si="179"/>
        <v>-320579410017194.75</v>
      </c>
      <c r="M4918" s="471">
        <f t="shared" si="181"/>
        <v>0.05</v>
      </c>
      <c r="N4918" s="475">
        <f t="shared" si="182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80"/>
        <v>-320579410017194.75</v>
      </c>
      <c r="J4919" s="455">
        <f t="array" ref="J4919">IFERROR(INDEX('Retirement Calculator'!K:K,MATCH('Lorri 401b'!N4919,'Retirement Calculator'!A:A,0),0),0)</f>
        <v>0</v>
      </c>
      <c r="K4919" s="455">
        <f t="shared" ca="1" si="178"/>
        <v>-1335747541738.3115</v>
      </c>
      <c r="L4919" s="455">
        <f t="shared" ca="1" si="179"/>
        <v>-321915157558933.06</v>
      </c>
      <c r="M4919" s="471">
        <f t="shared" si="181"/>
        <v>0.05</v>
      </c>
      <c r="N4919" s="475">
        <f t="shared" si="182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80"/>
        <v>-321915157558933.06</v>
      </c>
      <c r="J4920" s="455">
        <f t="array" ref="J4920">IFERROR(INDEX('Retirement Calculator'!K:K,MATCH('Lorri 401b'!N4920,'Retirement Calculator'!A:A,0),0),0)</f>
        <v>0</v>
      </c>
      <c r="K4920" s="455">
        <f t="shared" ca="1" si="178"/>
        <v>-1341313156495.5544</v>
      </c>
      <c r="L4920" s="455">
        <f t="shared" ca="1" si="179"/>
        <v>-323256470715428.63</v>
      </c>
      <c r="M4920" s="471">
        <f t="shared" si="181"/>
        <v>0.05</v>
      </c>
      <c r="N4920" s="475">
        <f t="shared" si="182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80"/>
        <v>-323256470715428.63</v>
      </c>
      <c r="J4921" s="455">
        <f t="array" ref="J4921">IFERROR(INDEX('Retirement Calculator'!K:K,MATCH('Lorri 401b'!N4921,'Retirement Calculator'!A:A,0),0),0)</f>
        <v>0</v>
      </c>
      <c r="K4921" s="455">
        <f t="shared" ca="1" si="178"/>
        <v>-1346901961314.2859</v>
      </c>
      <c r="L4921" s="455">
        <f t="shared" ca="1" si="179"/>
        <v>-324603372676742.94</v>
      </c>
      <c r="M4921" s="471">
        <f t="shared" si="181"/>
        <v>0.05</v>
      </c>
      <c r="N4921" s="475">
        <f t="shared" si="182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80"/>
        <v>-324603372676742.94</v>
      </c>
      <c r="J4922" s="455">
        <f t="array" ref="J4922">IFERROR(INDEX('Retirement Calculator'!K:K,MATCH('Lorri 401b'!N4922,'Retirement Calculator'!A:A,0),0),0)</f>
        <v>0</v>
      </c>
      <c r="K4922" s="455">
        <f t="shared" ca="1" si="178"/>
        <v>-1352514052819.7622</v>
      </c>
      <c r="L4922" s="455">
        <f t="shared" ca="1" si="179"/>
        <v>-325955886729562.69</v>
      </c>
      <c r="M4922" s="471">
        <f t="shared" si="181"/>
        <v>0.05</v>
      </c>
      <c r="N4922" s="475">
        <f t="shared" si="182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80"/>
        <v>-325955886729562.69</v>
      </c>
      <c r="J4923" s="455">
        <f t="array" ref="J4923">IFERROR(INDEX('Retirement Calculator'!K:K,MATCH('Lorri 401b'!N4923,'Retirement Calculator'!A:A,0),0),0)</f>
        <v>0</v>
      </c>
      <c r="K4923" s="455">
        <f t="shared" ca="1" si="178"/>
        <v>-1358149528039.8445</v>
      </c>
      <c r="L4923" s="455">
        <f t="shared" ca="1" si="179"/>
        <v>-327314036257602.56</v>
      </c>
      <c r="M4923" s="471">
        <f t="shared" si="181"/>
        <v>0.05</v>
      </c>
      <c r="N4923" s="475">
        <f t="shared" si="182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80"/>
        <v>-327314036257602.56</v>
      </c>
      <c r="J4924" s="455">
        <f t="array" ref="J4924">IFERROR(INDEX('Retirement Calculator'!K:K,MATCH('Lorri 401b'!N4924,'Retirement Calculator'!A:A,0),0),0)</f>
        <v>0</v>
      </c>
      <c r="K4924" s="455">
        <f t="shared" ca="1" si="178"/>
        <v>-1363808484406.6772</v>
      </c>
      <c r="L4924" s="455">
        <f t="shared" ca="1" si="179"/>
        <v>-328677844742009.25</v>
      </c>
      <c r="M4924" s="471">
        <f t="shared" si="181"/>
        <v>0.05</v>
      </c>
      <c r="N4924" s="475">
        <f t="shared" si="182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80"/>
        <v>-328677844742009.25</v>
      </c>
      <c r="J4925" s="455">
        <f t="array" ref="J4925">IFERROR(INDEX('Retirement Calculator'!K:K,MATCH('Lorri 401b'!N4925,'Retirement Calculator'!A:A,0),0),0)</f>
        <v>0</v>
      </c>
      <c r="K4925" s="455">
        <f t="shared" ca="1" si="178"/>
        <v>-1369491019758.3718</v>
      </c>
      <c r="L4925" s="455">
        <f t="shared" ca="1" si="179"/>
        <v>-330047335761767.63</v>
      </c>
      <c r="M4925" s="471">
        <f t="shared" si="181"/>
        <v>0.05</v>
      </c>
      <c r="N4925" s="475">
        <f t="shared" si="182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80"/>
        <v>-330047335761767.63</v>
      </c>
      <c r="J4926" s="455">
        <f t="array" ref="J4926">IFERROR(INDEX('Retirement Calculator'!K:K,MATCH('Lorri 401b'!N4926,'Retirement Calculator'!A:A,0),0),0)</f>
        <v>0</v>
      </c>
      <c r="K4926" s="455">
        <f t="shared" ca="1" si="178"/>
        <v>-1375197232340.6985</v>
      </c>
      <c r="L4926" s="455">
        <f t="shared" ca="1" si="179"/>
        <v>-331422532994108.31</v>
      </c>
      <c r="M4926" s="471">
        <f t="shared" si="181"/>
        <v>0.05</v>
      </c>
      <c r="N4926" s="475">
        <f t="shared" si="182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80"/>
        <v>-331422532994108.31</v>
      </c>
      <c r="J4927" s="455">
        <f t="array" ref="J4927">IFERROR(INDEX('Retirement Calculator'!K:K,MATCH('Lorri 401b'!N4927,'Retirement Calculator'!A:A,0),0),0)</f>
        <v>0</v>
      </c>
      <c r="K4927" s="455">
        <f t="shared" ca="1" si="178"/>
        <v>-1380927220808.7847</v>
      </c>
      <c r="L4927" s="455">
        <f t="shared" ca="1" si="179"/>
        <v>-332803460214917.13</v>
      </c>
      <c r="M4927" s="471">
        <f t="shared" si="181"/>
        <v>0.05</v>
      </c>
      <c r="N4927" s="475">
        <f t="shared" si="182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80"/>
        <v>-332803460214917.13</v>
      </c>
      <c r="J4928" s="455">
        <f t="array" ref="J4928">IFERROR(INDEX('Retirement Calculator'!K:K,MATCH('Lorri 401b'!N4928,'Retirement Calculator'!A:A,0),0),0)</f>
        <v>0</v>
      </c>
      <c r="K4928" s="455">
        <f t="shared" ca="1" si="178"/>
        <v>-1386681084228.8213</v>
      </c>
      <c r="L4928" s="455">
        <f t="shared" ca="1" si="179"/>
        <v>-334190141299145.94</v>
      </c>
      <c r="M4928" s="471">
        <f t="shared" si="181"/>
        <v>0.05</v>
      </c>
      <c r="N4928" s="475">
        <f t="shared" si="182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80"/>
        <v>-334190141299145.94</v>
      </c>
      <c r="J4929" s="455">
        <f t="array" ref="J4929">IFERROR(INDEX('Retirement Calculator'!K:K,MATCH('Lorri 401b'!N4929,'Retirement Calculator'!A:A,0),0),0)</f>
        <v>0</v>
      </c>
      <c r="K4929" s="455">
        <f t="shared" ca="1" si="178"/>
        <v>-1392458922079.7747</v>
      </c>
      <c r="L4929" s="455">
        <f t="shared" ca="1" si="179"/>
        <v>-335582600221225.69</v>
      </c>
      <c r="M4929" s="471">
        <f t="shared" si="181"/>
        <v>0.05</v>
      </c>
      <c r="N4929" s="475">
        <f t="shared" si="182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80"/>
        <v>-335582600221225.69</v>
      </c>
      <c r="J4930" s="455">
        <f t="array" ref="J4930">IFERROR(INDEX('Retirement Calculator'!K:K,MATCH('Lorri 401b'!N4930,'Retirement Calculator'!A:A,0),0),0)</f>
        <v>0</v>
      </c>
      <c r="K4930" s="455">
        <f t="shared" ca="1" si="178"/>
        <v>-1398260834255.1069</v>
      </c>
      <c r="L4930" s="455">
        <f t="shared" ca="1" si="179"/>
        <v>-336980861055480.81</v>
      </c>
      <c r="M4930" s="471">
        <f t="shared" si="181"/>
        <v>0.05</v>
      </c>
      <c r="N4930" s="475">
        <f t="shared" si="182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80"/>
        <v>-336980861055480.81</v>
      </c>
      <c r="J4931" s="455">
        <f t="array" ref="J4931">IFERROR(INDEX('Retirement Calculator'!K:K,MATCH('Lorri 401b'!N4931,'Retirement Calculator'!A:A,0),0),0)</f>
        <v>0</v>
      </c>
      <c r="K4931" s="455">
        <f t="shared" ca="1" si="178"/>
        <v>-1404086921064.5034</v>
      </c>
      <c r="L4931" s="455">
        <f t="shared" ca="1" si="179"/>
        <v>-338384947976545.31</v>
      </c>
      <c r="M4931" s="471">
        <f t="shared" si="181"/>
        <v>0.05</v>
      </c>
      <c r="N4931" s="475">
        <f t="shared" si="182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80"/>
        <v>-338384947976545.31</v>
      </c>
      <c r="J4932" s="455">
        <f t="array" ref="J4932">IFERROR(INDEX('Retirement Calculator'!K:K,MATCH('Lorri 401b'!N4932,'Retirement Calculator'!A:A,0),0),0)</f>
        <v>0</v>
      </c>
      <c r="K4932" s="455">
        <f t="shared" ca="1" si="178"/>
        <v>-1409937283235.6055</v>
      </c>
      <c r="L4932" s="455">
        <f t="shared" ca="1" si="179"/>
        <v>-339794885259780.94</v>
      </c>
      <c r="M4932" s="471">
        <f t="shared" si="181"/>
        <v>0.05</v>
      </c>
      <c r="N4932" s="475">
        <f t="shared" si="182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80"/>
        <v>-339794885259780.94</v>
      </c>
      <c r="J4933" s="455">
        <f t="array" ref="J4933">IFERROR(INDEX('Retirement Calculator'!K:K,MATCH('Lorri 401b'!N4933,'Retirement Calculator'!A:A,0),0),0)</f>
        <v>0</v>
      </c>
      <c r="K4933" s="455">
        <f t="shared" ca="1" si="178"/>
        <v>-1415812021915.7539</v>
      </c>
      <c r="L4933" s="455">
        <f t="shared" ca="1" si="179"/>
        <v>-341210697281696.69</v>
      </c>
      <c r="M4933" s="471">
        <f t="shared" si="181"/>
        <v>0.05</v>
      </c>
      <c r="N4933" s="475">
        <f t="shared" si="182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80"/>
        <v>-341210697281696.69</v>
      </c>
      <c r="J4934" s="455">
        <f t="array" ref="J4934">IFERROR(INDEX('Retirement Calculator'!K:K,MATCH('Lorri 401b'!N4934,'Retirement Calculator'!A:A,0),0),0)</f>
        <v>0</v>
      </c>
      <c r="K4934" s="455">
        <f t="shared" ca="1" si="178"/>
        <v>-1421711238673.7361</v>
      </c>
      <c r="L4934" s="455">
        <f t="shared" ca="1" si="179"/>
        <v>-342632408520370.44</v>
      </c>
      <c r="M4934" s="471">
        <f t="shared" si="181"/>
        <v>0.05</v>
      </c>
      <c r="N4934" s="475">
        <f t="shared" si="182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80"/>
        <v>-342632408520370.44</v>
      </c>
      <c r="J4935" s="455">
        <f t="array" ref="J4935">IFERROR(INDEX('Retirement Calculator'!K:K,MATCH('Lorri 401b'!N4935,'Retirement Calculator'!A:A,0),0),0)</f>
        <v>0</v>
      </c>
      <c r="K4935" s="455">
        <f t="shared" ca="1" si="178"/>
        <v>-1427635035501.5435</v>
      </c>
      <c r="L4935" s="455">
        <f t="shared" ca="1" si="179"/>
        <v>-344060043555872</v>
      </c>
      <c r="M4935" s="471">
        <f t="shared" si="181"/>
        <v>0.05</v>
      </c>
      <c r="N4935" s="475">
        <f t="shared" si="182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80"/>
        <v>-344060043555872</v>
      </c>
      <c r="J4936" s="455">
        <f t="array" ref="J4936">IFERROR(INDEX('Retirement Calculator'!K:K,MATCH('Lorri 401b'!N4936,'Retirement Calculator'!A:A,0),0),0)</f>
        <v>0</v>
      </c>
      <c r="K4936" s="455">
        <f t="shared" ca="1" si="178"/>
        <v>-1433583514816.1333</v>
      </c>
      <c r="L4936" s="455">
        <f t="shared" ca="1" si="179"/>
        <v>-345493627070688.13</v>
      </c>
      <c r="M4936" s="471">
        <f t="shared" si="181"/>
        <v>0.05</v>
      </c>
      <c r="N4936" s="475">
        <f t="shared" si="182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80"/>
        <v>-345493627070688.13</v>
      </c>
      <c r="J4937" s="455">
        <f t="array" ref="J4937">IFERROR(INDEX('Retirement Calculator'!K:K,MATCH('Lorri 401b'!N4937,'Retirement Calculator'!A:A,0),0),0)</f>
        <v>0</v>
      </c>
      <c r="K4937" s="455">
        <f t="shared" ca="1" si="178"/>
        <v>-1439556779461.2004</v>
      </c>
      <c r="L4937" s="455">
        <f t="shared" ca="1" si="179"/>
        <v>-346933183850149.31</v>
      </c>
      <c r="M4937" s="471">
        <f t="shared" si="181"/>
        <v>0.05</v>
      </c>
      <c r="N4937" s="475">
        <f t="shared" si="182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80"/>
        <v>-346933183850149.31</v>
      </c>
      <c r="J4938" s="455">
        <f t="array" ref="J4938">IFERROR(INDEX('Retirement Calculator'!K:K,MATCH('Lorri 401b'!N4938,'Retirement Calculator'!A:A,0),0),0)</f>
        <v>0</v>
      </c>
      <c r="K4938" s="455">
        <f t="shared" ca="1" si="178"/>
        <v>-1445554932708.9556</v>
      </c>
      <c r="L4938" s="455">
        <f t="shared" ca="1" si="179"/>
        <v>-348378738782858.25</v>
      </c>
      <c r="M4938" s="471">
        <f t="shared" si="181"/>
        <v>0.05</v>
      </c>
      <c r="N4938" s="475">
        <f t="shared" si="182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80"/>
        <v>-348378738782858.25</v>
      </c>
      <c r="J4939" s="455">
        <f t="array" ref="J4939">IFERROR(INDEX('Retirement Calculator'!K:K,MATCH('Lorri 401b'!N4939,'Retirement Calculator'!A:A,0),0),0)</f>
        <v>0</v>
      </c>
      <c r="K4939" s="455">
        <f t="shared" ca="1" si="178"/>
        <v>-1451578078261.9094</v>
      </c>
      <c r="L4939" s="455">
        <f t="shared" ca="1" si="179"/>
        <v>-349830316861120.19</v>
      </c>
      <c r="M4939" s="471">
        <f t="shared" si="181"/>
        <v>0.05</v>
      </c>
      <c r="N4939" s="475">
        <f t="shared" si="182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80"/>
        <v>-349830316861120.19</v>
      </c>
      <c r="J4940" s="455">
        <f t="array" ref="J4940">IFERROR(INDEX('Retirement Calculator'!K:K,MATCH('Lorri 401b'!N4940,'Retirement Calculator'!A:A,0),0),0)</f>
        <v>0</v>
      </c>
      <c r="K4940" s="455">
        <f t="shared" ca="1" si="178"/>
        <v>-1457626320254.6675</v>
      </c>
      <c r="L4940" s="455">
        <f t="shared" ca="1" si="179"/>
        <v>-351287943181374.88</v>
      </c>
      <c r="M4940" s="471">
        <f t="shared" si="181"/>
        <v>0.05</v>
      </c>
      <c r="N4940" s="475">
        <f t="shared" si="182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80"/>
        <v>-351287943181374.88</v>
      </c>
      <c r="J4941" s="455">
        <f t="array" ref="J4941">IFERROR(INDEX('Retirement Calculator'!K:K,MATCH('Lorri 401b'!N4941,'Retirement Calculator'!A:A,0),0),0)</f>
        <v>0</v>
      </c>
      <c r="K4941" s="455">
        <f t="shared" ca="1" si="178"/>
        <v>-1463699763255.7285</v>
      </c>
      <c r="L4941" s="455">
        <f t="shared" ca="1" si="179"/>
        <v>-352751642944630.63</v>
      </c>
      <c r="M4941" s="471">
        <f t="shared" si="181"/>
        <v>0.05</v>
      </c>
      <c r="N4941" s="475">
        <f t="shared" si="182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80"/>
        <v>-352751642944630.63</v>
      </c>
      <c r="J4942" s="455">
        <f t="array" ref="J4942">IFERROR(INDEX('Retirement Calculator'!K:K,MATCH('Lorri 401b'!N4942,'Retirement Calculator'!A:A,0),0),0)</f>
        <v>0</v>
      </c>
      <c r="K4942" s="455">
        <f t="shared" ca="1" si="178"/>
        <v>-1469798512269.2942</v>
      </c>
      <c r="L4942" s="455">
        <f t="shared" ca="1" si="179"/>
        <v>-354221441456899.94</v>
      </c>
      <c r="M4942" s="471">
        <f t="shared" si="181"/>
        <v>0.05</v>
      </c>
      <c r="N4942" s="475">
        <f t="shared" si="182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80"/>
        <v>-354221441456899.94</v>
      </c>
      <c r="J4943" s="455">
        <f t="array" ref="J4943">IFERROR(INDEX('Retirement Calculator'!K:K,MATCH('Lorri 401b'!N4943,'Retirement Calculator'!A:A,0),0),0)</f>
        <v>0</v>
      </c>
      <c r="K4943" s="455">
        <f t="shared" ca="1" si="178"/>
        <v>-1475922672737.083</v>
      </c>
      <c r="L4943" s="455">
        <f t="shared" ca="1" si="179"/>
        <v>-355697364129637</v>
      </c>
      <c r="M4943" s="471">
        <f t="shared" si="181"/>
        <v>0.05</v>
      </c>
      <c r="N4943" s="475">
        <f t="shared" si="182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80"/>
        <v>-355697364129637</v>
      </c>
      <c r="J4944" s="455">
        <f t="array" ref="J4944">IFERROR(INDEX('Retirement Calculator'!K:K,MATCH('Lorri 401b'!N4944,'Retirement Calculator'!A:A,0),0),0)</f>
        <v>0</v>
      </c>
      <c r="K4944" s="455">
        <f t="shared" ca="1" si="178"/>
        <v>-1482072350540.1541</v>
      </c>
      <c r="L4944" s="455">
        <f t="shared" ca="1" si="179"/>
        <v>-357179436480177.13</v>
      </c>
      <c r="M4944" s="471">
        <f t="shared" si="181"/>
        <v>0.05</v>
      </c>
      <c r="N4944" s="475">
        <f t="shared" si="182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80"/>
        <v>-357179436480177.13</v>
      </c>
      <c r="J4945" s="455">
        <f t="array" ref="J4945">IFERROR(INDEX('Retirement Calculator'!K:K,MATCH('Lorri 401b'!N4945,'Retirement Calculator'!A:A,0),0),0)</f>
        <v>0</v>
      </c>
      <c r="K4945" s="455">
        <f t="shared" ca="1" si="178"/>
        <v>-1488247652000.738</v>
      </c>
      <c r="L4945" s="455">
        <f t="shared" ca="1" si="179"/>
        <v>-358667684132177.88</v>
      </c>
      <c r="M4945" s="471">
        <f t="shared" si="181"/>
        <v>0.05</v>
      </c>
      <c r="N4945" s="475">
        <f t="shared" si="182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80"/>
        <v>-358667684132177.88</v>
      </c>
      <c r="J4946" s="455">
        <f t="array" ref="J4946">IFERROR(INDEX('Retirement Calculator'!K:K,MATCH('Lorri 401b'!N4946,'Retirement Calculator'!A:A,0),0),0)</f>
        <v>0</v>
      </c>
      <c r="K4946" s="455">
        <f t="shared" ca="1" si="178"/>
        <v>-1494448683884.0745</v>
      </c>
      <c r="L4946" s="455">
        <f t="shared" ca="1" si="179"/>
        <v>-360162132816061.94</v>
      </c>
      <c r="M4946" s="471">
        <f t="shared" si="181"/>
        <v>0.05</v>
      </c>
      <c r="N4946" s="475">
        <f t="shared" si="182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80"/>
        <v>-360162132816061.94</v>
      </c>
      <c r="J4947" s="455">
        <f t="array" ref="J4947">IFERROR(INDEX('Retirement Calculator'!K:K,MATCH('Lorri 401b'!N4947,'Retirement Calculator'!A:A,0),0),0)</f>
        <v>0</v>
      </c>
      <c r="K4947" s="455">
        <f t="shared" ca="1" si="178"/>
        <v>-1500675553400.2581</v>
      </c>
      <c r="L4947" s="455">
        <f t="shared" ca="1" si="179"/>
        <v>-361662808369462.19</v>
      </c>
      <c r="M4947" s="471">
        <f t="shared" si="181"/>
        <v>0.05</v>
      </c>
      <c r="N4947" s="475">
        <f t="shared" si="182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80"/>
        <v>-361662808369462.19</v>
      </c>
      <c r="J4948" s="455">
        <f t="array" ref="J4948">IFERROR(INDEX('Retirement Calculator'!K:K,MATCH('Lorri 401b'!N4948,'Retirement Calculator'!A:A,0),0),0)</f>
        <v>0</v>
      </c>
      <c r="K4948" s="455">
        <f t="shared" ca="1" si="178"/>
        <v>-1506928368206.0925</v>
      </c>
      <c r="L4948" s="455">
        <f t="shared" ca="1" si="179"/>
        <v>-363169736737668.25</v>
      </c>
      <c r="M4948" s="471">
        <f t="shared" si="181"/>
        <v>0.05</v>
      </c>
      <c r="N4948" s="475">
        <f t="shared" si="182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80"/>
        <v>-363169736737668.25</v>
      </c>
      <c r="J4949" s="455">
        <f t="array" ref="J4949">IFERROR(INDEX('Retirement Calculator'!K:K,MATCH('Lorri 401b'!N4949,'Retirement Calculator'!A:A,0),0),0)</f>
        <v>0</v>
      </c>
      <c r="K4949" s="455">
        <f t="shared" ca="1" si="178"/>
        <v>-1513207236406.9509</v>
      </c>
      <c r="L4949" s="455">
        <f t="shared" ca="1" si="179"/>
        <v>-364682943974075.19</v>
      </c>
      <c r="M4949" s="471">
        <f t="shared" si="181"/>
        <v>0.05</v>
      </c>
      <c r="N4949" s="475">
        <f t="shared" si="182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80"/>
        <v>-364682943974075.19</v>
      </c>
      <c r="J4950" s="455">
        <f t="array" ref="J4950">IFERROR(INDEX('Retirement Calculator'!K:K,MATCH('Lorri 401b'!N4950,'Retirement Calculator'!A:A,0),0),0)</f>
        <v>0</v>
      </c>
      <c r="K4950" s="455">
        <f t="shared" ca="1" si="178"/>
        <v>-1519512266558.6465</v>
      </c>
      <c r="L4950" s="455">
        <f t="shared" ca="1" si="179"/>
        <v>-366202456240633.81</v>
      </c>
      <c r="M4950" s="471">
        <f t="shared" si="181"/>
        <v>0.05</v>
      </c>
      <c r="N4950" s="475">
        <f t="shared" si="182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80"/>
        <v>-366202456240633.81</v>
      </c>
      <c r="J4951" s="455">
        <f t="array" ref="J4951">IFERROR(INDEX('Retirement Calculator'!K:K,MATCH('Lorri 401b'!N4951,'Retirement Calculator'!A:A,0),0),0)</f>
        <v>0</v>
      </c>
      <c r="K4951" s="455">
        <f t="shared" ca="1" si="178"/>
        <v>-1525843567669.3076</v>
      </c>
      <c r="L4951" s="455">
        <f t="shared" ca="1" si="179"/>
        <v>-367728299808303.13</v>
      </c>
      <c r="M4951" s="471">
        <f t="shared" si="181"/>
        <v>0.05</v>
      </c>
      <c r="N4951" s="475">
        <f t="shared" si="182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80"/>
        <v>-367728299808303.13</v>
      </c>
      <c r="J4952" s="455">
        <f t="array" ref="J4952">IFERROR(INDEX('Retirement Calculator'!K:K,MATCH('Lorri 401b'!N4952,'Retirement Calculator'!A:A,0),0),0)</f>
        <v>0</v>
      </c>
      <c r="K4952" s="455">
        <f t="shared" ca="1" si="178"/>
        <v>-1532201249201.2629</v>
      </c>
      <c r="L4952" s="455">
        <f t="shared" ca="1" si="179"/>
        <v>-369260501057504.38</v>
      </c>
      <c r="M4952" s="471">
        <f t="shared" si="181"/>
        <v>0.05</v>
      </c>
      <c r="N4952" s="475">
        <f t="shared" si="182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80"/>
        <v>-369260501057504.38</v>
      </c>
      <c r="J4953" s="455">
        <f t="array" ref="J4953">IFERROR(INDEX('Retirement Calculator'!K:K,MATCH('Lorri 401b'!N4953,'Retirement Calculator'!A:A,0),0),0)</f>
        <v>0</v>
      </c>
      <c r="K4953" s="455">
        <f t="shared" ca="1" si="178"/>
        <v>-1538585421072.9348</v>
      </c>
      <c r="L4953" s="455">
        <f t="shared" ca="1" si="179"/>
        <v>-370799086478577.31</v>
      </c>
      <c r="M4953" s="471">
        <f t="shared" si="181"/>
        <v>0.05</v>
      </c>
      <c r="N4953" s="475">
        <f t="shared" si="182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80"/>
        <v>-370799086478577.31</v>
      </c>
      <c r="J4954" s="455">
        <f t="array" ref="J4954">IFERROR(INDEX('Retirement Calculator'!K:K,MATCH('Lorri 401b'!N4954,'Retirement Calculator'!A:A,0),0),0)</f>
        <v>0</v>
      </c>
      <c r="K4954" s="455">
        <f t="shared" ca="1" si="178"/>
        <v>-1544996193660.7388</v>
      </c>
      <c r="L4954" s="455">
        <f t="shared" ca="1" si="179"/>
        <v>-372344082672238.06</v>
      </c>
      <c r="M4954" s="471">
        <f t="shared" si="181"/>
        <v>0.05</v>
      </c>
      <c r="N4954" s="475">
        <f t="shared" si="182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80"/>
        <v>-372344082672238.06</v>
      </c>
      <c r="J4955" s="455">
        <f t="array" ref="J4955">IFERROR(INDEX('Retirement Calculator'!K:K,MATCH('Lorri 401b'!N4955,'Retirement Calculator'!A:A,0),0),0)</f>
        <v>0</v>
      </c>
      <c r="K4955" s="455">
        <f t="shared" ca="1" si="178"/>
        <v>-1551433677800.9919</v>
      </c>
      <c r="L4955" s="455">
        <f t="shared" ca="1" si="179"/>
        <v>-373895516350039.06</v>
      </c>
      <c r="M4955" s="471">
        <f t="shared" si="181"/>
        <v>0.05</v>
      </c>
      <c r="N4955" s="475">
        <f t="shared" si="182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80"/>
        <v>-373895516350039.06</v>
      </c>
      <c r="J4956" s="455">
        <f t="array" ref="J4956">IFERROR(INDEX('Retirement Calculator'!K:K,MATCH('Lorri 401b'!N4956,'Retirement Calculator'!A:A,0),0),0)</f>
        <v>0</v>
      </c>
      <c r="K4956" s="455">
        <f t="shared" ca="1" si="178"/>
        <v>-1557897984791.8293</v>
      </c>
      <c r="L4956" s="455">
        <f t="shared" ca="1" si="179"/>
        <v>-375453414334830.88</v>
      </c>
      <c r="M4956" s="471">
        <f t="shared" si="181"/>
        <v>0.05</v>
      </c>
      <c r="N4956" s="475">
        <f t="shared" si="182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80"/>
        <v>-375453414334830.88</v>
      </c>
      <c r="J4957" s="455">
        <f t="array" ref="J4957">IFERROR(INDEX('Retirement Calculator'!K:K,MATCH('Lorri 401b'!N4957,'Retirement Calculator'!A:A,0),0),0)</f>
        <v>0</v>
      </c>
      <c r="K4957" s="455">
        <f t="shared" ca="1" si="178"/>
        <v>-1564389226395.1287</v>
      </c>
      <c r="L4957" s="455">
        <f t="shared" ca="1" si="179"/>
        <v>-377017803561226</v>
      </c>
      <c r="M4957" s="471">
        <f t="shared" si="181"/>
        <v>0.05</v>
      </c>
      <c r="N4957" s="475">
        <f t="shared" si="182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80"/>
        <v>-377017803561226</v>
      </c>
      <c r="J4958" s="455">
        <f t="array" ref="J4958">IFERROR(INDEX('Retirement Calculator'!K:K,MATCH('Lorri 401b'!N4958,'Retirement Calculator'!A:A,0),0),0)</f>
        <v>0</v>
      </c>
      <c r="K4958" s="455">
        <f t="shared" ca="1" si="178"/>
        <v>-1570907514838.4417</v>
      </c>
      <c r="L4958" s="455">
        <f t="shared" ca="1" si="179"/>
        <v>-378588711076064.44</v>
      </c>
      <c r="M4958" s="471">
        <f t="shared" si="181"/>
        <v>0.05</v>
      </c>
      <c r="N4958" s="475">
        <f t="shared" si="182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80"/>
        <v>-378588711076064.44</v>
      </c>
      <c r="J4959" s="455">
        <f t="array" ref="J4959">IFERROR(INDEX('Retirement Calculator'!K:K,MATCH('Lorri 401b'!N4959,'Retirement Calculator'!A:A,0),0),0)</f>
        <v>0</v>
      </c>
      <c r="K4959" s="455">
        <f t="shared" ca="1" si="178"/>
        <v>-1577452962816.9351</v>
      </c>
      <c r="L4959" s="455">
        <f t="shared" ca="1" si="179"/>
        <v>-380166164038881.38</v>
      </c>
      <c r="M4959" s="471">
        <f t="shared" si="181"/>
        <v>0.05</v>
      </c>
      <c r="N4959" s="475">
        <f t="shared" si="182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80"/>
        <v>-380166164038881.38</v>
      </c>
      <c r="J4960" s="455">
        <f t="array" ref="J4960">IFERROR(INDEX('Retirement Calculator'!K:K,MATCH('Lorri 401b'!N4960,'Retirement Calculator'!A:A,0),0),0)</f>
        <v>0</v>
      </c>
      <c r="K4960" s="455">
        <f t="shared" ca="1" si="178"/>
        <v>-1584025683495.3391</v>
      </c>
      <c r="L4960" s="455">
        <f t="shared" ca="1" si="179"/>
        <v>-381750189722376.69</v>
      </c>
      <c r="M4960" s="471">
        <f t="shared" si="181"/>
        <v>0.05</v>
      </c>
      <c r="N4960" s="475">
        <f t="shared" si="182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80"/>
        <v>-381750189722376.69</v>
      </c>
      <c r="J4961" s="455">
        <f t="array" ref="J4961">IFERROR(INDEX('Retirement Calculator'!K:K,MATCH('Lorri 401b'!N4961,'Retirement Calculator'!A:A,0),0),0)</f>
        <v>0</v>
      </c>
      <c r="K4961" s="455">
        <f t="shared" ca="1" si="178"/>
        <v>-1590625790509.9028</v>
      </c>
      <c r="L4961" s="455">
        <f t="shared" ca="1" si="179"/>
        <v>-383340815512886.56</v>
      </c>
      <c r="M4961" s="471">
        <f t="shared" si="181"/>
        <v>0.05</v>
      </c>
      <c r="N4961" s="475">
        <f t="shared" si="182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80"/>
        <v>-383340815512886.56</v>
      </c>
      <c r="J4962" s="455">
        <f t="array" ref="J4962">IFERROR(INDEX('Retirement Calculator'!K:K,MATCH('Lorri 401b'!N4962,'Retirement Calculator'!A:A,0),0),0)</f>
        <v>0</v>
      </c>
      <c r="K4962" s="455">
        <f t="shared" ca="1" si="178"/>
        <v>-1597253397970.3606</v>
      </c>
      <c r="L4962" s="455">
        <f t="shared" ca="1" si="179"/>
        <v>-384938068910856.94</v>
      </c>
      <c r="M4962" s="471">
        <f t="shared" si="181"/>
        <v>0.05</v>
      </c>
      <c r="N4962" s="475">
        <f t="shared" si="182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80"/>
        <v>-384938068910856.94</v>
      </c>
      <c r="J4963" s="455">
        <f t="array" ref="J4963">IFERROR(INDEX('Retirement Calculator'!K:K,MATCH('Lorri 401b'!N4963,'Retirement Calculator'!A:A,0),0),0)</f>
        <v>0</v>
      </c>
      <c r="K4963" s="455">
        <f t="shared" ca="1" si="178"/>
        <v>-1603908620461.9038</v>
      </c>
      <c r="L4963" s="455">
        <f t="shared" ca="1" si="179"/>
        <v>-386541977531318.81</v>
      </c>
      <c r="M4963" s="471">
        <f t="shared" si="181"/>
        <v>0.05</v>
      </c>
      <c r="N4963" s="475">
        <f t="shared" si="182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80"/>
        <v>-386541977531318.81</v>
      </c>
      <c r="J4964" s="455">
        <f t="array" ref="J4964">IFERROR(INDEX('Retirement Calculator'!K:K,MATCH('Lorri 401b'!N4964,'Retirement Calculator'!A:A,0),0),0)</f>
        <v>0</v>
      </c>
      <c r="K4964" s="455">
        <f t="shared" ca="1" si="178"/>
        <v>-1610591573047.1616</v>
      </c>
      <c r="L4964" s="455">
        <f t="shared" ca="1" si="179"/>
        <v>-388152569104366</v>
      </c>
      <c r="M4964" s="471">
        <f t="shared" si="181"/>
        <v>0.05</v>
      </c>
      <c r="N4964" s="475">
        <f t="shared" si="182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80"/>
        <v>-388152569104366</v>
      </c>
      <c r="J4965" s="455">
        <f t="array" ref="J4965">IFERROR(INDEX('Retirement Calculator'!K:K,MATCH('Lorri 401b'!N4965,'Retirement Calculator'!A:A,0),0),0)</f>
        <v>0</v>
      </c>
      <c r="K4965" s="455">
        <f t="shared" ca="1" si="178"/>
        <v>-1617302371268.1917</v>
      </c>
      <c r="L4965" s="455">
        <f t="shared" ca="1" si="179"/>
        <v>-389769871475634.19</v>
      </c>
      <c r="M4965" s="471">
        <f t="shared" si="181"/>
        <v>0.05</v>
      </c>
      <c r="N4965" s="475">
        <f t="shared" si="182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80"/>
        <v>-389769871475634.19</v>
      </c>
      <c r="J4966" s="455">
        <f t="array" ref="J4966">IFERROR(INDEX('Retirement Calculator'!K:K,MATCH('Lorri 401b'!N4966,'Retirement Calculator'!A:A,0),0),0)</f>
        <v>0</v>
      </c>
      <c r="K4966" s="455">
        <f t="shared" ca="1" si="178"/>
        <v>-1624041131148.4758</v>
      </c>
      <c r="L4966" s="455">
        <f t="shared" ca="1" si="179"/>
        <v>-391393912606782.69</v>
      </c>
      <c r="M4966" s="471">
        <f t="shared" si="181"/>
        <v>0.05</v>
      </c>
      <c r="N4966" s="475">
        <f t="shared" si="182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80"/>
        <v>-391393912606782.69</v>
      </c>
      <c r="J4967" s="455">
        <f t="array" ref="J4967">IFERROR(INDEX('Retirement Calculator'!K:K,MATCH('Lorri 401b'!N4967,'Retirement Calculator'!A:A,0),0),0)</f>
        <v>0</v>
      </c>
      <c r="K4967" s="455">
        <f t="shared" ca="1" si="178"/>
        <v>-1630807969194.9277</v>
      </c>
      <c r="L4967" s="455">
        <f t="shared" ca="1" si="179"/>
        <v>-393024720575977.63</v>
      </c>
      <c r="M4967" s="471">
        <f t="shared" si="181"/>
        <v>0.05</v>
      </c>
      <c r="N4967" s="475">
        <f t="shared" si="182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80"/>
        <v>-393024720575977.63</v>
      </c>
      <c r="J4968" s="455">
        <f t="array" ref="J4968">IFERROR(INDEX('Retirement Calculator'!K:K,MATCH('Lorri 401b'!N4968,'Retirement Calculator'!A:A,0),0),0)</f>
        <v>0</v>
      </c>
      <c r="K4968" s="455">
        <f t="shared" ca="1" si="178"/>
        <v>-1637603002399.9067</v>
      </c>
      <c r="L4968" s="455">
        <f t="shared" ca="1" si="179"/>
        <v>-394662323578377.56</v>
      </c>
      <c r="M4968" s="471">
        <f t="shared" si="181"/>
        <v>0.05</v>
      </c>
      <c r="N4968" s="475">
        <f t="shared" si="182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80"/>
        <v>-394662323578377.56</v>
      </c>
      <c r="J4969" s="455">
        <f t="array" ref="J4969">IFERROR(INDEX('Retirement Calculator'!K:K,MATCH('Lorri 401b'!N4969,'Retirement Calculator'!A:A,0),0),0)</f>
        <v>0</v>
      </c>
      <c r="K4969" s="455">
        <f t="shared" ca="1" si="178"/>
        <v>-1644426348243.2397</v>
      </c>
      <c r="L4969" s="455">
        <f t="shared" ca="1" si="179"/>
        <v>-396306749926620.81</v>
      </c>
      <c r="M4969" s="471">
        <f t="shared" si="181"/>
        <v>0.05</v>
      </c>
      <c r="N4969" s="475">
        <f t="shared" si="182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80"/>
        <v>-396306749926620.81</v>
      </c>
      <c r="J4970" s="455">
        <f t="array" ref="J4970">IFERROR(INDEX('Retirement Calculator'!K:K,MATCH('Lorri 401b'!N4970,'Retirement Calculator'!A:A,0),0),0)</f>
        <v>0</v>
      </c>
      <c r="K4970" s="455">
        <f t="shared" ca="1" si="178"/>
        <v>-1651278124694.2534</v>
      </c>
      <c r="L4970" s="455">
        <f t="shared" ca="1" si="179"/>
        <v>-397958028051315.06</v>
      </c>
      <c r="M4970" s="471">
        <f t="shared" si="181"/>
        <v>0.05</v>
      </c>
      <c r="N4970" s="475">
        <f t="shared" si="182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80"/>
        <v>-397958028051315.06</v>
      </c>
      <c r="J4971" s="455">
        <f t="array" ref="J4971">IFERROR(INDEX('Retirement Calculator'!K:K,MATCH('Lorri 401b'!N4971,'Retirement Calculator'!A:A,0),0),0)</f>
        <v>0</v>
      </c>
      <c r="K4971" s="455">
        <f t="shared" ca="1" si="178"/>
        <v>-1658158450213.8127</v>
      </c>
      <c r="L4971" s="455">
        <f t="shared" ca="1" si="179"/>
        <v>-399616186501528.88</v>
      </c>
      <c r="M4971" s="471">
        <f t="shared" si="181"/>
        <v>0.05</v>
      </c>
      <c r="N4971" s="475">
        <f t="shared" si="182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80"/>
        <v>-399616186501528.88</v>
      </c>
      <c r="J4972" s="455">
        <f t="array" ref="J4972">IFERROR(INDEX('Retirement Calculator'!K:K,MATCH('Lorri 401b'!N4972,'Retirement Calculator'!A:A,0),0),0)</f>
        <v>0</v>
      </c>
      <c r="K4972" s="455">
        <f t="shared" ca="1" si="178"/>
        <v>-1665067443756.3704</v>
      </c>
      <c r="L4972" s="455">
        <f t="shared" ca="1" si="179"/>
        <v>-401281253945285.25</v>
      </c>
      <c r="M4972" s="471">
        <f t="shared" si="181"/>
        <v>0.05</v>
      </c>
      <c r="N4972" s="475">
        <f t="shared" si="182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80"/>
        <v>-401281253945285.25</v>
      </c>
      <c r="J4973" s="455">
        <f t="array" ref="J4973">IFERROR(INDEX('Retirement Calculator'!K:K,MATCH('Lorri 401b'!N4973,'Retirement Calculator'!A:A,0),0),0)</f>
        <v>0</v>
      </c>
      <c r="K4973" s="455">
        <f t="shared" ca="1" si="178"/>
        <v>-1672005224772.022</v>
      </c>
      <c r="L4973" s="455">
        <f t="shared" ca="1" si="179"/>
        <v>-402953259170057.25</v>
      </c>
      <c r="M4973" s="471">
        <f t="shared" si="181"/>
        <v>0.05</v>
      </c>
      <c r="N4973" s="475">
        <f t="shared" si="182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80"/>
        <v>-402953259170057.25</v>
      </c>
      <c r="J4974" s="455">
        <f t="array" ref="J4974">IFERROR(INDEX('Retirement Calculator'!K:K,MATCH('Lorri 401b'!N4974,'Retirement Calculator'!A:A,0),0),0)</f>
        <v>0</v>
      </c>
      <c r="K4974" s="455">
        <f t="shared" ca="1" si="178"/>
        <v>-1678971913208.5718</v>
      </c>
      <c r="L4974" s="455">
        <f t="shared" ca="1" si="179"/>
        <v>-404632231083265.81</v>
      </c>
      <c r="M4974" s="471">
        <f t="shared" si="181"/>
        <v>0.05</v>
      </c>
      <c r="N4974" s="475">
        <f t="shared" si="182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80"/>
        <v>-404632231083265.81</v>
      </c>
      <c r="J4975" s="455">
        <f t="array" ref="J4975">IFERROR(INDEX('Retirement Calculator'!K:K,MATCH('Lorri 401b'!N4975,'Retirement Calculator'!A:A,0),0),0)</f>
        <v>0</v>
      </c>
      <c r="K4975" s="455">
        <f t="shared" ca="1" si="178"/>
        <v>-1685967629513.6074</v>
      </c>
      <c r="L4975" s="455">
        <f t="shared" ca="1" si="179"/>
        <v>-406318198712779.44</v>
      </c>
      <c r="M4975" s="471">
        <f t="shared" si="181"/>
        <v>0.05</v>
      </c>
      <c r="N4975" s="475">
        <f t="shared" si="182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80"/>
        <v>-406318198712779.44</v>
      </c>
      <c r="J4976" s="455">
        <f t="array" ref="J4976">IFERROR(INDEX('Retirement Calculator'!K:K,MATCH('Lorri 401b'!N4976,'Retirement Calculator'!A:A,0),0),0)</f>
        <v>0</v>
      </c>
      <c r="K4976" s="455">
        <f t="shared" ca="1" si="178"/>
        <v>-1692992494636.5811</v>
      </c>
      <c r="L4976" s="455">
        <f t="shared" ca="1" si="179"/>
        <v>-408011191207416</v>
      </c>
      <c r="M4976" s="471">
        <f t="shared" si="181"/>
        <v>0.05</v>
      </c>
      <c r="N4976" s="475">
        <f t="shared" si="182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80"/>
        <v>-408011191207416</v>
      </c>
      <c r="J4977" s="455">
        <f t="array" ref="J4977">IFERROR(INDEX('Retirement Calculator'!K:K,MATCH('Lorri 401b'!N4977,'Retirement Calculator'!A:A,0),0),0)</f>
        <v>0</v>
      </c>
      <c r="K4977" s="455">
        <f t="shared" ca="1" si="178"/>
        <v>-1700046630030.8999</v>
      </c>
      <c r="L4977" s="455">
        <f t="shared" ca="1" si="179"/>
        <v>-409711237837446.88</v>
      </c>
      <c r="M4977" s="471">
        <f t="shared" si="181"/>
        <v>0.05</v>
      </c>
      <c r="N4977" s="475">
        <f t="shared" si="182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80"/>
        <v>-409711237837446.88</v>
      </c>
      <c r="J4978" s="455">
        <f t="array" ref="J4978">IFERROR(INDEX('Retirement Calculator'!K:K,MATCH('Lorri 401b'!N4978,'Retirement Calculator'!A:A,0),0),0)</f>
        <v>0</v>
      </c>
      <c r="K4978" s="455">
        <f t="shared" ca="1" si="178"/>
        <v>-1707130157656.0286</v>
      </c>
      <c r="L4978" s="455">
        <f t="shared" ca="1" si="179"/>
        <v>-411418367995102.88</v>
      </c>
      <c r="M4978" s="471">
        <f t="shared" si="181"/>
        <v>0.05</v>
      </c>
      <c r="N4978" s="475">
        <f t="shared" si="182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80"/>
        <v>-411418367995102.88</v>
      </c>
      <c r="J4979" s="455">
        <f t="array" ref="J4979">IFERROR(INDEX('Retirement Calculator'!K:K,MATCH('Lorri 401b'!N4979,'Retirement Calculator'!A:A,0),0),0)</f>
        <v>0</v>
      </c>
      <c r="K4979" s="455">
        <f t="shared" ca="1" si="178"/>
        <v>-1714243199979.5952</v>
      </c>
      <c r="L4979" s="455">
        <f t="shared" ca="1" si="179"/>
        <v>-413132611195082.5</v>
      </c>
      <c r="M4979" s="471">
        <f t="shared" si="181"/>
        <v>0.05</v>
      </c>
      <c r="N4979" s="475">
        <f t="shared" si="182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80"/>
        <v>-413132611195082.5</v>
      </c>
      <c r="J4980" s="455">
        <f t="array" ref="J4980">IFERROR(INDEX('Retirement Calculator'!K:K,MATCH('Lorri 401b'!N4980,'Retirement Calculator'!A:A,0),0),0)</f>
        <v>0</v>
      </c>
      <c r="K4980" s="455">
        <f t="shared" ca="1" si="178"/>
        <v>-1721385879979.5105</v>
      </c>
      <c r="L4980" s="455">
        <f t="shared" ca="1" si="179"/>
        <v>-414853997075062</v>
      </c>
      <c r="M4980" s="471">
        <f t="shared" si="181"/>
        <v>0.05</v>
      </c>
      <c r="N4980" s="475">
        <f t="shared" si="182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80"/>
        <v>-414853997075062</v>
      </c>
      <c r="J4981" s="455">
        <f t="array" ref="J4981">IFERROR(INDEX('Retirement Calculator'!K:K,MATCH('Lorri 401b'!N4981,'Retirement Calculator'!A:A,0),0),0)</f>
        <v>0</v>
      </c>
      <c r="K4981" s="455">
        <f t="shared" ca="1" si="178"/>
        <v>-1728558321146.0916</v>
      </c>
      <c r="L4981" s="455">
        <f t="shared" ca="1" si="179"/>
        <v>-416582555396208.06</v>
      </c>
      <c r="M4981" s="471">
        <f t="shared" si="181"/>
        <v>0.05</v>
      </c>
      <c r="N4981" s="475">
        <f t="shared" si="182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80"/>
        <v>-416582555396208.06</v>
      </c>
      <c r="J4982" s="455">
        <f t="array" ref="J4982">IFERROR(INDEX('Retirement Calculator'!K:K,MATCH('Lorri 401b'!N4982,'Retirement Calculator'!A:A,0),0),0)</f>
        <v>0</v>
      </c>
      <c r="K4982" s="455">
        <f t="shared" ca="1" si="178"/>
        <v>-1735760647484.2002</v>
      </c>
      <c r="L4982" s="455">
        <f t="shared" ca="1" si="179"/>
        <v>-418318316043692.25</v>
      </c>
      <c r="M4982" s="471">
        <f t="shared" si="181"/>
        <v>0.05</v>
      </c>
      <c r="N4982" s="475">
        <f t="shared" si="182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80"/>
        <v>-418318316043692.25</v>
      </c>
      <c r="J4983" s="455">
        <f t="array" ref="J4983">IFERROR(INDEX('Retirement Calculator'!K:K,MATCH('Lorri 401b'!N4983,'Retirement Calculator'!A:A,0),0),0)</f>
        <v>0</v>
      </c>
      <c r="K4983" s="455">
        <f t="shared" ca="1" si="178"/>
        <v>-1742992983515.3843</v>
      </c>
      <c r="L4983" s="455">
        <f t="shared" ca="1" si="179"/>
        <v>-420061309027207.63</v>
      </c>
      <c r="M4983" s="471">
        <f t="shared" si="181"/>
        <v>0.05</v>
      </c>
      <c r="N4983" s="475">
        <f t="shared" si="182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80"/>
        <v>-420061309027207.63</v>
      </c>
      <c r="J4984" s="455">
        <f t="array" ref="J4984">IFERROR(INDEX('Retirement Calculator'!K:K,MATCH('Lorri 401b'!N4984,'Retirement Calculator'!A:A,0),0),0)</f>
        <v>0</v>
      </c>
      <c r="K4984" s="455">
        <f t="shared" ca="1" si="178"/>
        <v>-1750255454280.0317</v>
      </c>
      <c r="L4984" s="455">
        <f t="shared" ca="1" si="179"/>
        <v>-421811564481487.69</v>
      </c>
      <c r="M4984" s="471">
        <f t="shared" si="181"/>
        <v>0.05</v>
      </c>
      <c r="N4984" s="475">
        <f t="shared" si="182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80"/>
        <v>-421811564481487.69</v>
      </c>
      <c r="J4985" s="455">
        <f t="array" ref="J4985">IFERROR(INDEX('Retirement Calculator'!K:K,MATCH('Lorri 401b'!N4985,'Retirement Calculator'!A:A,0),0),0)</f>
        <v>0</v>
      </c>
      <c r="K4985" s="455">
        <f t="shared" ca="1" si="178"/>
        <v>-1757548185339.532</v>
      </c>
      <c r="L4985" s="455">
        <f t="shared" ca="1" si="179"/>
        <v>-423569112666827.25</v>
      </c>
      <c r="M4985" s="471">
        <f t="shared" si="181"/>
        <v>0.05</v>
      </c>
      <c r="N4985" s="475">
        <f t="shared" si="182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80"/>
        <v>-423569112666827.25</v>
      </c>
      <c r="J4986" s="455">
        <f t="array" ref="J4986">IFERROR(INDEX('Retirement Calculator'!K:K,MATCH('Lorri 401b'!N4986,'Retirement Calculator'!A:A,0),0),0)</f>
        <v>0</v>
      </c>
      <c r="K4986" s="455">
        <f t="shared" ca="1" si="178"/>
        <v>-1764871302778.4468</v>
      </c>
      <c r="L4986" s="455">
        <f t="shared" ca="1" si="179"/>
        <v>-425333983969605.69</v>
      </c>
      <c r="M4986" s="471">
        <f t="shared" si="181"/>
        <v>0.05</v>
      </c>
      <c r="N4986" s="475">
        <f t="shared" si="182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80"/>
        <v>-425333983969605.69</v>
      </c>
      <c r="J4987" s="455">
        <f t="array" ref="J4987">IFERROR(INDEX('Retirement Calculator'!K:K,MATCH('Lorri 401b'!N4987,'Retirement Calculator'!A:A,0),0),0)</f>
        <v>0</v>
      </c>
      <c r="K4987" s="455">
        <f t="shared" ca="1" si="178"/>
        <v>-1772224933206.6904</v>
      </c>
      <c r="L4987" s="455">
        <f t="shared" ca="1" si="179"/>
        <v>-427106208902812.38</v>
      </c>
      <c r="M4987" s="471">
        <f t="shared" si="181"/>
        <v>0.05</v>
      </c>
      <c r="N4987" s="475">
        <f t="shared" si="182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80"/>
        <v>-427106208902812.38</v>
      </c>
      <c r="J4988" s="455">
        <f t="array" ref="J4988">IFERROR(INDEX('Retirement Calculator'!K:K,MATCH('Lorri 401b'!N4988,'Retirement Calculator'!A:A,0),0),0)</f>
        <v>0</v>
      </c>
      <c r="K4988" s="455">
        <f t="shared" ca="1" si="178"/>
        <v>-1779609203761.7183</v>
      </c>
      <c r="L4988" s="455">
        <f t="shared" ca="1" si="179"/>
        <v>-428885818106574.06</v>
      </c>
      <c r="M4988" s="471">
        <f t="shared" si="181"/>
        <v>0.05</v>
      </c>
      <c r="N4988" s="475">
        <f t="shared" si="182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80"/>
        <v>-428885818106574.06</v>
      </c>
      <c r="J4989" s="455">
        <f t="array" ref="J4989">IFERROR(INDEX('Retirement Calculator'!K:K,MATCH('Lorri 401b'!N4989,'Retirement Calculator'!A:A,0),0),0)</f>
        <v>0</v>
      </c>
      <c r="K4989" s="455">
        <f t="shared" ca="1" si="178"/>
        <v>-1787024242110.7253</v>
      </c>
      <c r="L4989" s="455">
        <f t="shared" ca="1" si="179"/>
        <v>-430672842348684.81</v>
      </c>
      <c r="M4989" s="471">
        <f t="shared" si="181"/>
        <v>0.05</v>
      </c>
      <c r="N4989" s="475">
        <f t="shared" si="182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80"/>
        <v>-430672842348684.81</v>
      </c>
      <c r="J4990" s="455">
        <f t="array" ref="J4990">IFERROR(INDEX('Retirement Calculator'!K:K,MATCH('Lorri 401b'!N4990,'Retirement Calculator'!A:A,0),0),0)</f>
        <v>0</v>
      </c>
      <c r="K4990" s="455">
        <f t="shared" ca="1" si="178"/>
        <v>-1794470176452.8533</v>
      </c>
      <c r="L4990" s="455">
        <f t="shared" ca="1" si="179"/>
        <v>-432467312525137.69</v>
      </c>
      <c r="M4990" s="471">
        <f t="shared" si="181"/>
        <v>0.05</v>
      </c>
      <c r="N4990" s="475">
        <f t="shared" si="182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80"/>
        <v>-432467312525137.69</v>
      </c>
      <c r="J4991" s="455">
        <f t="array" ref="J4991">IFERROR(INDEX('Retirement Calculator'!K:K,MATCH('Lorri 401b'!N4991,'Retirement Calculator'!A:A,0),0),0)</f>
        <v>0</v>
      </c>
      <c r="K4991" s="455">
        <f t="shared" ca="1" si="178"/>
        <v>-1801947135521.407</v>
      </c>
      <c r="L4991" s="455">
        <f t="shared" ca="1" si="179"/>
        <v>-434269259660659.13</v>
      </c>
      <c r="M4991" s="471">
        <f t="shared" si="181"/>
        <v>0.05</v>
      </c>
      <c r="N4991" s="475">
        <f t="shared" si="182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80"/>
        <v>-434269259660659.13</v>
      </c>
      <c r="J4992" s="455">
        <f t="array" ref="J4992">IFERROR(INDEX('Retirement Calculator'!K:K,MATCH('Lorri 401b'!N4992,'Retirement Calculator'!A:A,0),0),0)</f>
        <v>0</v>
      </c>
      <c r="K4992" s="455">
        <f t="shared" ca="1" si="178"/>
        <v>-1809455248586.0796</v>
      </c>
      <c r="L4992" s="455">
        <f t="shared" ca="1" si="179"/>
        <v>-436078714909245.19</v>
      </c>
      <c r="M4992" s="471">
        <f t="shared" si="181"/>
        <v>0.05</v>
      </c>
      <c r="N4992" s="475">
        <f t="shared" si="182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80"/>
        <v>-436078714909245.19</v>
      </c>
      <c r="J4993" s="455">
        <f t="array" ref="J4993">IFERROR(INDEX('Retirement Calculator'!K:K,MATCH('Lorri 401b'!N4993,'Retirement Calculator'!A:A,0),0),0)</f>
        <v>0</v>
      </c>
      <c r="K4993" s="455">
        <f t="shared" ca="1" si="178"/>
        <v>-1816994645455.1882</v>
      </c>
      <c r="L4993" s="455">
        <f t="shared" ca="1" si="179"/>
        <v>-437895709554700.38</v>
      </c>
      <c r="M4993" s="471">
        <f t="shared" si="181"/>
        <v>0.05</v>
      </c>
      <c r="N4993" s="475">
        <f t="shared" si="182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80"/>
        <v>-437895709554700.38</v>
      </c>
      <c r="J4994" s="455">
        <f t="array" ref="J4994">IFERROR(INDEX('Retirement Calculator'!K:K,MATCH('Lorri 401b'!N4994,'Retirement Calculator'!A:A,0),0),0)</f>
        <v>0</v>
      </c>
      <c r="K4994" s="455">
        <f t="shared" ca="1" si="178"/>
        <v>-1824565456477.9182</v>
      </c>
      <c r="L4994" s="455">
        <f t="shared" ca="1" si="179"/>
        <v>-439720275011178.31</v>
      </c>
      <c r="M4994" s="471">
        <f t="shared" si="181"/>
        <v>0.05</v>
      </c>
      <c r="N4994" s="475">
        <f t="shared" si="182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80"/>
        <v>-439720275011178.31</v>
      </c>
      <c r="J4995" s="455">
        <f t="array" ref="J4995">IFERROR(INDEX('Retirement Calculator'!K:K,MATCH('Lorri 401b'!N4995,'Retirement Calculator'!A:A,0),0),0)</f>
        <v>0</v>
      </c>
      <c r="K4995" s="455">
        <f t="shared" ca="1" si="178"/>
        <v>-1832167812546.5764</v>
      </c>
      <c r="L4995" s="455">
        <f t="shared" ca="1" si="179"/>
        <v>-441552442823724.88</v>
      </c>
      <c r="M4995" s="471">
        <f t="shared" si="181"/>
        <v>0.05</v>
      </c>
      <c r="N4995" s="475">
        <f t="shared" si="182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80"/>
        <v>-441552442823724.88</v>
      </c>
      <c r="J4996" s="455">
        <f t="array" ref="J4996">IFERROR(INDEX('Retirement Calculator'!K:K,MATCH('Lorri 401b'!N4996,'Retirement Calculator'!A:A,0),0),0)</f>
        <v>0</v>
      </c>
      <c r="K4996" s="455">
        <f t="shared" ca="1" si="178"/>
        <v>-1839801845098.8535</v>
      </c>
      <c r="L4996" s="455">
        <f t="shared" ca="1" si="179"/>
        <v>-443392244668823.75</v>
      </c>
      <c r="M4996" s="471">
        <f t="shared" si="181"/>
        <v>0.05</v>
      </c>
      <c r="N4996" s="475">
        <f t="shared" si="182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80"/>
        <v>-443392244668823.75</v>
      </c>
      <c r="J4997" s="455">
        <f t="array" ref="J4997">IFERROR(INDEX('Retirement Calculator'!K:K,MATCH('Lorri 401b'!N4997,'Retirement Calculator'!A:A,0),0),0)</f>
        <v>0</v>
      </c>
      <c r="K4997" s="455">
        <f t="shared" ca="1" si="178"/>
        <v>-1847467686120.0989</v>
      </c>
      <c r="L4997" s="455">
        <f t="shared" ca="1" si="179"/>
        <v>-445239712354943.88</v>
      </c>
      <c r="M4997" s="471">
        <f t="shared" si="181"/>
        <v>0.05</v>
      </c>
      <c r="N4997" s="475">
        <f t="shared" si="182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80"/>
        <v>-445239712354943.88</v>
      </c>
      <c r="J4998" s="455">
        <f t="array" ref="J4998">IFERROR(INDEX('Retirement Calculator'!K:K,MATCH('Lorri 401b'!N4998,'Retirement Calculator'!A:A,0),0),0)</f>
        <v>0</v>
      </c>
      <c r="K4998" s="455">
        <f t="shared" ca="1" si="178"/>
        <v>-1855165468145.5994</v>
      </c>
      <c r="L4998" s="455">
        <f t="shared" ca="1" si="179"/>
        <v>-447094877823089.5</v>
      </c>
      <c r="M4998" s="471">
        <f t="shared" si="181"/>
        <v>0.05</v>
      </c>
      <c r="N4998" s="475">
        <f t="shared" si="182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80"/>
        <v>-447094877823089.5</v>
      </c>
      <c r="J4999" s="455">
        <f t="array" ref="J4999">IFERROR(INDEX('Retirement Calculator'!K:K,MATCH('Lorri 401b'!N4999,'Retirement Calculator'!A:A,0),0),0)</f>
        <v>0</v>
      </c>
      <c r="K4999" s="455">
        <f t="shared" ca="1" si="178"/>
        <v>-1862895324262.8726</v>
      </c>
      <c r="L4999" s="455">
        <f t="shared" ca="1" si="179"/>
        <v>-448957773147352.38</v>
      </c>
      <c r="M4999" s="471">
        <f t="shared" si="181"/>
        <v>0.05</v>
      </c>
      <c r="N4999" s="475">
        <f t="shared" si="182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80"/>
        <v>-448957773147352.38</v>
      </c>
      <c r="J5000" s="455">
        <f t="array" ref="J5000">IFERROR(INDEX('Retirement Calculator'!K:K,MATCH('Lorri 401b'!N5000,'Retirement Calculator'!A:A,0),0),0)</f>
        <v>0</v>
      </c>
      <c r="K5000" s="455">
        <f t="shared" ca="1" si="178"/>
        <v>-1870657388113.9683</v>
      </c>
      <c r="L5000" s="455">
        <f t="shared" ca="1" si="179"/>
        <v>-450828430535466.31</v>
      </c>
      <c r="M5000" s="471">
        <f t="shared" si="181"/>
        <v>0.05</v>
      </c>
      <c r="N5000" s="475">
        <f t="shared" si="182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80"/>
        <v>-450828430535466.31</v>
      </c>
      <c r="J5001" s="455">
        <f t="array" ref="J5001">IFERROR(INDEX('Retirement Calculator'!K:K,MATCH('Lorri 401b'!N5001,'Retirement Calculator'!A:A,0),0),0)</f>
        <v>0</v>
      </c>
      <c r="K5001" s="455">
        <f t="shared" ca="1" si="178"/>
        <v>-1878451793897.7764</v>
      </c>
      <c r="L5001" s="455">
        <f t="shared" ca="1" si="179"/>
        <v>-452706882329364.06</v>
      </c>
      <c r="M5001" s="471">
        <f t="shared" si="181"/>
        <v>0.05</v>
      </c>
      <c r="N5001" s="475">
        <f t="shared" si="182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80"/>
        <v>-452706882329364.06</v>
      </c>
      <c r="J5002" s="455">
        <f t="array" ref="J5002">IFERROR(INDEX('Retirement Calculator'!K:K,MATCH('Lorri 401b'!N5002,'Retirement Calculator'!A:A,0),0),0)</f>
        <v>0</v>
      </c>
      <c r="K5002" s="455">
        <f t="shared" ca="1" si="178"/>
        <v>-1886278676372.3503</v>
      </c>
      <c r="L5002" s="455">
        <f t="shared" ca="1" si="179"/>
        <v>-454593161005736.44</v>
      </c>
      <c r="M5002" s="471">
        <f t="shared" si="181"/>
        <v>0.05</v>
      </c>
      <c r="N5002" s="475">
        <f t="shared" si="182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80"/>
        <v>-454593161005736.44</v>
      </c>
      <c r="J5003" s="455">
        <f t="array" ref="J5003">IFERROR(INDEX('Retirement Calculator'!K:K,MATCH('Lorri 401b'!N5003,'Retirement Calculator'!A:A,0),0),0)</f>
        <v>0</v>
      </c>
      <c r="K5003" s="455">
        <f t="shared" ca="1" si="178"/>
        <v>-1894138170857.2354</v>
      </c>
      <c r="L5003" s="455">
        <f t="shared" ca="1" si="179"/>
        <v>-456487299176593.69</v>
      </c>
      <c r="M5003" s="471">
        <f t="shared" si="181"/>
        <v>0.05</v>
      </c>
      <c r="N5003" s="475">
        <f t="shared" si="182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80"/>
        <v>-456487299176593.69</v>
      </c>
      <c r="J5004" s="455">
        <f t="array" ref="J5004">IFERROR(INDEX('Retirement Calculator'!K:K,MATCH('Lorri 401b'!N5004,'Retirement Calculator'!A:A,0),0),0)</f>
        <v>0</v>
      </c>
      <c r="K5004" s="455">
        <f t="shared" ca="1" si="178"/>
        <v>-1902030413235.8069</v>
      </c>
      <c r="L5004" s="455">
        <f t="shared" ca="1" si="179"/>
        <v>-458389329589829.5</v>
      </c>
      <c r="M5004" s="471">
        <f t="shared" si="181"/>
        <v>0.05</v>
      </c>
      <c r="N5004" s="475">
        <f t="shared" si="182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80"/>
        <v>-458389329589829.5</v>
      </c>
      <c r="J5005" s="455">
        <f t="array" ref="J5005">IFERROR(INDEX('Retirement Calculator'!K:K,MATCH('Lorri 401b'!N5005,'Retirement Calculator'!A:A,0),0),0)</f>
        <v>0</v>
      </c>
      <c r="K5005" s="455">
        <f t="shared" ca="1" si="178"/>
        <v>-1909955539957.6228</v>
      </c>
      <c r="L5005" s="455">
        <f t="shared" ca="1" si="179"/>
        <v>-460299285129787.13</v>
      </c>
      <c r="M5005" s="471">
        <f t="shared" si="181"/>
        <v>0.05</v>
      </c>
      <c r="N5005" s="475">
        <f t="shared" si="182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80"/>
        <v>-460299285129787.13</v>
      </c>
      <c r="J5006" s="455">
        <f t="array" ref="J5006">IFERROR(INDEX('Retirement Calculator'!K:K,MATCH('Lorri 401b'!N5006,'Retirement Calculator'!A:A,0),0),0)</f>
        <v>0</v>
      </c>
      <c r="K5006" s="455">
        <f t="shared" ca="1" si="178"/>
        <v>-1917913688040.7795</v>
      </c>
      <c r="L5006" s="455">
        <f t="shared" ca="1" si="179"/>
        <v>-462217198817827.88</v>
      </c>
      <c r="M5006" s="471">
        <f t="shared" si="181"/>
        <v>0.05</v>
      </c>
      <c r="N5006" s="475">
        <f t="shared" si="182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80"/>
        <v>-462217198817827.88</v>
      </c>
      <c r="J5007" s="455">
        <f t="array" ref="J5007">IFERROR(INDEX('Retirement Calculator'!K:K,MATCH('Lorri 401b'!N5007,'Retirement Calculator'!A:A,0),0),0)</f>
        <v>0</v>
      </c>
      <c r="K5007" s="455">
        <f t="shared" ca="1" si="178"/>
        <v>-1925904995074.2827</v>
      </c>
      <c r="L5007" s="455">
        <f t="shared" ca="1" si="179"/>
        <v>-464143103812902.19</v>
      </c>
      <c r="M5007" s="471">
        <f t="shared" si="181"/>
        <v>0.05</v>
      </c>
      <c r="N5007" s="475">
        <f t="shared" si="182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80"/>
        <v>-464143103812902.19</v>
      </c>
      <c r="J5008" s="455">
        <f t="array" ref="J5008">IFERROR(INDEX('Retirement Calculator'!K:K,MATCH('Lorri 401b'!N5008,'Retirement Calculator'!A:A,0),0),0)</f>
        <v>0</v>
      </c>
      <c r="K5008" s="455">
        <f t="shared" ca="1" si="178"/>
        <v>-1933929599220.4258</v>
      </c>
      <c r="L5008" s="455">
        <f t="shared" ca="1" si="179"/>
        <v>-466077033412122.63</v>
      </c>
      <c r="M5008" s="471">
        <f t="shared" si="181"/>
        <v>0.05</v>
      </c>
      <c r="N5008" s="475">
        <f t="shared" si="182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80"/>
        <v>-466077033412122.63</v>
      </c>
      <c r="J5009" s="455">
        <f t="array" ref="J5009">IFERROR(INDEX('Retirement Calculator'!K:K,MATCH('Lorri 401b'!N5009,'Retirement Calculator'!A:A,0),0),0)</f>
        <v>0</v>
      </c>
      <c r="K5009" s="455">
        <f t="shared" ca="1" si="178"/>
        <v>-1941987639217.1775</v>
      </c>
      <c r="L5009" s="455">
        <f t="shared" ca="1" si="179"/>
        <v>-468019021051339.81</v>
      </c>
      <c r="M5009" s="471">
        <f t="shared" si="181"/>
        <v>0.05</v>
      </c>
      <c r="N5009" s="475">
        <f t="shared" si="182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80"/>
        <v>-468019021051339.81</v>
      </c>
      <c r="J5010" s="455">
        <f t="array" ref="J5010">IFERROR(INDEX('Retirement Calculator'!K:K,MATCH('Lorri 401b'!N5010,'Retirement Calculator'!A:A,0),0),0)</f>
        <v>0</v>
      </c>
      <c r="K5010" s="455">
        <f t="shared" ca="1" si="178"/>
        <v>-1950079254380.5823</v>
      </c>
      <c r="L5010" s="455">
        <f t="shared" ca="1" si="179"/>
        <v>-469969100305720.38</v>
      </c>
      <c r="M5010" s="471">
        <f t="shared" si="181"/>
        <v>0.05</v>
      </c>
      <c r="N5010" s="475">
        <f t="shared" si="182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80"/>
        <v>-469969100305720.38</v>
      </c>
      <c r="J5011" s="455">
        <f t="array" ref="J5011">IFERROR(INDEX('Retirement Calculator'!K:K,MATCH('Lorri 401b'!N5011,'Retirement Calculator'!A:A,0),0),0)</f>
        <v>0</v>
      </c>
      <c r="K5011" s="455">
        <f t="shared" ca="1" si="178"/>
        <v>-1958204584607.1685</v>
      </c>
      <c r="L5011" s="455">
        <f t="shared" ca="1" si="179"/>
        <v>-471927304890327.56</v>
      </c>
      <c r="M5011" s="471">
        <f t="shared" si="181"/>
        <v>0.05</v>
      </c>
      <c r="N5011" s="475">
        <f t="shared" si="182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80"/>
        <v>-471927304890327.56</v>
      </c>
      <c r="J5012" s="455">
        <f t="array" ref="J5012">IFERROR(INDEX('Retirement Calculator'!K:K,MATCH('Lorri 401b'!N5012,'Retirement Calculator'!A:A,0),0),0)</f>
        <v>0</v>
      </c>
      <c r="K5012" s="455">
        <f t="shared" ca="1" si="178"/>
        <v>-1966363770376.3647</v>
      </c>
      <c r="L5012" s="455">
        <f t="shared" ca="1" si="179"/>
        <v>-473893668660703.94</v>
      </c>
      <c r="M5012" s="471">
        <f t="shared" si="181"/>
        <v>0.05</v>
      </c>
      <c r="N5012" s="475">
        <f t="shared" si="182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80"/>
        <v>-473893668660703.94</v>
      </c>
      <c r="J5013" s="455">
        <f t="array" ref="J5013">IFERROR(INDEX('Retirement Calculator'!K:K,MATCH('Lorri 401b'!N5013,'Retirement Calculator'!A:A,0),0),0)</f>
        <v>0</v>
      </c>
      <c r="K5013" s="455">
        <f t="shared" ca="1" si="178"/>
        <v>-1974556952752.9333</v>
      </c>
      <c r="L5013" s="455">
        <f t="shared" ca="1" si="179"/>
        <v>-475868225613456.88</v>
      </c>
      <c r="M5013" s="471">
        <f t="shared" si="181"/>
        <v>0.05</v>
      </c>
      <c r="N5013" s="475">
        <f t="shared" si="182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80"/>
        <v>-475868225613456.88</v>
      </c>
      <c r="J5014" s="455">
        <f t="array" ref="J5014">IFERROR(INDEX('Retirement Calculator'!K:K,MATCH('Lorri 401b'!N5014,'Retirement Calculator'!A:A,0),0),0)</f>
        <v>0</v>
      </c>
      <c r="K5014" s="455">
        <f t="shared" ca="1" si="178"/>
        <v>-1982784273389.4036</v>
      </c>
      <c r="L5014" s="455">
        <f t="shared" ca="1" si="179"/>
        <v>-477851009886846.25</v>
      </c>
      <c r="M5014" s="471">
        <f t="shared" si="181"/>
        <v>0.05</v>
      </c>
      <c r="N5014" s="475">
        <f t="shared" si="182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80"/>
        <v>-477851009886846.25</v>
      </c>
      <c r="J5015" s="455">
        <f t="array" ref="J5015">IFERROR(INDEX('Retirement Calculator'!K:K,MATCH('Lorri 401b'!N5015,'Retirement Calculator'!A:A,0),0),0)</f>
        <v>0</v>
      </c>
      <c r="K5015" s="455">
        <f t="shared" ca="1" si="178"/>
        <v>-1991045874528.5261</v>
      </c>
      <c r="L5015" s="455">
        <f t="shared" ca="1" si="179"/>
        <v>-479842055761374.75</v>
      </c>
      <c r="M5015" s="471">
        <f t="shared" si="181"/>
        <v>0.05</v>
      </c>
      <c r="N5015" s="475">
        <f t="shared" si="182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80"/>
        <v>-479842055761374.75</v>
      </c>
      <c r="J5016" s="455">
        <f t="array" ref="J5016">IFERROR(INDEX('Retirement Calculator'!K:K,MATCH('Lorri 401b'!N5016,'Retirement Calculator'!A:A,0),0),0)</f>
        <v>0</v>
      </c>
      <c r="K5016" s="455">
        <f t="shared" ca="1" si="178"/>
        <v>-1999341899005.728</v>
      </c>
      <c r="L5016" s="455">
        <f t="shared" ca="1" si="179"/>
        <v>-481841397660380.5</v>
      </c>
      <c r="M5016" s="471">
        <f t="shared" si="181"/>
        <v>0.05</v>
      </c>
      <c r="N5016" s="475">
        <f t="shared" si="182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80"/>
        <v>-481841397660380.5</v>
      </c>
      <c r="J5017" s="455">
        <f t="array" ref="J5017">IFERROR(INDEX('Retirement Calculator'!K:K,MATCH('Lorri 401b'!N5017,'Retirement Calculator'!A:A,0),0),0)</f>
        <v>0</v>
      </c>
      <c r="K5017" s="455">
        <f t="shared" ca="1" si="178"/>
        <v>-2007672490251.5857</v>
      </c>
      <c r="L5017" s="455">
        <f t="shared" ca="1" si="179"/>
        <v>-483849070150632.06</v>
      </c>
      <c r="M5017" s="471">
        <f t="shared" si="181"/>
        <v>0.05</v>
      </c>
      <c r="N5017" s="475">
        <f t="shared" si="182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80"/>
        <v>-483849070150632.06</v>
      </c>
      <c r="J5018" s="455">
        <f t="array" ref="J5018">IFERROR(INDEX('Retirement Calculator'!K:K,MATCH('Lorri 401b'!N5018,'Retirement Calculator'!A:A,0),0),0)</f>
        <v>0</v>
      </c>
      <c r="K5018" s="455">
        <f t="shared" ca="1" si="178"/>
        <v>-2016037792294.3005</v>
      </c>
      <c r="L5018" s="455">
        <f t="shared" ca="1" si="179"/>
        <v>-485865107942926.38</v>
      </c>
      <c r="M5018" s="471">
        <f t="shared" si="181"/>
        <v>0.05</v>
      </c>
      <c r="N5018" s="475">
        <f t="shared" si="182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80"/>
        <v>-485865107942926.38</v>
      </c>
      <c r="J5019" s="455">
        <f t="array" ref="J5019">IFERROR(INDEX('Retirement Calculator'!K:K,MATCH('Lorri 401b'!N5019,'Retirement Calculator'!A:A,0),0),0)</f>
        <v>0</v>
      </c>
      <c r="K5019" s="455">
        <f t="shared" ca="1" si="178"/>
        <v>-2024437949762.1931</v>
      </c>
      <c r="L5019" s="455">
        <f t="shared" ca="1" si="179"/>
        <v>-487889545892688.56</v>
      </c>
      <c r="M5019" s="471">
        <f t="shared" si="181"/>
        <v>0.05</v>
      </c>
      <c r="N5019" s="475">
        <f t="shared" si="182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80"/>
        <v>-487889545892688.56</v>
      </c>
      <c r="J5020" s="455">
        <f t="array" ref="J5020">IFERROR(INDEX('Retirement Calculator'!K:K,MATCH('Lorri 401b'!N5020,'Retirement Calculator'!A:A,0),0),0)</f>
        <v>0</v>
      </c>
      <c r="K5020" s="455">
        <f t="shared" ca="1" si="178"/>
        <v>-2032873107886.2024</v>
      </c>
      <c r="L5020" s="455">
        <f t="shared" ca="1" si="179"/>
        <v>-489922419000574.75</v>
      </c>
      <c r="M5020" s="471">
        <f t="shared" si="181"/>
        <v>0.05</v>
      </c>
      <c r="N5020" s="475">
        <f t="shared" si="182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80"/>
        <v>-489922419000574.75</v>
      </c>
      <c r="J5021" s="455">
        <f t="array" ref="J5021">IFERROR(INDEX('Retirement Calculator'!K:K,MATCH('Lorri 401b'!N5021,'Retirement Calculator'!A:A,0),0),0)</f>
        <v>0</v>
      </c>
      <c r="K5021" s="455">
        <f t="shared" ca="1" si="178"/>
        <v>-2041343412502.3948</v>
      </c>
      <c r="L5021" s="455">
        <f t="shared" ca="1" si="179"/>
        <v>-491963762413077.13</v>
      </c>
      <c r="M5021" s="471">
        <f t="shared" si="181"/>
        <v>0.05</v>
      </c>
      <c r="N5021" s="475">
        <f t="shared" si="182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80"/>
        <v>-491963762413077.13</v>
      </c>
      <c r="J5022" s="455">
        <f t="array" ref="J5022">IFERROR(INDEX('Retirement Calculator'!K:K,MATCH('Lorri 401b'!N5022,'Retirement Calculator'!A:A,0),0),0)</f>
        <v>0</v>
      </c>
      <c r="K5022" s="455">
        <f t="shared" ca="1" si="178"/>
        <v>-2049849010054.4878</v>
      </c>
      <c r="L5022" s="455">
        <f t="shared" ca="1" si="179"/>
        <v>-494013611423131.63</v>
      </c>
      <c r="M5022" s="471">
        <f t="shared" si="181"/>
        <v>0.05</v>
      </c>
      <c r="N5022" s="475">
        <f t="shared" si="182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80"/>
        <v>-494013611423131.63</v>
      </c>
      <c r="J5023" s="455">
        <f t="array" ref="J5023">IFERROR(INDEX('Retirement Calculator'!K:K,MATCH('Lorri 401b'!N5023,'Retirement Calculator'!A:A,0),0),0)</f>
        <v>0</v>
      </c>
      <c r="K5023" s="455">
        <f t="shared" ca="1" si="178"/>
        <v>-2058390047596.3818</v>
      </c>
      <c r="L5023" s="455">
        <f t="shared" ca="1" si="179"/>
        <v>-496072001470728</v>
      </c>
      <c r="M5023" s="471">
        <f t="shared" si="181"/>
        <v>0.05</v>
      </c>
      <c r="N5023" s="475">
        <f t="shared" si="182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80"/>
        <v>-496072001470728</v>
      </c>
      <c r="J5024" s="455">
        <f t="array" ref="J5024">IFERROR(INDEX('Retirement Calculator'!K:K,MATCH('Lorri 401b'!N5024,'Retirement Calculator'!A:A,0),0),0)</f>
        <v>0</v>
      </c>
      <c r="K5024" s="455">
        <f t="shared" ca="1" si="178"/>
        <v>-2066966672794.6997</v>
      </c>
      <c r="L5024" s="455">
        <f t="shared" ca="1" si="179"/>
        <v>-498138968143522.69</v>
      </c>
      <c r="M5024" s="471">
        <f t="shared" si="181"/>
        <v>0.05</v>
      </c>
      <c r="N5024" s="475">
        <f t="shared" si="182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80"/>
        <v>-498138968143522.69</v>
      </c>
      <c r="J5025" s="455">
        <f t="array" ref="J5025">IFERROR(INDEX('Retirement Calculator'!K:K,MATCH('Lorri 401b'!N5025,'Retirement Calculator'!A:A,0),0),0)</f>
        <v>0</v>
      </c>
      <c r="K5025" s="455">
        <f t="shared" ca="1" si="178"/>
        <v>-2075579033931.3445</v>
      </c>
      <c r="L5025" s="455">
        <f t="shared" ca="1" si="179"/>
        <v>-500214547177454.06</v>
      </c>
      <c r="M5025" s="471">
        <f t="shared" si="181"/>
        <v>0.05</v>
      </c>
      <c r="N5025" s="475">
        <f t="shared" si="182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80"/>
        <v>-500214547177454.06</v>
      </c>
      <c r="J5026" s="455">
        <f t="array" ref="J5026">IFERROR(INDEX('Retirement Calculator'!K:K,MATCH('Lorri 401b'!N5026,'Retirement Calculator'!A:A,0),0),0)</f>
        <v>0</v>
      </c>
      <c r="K5026" s="455">
        <f t="shared" ca="1" si="178"/>
        <v>-2084227279906.0588</v>
      </c>
      <c r="L5026" s="455">
        <f t="shared" ca="1" si="179"/>
        <v>-502298774457360.13</v>
      </c>
      <c r="M5026" s="471">
        <f t="shared" si="181"/>
        <v>0.05</v>
      </c>
      <c r="N5026" s="475">
        <f t="shared" si="182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80"/>
        <v>-502298774457360.13</v>
      </c>
      <c r="J5027" s="455">
        <f t="array" ref="J5027">IFERROR(INDEX('Retirement Calculator'!K:K,MATCH('Lorri 401b'!N5027,'Retirement Calculator'!A:A,0),0),0)</f>
        <v>0</v>
      </c>
      <c r="K5027" s="455">
        <f t="shared" ca="1" si="178"/>
        <v>-2092911560239.0005</v>
      </c>
      <c r="L5027" s="455">
        <f t="shared" ca="1" si="179"/>
        <v>-504391686017599.13</v>
      </c>
      <c r="M5027" s="471">
        <f t="shared" si="181"/>
        <v>0.05</v>
      </c>
      <c r="N5027" s="475">
        <f t="shared" si="182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80"/>
        <v>-504391686017599.13</v>
      </c>
      <c r="J5028" s="455">
        <f t="array" ref="J5028">IFERROR(INDEX('Retirement Calculator'!K:K,MATCH('Lorri 401b'!N5028,'Retirement Calculator'!A:A,0),0),0)</f>
        <v>0</v>
      </c>
      <c r="K5028" s="455">
        <f t="shared" ca="1" si="178"/>
        <v>-2101632025073.3296</v>
      </c>
      <c r="L5028" s="455">
        <f t="shared" ca="1" si="179"/>
        <v>-506493318042672.44</v>
      </c>
      <c r="M5028" s="471">
        <f t="shared" si="181"/>
        <v>0.05</v>
      </c>
      <c r="N5028" s="475">
        <f t="shared" si="182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80"/>
        <v>-506493318042672.44</v>
      </c>
      <c r="J5029" s="455">
        <f t="array" ref="J5029">IFERROR(INDEX('Retirement Calculator'!K:K,MATCH('Lorri 401b'!N5029,'Retirement Calculator'!A:A,0),0),0)</f>
        <v>0</v>
      </c>
      <c r="K5029" s="455">
        <f t="shared" ca="1" si="178"/>
        <v>-2110388825177.8015</v>
      </c>
      <c r="L5029" s="455">
        <f t="shared" ca="1" si="179"/>
        <v>-508603706867850.25</v>
      </c>
      <c r="M5029" s="471">
        <f t="shared" si="181"/>
        <v>0.05</v>
      </c>
      <c r="N5029" s="475">
        <f t="shared" si="182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80"/>
        <v>-508603706867850.25</v>
      </c>
      <c r="J5030" s="455">
        <f t="array" ref="J5030">IFERROR(INDEX('Retirement Calculator'!K:K,MATCH('Lorri 401b'!N5030,'Retirement Calculator'!A:A,0),0),0)</f>
        <v>0</v>
      </c>
      <c r="K5030" s="455">
        <f t="shared" ca="1" si="178"/>
        <v>-2119182111949.376</v>
      </c>
      <c r="L5030" s="455">
        <f t="shared" ca="1" si="179"/>
        <v>-510722888979799.63</v>
      </c>
      <c r="M5030" s="471">
        <f t="shared" si="181"/>
        <v>0.05</v>
      </c>
      <c r="N5030" s="475">
        <f t="shared" si="182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80"/>
        <v>-510722888979799.63</v>
      </c>
      <c r="J5031" s="455">
        <f t="array" ref="J5031">IFERROR(INDEX('Retirement Calculator'!K:K,MATCH('Lorri 401b'!N5031,'Retirement Calculator'!A:A,0),0),0)</f>
        <v>0</v>
      </c>
      <c r="K5031" s="455">
        <f t="shared" ca="1" si="178"/>
        <v>-2128012037415.8318</v>
      </c>
      <c r="L5031" s="455">
        <f t="shared" ca="1" si="179"/>
        <v>-512850901017215.44</v>
      </c>
      <c r="M5031" s="471">
        <f t="shared" si="181"/>
        <v>0.05</v>
      </c>
      <c r="N5031" s="475">
        <f t="shared" si="182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80"/>
        <v>-512850901017215.44</v>
      </c>
      <c r="J5032" s="455">
        <f t="array" ref="J5032">IFERROR(INDEX('Retirement Calculator'!K:K,MATCH('Lorri 401b'!N5032,'Retirement Calculator'!A:A,0),0),0)</f>
        <v>0</v>
      </c>
      <c r="K5032" s="455">
        <f t="shared" ca="1" si="178"/>
        <v>-2136878754238.3975</v>
      </c>
      <c r="L5032" s="455">
        <f t="shared" ca="1" si="179"/>
        <v>-514987779771453.81</v>
      </c>
      <c r="M5032" s="471">
        <f t="shared" si="181"/>
        <v>0.05</v>
      </c>
      <c r="N5032" s="475">
        <f t="shared" si="182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80"/>
        <v>-514987779771453.81</v>
      </c>
      <c r="J5033" s="455">
        <f t="array" ref="J5033">IFERROR(INDEX('Retirement Calculator'!K:K,MATCH('Lorri 401b'!N5033,'Retirement Calculator'!A:A,0),0),0)</f>
        <v>0</v>
      </c>
      <c r="K5033" s="455">
        <f t="shared" ca="1" si="178"/>
        <v>-2145782415714.3906</v>
      </c>
      <c r="L5033" s="455">
        <f t="shared" ca="1" si="179"/>
        <v>-517133562187168.19</v>
      </c>
      <c r="M5033" s="471">
        <f t="shared" si="181"/>
        <v>0.05</v>
      </c>
      <c r="N5033" s="475">
        <f t="shared" si="182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80"/>
        <v>-517133562187168.19</v>
      </c>
      <c r="J5034" s="455">
        <f t="array" ref="J5034">IFERROR(INDEX('Retirement Calculator'!K:K,MATCH('Lorri 401b'!N5034,'Retirement Calculator'!A:A,0),0),0)</f>
        <v>0</v>
      </c>
      <c r="K5034" s="455">
        <f t="shared" ca="1" si="178"/>
        <v>-2154723175779.8674</v>
      </c>
      <c r="L5034" s="455">
        <f t="shared" ca="1" si="179"/>
        <v>-519288285362948.06</v>
      </c>
      <c r="M5034" s="471">
        <f t="shared" si="181"/>
        <v>0.05</v>
      </c>
      <c r="N5034" s="475">
        <f t="shared" si="182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80"/>
        <v>-519288285362948.06</v>
      </c>
      <c r="J5035" s="455">
        <f t="array" ref="J5035">IFERROR(INDEX('Retirement Calculator'!K:K,MATCH('Lorri 401b'!N5035,'Retirement Calculator'!A:A,0),0),0)</f>
        <v>0</v>
      </c>
      <c r="K5035" s="455">
        <f t="shared" ca="1" si="178"/>
        <v>-2163701189012.2834</v>
      </c>
      <c r="L5035" s="455">
        <f t="shared" ca="1" si="179"/>
        <v>-521451986551960.38</v>
      </c>
      <c r="M5035" s="471">
        <f t="shared" si="181"/>
        <v>0.05</v>
      </c>
      <c r="N5035" s="475">
        <f t="shared" si="182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80"/>
        <v>-521451986551960.38</v>
      </c>
      <c r="J5036" s="455">
        <f t="array" ref="J5036">IFERROR(INDEX('Retirement Calculator'!K:K,MATCH('Lorri 401b'!N5036,'Retirement Calculator'!A:A,0),0),0)</f>
        <v>0</v>
      </c>
      <c r="K5036" s="455">
        <f t="shared" ca="1" si="178"/>
        <v>-2172716610633.1685</v>
      </c>
      <c r="L5036" s="455">
        <f t="shared" ca="1" si="179"/>
        <v>-523624703162593.56</v>
      </c>
      <c r="M5036" s="471">
        <f t="shared" si="181"/>
        <v>0.05</v>
      </c>
      <c r="N5036" s="475">
        <f t="shared" si="182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80"/>
        <v>-523624703162593.56</v>
      </c>
      <c r="J5037" s="455">
        <f t="array" ref="J5037">IFERROR(INDEX('Retirement Calculator'!K:K,MATCH('Lorri 401b'!N5037,'Retirement Calculator'!A:A,0),0),0)</f>
        <v>0</v>
      </c>
      <c r="K5037" s="455">
        <f t="shared" ca="1" si="178"/>
        <v>-2181769596510.8064</v>
      </c>
      <c r="L5037" s="455">
        <f t="shared" ca="1" si="179"/>
        <v>-525806472759104.38</v>
      </c>
      <c r="M5037" s="471">
        <f t="shared" si="181"/>
        <v>0.05</v>
      </c>
      <c r="N5037" s="475">
        <f t="shared" si="182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80"/>
        <v>-525806472759104.38</v>
      </c>
      <c r="J5038" s="455">
        <f t="array" ref="J5038">IFERROR(INDEX('Retirement Calculator'!K:K,MATCH('Lorri 401b'!N5038,'Retirement Calculator'!A:A,0),0),0)</f>
        <v>0</v>
      </c>
      <c r="K5038" s="455">
        <f t="shared" ca="1" si="178"/>
        <v>-2190860303162.9348</v>
      </c>
      <c r="L5038" s="455">
        <f t="shared" ca="1" si="179"/>
        <v>-527997333062267.31</v>
      </c>
      <c r="M5038" s="471">
        <f t="shared" si="181"/>
        <v>0.05</v>
      </c>
      <c r="N5038" s="475">
        <f t="shared" si="182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80"/>
        <v>-527997333062267.31</v>
      </c>
      <c r="J5039" s="455">
        <f t="array" ref="J5039">IFERROR(INDEX('Retirement Calculator'!K:K,MATCH('Lorri 401b'!N5039,'Retirement Calculator'!A:A,0),0),0)</f>
        <v>0</v>
      </c>
      <c r="K5039" s="455">
        <f t="shared" ca="1" si="178"/>
        <v>-2199988887759.4468</v>
      </c>
      <c r="L5039" s="455">
        <f t="shared" ca="1" si="179"/>
        <v>-530197321950026.75</v>
      </c>
      <c r="M5039" s="471">
        <f t="shared" si="181"/>
        <v>0.05</v>
      </c>
      <c r="N5039" s="475">
        <f t="shared" si="182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80"/>
        <v>-530197321950026.75</v>
      </c>
      <c r="J5040" s="455">
        <f t="array" ref="J5040">IFERROR(INDEX('Retirement Calculator'!K:K,MATCH('Lorri 401b'!N5040,'Retirement Calculator'!A:A,0),0),0)</f>
        <v>0</v>
      </c>
      <c r="K5040" s="455">
        <f t="shared" ca="1" si="178"/>
        <v>-2209155508125.1113</v>
      </c>
      <c r="L5040" s="455">
        <f t="shared" ca="1" si="179"/>
        <v>-532406477458151.88</v>
      </c>
      <c r="M5040" s="471">
        <f t="shared" si="181"/>
        <v>0.05</v>
      </c>
      <c r="N5040" s="475">
        <f t="shared" si="182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80"/>
        <v>-532406477458151.88</v>
      </c>
      <c r="J5041" s="455">
        <f t="array" ref="J5041">IFERROR(INDEX('Retirement Calculator'!K:K,MATCH('Lorri 401b'!N5041,'Retirement Calculator'!A:A,0),0),0)</f>
        <v>0</v>
      </c>
      <c r="K5041" s="455">
        <f t="shared" ca="1" si="178"/>
        <v>-2218360322742.2998</v>
      </c>
      <c r="L5041" s="455">
        <f t="shared" ca="1" si="179"/>
        <v>-534624837780894.19</v>
      </c>
      <c r="M5041" s="471">
        <f t="shared" si="181"/>
        <v>0.05</v>
      </c>
      <c r="N5041" s="475">
        <f t="shared" si="182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80"/>
        <v>-534624837780894.19</v>
      </c>
      <c r="J5042" s="455">
        <f t="array" ref="J5042">IFERROR(INDEX('Retirement Calculator'!K:K,MATCH('Lorri 401b'!N5042,'Retirement Calculator'!A:A,0),0),0)</f>
        <v>0</v>
      </c>
      <c r="K5042" s="455">
        <f t="shared" ca="1" si="178"/>
        <v>-2227603490753.7256</v>
      </c>
      <c r="L5042" s="455">
        <f t="shared" ca="1" si="179"/>
        <v>-536852441271647.94</v>
      </c>
      <c r="M5042" s="471">
        <f t="shared" si="181"/>
        <v>0.05</v>
      </c>
      <c r="N5042" s="475">
        <f t="shared" si="182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80"/>
        <v>-536852441271647.94</v>
      </c>
      <c r="J5043" s="455">
        <f t="array" ref="J5043">IFERROR(INDEX('Retirement Calculator'!K:K,MATCH('Lorri 401b'!N5043,'Retirement Calculator'!A:A,0),0),0)</f>
        <v>0</v>
      </c>
      <c r="K5043" s="455">
        <f t="shared" ca="1" si="178"/>
        <v>-2236885171965.1992</v>
      </c>
      <c r="L5043" s="455">
        <f t="shared" ca="1" si="179"/>
        <v>-539089326443613.13</v>
      </c>
      <c r="M5043" s="471">
        <f t="shared" si="181"/>
        <v>0.05</v>
      </c>
      <c r="N5043" s="475">
        <f t="shared" si="182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80"/>
        <v>-539089326443613.13</v>
      </c>
      <c r="J5044" s="455">
        <f t="array" ref="J5044">IFERROR(INDEX('Retirement Calculator'!K:K,MATCH('Lorri 401b'!N5044,'Retirement Calculator'!A:A,0),0),0)</f>
        <v>0</v>
      </c>
      <c r="K5044" s="455">
        <f t="shared" ca="1" si="178"/>
        <v>-2246205526848.3882</v>
      </c>
      <c r="L5044" s="455">
        <f t="shared" ca="1" si="179"/>
        <v>-541335531970461.5</v>
      </c>
      <c r="M5044" s="471">
        <f t="shared" si="181"/>
        <v>0.05</v>
      </c>
      <c r="N5044" s="475">
        <f t="shared" si="182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80"/>
        <v>-541335531970461.5</v>
      </c>
      <c r="J5045" s="455">
        <f t="array" ref="J5045">IFERROR(INDEX('Retirement Calculator'!K:K,MATCH('Lorri 401b'!N5045,'Retirement Calculator'!A:A,0),0),0)</f>
        <v>0</v>
      </c>
      <c r="K5045" s="455">
        <f t="shared" ca="1" si="178"/>
        <v>-2255564716543.5894</v>
      </c>
      <c r="L5045" s="455">
        <f t="shared" ca="1" si="179"/>
        <v>-543591096687005.06</v>
      </c>
      <c r="M5045" s="471">
        <f t="shared" si="181"/>
        <v>0.05</v>
      </c>
      <c r="N5045" s="475">
        <f t="shared" si="182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80"/>
        <v>-543591096687005.06</v>
      </c>
      <c r="J5046" s="455">
        <f t="array" ref="J5046">IFERROR(INDEX('Retirement Calculator'!K:K,MATCH('Lorri 401b'!N5046,'Retirement Calculator'!A:A,0),0),0)</f>
        <v>0</v>
      </c>
      <c r="K5046" s="455">
        <f t="shared" ca="1" si="178"/>
        <v>-2264962902862.521</v>
      </c>
      <c r="L5046" s="455">
        <f t="shared" ca="1" si="179"/>
        <v>-545856059589867.56</v>
      </c>
      <c r="M5046" s="471">
        <f t="shared" si="181"/>
        <v>0.05</v>
      </c>
      <c r="N5046" s="475">
        <f t="shared" si="182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80"/>
        <v>-545856059589867.56</v>
      </c>
      <c r="J5047" s="455">
        <f t="array" ref="J5047">IFERROR(INDEX('Retirement Calculator'!K:K,MATCH('Lorri 401b'!N5047,'Retirement Calculator'!A:A,0),0),0)</f>
        <v>0</v>
      </c>
      <c r="K5047" s="455">
        <f t="shared" ca="1" si="178"/>
        <v>-2274400248291.1147</v>
      </c>
      <c r="L5047" s="455">
        <f t="shared" ca="1" si="179"/>
        <v>-548130459838158.69</v>
      </c>
      <c r="M5047" s="471">
        <f t="shared" si="181"/>
        <v>0.05</v>
      </c>
      <c r="N5047" s="475">
        <f t="shared" si="182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80"/>
        <v>-548130459838158.69</v>
      </c>
      <c r="J5048" s="455">
        <f t="array" ref="J5048">IFERROR(INDEX('Retirement Calculator'!K:K,MATCH('Lorri 401b'!N5048,'Retirement Calculator'!A:A,0),0),0)</f>
        <v>0</v>
      </c>
      <c r="K5048" s="455">
        <f t="shared" ca="1" si="178"/>
        <v>-2283876915992.3276</v>
      </c>
      <c r="L5048" s="455">
        <f t="shared" ca="1" si="179"/>
        <v>-550414336754151</v>
      </c>
      <c r="M5048" s="471">
        <f t="shared" si="181"/>
        <v>0.05</v>
      </c>
      <c r="N5048" s="475">
        <f t="shared" si="182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80"/>
        <v>-550414336754151</v>
      </c>
      <c r="J5049" s="455">
        <f t="array" ref="J5049">IFERROR(INDEX('Retirement Calculator'!K:K,MATCH('Lorri 401b'!N5049,'Retirement Calculator'!A:A,0),0),0)</f>
        <v>0</v>
      </c>
      <c r="K5049" s="455">
        <f t="shared" ca="1" si="178"/>
        <v>-2293393069808.9624</v>
      </c>
      <c r="L5049" s="455">
        <f t="shared" ca="1" si="179"/>
        <v>-552707729823959.94</v>
      </c>
      <c r="M5049" s="471">
        <f t="shared" si="181"/>
        <v>0.05</v>
      </c>
      <c r="N5049" s="475">
        <f t="shared" si="182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80"/>
        <v>-552707729823959.94</v>
      </c>
      <c r="J5050" s="455">
        <f t="array" ref="J5050">IFERROR(INDEX('Retirement Calculator'!K:K,MATCH('Lorri 401b'!N5050,'Retirement Calculator'!A:A,0),0),0)</f>
        <v>0</v>
      </c>
      <c r="K5050" s="455">
        <f t="shared" ca="1" si="178"/>
        <v>-2302948874266.4995</v>
      </c>
      <c r="L5050" s="455">
        <f t="shared" ca="1" si="179"/>
        <v>-555010678698226.44</v>
      </c>
      <c r="M5050" s="471">
        <f t="shared" si="181"/>
        <v>0.05</v>
      </c>
      <c r="N5050" s="475">
        <f t="shared" si="182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80"/>
        <v>-555010678698226.44</v>
      </c>
      <c r="J5051" s="455">
        <f t="array" ref="J5051">IFERROR(INDEX('Retirement Calculator'!K:K,MATCH('Lorri 401b'!N5051,'Retirement Calculator'!A:A,0),0),0)</f>
        <v>0</v>
      </c>
      <c r="K5051" s="455">
        <f t="shared" ca="1" si="178"/>
        <v>-2312544494575.9434</v>
      </c>
      <c r="L5051" s="455">
        <f t="shared" ca="1" si="179"/>
        <v>-557323223192802.38</v>
      </c>
      <c r="M5051" s="471">
        <f t="shared" si="181"/>
        <v>0.05</v>
      </c>
      <c r="N5051" s="475">
        <f t="shared" si="182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80"/>
        <v>-557323223192802.38</v>
      </c>
      <c r="J5052" s="455">
        <f t="array" ref="J5052">IFERROR(INDEX('Retirement Calculator'!K:K,MATCH('Lorri 401b'!N5052,'Retirement Calculator'!A:A,0),0),0)</f>
        <v>0</v>
      </c>
      <c r="K5052" s="455">
        <f t="shared" ca="1" si="178"/>
        <v>-2322180096636.6768</v>
      </c>
      <c r="L5052" s="455">
        <f t="shared" ca="1" si="179"/>
        <v>-559645403289439.06</v>
      </c>
      <c r="M5052" s="471">
        <f t="shared" si="181"/>
        <v>0.05</v>
      </c>
      <c r="N5052" s="475">
        <f t="shared" si="182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80"/>
        <v>-559645403289439.06</v>
      </c>
      <c r="J5053" s="455">
        <f t="array" ref="J5053">IFERROR(INDEX('Retirement Calculator'!K:K,MATCH('Lorri 401b'!N5053,'Retirement Calculator'!A:A,0),0),0)</f>
        <v>0</v>
      </c>
      <c r="K5053" s="455">
        <f t="shared" ca="1" si="178"/>
        <v>-2331855847039.3296</v>
      </c>
      <c r="L5053" s="455">
        <f t="shared" ca="1" si="179"/>
        <v>-561977259136478.38</v>
      </c>
      <c r="M5053" s="471">
        <f t="shared" si="181"/>
        <v>0.05</v>
      </c>
      <c r="N5053" s="475">
        <f t="shared" si="182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80"/>
        <v>-561977259136478.38</v>
      </c>
      <c r="J5054" s="455">
        <f t="array" ref="J5054">IFERROR(INDEX('Retirement Calculator'!K:K,MATCH('Lorri 401b'!N5054,'Retirement Calculator'!A:A,0),0),0)</f>
        <v>0</v>
      </c>
      <c r="K5054" s="455">
        <f t="shared" ca="1" si="178"/>
        <v>-2341571913068.6597</v>
      </c>
      <c r="L5054" s="455">
        <f t="shared" ca="1" si="179"/>
        <v>-564318831049547</v>
      </c>
      <c r="M5054" s="471">
        <f t="shared" si="181"/>
        <v>0.05</v>
      </c>
      <c r="N5054" s="475">
        <f t="shared" si="182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80"/>
        <v>-564318831049547</v>
      </c>
      <c r="J5055" s="455">
        <f t="array" ref="J5055">IFERROR(INDEX('Retirement Calculator'!K:K,MATCH('Lorri 401b'!N5055,'Retirement Calculator'!A:A,0),0),0)</f>
        <v>0</v>
      </c>
      <c r="K5055" s="455">
        <f t="shared" ca="1" si="178"/>
        <v>-2351328462706.4458</v>
      </c>
      <c r="L5055" s="455">
        <f t="shared" ca="1" si="179"/>
        <v>-566670159512253.5</v>
      </c>
      <c r="M5055" s="471">
        <f t="shared" si="181"/>
        <v>0.05</v>
      </c>
      <c r="N5055" s="475">
        <f t="shared" si="182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80"/>
        <v>-566670159512253.5</v>
      </c>
      <c r="J5056" s="455">
        <f t="array" ref="J5056">IFERROR(INDEX('Retirement Calculator'!K:K,MATCH('Lorri 401b'!N5056,'Retirement Calculator'!A:A,0),0),0)</f>
        <v>0</v>
      </c>
      <c r="K5056" s="455">
        <f t="shared" ca="1" si="178"/>
        <v>-2361125664634.3896</v>
      </c>
      <c r="L5056" s="455">
        <f t="shared" ca="1" si="179"/>
        <v>-569031285176887.88</v>
      </c>
      <c r="M5056" s="471">
        <f t="shared" si="181"/>
        <v>0.05</v>
      </c>
      <c r="N5056" s="475">
        <f t="shared" si="182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80"/>
        <v>-569031285176887.88</v>
      </c>
      <c r="J5057" s="455">
        <f t="array" ref="J5057">IFERROR(INDEX('Retirement Calculator'!K:K,MATCH('Lorri 401b'!N5057,'Retirement Calculator'!A:A,0),0),0)</f>
        <v>0</v>
      </c>
      <c r="K5057" s="455">
        <f t="shared" ca="1" si="178"/>
        <v>-2370963688237.0327</v>
      </c>
      <c r="L5057" s="455">
        <f t="shared" ca="1" si="179"/>
        <v>-571402248865124.88</v>
      </c>
      <c r="M5057" s="471">
        <f t="shared" si="181"/>
        <v>0.05</v>
      </c>
      <c r="N5057" s="475">
        <f t="shared" si="182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80"/>
        <v>-571402248865124.88</v>
      </c>
      <c r="J5058" s="455">
        <f t="array" ref="J5058">IFERROR(INDEX('Retirement Calculator'!K:K,MATCH('Lorri 401b'!N5058,'Retirement Calculator'!A:A,0),0),0)</f>
        <v>0</v>
      </c>
      <c r="K5058" s="455">
        <f t="shared" ca="1" si="178"/>
        <v>-2380842703604.687</v>
      </c>
      <c r="L5058" s="455">
        <f t="shared" ca="1" si="179"/>
        <v>-573783091568729.5</v>
      </c>
      <c r="M5058" s="471">
        <f t="shared" si="181"/>
        <v>0.05</v>
      </c>
      <c r="N5058" s="475">
        <f t="shared" si="182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80"/>
        <v>-573783091568729.5</v>
      </c>
      <c r="J5059" s="455">
        <f t="array" ref="J5059">IFERROR(INDEX('Retirement Calculator'!K:K,MATCH('Lorri 401b'!N5059,'Retirement Calculator'!A:A,0),0),0)</f>
        <v>0</v>
      </c>
      <c r="K5059" s="455">
        <f t="shared" ca="1" si="178"/>
        <v>-2390762881536.373</v>
      </c>
      <c r="L5059" s="455">
        <f t="shared" ca="1" si="179"/>
        <v>-576173854450265.88</v>
      </c>
      <c r="M5059" s="471">
        <f t="shared" si="181"/>
        <v>0.05</v>
      </c>
      <c r="N5059" s="475">
        <f t="shared" si="182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80"/>
        <v>-576173854450265.88</v>
      </c>
      <c r="J5060" s="455">
        <f t="array" ref="J5060">IFERROR(INDEX('Retirement Calculator'!K:K,MATCH('Lorri 401b'!N5060,'Retirement Calculator'!A:A,0),0),0)</f>
        <v>0</v>
      </c>
      <c r="K5060" s="455">
        <f t="shared" ca="1" si="178"/>
        <v>-2400724393542.7744</v>
      </c>
      <c r="L5060" s="455">
        <f t="shared" ca="1" si="179"/>
        <v>-578574578843808.63</v>
      </c>
      <c r="M5060" s="471">
        <f t="shared" si="181"/>
        <v>0.05</v>
      </c>
      <c r="N5060" s="475">
        <f t="shared" si="182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80"/>
        <v>-578574578843808.63</v>
      </c>
      <c r="J5061" s="455">
        <f t="array" ref="J5061">IFERROR(INDEX('Retirement Calculator'!K:K,MATCH('Lorri 401b'!N5061,'Retirement Calculator'!A:A,0),0),0)</f>
        <v>0</v>
      </c>
      <c r="K5061" s="455">
        <f t="shared" ca="1" si="178"/>
        <v>-2410727411849.2026</v>
      </c>
      <c r="L5061" s="455">
        <f t="shared" ca="1" si="179"/>
        <v>-580985306255657.88</v>
      </c>
      <c r="M5061" s="471">
        <f t="shared" si="181"/>
        <v>0.05</v>
      </c>
      <c r="N5061" s="475">
        <f t="shared" si="182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80"/>
        <v>-580985306255657.88</v>
      </c>
      <c r="J5062" s="455">
        <f t="array" ref="J5062">IFERROR(INDEX('Retirement Calculator'!K:K,MATCH('Lorri 401b'!N5062,'Retirement Calculator'!A:A,0),0),0)</f>
        <v>0</v>
      </c>
      <c r="K5062" s="455">
        <f t="shared" ca="1" si="178"/>
        <v>-2420772109398.5742</v>
      </c>
      <c r="L5062" s="455">
        <f t="shared" ca="1" si="179"/>
        <v>-583406078365056.5</v>
      </c>
      <c r="M5062" s="471">
        <f t="shared" si="181"/>
        <v>0.05</v>
      </c>
      <c r="N5062" s="475">
        <f t="shared" si="182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80"/>
        <v>-583406078365056.5</v>
      </c>
      <c r="J5063" s="455">
        <f t="array" ref="J5063">IFERROR(INDEX('Retirement Calculator'!K:K,MATCH('Lorri 401b'!N5063,'Retirement Calculator'!A:A,0),0),0)</f>
        <v>0</v>
      </c>
      <c r="K5063" s="455">
        <f t="shared" ca="1" si="178"/>
        <v>-2430858659854.4019</v>
      </c>
      <c r="L5063" s="455">
        <f t="shared" ca="1" si="179"/>
        <v>-585836937024910.88</v>
      </c>
      <c r="M5063" s="471">
        <f t="shared" si="181"/>
        <v>0.05</v>
      </c>
      <c r="N5063" s="475">
        <f t="shared" si="182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80"/>
        <v>-585836937024910.88</v>
      </c>
      <c r="J5064" s="455">
        <f t="array" ref="J5064">IFERROR(INDEX('Retirement Calculator'!K:K,MATCH('Lorri 401b'!N5064,'Retirement Calculator'!A:A,0),0),0)</f>
        <v>0</v>
      </c>
      <c r="K5064" s="455">
        <f t="shared" ca="1" si="178"/>
        <v>-2440987237603.7954</v>
      </c>
      <c r="L5064" s="455">
        <f t="shared" ca="1" si="179"/>
        <v>-588277924262514.63</v>
      </c>
      <c r="M5064" s="471">
        <f t="shared" si="181"/>
        <v>0.05</v>
      </c>
      <c r="N5064" s="475">
        <f t="shared" si="182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80"/>
        <v>-588277924262514.63</v>
      </c>
      <c r="J5065" s="455">
        <f t="array" ref="J5065">IFERROR(INDEX('Retirement Calculator'!K:K,MATCH('Lorri 401b'!N5065,'Retirement Calculator'!A:A,0),0),0)</f>
        <v>0</v>
      </c>
      <c r="K5065" s="455">
        <f t="shared" ca="1" si="178"/>
        <v>-2451158017760.4775</v>
      </c>
      <c r="L5065" s="455">
        <f t="shared" ca="1" si="179"/>
        <v>-590729082280275.13</v>
      </c>
      <c r="M5065" s="471">
        <f t="shared" si="181"/>
        <v>0.05</v>
      </c>
      <c r="N5065" s="475">
        <f t="shared" si="182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80"/>
        <v>-590729082280275.13</v>
      </c>
      <c r="J5066" s="455">
        <f t="array" ref="J5066">IFERROR(INDEX('Retirement Calculator'!K:K,MATCH('Lorri 401b'!N5066,'Retirement Calculator'!A:A,0),0),0)</f>
        <v>0</v>
      </c>
      <c r="K5066" s="455">
        <f t="shared" ca="1" si="178"/>
        <v>-2461371176167.813</v>
      </c>
      <c r="L5066" s="455">
        <f t="shared" ca="1" si="179"/>
        <v>-593190453456443</v>
      </c>
      <c r="M5066" s="471">
        <f t="shared" si="181"/>
        <v>0.05</v>
      </c>
      <c r="N5066" s="475">
        <f t="shared" si="182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80"/>
        <v>-593190453456443</v>
      </c>
      <c r="J5067" s="455">
        <f t="array" ref="J5067">IFERROR(INDEX('Retirement Calculator'!K:K,MATCH('Lorri 401b'!N5067,'Retirement Calculator'!A:A,0),0),0)</f>
        <v>0</v>
      </c>
      <c r="K5067" s="455">
        <f t="shared" ca="1" si="178"/>
        <v>-2471626889401.8457</v>
      </c>
      <c r="L5067" s="455">
        <f t="shared" ca="1" si="179"/>
        <v>-595662080345844.88</v>
      </c>
      <c r="M5067" s="471">
        <f t="shared" si="181"/>
        <v>0.05</v>
      </c>
      <c r="N5067" s="475">
        <f t="shared" si="182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80"/>
        <v>-595662080345844.88</v>
      </c>
      <c r="J5068" s="455">
        <f t="array" ref="J5068">IFERROR(INDEX('Retirement Calculator'!K:K,MATCH('Lorri 401b'!N5068,'Retirement Calculator'!A:A,0),0),0)</f>
        <v>0</v>
      </c>
      <c r="K5068" s="455">
        <f t="shared" ca="1" si="178"/>
        <v>-2481925334774.3535</v>
      </c>
      <c r="L5068" s="455">
        <f t="shared" ca="1" si="179"/>
        <v>-598144005680619.25</v>
      </c>
      <c r="M5068" s="471">
        <f t="shared" si="181"/>
        <v>0.05</v>
      </c>
      <c r="N5068" s="475">
        <f t="shared" si="182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80"/>
        <v>-598144005680619.25</v>
      </c>
      <c r="J5069" s="455">
        <f t="array" ref="J5069">IFERROR(INDEX('Retirement Calculator'!K:K,MATCH('Lorri 401b'!N5069,'Retirement Calculator'!A:A,0),0),0)</f>
        <v>0</v>
      </c>
      <c r="K5069" s="455">
        <f t="shared" ca="1" si="178"/>
        <v>-2492266690335.9136</v>
      </c>
      <c r="L5069" s="455">
        <f t="shared" ca="1" si="179"/>
        <v>-600636272370955.13</v>
      </c>
      <c r="M5069" s="471">
        <f t="shared" si="181"/>
        <v>0.05</v>
      </c>
      <c r="N5069" s="475">
        <f t="shared" si="182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80"/>
        <v>-600636272370955.13</v>
      </c>
      <c r="J5070" s="455">
        <f t="array" ref="J5070">IFERROR(INDEX('Retirement Calculator'!K:K,MATCH('Lorri 401b'!N5070,'Retirement Calculator'!A:A,0),0),0)</f>
        <v>0</v>
      </c>
      <c r="K5070" s="455">
        <f t="shared" ca="1" si="178"/>
        <v>-2502651134878.9795</v>
      </c>
      <c r="L5070" s="455">
        <f t="shared" ca="1" si="179"/>
        <v>-603138923505834.13</v>
      </c>
      <c r="M5070" s="471">
        <f t="shared" si="181"/>
        <v>0.05</v>
      </c>
      <c r="N5070" s="475">
        <f t="shared" si="182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80"/>
        <v>-603138923505834.13</v>
      </c>
      <c r="J5071" s="455">
        <f t="array" ref="J5071">IFERROR(INDEX('Retirement Calculator'!K:K,MATCH('Lorri 401b'!N5071,'Retirement Calculator'!A:A,0),0),0)</f>
        <v>0</v>
      </c>
      <c r="K5071" s="455">
        <f t="shared" ca="1" si="178"/>
        <v>-2513078847940.9756</v>
      </c>
      <c r="L5071" s="455">
        <f t="shared" ca="1" si="179"/>
        <v>-605652002353775.13</v>
      </c>
      <c r="M5071" s="471">
        <f t="shared" si="181"/>
        <v>0.05</v>
      </c>
      <c r="N5071" s="475">
        <f t="shared" si="182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80"/>
        <v>-605652002353775.13</v>
      </c>
      <c r="J5072" s="455">
        <f t="array" ref="J5072">IFERROR(INDEX('Retirement Calculator'!K:K,MATCH('Lorri 401b'!N5072,'Retirement Calculator'!A:A,0),0),0)</f>
        <v>0</v>
      </c>
      <c r="K5072" s="455">
        <f t="shared" ca="1" si="178"/>
        <v>-2523550009807.3965</v>
      </c>
      <c r="L5072" s="455">
        <f t="shared" ca="1" si="179"/>
        <v>-608175552363582.5</v>
      </c>
      <c r="M5072" s="471">
        <f t="shared" si="181"/>
        <v>0.05</v>
      </c>
      <c r="N5072" s="475">
        <f t="shared" si="182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80"/>
        <v>-608175552363582.5</v>
      </c>
      <c r="J5073" s="455">
        <f t="array" ref="J5073">IFERROR(INDEX('Retirement Calculator'!K:K,MATCH('Lorri 401b'!N5073,'Retirement Calculator'!A:A,0),0),0)</f>
        <v>0</v>
      </c>
      <c r="K5073" s="455">
        <f t="shared" ca="1" si="178"/>
        <v>-2534064801514.9272</v>
      </c>
      <c r="L5073" s="455">
        <f t="shared" ca="1" si="179"/>
        <v>-610709617165097.38</v>
      </c>
      <c r="M5073" s="471">
        <f t="shared" si="181"/>
        <v>0.05</v>
      </c>
      <c r="N5073" s="475">
        <f t="shared" si="182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80"/>
        <v>-610709617165097.38</v>
      </c>
      <c r="J5074" s="455">
        <f t="array" ref="J5074">IFERROR(INDEX('Retirement Calculator'!K:K,MATCH('Lorri 401b'!N5074,'Retirement Calculator'!A:A,0),0),0)</f>
        <v>0</v>
      </c>
      <c r="K5074" s="455">
        <f t="shared" ca="1" si="178"/>
        <v>-2544623404854.5723</v>
      </c>
      <c r="L5074" s="455">
        <f t="shared" ca="1" si="179"/>
        <v>-613254240569952</v>
      </c>
      <c r="M5074" s="471">
        <f t="shared" si="181"/>
        <v>0.05</v>
      </c>
      <c r="N5074" s="475">
        <f t="shared" si="182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80"/>
        <v>-613254240569952</v>
      </c>
      <c r="J5075" s="455">
        <f t="array" ref="J5075">IFERROR(INDEX('Retirement Calculator'!K:K,MATCH('Lorri 401b'!N5075,'Retirement Calculator'!A:A,0),0),0)</f>
        <v>0</v>
      </c>
      <c r="K5075" s="455">
        <f t="shared" ca="1" si="178"/>
        <v>-2555226002374.7998</v>
      </c>
      <c r="L5075" s="455">
        <f t="shared" ca="1" si="179"/>
        <v>-615809466572326.75</v>
      </c>
      <c r="M5075" s="471">
        <f t="shared" si="181"/>
        <v>0.05</v>
      </c>
      <c r="N5075" s="475">
        <f t="shared" si="182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80"/>
        <v>-615809466572326.75</v>
      </c>
      <c r="J5076" s="455">
        <f t="array" ref="J5076">IFERROR(INDEX('Retirement Calculator'!K:K,MATCH('Lorri 401b'!N5076,'Retirement Calculator'!A:A,0),0),0)</f>
        <v>0</v>
      </c>
      <c r="K5076" s="455">
        <f t="shared" ca="1" si="178"/>
        <v>-2565872777384.6948</v>
      </c>
      <c r="L5076" s="455">
        <f t="shared" ca="1" si="179"/>
        <v>-618375339349711.5</v>
      </c>
      <c r="M5076" s="471">
        <f t="shared" si="181"/>
        <v>0.05</v>
      </c>
      <c r="N5076" s="475">
        <f t="shared" si="182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80"/>
        <v>-618375339349711.5</v>
      </c>
      <c r="J5077" s="455">
        <f t="array" ref="J5077">IFERROR(INDEX('Retirement Calculator'!K:K,MATCH('Lorri 401b'!N5077,'Retirement Calculator'!A:A,0),0),0)</f>
        <v>0</v>
      </c>
      <c r="K5077" s="455">
        <f t="shared" ca="1" si="178"/>
        <v>-2576563913957.1313</v>
      </c>
      <c r="L5077" s="455">
        <f t="shared" ca="1" si="179"/>
        <v>-620951903263668.63</v>
      </c>
      <c r="M5077" s="471">
        <f t="shared" si="181"/>
        <v>0.05</v>
      </c>
      <c r="N5077" s="475">
        <f t="shared" si="182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80"/>
        <v>-620951903263668.63</v>
      </c>
      <c r="J5078" s="455">
        <f t="array" ref="J5078">IFERROR(INDEX('Retirement Calculator'!K:K,MATCH('Lorri 401b'!N5078,'Retirement Calculator'!A:A,0),0),0)</f>
        <v>0</v>
      </c>
      <c r="K5078" s="455">
        <f t="shared" ca="1" si="178"/>
        <v>-2587299596931.9526</v>
      </c>
      <c r="L5078" s="455">
        <f t="shared" ca="1" si="179"/>
        <v>-623539202860600.63</v>
      </c>
      <c r="M5078" s="471">
        <f t="shared" si="181"/>
        <v>0.05</v>
      </c>
      <c r="N5078" s="475">
        <f t="shared" si="182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80"/>
        <v>-623539202860600.63</v>
      </c>
      <c r="J5079" s="455">
        <f t="array" ref="J5079">IFERROR(INDEX('Retirement Calculator'!K:K,MATCH('Lorri 401b'!N5079,'Retirement Calculator'!A:A,0),0),0)</f>
        <v>0</v>
      </c>
      <c r="K5079" s="455">
        <f t="shared" ca="1" si="178"/>
        <v>-2598080011919.1694</v>
      </c>
      <c r="L5079" s="455">
        <f t="shared" ca="1" si="179"/>
        <v>-626137282872519.75</v>
      </c>
      <c r="M5079" s="471">
        <f t="shared" si="181"/>
        <v>0.05</v>
      </c>
      <c r="N5079" s="475">
        <f t="shared" si="182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80"/>
        <v>-626137282872519.75</v>
      </c>
      <c r="J5080" s="455">
        <f t="array" ref="J5080">IFERROR(INDEX('Retirement Calculator'!K:K,MATCH('Lorri 401b'!N5080,'Retirement Calculator'!A:A,0),0),0)</f>
        <v>0</v>
      </c>
      <c r="K5080" s="455">
        <f t="shared" ca="1" si="178"/>
        <v>-2608905345302.1655</v>
      </c>
      <c r="L5080" s="455">
        <f t="shared" ca="1" si="179"/>
        <v>-628746188217821.88</v>
      </c>
      <c r="M5080" s="471">
        <f t="shared" si="181"/>
        <v>0.05</v>
      </c>
      <c r="N5080" s="475">
        <f t="shared" si="182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80"/>
        <v>-628746188217821.88</v>
      </c>
      <c r="J5081" s="455">
        <f t="array" ref="J5081">IFERROR(INDEX('Retirement Calculator'!K:K,MATCH('Lorri 401b'!N5081,'Retirement Calculator'!A:A,0),0),0)</f>
        <v>0</v>
      </c>
      <c r="K5081" s="455">
        <f t="shared" ca="1" si="178"/>
        <v>-2619775784240.9243</v>
      </c>
      <c r="L5081" s="455">
        <f t="shared" ca="1" si="179"/>
        <v>-631365964002062.75</v>
      </c>
      <c r="M5081" s="471">
        <f t="shared" si="181"/>
        <v>0.05</v>
      </c>
      <c r="N5081" s="475">
        <f t="shared" si="182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80"/>
        <v>-631365964002062.75</v>
      </c>
      <c r="J5082" s="455">
        <f t="array" ref="J5082">IFERROR(INDEX('Retirement Calculator'!K:K,MATCH('Lorri 401b'!N5082,'Retirement Calculator'!A:A,0),0),0)</f>
        <v>0</v>
      </c>
      <c r="K5082" s="455">
        <f t="shared" ca="1" si="178"/>
        <v>-2630691516675.2612</v>
      </c>
      <c r="L5082" s="455">
        <f t="shared" ca="1" si="179"/>
        <v>-633996655518738</v>
      </c>
      <c r="M5082" s="471">
        <f t="shared" si="181"/>
        <v>0.05</v>
      </c>
      <c r="N5082" s="475">
        <f t="shared" si="182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80"/>
        <v>-633996655518738</v>
      </c>
      <c r="J5083" s="455">
        <f t="array" ref="J5083">IFERROR(INDEX('Retirement Calculator'!K:K,MATCH('Lorri 401b'!N5083,'Retirement Calculator'!A:A,0),0),0)</f>
        <v>0</v>
      </c>
      <c r="K5083" s="455">
        <f t="shared" ca="1" si="178"/>
        <v>-2641652731328.0752</v>
      </c>
      <c r="L5083" s="455">
        <f t="shared" ca="1" si="179"/>
        <v>-636638308250066.13</v>
      </c>
      <c r="M5083" s="471">
        <f t="shared" si="181"/>
        <v>0.05</v>
      </c>
      <c r="N5083" s="475">
        <f t="shared" si="182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80"/>
        <v>-636638308250066.13</v>
      </c>
      <c r="J5084" s="455">
        <f t="array" ref="J5084">IFERROR(INDEX('Retirement Calculator'!K:K,MATCH('Lorri 401b'!N5084,'Retirement Calculator'!A:A,0),0),0)</f>
        <v>0</v>
      </c>
      <c r="K5084" s="455">
        <f t="shared" ca="1" si="178"/>
        <v>-2652659617708.6089</v>
      </c>
      <c r="L5084" s="455">
        <f t="shared" ca="1" si="179"/>
        <v>-639290967867774.75</v>
      </c>
      <c r="M5084" s="471">
        <f t="shared" si="181"/>
        <v>0.05</v>
      </c>
      <c r="N5084" s="475">
        <f t="shared" si="182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80"/>
        <v>-639290967867774.75</v>
      </c>
      <c r="J5085" s="455">
        <f t="array" ref="J5085">IFERROR(INDEX('Retirement Calculator'!K:K,MATCH('Lorri 401b'!N5085,'Retirement Calculator'!A:A,0),0),0)</f>
        <v>0</v>
      </c>
      <c r="K5085" s="455">
        <f t="shared" ca="1" si="178"/>
        <v>-2663712366115.728</v>
      </c>
      <c r="L5085" s="455">
        <f t="shared" ca="1" si="179"/>
        <v>-641954680233890.5</v>
      </c>
      <c r="M5085" s="471">
        <f t="shared" si="181"/>
        <v>0.05</v>
      </c>
      <c r="N5085" s="475">
        <f t="shared" si="182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80"/>
        <v>-641954680233890.5</v>
      </c>
      <c r="J5086" s="455">
        <f t="array" ref="J5086">IFERROR(INDEX('Retirement Calculator'!K:K,MATCH('Lorri 401b'!N5086,'Retirement Calculator'!A:A,0),0),0)</f>
        <v>0</v>
      </c>
      <c r="K5086" s="455">
        <f t="shared" ca="1" si="178"/>
        <v>-2674811167641.2104</v>
      </c>
      <c r="L5086" s="455">
        <f t="shared" ca="1" si="179"/>
        <v>-644629491401531.75</v>
      </c>
      <c r="M5086" s="471">
        <f t="shared" si="181"/>
        <v>0.05</v>
      </c>
      <c r="N5086" s="475">
        <f t="shared" si="182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80"/>
        <v>-644629491401531.75</v>
      </c>
      <c r="J5087" s="455">
        <f t="array" ref="J5087">IFERROR(INDEX('Retirement Calculator'!K:K,MATCH('Lorri 401b'!N5087,'Retirement Calculator'!A:A,0),0),0)</f>
        <v>0</v>
      </c>
      <c r="K5087" s="455">
        <f t="shared" ca="1" si="178"/>
        <v>-2685956214173.0488</v>
      </c>
      <c r="L5087" s="455">
        <f t="shared" ca="1" si="179"/>
        <v>-647315447615704.75</v>
      </c>
      <c r="M5087" s="471">
        <f t="shared" si="181"/>
        <v>0.05</v>
      </c>
      <c r="N5087" s="475">
        <f t="shared" si="182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80"/>
        <v>-647315447615704.75</v>
      </c>
      <c r="J5088" s="455">
        <f t="array" ref="J5088">IFERROR(INDEX('Retirement Calculator'!K:K,MATCH('Lorri 401b'!N5088,'Retirement Calculator'!A:A,0),0),0)</f>
        <v>0</v>
      </c>
      <c r="K5088" s="455">
        <f t="shared" ca="1" si="178"/>
        <v>-2697147698398.7695</v>
      </c>
      <c r="L5088" s="455">
        <f t="shared" ca="1" si="179"/>
        <v>-650012595314103.5</v>
      </c>
      <c r="M5088" s="471">
        <f t="shared" si="181"/>
        <v>0.05</v>
      </c>
      <c r="N5088" s="475">
        <f t="shared" si="182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80"/>
        <v>-650012595314103.5</v>
      </c>
      <c r="J5089" s="455">
        <f t="array" ref="J5089">IFERROR(INDEX('Retirement Calculator'!K:K,MATCH('Lorri 401b'!N5089,'Retirement Calculator'!A:A,0),0),0)</f>
        <v>0</v>
      </c>
      <c r="K5089" s="455">
        <f t="shared" ca="1" si="178"/>
        <v>-2708385813808.7646</v>
      </c>
      <c r="L5089" s="455">
        <f t="shared" ca="1" si="179"/>
        <v>-652720981127912.25</v>
      </c>
      <c r="M5089" s="471">
        <f t="shared" si="181"/>
        <v>0.05</v>
      </c>
      <c r="N5089" s="475">
        <f t="shared" si="182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80"/>
        <v>-652720981127912.25</v>
      </c>
      <c r="J5090" s="455">
        <f t="array" ref="J5090">IFERROR(INDEX('Retirement Calculator'!K:K,MATCH('Lorri 401b'!N5090,'Retirement Calculator'!A:A,0),0),0)</f>
        <v>0</v>
      </c>
      <c r="K5090" s="455">
        <f t="shared" ca="1" si="178"/>
        <v>-2719670754699.6343</v>
      </c>
      <c r="L5090" s="455">
        <f t="shared" ca="1" si="179"/>
        <v>-655440651882611.88</v>
      </c>
      <c r="M5090" s="471">
        <f t="shared" si="181"/>
        <v>0.05</v>
      </c>
      <c r="N5090" s="475">
        <f t="shared" si="182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80"/>
        <v>-655440651882611.88</v>
      </c>
      <c r="J5091" s="455">
        <f t="array" ref="J5091">IFERROR(INDEX('Retirement Calculator'!K:K,MATCH('Lorri 401b'!N5091,'Retirement Calculator'!A:A,0),0),0)</f>
        <v>0</v>
      </c>
      <c r="K5091" s="455">
        <f t="shared" ca="1" si="178"/>
        <v>-2731002716177.5493</v>
      </c>
      <c r="L5091" s="455">
        <f t="shared" ca="1" si="179"/>
        <v>-658171654598789.38</v>
      </c>
      <c r="M5091" s="471">
        <f t="shared" si="181"/>
        <v>0.05</v>
      </c>
      <c r="N5091" s="475">
        <f t="shared" si="182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80"/>
        <v>-658171654598789.38</v>
      </c>
      <c r="J5092" s="455">
        <f t="array" ref="J5092">IFERROR(INDEX('Retirement Calculator'!K:K,MATCH('Lorri 401b'!N5092,'Retirement Calculator'!A:A,0),0),0)</f>
        <v>0</v>
      </c>
      <c r="K5092" s="455">
        <f t="shared" ca="1" si="178"/>
        <v>-2742381894161.6226</v>
      </c>
      <c r="L5092" s="455">
        <f t="shared" ca="1" si="179"/>
        <v>-660914036492951</v>
      </c>
      <c r="M5092" s="471">
        <f t="shared" si="181"/>
        <v>0.05</v>
      </c>
      <c r="N5092" s="475">
        <f t="shared" si="182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80"/>
        <v>-660914036492951</v>
      </c>
      <c r="J5093" s="455">
        <f t="array" ref="J5093">IFERROR(INDEX('Retirement Calculator'!K:K,MATCH('Lorri 401b'!N5093,'Retirement Calculator'!A:A,0),0),0)</f>
        <v>0</v>
      </c>
      <c r="K5093" s="455">
        <f t="shared" ca="1" si="178"/>
        <v>-2753808485387.2959</v>
      </c>
      <c r="L5093" s="455">
        <f t="shared" ca="1" si="179"/>
        <v>-663667844978338.25</v>
      </c>
      <c r="M5093" s="471">
        <f t="shared" si="181"/>
        <v>0.05</v>
      </c>
      <c r="N5093" s="475">
        <f t="shared" si="182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80"/>
        <v>-663667844978338.25</v>
      </c>
      <c r="J5094" s="455">
        <f t="array" ref="J5094">IFERROR(INDEX('Retirement Calculator'!K:K,MATCH('Lorri 401b'!N5094,'Retirement Calculator'!A:A,0),0),0)</f>
        <v>0</v>
      </c>
      <c r="K5094" s="455">
        <f t="shared" ca="1" si="178"/>
        <v>-2765282687409.7427</v>
      </c>
      <c r="L5094" s="455">
        <f t="shared" ca="1" si="179"/>
        <v>-666433127665748</v>
      </c>
      <c r="M5094" s="471">
        <f t="shared" si="181"/>
        <v>0.05</v>
      </c>
      <c r="N5094" s="475">
        <f t="shared" si="182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80"/>
        <v>-666433127665748</v>
      </c>
      <c r="J5095" s="455">
        <f t="array" ref="J5095">IFERROR(INDEX('Retirement Calculator'!K:K,MATCH('Lorri 401b'!N5095,'Retirement Calculator'!A:A,0),0),0)</f>
        <v>0</v>
      </c>
      <c r="K5095" s="455">
        <f t="shared" ca="1" si="178"/>
        <v>-2776804698607.2832</v>
      </c>
      <c r="L5095" s="455">
        <f t="shared" ca="1" si="179"/>
        <v>-669209932364355.25</v>
      </c>
      <c r="M5095" s="471">
        <f t="shared" si="181"/>
        <v>0.05</v>
      </c>
      <c r="N5095" s="475">
        <f t="shared" si="182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80"/>
        <v>-669209932364355.25</v>
      </c>
      <c r="J5096" s="455">
        <f t="array" ref="J5096">IFERROR(INDEX('Retirement Calculator'!K:K,MATCH('Lorri 401b'!N5096,'Retirement Calculator'!A:A,0),0),0)</f>
        <v>0</v>
      </c>
      <c r="K5096" s="455">
        <f t="shared" ca="1" si="178"/>
        <v>-2788374718184.8135</v>
      </c>
      <c r="L5096" s="455">
        <f t="shared" ca="1" si="179"/>
        <v>-671998307082540.13</v>
      </c>
      <c r="M5096" s="471">
        <f t="shared" si="181"/>
        <v>0.05</v>
      </c>
      <c r="N5096" s="475">
        <f t="shared" si="182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80"/>
        <v>-671998307082540.13</v>
      </c>
      <c r="J5097" s="455">
        <f t="array" ref="J5097">IFERROR(INDEX('Retirement Calculator'!K:K,MATCH('Lorri 401b'!N5097,'Retirement Calculator'!A:A,0),0),0)</f>
        <v>0</v>
      </c>
      <c r="K5097" s="455">
        <f t="shared" ca="1" si="178"/>
        <v>-2799992946177.2505</v>
      </c>
      <c r="L5097" s="455">
        <f t="shared" ca="1" si="179"/>
        <v>-674798300028717.38</v>
      </c>
      <c r="M5097" s="471">
        <f t="shared" si="181"/>
        <v>0.05</v>
      </c>
      <c r="N5097" s="475">
        <f t="shared" si="182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80"/>
        <v>-674798300028717.38</v>
      </c>
      <c r="J5098" s="455">
        <f t="array" ref="J5098">IFERROR(INDEX('Retirement Calculator'!K:K,MATCH('Lorri 401b'!N5098,'Retirement Calculator'!A:A,0),0),0)</f>
        <v>0</v>
      </c>
      <c r="K5098" s="455">
        <f t="shared" ca="1" si="178"/>
        <v>-2811659583452.9893</v>
      </c>
      <c r="L5098" s="455">
        <f t="shared" ca="1" si="179"/>
        <v>-677609959612170.38</v>
      </c>
      <c r="M5098" s="471">
        <f t="shared" si="181"/>
        <v>0.05</v>
      </c>
      <c r="N5098" s="475">
        <f t="shared" si="182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80"/>
        <v>-677609959612170.38</v>
      </c>
      <c r="J5099" s="455">
        <f t="array" ref="J5099">IFERROR(INDEX('Retirement Calculator'!K:K,MATCH('Lorri 401b'!N5099,'Retirement Calculator'!A:A,0),0),0)</f>
        <v>0</v>
      </c>
      <c r="K5099" s="455">
        <f t="shared" ca="1" si="178"/>
        <v>-2823374831717.3765</v>
      </c>
      <c r="L5099" s="455">
        <f t="shared" ca="1" si="179"/>
        <v>-680433334443887.75</v>
      </c>
      <c r="M5099" s="471">
        <f t="shared" si="181"/>
        <v>0.05</v>
      </c>
      <c r="N5099" s="475">
        <f t="shared" si="182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80"/>
        <v>-680433334443887.75</v>
      </c>
      <c r="J5100" s="455">
        <f t="array" ref="J5100">IFERROR(INDEX('Retirement Calculator'!K:K,MATCH('Lorri 401b'!N5100,'Retirement Calculator'!A:A,0),0),0)</f>
        <v>0</v>
      </c>
      <c r="K5100" s="455">
        <f t="shared" ca="1" si="178"/>
        <v>-2835138893516.1987</v>
      </c>
      <c r="L5100" s="455">
        <f t="shared" ca="1" si="179"/>
        <v>-683268473337404</v>
      </c>
      <c r="M5100" s="471">
        <f t="shared" si="181"/>
        <v>0.05</v>
      </c>
      <c r="N5100" s="475">
        <f t="shared" si="182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80"/>
        <v>-683268473337404</v>
      </c>
      <c r="J5101" s="455">
        <f t="array" ref="J5101">IFERROR(INDEX('Retirement Calculator'!K:K,MATCH('Lorri 401b'!N5101,'Retirement Calculator'!A:A,0),0),0)</f>
        <v>0</v>
      </c>
      <c r="K5101" s="455">
        <f t="shared" ca="1" si="178"/>
        <v>-2846951972239.1831</v>
      </c>
      <c r="L5101" s="455">
        <f t="shared" ca="1" si="179"/>
        <v>-686115425309643.13</v>
      </c>
      <c r="M5101" s="471">
        <f t="shared" si="181"/>
        <v>0.05</v>
      </c>
      <c r="N5101" s="475">
        <f t="shared" si="182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80"/>
        <v>-686115425309643.13</v>
      </c>
      <c r="J5102" s="455">
        <f t="array" ref="J5102">IFERROR(INDEX('Retirement Calculator'!K:K,MATCH('Lorri 401b'!N5102,'Retirement Calculator'!A:A,0),0),0)</f>
        <v>0</v>
      </c>
      <c r="K5102" s="455">
        <f t="shared" ca="1" si="178"/>
        <v>-2858814272123.5132</v>
      </c>
      <c r="L5102" s="455">
        <f t="shared" ca="1" si="179"/>
        <v>-688974239581766.63</v>
      </c>
      <c r="M5102" s="471">
        <f t="shared" si="181"/>
        <v>0.05</v>
      </c>
      <c r="N5102" s="475">
        <f t="shared" si="182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80"/>
        <v>-688974239581766.63</v>
      </c>
      <c r="J5103" s="455">
        <f t="array" ref="J5103">IFERROR(INDEX('Retirement Calculator'!K:K,MATCH('Lorri 401b'!N5103,'Retirement Calculator'!A:A,0),0),0)</f>
        <v>0</v>
      </c>
      <c r="K5103" s="455">
        <f t="shared" ca="1" si="178"/>
        <v>-2870725998257.3608</v>
      </c>
      <c r="L5103" s="455">
        <f t="shared" ca="1" si="179"/>
        <v>-691844965580024</v>
      </c>
      <c r="M5103" s="471">
        <f t="shared" si="181"/>
        <v>0.05</v>
      </c>
      <c r="N5103" s="475">
        <f t="shared" si="182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80"/>
        <v>-691844965580024</v>
      </c>
      <c r="J5104" s="455">
        <f t="array" ref="J5104">IFERROR(INDEX('Retirement Calculator'!K:K,MATCH('Lorri 401b'!N5104,'Retirement Calculator'!A:A,0),0),0)</f>
        <v>0</v>
      </c>
      <c r="K5104" s="455">
        <f t="shared" ca="1" si="178"/>
        <v>-2882687356583.4331</v>
      </c>
      <c r="L5104" s="455">
        <f t="shared" ca="1" si="179"/>
        <v>-694727652936607.38</v>
      </c>
      <c r="M5104" s="471">
        <f t="shared" si="181"/>
        <v>0.05</v>
      </c>
      <c r="N5104" s="475">
        <f t="shared" si="182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80"/>
        <v>-694727652936607.38</v>
      </c>
      <c r="J5105" s="455">
        <f t="array" ref="J5105">IFERROR(INDEX('Retirement Calculator'!K:K,MATCH('Lorri 401b'!N5105,'Retirement Calculator'!A:A,0),0),0)</f>
        <v>0</v>
      </c>
      <c r="K5105" s="455">
        <f t="shared" ca="1" si="178"/>
        <v>-2894698553902.5308</v>
      </c>
      <c r="L5105" s="455">
        <f t="shared" ca="1" si="179"/>
        <v>-697622351490509.88</v>
      </c>
      <c r="M5105" s="471">
        <f t="shared" si="181"/>
        <v>0.05</v>
      </c>
      <c r="N5105" s="475">
        <f t="shared" si="182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80"/>
        <v>-697622351490509.88</v>
      </c>
      <c r="J5106" s="455">
        <f t="array" ref="J5106">IFERROR(INDEX('Retirement Calculator'!K:K,MATCH('Lorri 401b'!N5106,'Retirement Calculator'!A:A,0),0),0)</f>
        <v>0</v>
      </c>
      <c r="K5106" s="455">
        <f t="shared" ca="1" si="178"/>
        <v>-2906759797877.1245</v>
      </c>
      <c r="L5106" s="455">
        <f t="shared" ca="1" si="179"/>
        <v>-700529111288387</v>
      </c>
      <c r="M5106" s="471">
        <f t="shared" si="181"/>
        <v>0.05</v>
      </c>
      <c r="N5106" s="475">
        <f t="shared" si="182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80"/>
        <v>-700529111288387</v>
      </c>
      <c r="J5107" s="455">
        <f t="array" ref="J5107">IFERROR(INDEX('Retirement Calculator'!K:K,MATCH('Lorri 401b'!N5107,'Retirement Calculator'!A:A,0),0),0)</f>
        <v>0</v>
      </c>
      <c r="K5107" s="455">
        <f t="shared" ca="1" si="178"/>
        <v>-2918871297034.9458</v>
      </c>
      <c r="L5107" s="455">
        <f t="shared" ca="1" si="179"/>
        <v>-703447982585422</v>
      </c>
      <c r="M5107" s="471">
        <f t="shared" si="181"/>
        <v>0.05</v>
      </c>
      <c r="N5107" s="475">
        <f t="shared" si="182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80"/>
        <v>-703447982585422</v>
      </c>
      <c r="J5108" s="455">
        <f t="array" ref="J5108">IFERROR(INDEX('Retirement Calculator'!K:K,MATCH('Lorri 401b'!N5108,'Retirement Calculator'!A:A,0),0),0)</f>
        <v>0</v>
      </c>
      <c r="K5108" s="455">
        <f t="shared" ref="K5108:K5362" ca="1" si="183">IPMT(M5108/12,1,12,-I5108+J5108,,0)</f>
        <v>-2931033260772.5918</v>
      </c>
      <c r="L5108" s="455">
        <f t="shared" ref="L5108:L5362" ca="1" si="184">I5108-J5108+K5108</f>
        <v>-706379015846194.63</v>
      </c>
      <c r="M5108" s="471">
        <f t="shared" si="181"/>
        <v>0.05</v>
      </c>
      <c r="N5108" s="475">
        <f t="shared" si="182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185">L5108</f>
        <v>-706379015846194.63</v>
      </c>
      <c r="J5109" s="455">
        <f t="array" ref="J5109">IFERROR(INDEX('Retirement Calculator'!K:K,MATCH('Lorri 401b'!N5109,'Retirement Calculator'!A:A,0),0),0)</f>
        <v>0</v>
      </c>
      <c r="K5109" s="455">
        <f t="shared" ca="1" si="183"/>
        <v>-2943245899359.144</v>
      </c>
      <c r="L5109" s="455">
        <f t="shared" ca="1" si="184"/>
        <v>-709322261745553.75</v>
      </c>
      <c r="M5109" s="471">
        <f t="shared" ref="M5109:M5363" si="186">M5108</f>
        <v>0.05</v>
      </c>
      <c r="N5109" s="475">
        <f t="shared" ref="N5109:N5363" si="187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185"/>
        <v>-709322261745553.75</v>
      </c>
      <c r="J5110" s="455">
        <f t="array" ref="J5110">IFERROR(INDEX('Retirement Calculator'!K:K,MATCH('Lorri 401b'!N5110,'Retirement Calculator'!A:A,0),0),0)</f>
        <v>0</v>
      </c>
      <c r="K5110" s="455">
        <f t="shared" ca="1" si="183"/>
        <v>-2955509423939.8071</v>
      </c>
      <c r="L5110" s="455">
        <f t="shared" ca="1" si="184"/>
        <v>-712277771169493.5</v>
      </c>
      <c r="M5110" s="471">
        <f t="shared" si="186"/>
        <v>0.05</v>
      </c>
      <c r="N5110" s="475">
        <f t="shared" si="187"/>
        <v>206577</v>
      </c>
    </row>
    <row r="5111" spans="7:14" ht="11.25" customHeight="1" x14ac:dyDescent="0.3">
      <c r="G5111" s="470"/>
      <c r="H5111" s="470">
        <v>5104</v>
      </c>
      <c r="I5111" s="455">
        <f t="shared" ca="1" si="185"/>
        <v>-712277771169493.5</v>
      </c>
      <c r="J5111" s="455">
        <f t="array" ref="J5111">IFERROR(INDEX('Retirement Calculator'!K:K,MATCH('Lorri 401b'!N5111,'Retirement Calculator'!A:A,0),0),0)</f>
        <v>0</v>
      </c>
      <c r="K5111" s="455">
        <f t="shared" ca="1" si="183"/>
        <v>-2967824046539.5562</v>
      </c>
      <c r="L5111" s="455">
        <f t="shared" ca="1" si="184"/>
        <v>-715245595216033</v>
      </c>
      <c r="M5111" s="471">
        <f t="shared" si="186"/>
        <v>0.05</v>
      </c>
      <c r="N5111" s="475">
        <f t="shared" si="187"/>
        <v>206608</v>
      </c>
    </row>
    <row r="5112" spans="7:14" ht="11.25" customHeight="1" x14ac:dyDescent="0.3">
      <c r="G5112" s="470"/>
      <c r="H5112" s="470">
        <v>5105</v>
      </c>
      <c r="I5112" s="455">
        <f t="shared" ca="1" si="185"/>
        <v>-715245595216033</v>
      </c>
      <c r="J5112" s="455">
        <f t="array" ref="J5112">IFERROR(INDEX('Retirement Calculator'!K:K,MATCH('Lorri 401b'!N5112,'Retirement Calculator'!A:A,0),0),0)</f>
        <v>0</v>
      </c>
      <c r="K5112" s="455">
        <f t="shared" ca="1" si="183"/>
        <v>-2980189980066.8042</v>
      </c>
      <c r="L5112" s="455">
        <f t="shared" ca="1" si="184"/>
        <v>-718225785196099.75</v>
      </c>
      <c r="M5112" s="471">
        <f t="shared" si="186"/>
        <v>0.05</v>
      </c>
      <c r="N5112" s="475">
        <f t="shared" si="187"/>
        <v>206638</v>
      </c>
    </row>
    <row r="5113" spans="7:14" ht="11.25" customHeight="1" x14ac:dyDescent="0.3">
      <c r="G5113" s="470"/>
      <c r="H5113" s="470">
        <v>5106</v>
      </c>
      <c r="I5113" s="455">
        <f t="shared" ca="1" si="185"/>
        <v>-718225785196099.75</v>
      </c>
      <c r="J5113" s="455">
        <f t="array" ref="J5113">IFERROR(INDEX('Retirement Calculator'!K:K,MATCH('Lorri 401b'!N5113,'Retirement Calculator'!A:A,0),0),0)</f>
        <v>0</v>
      </c>
      <c r="K5113" s="455">
        <f t="shared" ca="1" si="183"/>
        <v>-2992607438317.082</v>
      </c>
      <c r="L5113" s="455">
        <f t="shared" ca="1" si="184"/>
        <v>-721218392634416.88</v>
      </c>
      <c r="M5113" s="471">
        <f t="shared" si="186"/>
        <v>0.05</v>
      </c>
      <c r="N5113" s="475">
        <f t="shared" si="187"/>
        <v>206669</v>
      </c>
    </row>
    <row r="5114" spans="7:14" ht="11.25" customHeight="1" x14ac:dyDescent="0.3">
      <c r="G5114" s="470"/>
      <c r="H5114" s="470">
        <v>5107</v>
      </c>
      <c r="I5114" s="455">
        <f t="shared" ca="1" si="185"/>
        <v>-721218392634416.88</v>
      </c>
      <c r="J5114" s="455">
        <f t="array" ref="J5114">IFERROR(INDEX('Retirement Calculator'!K:K,MATCH('Lorri 401b'!N5114,'Retirement Calculator'!A:A,0),0),0)</f>
        <v>0</v>
      </c>
      <c r="K5114" s="455">
        <f t="shared" ca="1" si="183"/>
        <v>-3005076635976.7368</v>
      </c>
      <c r="L5114" s="455">
        <f t="shared" ca="1" si="184"/>
        <v>-724223469270393.63</v>
      </c>
      <c r="M5114" s="471">
        <f t="shared" si="186"/>
        <v>0.05</v>
      </c>
      <c r="N5114" s="475">
        <f t="shared" si="187"/>
        <v>206699</v>
      </c>
    </row>
    <row r="5115" spans="7:14" ht="11.25" customHeight="1" x14ac:dyDescent="0.3">
      <c r="G5115" s="470"/>
      <c r="H5115" s="470">
        <v>5108</v>
      </c>
      <c r="I5115" s="455">
        <f t="shared" ca="1" si="185"/>
        <v>-724223469270393.63</v>
      </c>
      <c r="J5115" s="455">
        <f t="array" ref="J5115">IFERROR(INDEX('Retirement Calculator'!K:K,MATCH('Lorri 401b'!N5115,'Retirement Calculator'!A:A,0),0),0)</f>
        <v>0</v>
      </c>
      <c r="K5115" s="455">
        <f t="shared" ca="1" si="183"/>
        <v>-3017597788626.6401</v>
      </c>
      <c r="L5115" s="455">
        <f t="shared" ca="1" si="184"/>
        <v>-727241067059020.25</v>
      </c>
      <c r="M5115" s="471">
        <f t="shared" si="186"/>
        <v>0.05</v>
      </c>
      <c r="N5115" s="475">
        <f t="shared" si="187"/>
        <v>206730</v>
      </c>
    </row>
    <row r="5116" spans="7:14" ht="11.25" customHeight="1" x14ac:dyDescent="0.3">
      <c r="G5116" s="470"/>
      <c r="H5116" s="470">
        <v>5109</v>
      </c>
      <c r="I5116" s="455">
        <f t="shared" ca="1" si="185"/>
        <v>-727241067059020.25</v>
      </c>
      <c r="J5116" s="455">
        <f t="array" ref="J5116">IFERROR(INDEX('Retirement Calculator'!K:K,MATCH('Lorri 401b'!N5116,'Retirement Calculator'!A:A,0),0),0)</f>
        <v>0</v>
      </c>
      <c r="K5116" s="455">
        <f t="shared" ca="1" si="183"/>
        <v>-3030171112745.9175</v>
      </c>
      <c r="L5116" s="455">
        <f t="shared" ca="1" si="184"/>
        <v>-730271238171766.13</v>
      </c>
      <c r="M5116" s="471">
        <f t="shared" si="186"/>
        <v>0.05</v>
      </c>
      <c r="N5116" s="475">
        <f t="shared" si="187"/>
        <v>206761</v>
      </c>
    </row>
    <row r="5117" spans="7:14" ht="11.25" customHeight="1" x14ac:dyDescent="0.3">
      <c r="G5117" s="470"/>
      <c r="H5117" s="470">
        <v>5110</v>
      </c>
      <c r="I5117" s="455">
        <f t="shared" ca="1" si="185"/>
        <v>-730271238171766.13</v>
      </c>
      <c r="J5117" s="455">
        <f t="array" ref="J5117">IFERROR(INDEX('Retirement Calculator'!K:K,MATCH('Lorri 401b'!N5117,'Retirement Calculator'!A:A,0),0),0)</f>
        <v>0</v>
      </c>
      <c r="K5117" s="455">
        <f t="shared" ca="1" si="183"/>
        <v>-3042796825715.6924</v>
      </c>
      <c r="L5117" s="455">
        <f t="shared" ca="1" si="184"/>
        <v>-733314034997481.88</v>
      </c>
      <c r="M5117" s="471">
        <f t="shared" si="186"/>
        <v>0.05</v>
      </c>
      <c r="N5117" s="475">
        <f t="shared" si="187"/>
        <v>206789</v>
      </c>
    </row>
    <row r="5118" spans="7:14" ht="11.25" customHeight="1" x14ac:dyDescent="0.3">
      <c r="G5118" s="470"/>
      <c r="H5118" s="470">
        <v>5111</v>
      </c>
      <c r="I5118" s="455">
        <f t="shared" ca="1" si="185"/>
        <v>-733314034997481.88</v>
      </c>
      <c r="J5118" s="455">
        <f t="array" ref="J5118">IFERROR(INDEX('Retirement Calculator'!K:K,MATCH('Lorri 401b'!N5118,'Retirement Calculator'!A:A,0),0),0)</f>
        <v>0</v>
      </c>
      <c r="K5118" s="455">
        <f t="shared" ca="1" si="183"/>
        <v>-3055475145822.8413</v>
      </c>
      <c r="L5118" s="455">
        <f t="shared" ca="1" si="184"/>
        <v>-736369510143304.75</v>
      </c>
      <c r="M5118" s="471">
        <f t="shared" si="186"/>
        <v>0.05</v>
      </c>
      <c r="N5118" s="475">
        <f t="shared" si="187"/>
        <v>206820</v>
      </c>
    </row>
    <row r="5119" spans="7:14" ht="11.25" customHeight="1" x14ac:dyDescent="0.3">
      <c r="G5119" s="470"/>
      <c r="H5119" s="470">
        <v>5112</v>
      </c>
      <c r="I5119" s="455">
        <f t="shared" ca="1" si="185"/>
        <v>-736369510143304.75</v>
      </c>
      <c r="J5119" s="455">
        <f t="array" ref="J5119">IFERROR(INDEX('Retirement Calculator'!K:K,MATCH('Lorri 401b'!N5119,'Retirement Calculator'!A:A,0),0),0)</f>
        <v>0</v>
      </c>
      <c r="K5119" s="455">
        <f t="shared" ca="1" si="183"/>
        <v>-3068206292263.7695</v>
      </c>
      <c r="L5119" s="455">
        <f t="shared" ca="1" si="184"/>
        <v>-739437716435568.5</v>
      </c>
      <c r="M5119" s="471">
        <f t="shared" si="186"/>
        <v>0.05</v>
      </c>
      <c r="N5119" s="475">
        <f t="shared" si="187"/>
        <v>206850</v>
      </c>
    </row>
    <row r="5120" spans="7:14" ht="11.25" customHeight="1" x14ac:dyDescent="0.3">
      <c r="G5120" s="470"/>
      <c r="H5120" s="470">
        <v>5113</v>
      </c>
      <c r="I5120" s="455">
        <f t="shared" ca="1" si="185"/>
        <v>-739437716435568.5</v>
      </c>
      <c r="J5120" s="455">
        <f t="array" ref="J5120">IFERROR(INDEX('Retirement Calculator'!K:K,MATCH('Lorri 401b'!N5120,'Retirement Calculator'!A:A,0),0),0)</f>
        <v>0</v>
      </c>
      <c r="K5120" s="455">
        <f t="shared" ca="1" si="183"/>
        <v>-3080990485148.2021</v>
      </c>
      <c r="L5120" s="455">
        <f t="shared" ca="1" si="184"/>
        <v>-742518706920716.75</v>
      </c>
      <c r="M5120" s="471">
        <f t="shared" si="186"/>
        <v>0.05</v>
      </c>
      <c r="N5120" s="475">
        <f t="shared" si="187"/>
        <v>206881</v>
      </c>
    </row>
    <row r="5121" spans="7:14" ht="11.25" customHeight="1" x14ac:dyDescent="0.3">
      <c r="G5121" s="470"/>
      <c r="H5121" s="470">
        <v>5114</v>
      </c>
      <c r="I5121" s="455">
        <f t="shared" ca="1" si="185"/>
        <v>-742518706920716.75</v>
      </c>
      <c r="J5121" s="455">
        <f t="array" ref="J5121">IFERROR(INDEX('Retirement Calculator'!K:K,MATCH('Lorri 401b'!N5121,'Retirement Calculator'!A:A,0),0),0)</f>
        <v>0</v>
      </c>
      <c r="K5121" s="455">
        <f t="shared" ca="1" si="183"/>
        <v>-3093827945502.9863</v>
      </c>
      <c r="L5121" s="455">
        <f t="shared" ca="1" si="184"/>
        <v>-745612534866219.75</v>
      </c>
      <c r="M5121" s="471">
        <f t="shared" si="186"/>
        <v>0.05</v>
      </c>
      <c r="N5121" s="475">
        <f t="shared" si="187"/>
        <v>206911</v>
      </c>
    </row>
    <row r="5122" spans="7:14" ht="11.25" customHeight="1" x14ac:dyDescent="0.3">
      <c r="G5122" s="470"/>
      <c r="H5122" s="470">
        <v>5115</v>
      </c>
      <c r="I5122" s="455">
        <f t="shared" ca="1" si="185"/>
        <v>-745612534866219.75</v>
      </c>
      <c r="J5122" s="455">
        <f t="array" ref="J5122">IFERROR(INDEX('Retirement Calculator'!K:K,MATCH('Lorri 401b'!N5122,'Retirement Calculator'!A:A,0),0),0)</f>
        <v>0</v>
      </c>
      <c r="K5122" s="455">
        <f t="shared" ca="1" si="183"/>
        <v>-3106718895275.9155</v>
      </c>
      <c r="L5122" s="455">
        <f t="shared" ca="1" si="184"/>
        <v>-748719253761495.63</v>
      </c>
      <c r="M5122" s="471">
        <f t="shared" si="186"/>
        <v>0.05</v>
      </c>
      <c r="N5122" s="475">
        <f t="shared" si="187"/>
        <v>206942</v>
      </c>
    </row>
    <row r="5123" spans="7:14" ht="11.25" customHeight="1" x14ac:dyDescent="0.3">
      <c r="G5123" s="470"/>
      <c r="H5123" s="470">
        <v>5116</v>
      </c>
      <c r="I5123" s="455">
        <f t="shared" ca="1" si="185"/>
        <v>-748719253761495.63</v>
      </c>
      <c r="J5123" s="455">
        <f t="array" ref="J5123">IFERROR(INDEX('Retirement Calculator'!K:K,MATCH('Lorri 401b'!N5123,'Retirement Calculator'!A:A,0),0),0)</f>
        <v>0</v>
      </c>
      <c r="K5123" s="455">
        <f t="shared" ca="1" si="183"/>
        <v>-3119663557339.5649</v>
      </c>
      <c r="L5123" s="455">
        <f t="shared" ca="1" si="184"/>
        <v>-751838917318835.25</v>
      </c>
      <c r="M5123" s="471">
        <f t="shared" si="186"/>
        <v>0.05</v>
      </c>
      <c r="N5123" s="475">
        <f t="shared" si="187"/>
        <v>206973</v>
      </c>
    </row>
    <row r="5124" spans="7:14" ht="11.25" customHeight="1" x14ac:dyDescent="0.3">
      <c r="G5124" s="470"/>
      <c r="H5124" s="470">
        <v>5117</v>
      </c>
      <c r="I5124" s="455">
        <f t="shared" ca="1" si="185"/>
        <v>-751838917318835.25</v>
      </c>
      <c r="J5124" s="455">
        <f t="array" ref="J5124">IFERROR(INDEX('Retirement Calculator'!K:K,MATCH('Lorri 401b'!N5124,'Retirement Calculator'!A:A,0),0),0)</f>
        <v>0</v>
      </c>
      <c r="K5124" s="455">
        <f t="shared" ca="1" si="183"/>
        <v>-3132662155495.147</v>
      </c>
      <c r="L5124" s="455">
        <f t="shared" ca="1" si="184"/>
        <v>-754971579474330.38</v>
      </c>
      <c r="M5124" s="471">
        <f t="shared" si="186"/>
        <v>0.05</v>
      </c>
      <c r="N5124" s="475">
        <f t="shared" si="187"/>
        <v>207003</v>
      </c>
    </row>
    <row r="5125" spans="7:14" ht="11.25" customHeight="1" x14ac:dyDescent="0.3">
      <c r="G5125" s="470"/>
      <c r="H5125" s="470">
        <v>5118</v>
      </c>
      <c r="I5125" s="455">
        <f t="shared" ca="1" si="185"/>
        <v>-754971579474330.38</v>
      </c>
      <c r="J5125" s="455">
        <f t="array" ref="J5125">IFERROR(INDEX('Retirement Calculator'!K:K,MATCH('Lorri 401b'!N5125,'Retirement Calculator'!A:A,0),0),0)</f>
        <v>0</v>
      </c>
      <c r="K5125" s="455">
        <f t="shared" ca="1" si="183"/>
        <v>-3145714914476.3765</v>
      </c>
      <c r="L5125" s="455">
        <f t="shared" ca="1" si="184"/>
        <v>-758117294388806.75</v>
      </c>
      <c r="M5125" s="471">
        <f t="shared" si="186"/>
        <v>0.05</v>
      </c>
      <c r="N5125" s="475">
        <f t="shared" si="187"/>
        <v>207034</v>
      </c>
    </row>
    <row r="5126" spans="7:14" ht="11.25" customHeight="1" x14ac:dyDescent="0.3">
      <c r="G5126" s="470"/>
      <c r="H5126" s="470">
        <v>5119</v>
      </c>
      <c r="I5126" s="455">
        <f t="shared" ca="1" si="185"/>
        <v>-758117294388806.75</v>
      </c>
      <c r="J5126" s="455">
        <f t="array" ref="J5126">IFERROR(INDEX('Retirement Calculator'!K:K,MATCH('Lorri 401b'!N5126,'Retirement Calculator'!A:A,0),0),0)</f>
        <v>0</v>
      </c>
      <c r="K5126" s="455">
        <f t="shared" ca="1" si="183"/>
        <v>-3158822059953.3613</v>
      </c>
      <c r="L5126" s="455">
        <f t="shared" ca="1" si="184"/>
        <v>-761276116448760.13</v>
      </c>
      <c r="M5126" s="471">
        <f t="shared" si="186"/>
        <v>0.05</v>
      </c>
      <c r="N5126" s="475">
        <f t="shared" si="187"/>
        <v>207064</v>
      </c>
    </row>
    <row r="5127" spans="7:14" ht="11.25" customHeight="1" x14ac:dyDescent="0.3">
      <c r="G5127" s="470"/>
      <c r="H5127" s="470">
        <v>5120</v>
      </c>
      <c r="I5127" s="455">
        <f t="shared" ca="1" si="185"/>
        <v>-761276116448760.13</v>
      </c>
      <c r="J5127" s="455">
        <f t="array" ref="J5127">IFERROR(INDEX('Retirement Calculator'!K:K,MATCH('Lorri 401b'!N5127,'Retirement Calculator'!A:A,0),0),0)</f>
        <v>0</v>
      </c>
      <c r="K5127" s="455">
        <f t="shared" ca="1" si="183"/>
        <v>-3171983818536.5005</v>
      </c>
      <c r="L5127" s="455">
        <f t="shared" ca="1" si="184"/>
        <v>-764448100267296.63</v>
      </c>
      <c r="M5127" s="471">
        <f t="shared" si="186"/>
        <v>0.05</v>
      </c>
      <c r="N5127" s="475">
        <f t="shared" si="187"/>
        <v>207095</v>
      </c>
    </row>
    <row r="5128" spans="7:14" ht="11.25" customHeight="1" x14ac:dyDescent="0.3">
      <c r="G5128" s="470"/>
      <c r="H5128" s="470">
        <v>5121</v>
      </c>
      <c r="I5128" s="455">
        <f t="shared" ca="1" si="185"/>
        <v>-764448100267296.63</v>
      </c>
      <c r="J5128" s="455">
        <f t="array" ref="J5128">IFERROR(INDEX('Retirement Calculator'!K:K,MATCH('Lorri 401b'!N5128,'Retirement Calculator'!A:A,0),0),0)</f>
        <v>0</v>
      </c>
      <c r="K5128" s="455">
        <f t="shared" ca="1" si="183"/>
        <v>-3185200417780.4023</v>
      </c>
      <c r="L5128" s="455">
        <f t="shared" ca="1" si="184"/>
        <v>-767633300685077</v>
      </c>
      <c r="M5128" s="471">
        <f t="shared" si="186"/>
        <v>0.05</v>
      </c>
      <c r="N5128" s="475">
        <f t="shared" si="187"/>
        <v>207126</v>
      </c>
    </row>
    <row r="5129" spans="7:14" ht="11.25" customHeight="1" x14ac:dyDescent="0.3">
      <c r="G5129" s="470"/>
      <c r="H5129" s="470">
        <v>5122</v>
      </c>
      <c r="I5129" s="455">
        <f t="shared" ca="1" si="185"/>
        <v>-767633300685077</v>
      </c>
      <c r="J5129" s="455">
        <f t="array" ref="J5129">IFERROR(INDEX('Retirement Calculator'!K:K,MATCH('Lorri 401b'!N5129,'Retirement Calculator'!A:A,0),0),0)</f>
        <v>0</v>
      </c>
      <c r="K5129" s="455">
        <f t="shared" ca="1" si="183"/>
        <v>-3198472086187.8208</v>
      </c>
      <c r="L5129" s="455">
        <f t="shared" ca="1" si="184"/>
        <v>-770831772771264.88</v>
      </c>
      <c r="M5129" s="471">
        <f t="shared" si="186"/>
        <v>0.05</v>
      </c>
      <c r="N5129" s="475">
        <f t="shared" si="187"/>
        <v>207154</v>
      </c>
    </row>
    <row r="5130" spans="7:14" ht="11.25" customHeight="1" x14ac:dyDescent="0.3">
      <c r="G5130" s="470"/>
      <c r="H5130" s="470">
        <v>5123</v>
      </c>
      <c r="I5130" s="455">
        <f t="shared" ca="1" si="185"/>
        <v>-770831772771264.88</v>
      </c>
      <c r="J5130" s="455">
        <f t="array" ref="J5130">IFERROR(INDEX('Retirement Calculator'!K:K,MATCH('Lorri 401b'!N5130,'Retirement Calculator'!A:A,0),0),0)</f>
        <v>0</v>
      </c>
      <c r="K5130" s="455">
        <f t="shared" ca="1" si="183"/>
        <v>-3211799053213.6035</v>
      </c>
      <c r="L5130" s="455">
        <f t="shared" ca="1" si="184"/>
        <v>-774043571824478.5</v>
      </c>
      <c r="M5130" s="471">
        <f t="shared" si="186"/>
        <v>0.05</v>
      </c>
      <c r="N5130" s="475">
        <f t="shared" si="187"/>
        <v>207185</v>
      </c>
    </row>
    <row r="5131" spans="7:14" ht="11.25" customHeight="1" x14ac:dyDescent="0.3">
      <c r="G5131" s="470"/>
      <c r="H5131" s="470">
        <v>5124</v>
      </c>
      <c r="I5131" s="455">
        <f t="shared" ca="1" si="185"/>
        <v>-774043571824478.5</v>
      </c>
      <c r="J5131" s="455">
        <f t="array" ref="J5131">IFERROR(INDEX('Retirement Calculator'!K:K,MATCH('Lorri 401b'!N5131,'Retirement Calculator'!A:A,0),0),0)</f>
        <v>0</v>
      </c>
      <c r="K5131" s="455">
        <f t="shared" ca="1" si="183"/>
        <v>-3225181549268.6602</v>
      </c>
      <c r="L5131" s="455">
        <f t="shared" ca="1" si="184"/>
        <v>-777268753373747.13</v>
      </c>
      <c r="M5131" s="471">
        <f t="shared" si="186"/>
        <v>0.05</v>
      </c>
      <c r="N5131" s="475">
        <f t="shared" si="187"/>
        <v>207215</v>
      </c>
    </row>
    <row r="5132" spans="7:14" ht="11.25" customHeight="1" x14ac:dyDescent="0.3">
      <c r="G5132" s="470"/>
      <c r="H5132" s="470">
        <v>5125</v>
      </c>
      <c r="I5132" s="455">
        <f t="shared" ca="1" si="185"/>
        <v>-777268753373747.13</v>
      </c>
      <c r="J5132" s="455">
        <f t="array" ref="J5132">IFERROR(INDEX('Retirement Calculator'!K:K,MATCH('Lorri 401b'!N5132,'Retirement Calculator'!A:A,0),0),0)</f>
        <v>0</v>
      </c>
      <c r="K5132" s="455">
        <f t="shared" ca="1" si="183"/>
        <v>-3238619805723.9463</v>
      </c>
      <c r="L5132" s="455">
        <f t="shared" ca="1" si="184"/>
        <v>-780507373179471.13</v>
      </c>
      <c r="M5132" s="471">
        <f t="shared" si="186"/>
        <v>0.05</v>
      </c>
      <c r="N5132" s="475">
        <f t="shared" si="187"/>
        <v>207246</v>
      </c>
    </row>
    <row r="5133" spans="7:14" ht="11.25" customHeight="1" x14ac:dyDescent="0.3">
      <c r="G5133" s="470"/>
      <c r="H5133" s="470">
        <v>5126</v>
      </c>
      <c r="I5133" s="455">
        <f t="shared" ca="1" si="185"/>
        <v>-780507373179471.13</v>
      </c>
      <c r="J5133" s="455">
        <f t="array" ref="J5133">IFERROR(INDEX('Retirement Calculator'!K:K,MATCH('Lorri 401b'!N5133,'Retirement Calculator'!A:A,0),0),0)</f>
        <v>0</v>
      </c>
      <c r="K5133" s="455">
        <f t="shared" ca="1" si="183"/>
        <v>-3252114054914.4629</v>
      </c>
      <c r="L5133" s="455">
        <f t="shared" ca="1" si="184"/>
        <v>-783759487234385.63</v>
      </c>
      <c r="M5133" s="471">
        <f t="shared" si="186"/>
        <v>0.05</v>
      </c>
      <c r="N5133" s="475">
        <f t="shared" si="187"/>
        <v>207276</v>
      </c>
    </row>
    <row r="5134" spans="7:14" ht="11.25" customHeight="1" x14ac:dyDescent="0.3">
      <c r="G5134" s="470"/>
      <c r="H5134" s="470">
        <v>5127</v>
      </c>
      <c r="I5134" s="455">
        <f t="shared" ca="1" si="185"/>
        <v>-783759487234385.63</v>
      </c>
      <c r="J5134" s="455">
        <f t="array" ref="J5134">IFERROR(INDEX('Retirement Calculator'!K:K,MATCH('Lorri 401b'!N5134,'Retirement Calculator'!A:A,0),0),0)</f>
        <v>0</v>
      </c>
      <c r="K5134" s="455">
        <f t="shared" ca="1" si="183"/>
        <v>-3265664530143.2734</v>
      </c>
      <c r="L5134" s="455">
        <f t="shared" ca="1" si="184"/>
        <v>-787025151764528.88</v>
      </c>
      <c r="M5134" s="471">
        <f t="shared" si="186"/>
        <v>0.05</v>
      </c>
      <c r="N5134" s="475">
        <f t="shared" si="187"/>
        <v>207307</v>
      </c>
    </row>
    <row r="5135" spans="7:14" ht="11.25" customHeight="1" x14ac:dyDescent="0.3">
      <c r="G5135" s="470"/>
      <c r="H5135" s="470">
        <v>5128</v>
      </c>
      <c r="I5135" s="455">
        <f t="shared" ca="1" si="185"/>
        <v>-787025151764528.88</v>
      </c>
      <c r="J5135" s="455">
        <f t="array" ref="J5135">IFERROR(INDEX('Retirement Calculator'!K:K,MATCH('Lorri 401b'!N5135,'Retirement Calculator'!A:A,0),0),0)</f>
        <v>0</v>
      </c>
      <c r="K5135" s="455">
        <f t="shared" ca="1" si="183"/>
        <v>-3279271465685.5371</v>
      </c>
      <c r="L5135" s="455">
        <f t="shared" ca="1" si="184"/>
        <v>-790304423230214.38</v>
      </c>
      <c r="M5135" s="471">
        <f t="shared" si="186"/>
        <v>0.05</v>
      </c>
      <c r="N5135" s="475">
        <f t="shared" si="187"/>
        <v>207338</v>
      </c>
    </row>
    <row r="5136" spans="7:14" ht="11.25" customHeight="1" x14ac:dyDescent="0.3">
      <c r="G5136" s="470"/>
      <c r="H5136" s="470">
        <v>5129</v>
      </c>
      <c r="I5136" s="455">
        <f t="shared" ca="1" si="185"/>
        <v>-790304423230214.38</v>
      </c>
      <c r="J5136" s="455">
        <f t="array" ref="J5136">IFERROR(INDEX('Retirement Calculator'!K:K,MATCH('Lorri 401b'!N5136,'Retirement Calculator'!A:A,0),0),0)</f>
        <v>0</v>
      </c>
      <c r="K5136" s="455">
        <f t="shared" ca="1" si="183"/>
        <v>-3292935096792.5601</v>
      </c>
      <c r="L5136" s="455">
        <f t="shared" ca="1" si="184"/>
        <v>-793597358327006.88</v>
      </c>
      <c r="M5136" s="471">
        <f t="shared" si="186"/>
        <v>0.05</v>
      </c>
      <c r="N5136" s="475">
        <f t="shared" si="187"/>
        <v>207368</v>
      </c>
    </row>
    <row r="5137" spans="7:14" ht="11.25" customHeight="1" x14ac:dyDescent="0.3">
      <c r="G5137" s="470"/>
      <c r="H5137" s="470">
        <v>5130</v>
      </c>
      <c r="I5137" s="455">
        <f t="shared" ca="1" si="185"/>
        <v>-793597358327006.88</v>
      </c>
      <c r="J5137" s="455">
        <f t="array" ref="J5137">IFERROR(INDEX('Retirement Calculator'!K:K,MATCH('Lorri 401b'!N5137,'Retirement Calculator'!A:A,0),0),0)</f>
        <v>0</v>
      </c>
      <c r="K5137" s="455">
        <f t="shared" ca="1" si="183"/>
        <v>-3306655659695.8618</v>
      </c>
      <c r="L5137" s="455">
        <f t="shared" ca="1" si="184"/>
        <v>-796904013986702.75</v>
      </c>
      <c r="M5137" s="471">
        <f t="shared" si="186"/>
        <v>0.05</v>
      </c>
      <c r="N5137" s="475">
        <f t="shared" si="187"/>
        <v>207399</v>
      </c>
    </row>
    <row r="5138" spans="7:14" ht="11.25" customHeight="1" x14ac:dyDescent="0.3">
      <c r="G5138" s="470"/>
      <c r="H5138" s="470">
        <v>5131</v>
      </c>
      <c r="I5138" s="455">
        <f t="shared" ca="1" si="185"/>
        <v>-796904013986702.75</v>
      </c>
      <c r="J5138" s="455">
        <f t="array" ref="J5138">IFERROR(INDEX('Retirement Calculator'!K:K,MATCH('Lorri 401b'!N5138,'Retirement Calculator'!A:A,0),0),0)</f>
        <v>0</v>
      </c>
      <c r="K5138" s="455">
        <f t="shared" ca="1" si="183"/>
        <v>-3320433391611.2612</v>
      </c>
      <c r="L5138" s="455">
        <f t="shared" ca="1" si="184"/>
        <v>-800224447378314</v>
      </c>
      <c r="M5138" s="471">
        <f t="shared" si="186"/>
        <v>0.05</v>
      </c>
      <c r="N5138" s="475">
        <f t="shared" si="187"/>
        <v>207429</v>
      </c>
    </row>
    <row r="5139" spans="7:14" ht="11.25" customHeight="1" x14ac:dyDescent="0.3">
      <c r="G5139" s="470"/>
      <c r="H5139" s="470">
        <v>5132</v>
      </c>
      <c r="I5139" s="455">
        <f t="shared" ca="1" si="185"/>
        <v>-800224447378314</v>
      </c>
      <c r="J5139" s="455">
        <f t="array" ref="J5139">IFERROR(INDEX('Retirement Calculator'!K:K,MATCH('Lorri 401b'!N5139,'Retirement Calculator'!A:A,0),0),0)</f>
        <v>0</v>
      </c>
      <c r="K5139" s="455">
        <f t="shared" ca="1" si="183"/>
        <v>-3334268530742.9751</v>
      </c>
      <c r="L5139" s="455">
        <f t="shared" ca="1" si="184"/>
        <v>-803558715909057</v>
      </c>
      <c r="M5139" s="471">
        <f t="shared" si="186"/>
        <v>0.05</v>
      </c>
      <c r="N5139" s="475">
        <f t="shared" si="187"/>
        <v>207460</v>
      </c>
    </row>
    <row r="5140" spans="7:14" ht="11.25" customHeight="1" x14ac:dyDescent="0.3">
      <c r="G5140" s="470"/>
      <c r="H5140" s="470">
        <v>5133</v>
      </c>
      <c r="I5140" s="455">
        <f t="shared" ca="1" si="185"/>
        <v>-803558715909057</v>
      </c>
      <c r="J5140" s="455">
        <f t="array" ref="J5140">IFERROR(INDEX('Retirement Calculator'!K:K,MATCH('Lorri 401b'!N5140,'Retirement Calculator'!A:A,0),0),0)</f>
        <v>0</v>
      </c>
      <c r="K5140" s="455">
        <f t="shared" ca="1" si="183"/>
        <v>-3348161316287.7373</v>
      </c>
      <c r="L5140" s="455">
        <f t="shared" ca="1" si="184"/>
        <v>-806906877225344.75</v>
      </c>
      <c r="M5140" s="471">
        <f t="shared" si="186"/>
        <v>0.05</v>
      </c>
      <c r="N5140" s="475">
        <f t="shared" si="187"/>
        <v>207491</v>
      </c>
    </row>
    <row r="5141" spans="7:14" ht="11.25" customHeight="1" x14ac:dyDescent="0.3">
      <c r="G5141" s="470"/>
      <c r="H5141" s="470">
        <v>5134</v>
      </c>
      <c r="I5141" s="455">
        <f t="shared" ca="1" si="185"/>
        <v>-806906877225344.75</v>
      </c>
      <c r="J5141" s="455">
        <f t="array" ref="J5141">IFERROR(INDEX('Retirement Calculator'!K:K,MATCH('Lorri 401b'!N5141,'Retirement Calculator'!A:A,0),0),0)</f>
        <v>0</v>
      </c>
      <c r="K5141" s="455">
        <f t="shared" ca="1" si="183"/>
        <v>-3362111988438.9365</v>
      </c>
      <c r="L5141" s="455">
        <f t="shared" ca="1" si="184"/>
        <v>-810268989213783.63</v>
      </c>
      <c r="M5141" s="471">
        <f t="shared" si="186"/>
        <v>0.05</v>
      </c>
      <c r="N5141" s="475">
        <f t="shared" si="187"/>
        <v>207520</v>
      </c>
    </row>
    <row r="5142" spans="7:14" ht="11.25" customHeight="1" x14ac:dyDescent="0.3">
      <c r="G5142" s="470"/>
      <c r="H5142" s="470">
        <v>5135</v>
      </c>
      <c r="I5142" s="455">
        <f t="shared" ca="1" si="185"/>
        <v>-810268989213783.63</v>
      </c>
      <c r="J5142" s="455">
        <f t="array" ref="J5142">IFERROR(INDEX('Retirement Calculator'!K:K,MATCH('Lorri 401b'!N5142,'Retirement Calculator'!A:A,0),0),0)</f>
        <v>0</v>
      </c>
      <c r="K5142" s="455">
        <f t="shared" ca="1" si="183"/>
        <v>-3376120788390.7651</v>
      </c>
      <c r="L5142" s="455">
        <f t="shared" ca="1" si="184"/>
        <v>-813645110002174.38</v>
      </c>
      <c r="M5142" s="471">
        <f t="shared" si="186"/>
        <v>0.05</v>
      </c>
      <c r="N5142" s="475">
        <f t="shared" si="187"/>
        <v>207551</v>
      </c>
    </row>
    <row r="5143" spans="7:14" ht="11.25" customHeight="1" x14ac:dyDescent="0.3">
      <c r="G5143" s="470"/>
      <c r="H5143" s="470">
        <v>5136</v>
      </c>
      <c r="I5143" s="455">
        <f t="shared" ca="1" si="185"/>
        <v>-813645110002174.38</v>
      </c>
      <c r="J5143" s="455">
        <f t="array" ref="J5143">IFERROR(INDEX('Retirement Calculator'!K:K,MATCH('Lorri 401b'!N5143,'Retirement Calculator'!A:A,0),0),0)</f>
        <v>0</v>
      </c>
      <c r="K5143" s="455">
        <f t="shared" ca="1" si="183"/>
        <v>-3390187958342.3931</v>
      </c>
      <c r="L5143" s="455">
        <f t="shared" ca="1" si="184"/>
        <v>-817035297960516.75</v>
      </c>
      <c r="M5143" s="471">
        <f t="shared" si="186"/>
        <v>0.05</v>
      </c>
      <c r="N5143" s="475">
        <f t="shared" si="187"/>
        <v>207581</v>
      </c>
    </row>
    <row r="5144" spans="7:14" ht="11.25" customHeight="1" x14ac:dyDescent="0.3">
      <c r="G5144" s="470"/>
      <c r="H5144" s="470">
        <v>5137</v>
      </c>
      <c r="I5144" s="455">
        <f t="shared" ca="1" si="185"/>
        <v>-817035297960516.75</v>
      </c>
      <c r="J5144" s="455">
        <f t="array" ref="J5144">IFERROR(INDEX('Retirement Calculator'!K:K,MATCH('Lorri 401b'!N5144,'Retirement Calculator'!A:A,0),0),0)</f>
        <v>0</v>
      </c>
      <c r="K5144" s="455">
        <f t="shared" ca="1" si="183"/>
        <v>-3404313741502.1533</v>
      </c>
      <c r="L5144" s="455">
        <f t="shared" ca="1" si="184"/>
        <v>-820439611702018.88</v>
      </c>
      <c r="M5144" s="471">
        <f t="shared" si="186"/>
        <v>0.05</v>
      </c>
      <c r="N5144" s="475">
        <f t="shared" si="187"/>
        <v>207612</v>
      </c>
    </row>
    <row r="5145" spans="7:14" ht="11.25" customHeight="1" x14ac:dyDescent="0.3">
      <c r="G5145" s="470"/>
      <c r="H5145" s="470">
        <v>5138</v>
      </c>
      <c r="I5145" s="455">
        <f t="shared" ca="1" si="185"/>
        <v>-820439611702018.88</v>
      </c>
      <c r="J5145" s="455">
        <f t="array" ref="J5145">IFERROR(INDEX('Retirement Calculator'!K:K,MATCH('Lorri 401b'!N5145,'Retirement Calculator'!A:A,0),0),0)</f>
        <v>0</v>
      </c>
      <c r="K5145" s="455">
        <f t="shared" ca="1" si="183"/>
        <v>-3418498382091.7451</v>
      </c>
      <c r="L5145" s="455">
        <f t="shared" ca="1" si="184"/>
        <v>-823858110084110.63</v>
      </c>
      <c r="M5145" s="471">
        <f t="shared" si="186"/>
        <v>0.05</v>
      </c>
      <c r="N5145" s="475">
        <f t="shared" si="187"/>
        <v>207642</v>
      </c>
    </row>
    <row r="5146" spans="7:14" ht="11.25" customHeight="1" x14ac:dyDescent="0.3">
      <c r="G5146" s="470"/>
      <c r="H5146" s="470">
        <v>5139</v>
      </c>
      <c r="I5146" s="455">
        <f t="shared" ca="1" si="185"/>
        <v>-823858110084110.63</v>
      </c>
      <c r="J5146" s="455">
        <f t="array" ref="J5146">IFERROR(INDEX('Retirement Calculator'!K:K,MATCH('Lorri 401b'!N5146,'Retirement Calculator'!A:A,0),0),0)</f>
        <v>0</v>
      </c>
      <c r="K5146" s="455">
        <f t="shared" ca="1" si="183"/>
        <v>-3432742125350.4609</v>
      </c>
      <c r="L5146" s="455">
        <f t="shared" ca="1" si="184"/>
        <v>-827290852209461.13</v>
      </c>
      <c r="M5146" s="471">
        <f t="shared" si="186"/>
        <v>0.05</v>
      </c>
      <c r="N5146" s="475">
        <f t="shared" si="187"/>
        <v>207673</v>
      </c>
    </row>
    <row r="5147" spans="7:14" ht="11.25" customHeight="1" x14ac:dyDescent="0.3">
      <c r="G5147" s="470"/>
      <c r="H5147" s="470">
        <v>5140</v>
      </c>
      <c r="I5147" s="455">
        <f t="shared" ca="1" si="185"/>
        <v>-827290852209461.13</v>
      </c>
      <c r="J5147" s="455">
        <f t="array" ref="J5147">IFERROR(INDEX('Retirement Calculator'!K:K,MATCH('Lorri 401b'!N5147,'Retirement Calculator'!A:A,0),0),0)</f>
        <v>0</v>
      </c>
      <c r="K5147" s="455">
        <f t="shared" ca="1" si="183"/>
        <v>-3447045217539.4214</v>
      </c>
      <c r="L5147" s="455">
        <f t="shared" ca="1" si="184"/>
        <v>-830737897427000.5</v>
      </c>
      <c r="M5147" s="471">
        <f t="shared" si="186"/>
        <v>0.05</v>
      </c>
      <c r="N5147" s="475">
        <f t="shared" si="187"/>
        <v>207704</v>
      </c>
    </row>
    <row r="5148" spans="7:14" ht="11.25" customHeight="1" x14ac:dyDescent="0.3">
      <c r="G5148" s="470"/>
      <c r="H5148" s="470">
        <v>5141</v>
      </c>
      <c r="I5148" s="455">
        <f t="shared" ca="1" si="185"/>
        <v>-830737897427000.5</v>
      </c>
      <c r="J5148" s="455">
        <f t="array" ref="J5148">IFERROR(INDEX('Retirement Calculator'!K:K,MATCH('Lorri 401b'!N5148,'Retirement Calculator'!A:A,0),0),0)</f>
        <v>0</v>
      </c>
      <c r="K5148" s="455">
        <f t="shared" ca="1" si="183"/>
        <v>-3461407905945.8354</v>
      </c>
      <c r="L5148" s="455">
        <f t="shared" ca="1" si="184"/>
        <v>-834199305332946.38</v>
      </c>
      <c r="M5148" s="471">
        <f t="shared" si="186"/>
        <v>0.05</v>
      </c>
      <c r="N5148" s="475">
        <f t="shared" si="187"/>
        <v>207734</v>
      </c>
    </row>
    <row r="5149" spans="7:14" ht="11.25" customHeight="1" x14ac:dyDescent="0.3">
      <c r="G5149" s="470"/>
      <c r="H5149" s="470">
        <v>5142</v>
      </c>
      <c r="I5149" s="455">
        <f t="shared" ca="1" si="185"/>
        <v>-834199305332946.38</v>
      </c>
      <c r="J5149" s="455">
        <f t="array" ref="J5149">IFERROR(INDEX('Retirement Calculator'!K:K,MATCH('Lorri 401b'!N5149,'Retirement Calculator'!A:A,0),0),0)</f>
        <v>0</v>
      </c>
      <c r="K5149" s="455">
        <f t="shared" ca="1" si="183"/>
        <v>-3475830438887.2764</v>
      </c>
      <c r="L5149" s="455">
        <f t="shared" ca="1" si="184"/>
        <v>-837675135771833.63</v>
      </c>
      <c r="M5149" s="471">
        <f t="shared" si="186"/>
        <v>0.05</v>
      </c>
      <c r="N5149" s="475">
        <f t="shared" si="187"/>
        <v>207765</v>
      </c>
    </row>
    <row r="5150" spans="7:14" ht="11.25" customHeight="1" x14ac:dyDescent="0.3">
      <c r="G5150" s="470"/>
      <c r="H5150" s="470">
        <v>5143</v>
      </c>
      <c r="I5150" s="455">
        <f t="shared" ca="1" si="185"/>
        <v>-837675135771833.63</v>
      </c>
      <c r="J5150" s="455">
        <f t="array" ref="J5150">IFERROR(INDEX('Retirement Calculator'!K:K,MATCH('Lorri 401b'!N5150,'Retirement Calculator'!A:A,0),0),0)</f>
        <v>0</v>
      </c>
      <c r="K5150" s="455">
        <f t="shared" ca="1" si="183"/>
        <v>-3490313065715.9736</v>
      </c>
      <c r="L5150" s="455">
        <f t="shared" ca="1" si="184"/>
        <v>-841165448837549.63</v>
      </c>
      <c r="M5150" s="471">
        <f t="shared" si="186"/>
        <v>0.05</v>
      </c>
      <c r="N5150" s="475">
        <f t="shared" si="187"/>
        <v>207795</v>
      </c>
    </row>
    <row r="5151" spans="7:14" ht="11.25" customHeight="1" x14ac:dyDescent="0.3">
      <c r="G5151" s="470"/>
      <c r="H5151" s="470">
        <v>5144</v>
      </c>
      <c r="I5151" s="455">
        <f t="shared" ca="1" si="185"/>
        <v>-841165448837549.63</v>
      </c>
      <c r="J5151" s="455">
        <f t="array" ref="J5151">IFERROR(INDEX('Retirement Calculator'!K:K,MATCH('Lorri 401b'!N5151,'Retirement Calculator'!A:A,0),0),0)</f>
        <v>0</v>
      </c>
      <c r="K5151" s="455">
        <f t="shared" ca="1" si="183"/>
        <v>-3504856036823.1235</v>
      </c>
      <c r="L5151" s="455">
        <f t="shared" ca="1" si="184"/>
        <v>-844670304874372.75</v>
      </c>
      <c r="M5151" s="471">
        <f t="shared" si="186"/>
        <v>0.05</v>
      </c>
      <c r="N5151" s="475">
        <f t="shared" si="187"/>
        <v>207826</v>
      </c>
    </row>
    <row r="5152" spans="7:14" ht="11.25" customHeight="1" x14ac:dyDescent="0.3">
      <c r="G5152" s="470"/>
      <c r="H5152" s="470">
        <v>5145</v>
      </c>
      <c r="I5152" s="455">
        <f t="shared" ca="1" si="185"/>
        <v>-844670304874372.75</v>
      </c>
      <c r="J5152" s="455">
        <f t="array" ref="J5152">IFERROR(INDEX('Retirement Calculator'!K:K,MATCH('Lorri 401b'!N5152,'Retirement Calculator'!A:A,0),0),0)</f>
        <v>0</v>
      </c>
      <c r="K5152" s="455">
        <f t="shared" ca="1" si="183"/>
        <v>-3519459603643.2197</v>
      </c>
      <c r="L5152" s="455">
        <f t="shared" ca="1" si="184"/>
        <v>-848189764478016</v>
      </c>
      <c r="M5152" s="471">
        <f t="shared" si="186"/>
        <v>0.05</v>
      </c>
      <c r="N5152" s="475">
        <f t="shared" si="187"/>
        <v>207857</v>
      </c>
    </row>
    <row r="5153" spans="7:14" ht="11.25" customHeight="1" x14ac:dyDescent="0.3">
      <c r="G5153" s="470"/>
      <c r="H5153" s="470">
        <v>5146</v>
      </c>
      <c r="I5153" s="455">
        <f t="shared" ca="1" si="185"/>
        <v>-848189764478016</v>
      </c>
      <c r="J5153" s="455">
        <f t="array" ref="J5153">IFERROR(INDEX('Retirement Calculator'!K:K,MATCH('Lorri 401b'!N5153,'Retirement Calculator'!A:A,0),0),0)</f>
        <v>0</v>
      </c>
      <c r="K5153" s="455">
        <f t="shared" ca="1" si="183"/>
        <v>-3534124018658.3999</v>
      </c>
      <c r="L5153" s="455">
        <f t="shared" ca="1" si="184"/>
        <v>-851723888496674.38</v>
      </c>
      <c r="M5153" s="471">
        <f t="shared" si="186"/>
        <v>0.05</v>
      </c>
      <c r="N5153" s="475">
        <f t="shared" si="187"/>
        <v>207885</v>
      </c>
    </row>
    <row r="5154" spans="7:14" ht="11.25" customHeight="1" x14ac:dyDescent="0.3">
      <c r="G5154" s="470"/>
      <c r="H5154" s="470">
        <v>5147</v>
      </c>
      <c r="I5154" s="455">
        <f t="shared" ca="1" si="185"/>
        <v>-851723888496674.38</v>
      </c>
      <c r="J5154" s="455">
        <f t="array" ref="J5154">IFERROR(INDEX('Retirement Calculator'!K:K,MATCH('Lorri 401b'!N5154,'Retirement Calculator'!A:A,0),0),0)</f>
        <v>0</v>
      </c>
      <c r="K5154" s="455">
        <f t="shared" ca="1" si="183"/>
        <v>-3548849535402.8101</v>
      </c>
      <c r="L5154" s="455">
        <f t="shared" ca="1" si="184"/>
        <v>-855272738032077.13</v>
      </c>
      <c r="M5154" s="471">
        <f t="shared" si="186"/>
        <v>0.05</v>
      </c>
      <c r="N5154" s="475">
        <f t="shared" si="187"/>
        <v>207916</v>
      </c>
    </row>
    <row r="5155" spans="7:14" ht="11.25" customHeight="1" x14ac:dyDescent="0.3">
      <c r="G5155" s="470"/>
      <c r="H5155" s="470">
        <v>5148</v>
      </c>
      <c r="I5155" s="455">
        <f t="shared" ca="1" si="185"/>
        <v>-855272738032077.13</v>
      </c>
      <c r="J5155" s="455">
        <f t="array" ref="J5155">IFERROR(INDEX('Retirement Calculator'!K:K,MATCH('Lorri 401b'!N5155,'Retirement Calculator'!A:A,0),0),0)</f>
        <v>0</v>
      </c>
      <c r="K5155" s="455">
        <f t="shared" ca="1" si="183"/>
        <v>-3563636408466.9878</v>
      </c>
      <c r="L5155" s="455">
        <f t="shared" ca="1" si="184"/>
        <v>-858836374440544.13</v>
      </c>
      <c r="M5155" s="471">
        <f t="shared" si="186"/>
        <v>0.05</v>
      </c>
      <c r="N5155" s="475">
        <f t="shared" si="187"/>
        <v>207946</v>
      </c>
    </row>
    <row r="5156" spans="7:14" ht="11.25" customHeight="1" x14ac:dyDescent="0.3">
      <c r="G5156" s="470"/>
      <c r="H5156" s="470">
        <v>5149</v>
      </c>
      <c r="I5156" s="455">
        <f t="shared" ca="1" si="185"/>
        <v>-858836374440544.13</v>
      </c>
      <c r="J5156" s="455">
        <f t="array" ref="J5156">IFERROR(INDEX('Retirement Calculator'!K:K,MATCH('Lorri 401b'!N5156,'Retirement Calculator'!A:A,0),0),0)</f>
        <v>0</v>
      </c>
      <c r="K5156" s="455">
        <f t="shared" ca="1" si="183"/>
        <v>-3578484893502.2671</v>
      </c>
      <c r="L5156" s="455">
        <f t="shared" ca="1" si="184"/>
        <v>-862414859334046.38</v>
      </c>
      <c r="M5156" s="471">
        <f t="shared" si="186"/>
        <v>0.05</v>
      </c>
      <c r="N5156" s="475">
        <f t="shared" si="187"/>
        <v>207977</v>
      </c>
    </row>
    <row r="5157" spans="7:14" ht="11.25" customHeight="1" x14ac:dyDescent="0.3">
      <c r="G5157" s="470"/>
      <c r="H5157" s="470">
        <v>5150</v>
      </c>
      <c r="I5157" s="455">
        <f t="shared" ca="1" si="185"/>
        <v>-862414859334046.38</v>
      </c>
      <c r="J5157" s="455">
        <f t="array" ref="J5157">IFERROR(INDEX('Retirement Calculator'!K:K,MATCH('Lorri 401b'!N5157,'Retirement Calculator'!A:A,0),0),0)</f>
        <v>0</v>
      </c>
      <c r="K5157" s="455">
        <f t="shared" ca="1" si="183"/>
        <v>-3593395247225.1934</v>
      </c>
      <c r="L5157" s="455">
        <f t="shared" ca="1" si="184"/>
        <v>-866008254581271.63</v>
      </c>
      <c r="M5157" s="471">
        <f t="shared" si="186"/>
        <v>0.05</v>
      </c>
      <c r="N5157" s="475">
        <f t="shared" si="187"/>
        <v>208007</v>
      </c>
    </row>
    <row r="5158" spans="7:14" ht="11.25" customHeight="1" x14ac:dyDescent="0.3">
      <c r="G5158" s="470"/>
      <c r="H5158" s="470">
        <v>5151</v>
      </c>
      <c r="I5158" s="455">
        <f t="shared" ca="1" si="185"/>
        <v>-866008254581271.63</v>
      </c>
      <c r="J5158" s="455">
        <f t="array" ref="J5158">IFERROR(INDEX('Retirement Calculator'!K:K,MATCH('Lorri 401b'!N5158,'Retirement Calculator'!A:A,0),0),0)</f>
        <v>0</v>
      </c>
      <c r="K5158" s="455">
        <f t="shared" ca="1" si="183"/>
        <v>-3608367727421.9648</v>
      </c>
      <c r="L5158" s="455">
        <f t="shared" ca="1" si="184"/>
        <v>-869616622308693.63</v>
      </c>
      <c r="M5158" s="471">
        <f t="shared" si="186"/>
        <v>0.05</v>
      </c>
      <c r="N5158" s="475">
        <f t="shared" si="187"/>
        <v>208038</v>
      </c>
    </row>
    <row r="5159" spans="7:14" ht="11.25" customHeight="1" x14ac:dyDescent="0.3">
      <c r="G5159" s="470"/>
      <c r="H5159" s="470">
        <v>5152</v>
      </c>
      <c r="I5159" s="455">
        <f t="shared" ca="1" si="185"/>
        <v>-869616622308693.63</v>
      </c>
      <c r="J5159" s="455">
        <f t="array" ref="J5159">IFERROR(INDEX('Retirement Calculator'!K:K,MATCH('Lorri 401b'!N5159,'Retirement Calculator'!A:A,0),0),0)</f>
        <v>0</v>
      </c>
      <c r="K5159" s="455">
        <f t="shared" ca="1" si="183"/>
        <v>-3623402592952.8901</v>
      </c>
      <c r="L5159" s="455">
        <f t="shared" ca="1" si="184"/>
        <v>-873240024901646.5</v>
      </c>
      <c r="M5159" s="471">
        <f t="shared" si="186"/>
        <v>0.05</v>
      </c>
      <c r="N5159" s="475">
        <f t="shared" si="187"/>
        <v>208069</v>
      </c>
    </row>
    <row r="5160" spans="7:14" ht="11.25" customHeight="1" x14ac:dyDescent="0.3">
      <c r="G5160" s="470"/>
      <c r="H5160" s="470">
        <v>5153</v>
      </c>
      <c r="I5160" s="455">
        <f t="shared" ca="1" si="185"/>
        <v>-873240024901646.5</v>
      </c>
      <c r="J5160" s="455">
        <f t="array" ref="J5160">IFERROR(INDEX('Retirement Calculator'!K:K,MATCH('Lorri 401b'!N5160,'Retirement Calculator'!A:A,0),0),0)</f>
        <v>0</v>
      </c>
      <c r="K5160" s="455">
        <f t="shared" ca="1" si="183"/>
        <v>-3638500103756.8604</v>
      </c>
      <c r="L5160" s="455">
        <f t="shared" ca="1" si="184"/>
        <v>-876878525005403.38</v>
      </c>
      <c r="M5160" s="471">
        <f t="shared" si="186"/>
        <v>0.05</v>
      </c>
      <c r="N5160" s="475">
        <f t="shared" si="187"/>
        <v>208099</v>
      </c>
    </row>
    <row r="5161" spans="7:14" ht="11.25" customHeight="1" x14ac:dyDescent="0.3">
      <c r="G5161" s="470"/>
      <c r="H5161" s="470">
        <v>5154</v>
      </c>
      <c r="I5161" s="455">
        <f t="shared" ca="1" si="185"/>
        <v>-876878525005403.38</v>
      </c>
      <c r="J5161" s="455">
        <f t="array" ref="J5161">IFERROR(INDEX('Retirement Calculator'!K:K,MATCH('Lorri 401b'!N5161,'Retirement Calculator'!A:A,0),0),0)</f>
        <v>0</v>
      </c>
      <c r="K5161" s="455">
        <f t="shared" ca="1" si="183"/>
        <v>-3653660520855.8472</v>
      </c>
      <c r="L5161" s="455">
        <f t="shared" ca="1" si="184"/>
        <v>-880532185526259.25</v>
      </c>
      <c r="M5161" s="471">
        <f t="shared" si="186"/>
        <v>0.05</v>
      </c>
      <c r="N5161" s="475">
        <f t="shared" si="187"/>
        <v>208130</v>
      </c>
    </row>
    <row r="5162" spans="7:14" ht="11.25" customHeight="1" x14ac:dyDescent="0.3">
      <c r="G5162" s="470"/>
      <c r="H5162" s="470">
        <v>5155</v>
      </c>
      <c r="I5162" s="455">
        <f t="shared" ca="1" si="185"/>
        <v>-880532185526259.25</v>
      </c>
      <c r="J5162" s="455">
        <f t="array" ref="J5162">IFERROR(INDEX('Retirement Calculator'!K:K,MATCH('Lorri 401b'!N5162,'Retirement Calculator'!A:A,0),0),0)</f>
        <v>0</v>
      </c>
      <c r="K5162" s="455">
        <f t="shared" ca="1" si="183"/>
        <v>-3668884106359.4136</v>
      </c>
      <c r="L5162" s="455">
        <f t="shared" ca="1" si="184"/>
        <v>-884201069632618.63</v>
      </c>
      <c r="M5162" s="471">
        <f t="shared" si="186"/>
        <v>0.05</v>
      </c>
      <c r="N5162" s="475">
        <f t="shared" si="187"/>
        <v>208160</v>
      </c>
    </row>
    <row r="5163" spans="7:14" ht="11.25" customHeight="1" x14ac:dyDescent="0.3">
      <c r="G5163" s="470"/>
      <c r="H5163" s="470">
        <v>5156</v>
      </c>
      <c r="I5163" s="455">
        <f t="shared" ca="1" si="185"/>
        <v>-884201069632618.63</v>
      </c>
      <c r="J5163" s="455">
        <f t="array" ref="J5163">IFERROR(INDEX('Retirement Calculator'!K:K,MATCH('Lorri 401b'!N5163,'Retirement Calculator'!A:A,0),0),0)</f>
        <v>0</v>
      </c>
      <c r="K5163" s="455">
        <f t="shared" ca="1" si="183"/>
        <v>-3684171123469.2441</v>
      </c>
      <c r="L5163" s="455">
        <f t="shared" ca="1" si="184"/>
        <v>-887885240756087.88</v>
      </c>
      <c r="M5163" s="471">
        <f t="shared" si="186"/>
        <v>0.05</v>
      </c>
      <c r="N5163" s="475">
        <f t="shared" si="187"/>
        <v>208191</v>
      </c>
    </row>
    <row r="5164" spans="7:14" ht="11.25" customHeight="1" x14ac:dyDescent="0.3">
      <c r="G5164" s="470"/>
      <c r="H5164" s="470">
        <v>5157</v>
      </c>
      <c r="I5164" s="455">
        <f t="shared" ca="1" si="185"/>
        <v>-887885240756087.88</v>
      </c>
      <c r="J5164" s="455">
        <f t="array" ref="J5164">IFERROR(INDEX('Retirement Calculator'!K:K,MATCH('Lorri 401b'!N5164,'Retirement Calculator'!A:A,0),0),0)</f>
        <v>0</v>
      </c>
      <c r="K5164" s="455">
        <f t="shared" ca="1" si="183"/>
        <v>-3699521836483.6992</v>
      </c>
      <c r="L5164" s="455">
        <f t="shared" ca="1" si="184"/>
        <v>-891584762592571.63</v>
      </c>
      <c r="M5164" s="471">
        <f t="shared" si="186"/>
        <v>0.05</v>
      </c>
      <c r="N5164" s="475">
        <f t="shared" si="187"/>
        <v>208222</v>
      </c>
    </row>
    <row r="5165" spans="7:14" ht="11.25" customHeight="1" x14ac:dyDescent="0.3">
      <c r="G5165" s="470"/>
      <c r="H5165" s="470">
        <v>5158</v>
      </c>
      <c r="I5165" s="455">
        <f t="shared" ca="1" si="185"/>
        <v>-891584762592571.63</v>
      </c>
      <c r="J5165" s="455">
        <f t="array" ref="J5165">IFERROR(INDEX('Retirement Calculator'!K:K,MATCH('Lorri 401b'!N5165,'Retirement Calculator'!A:A,0),0),0)</f>
        <v>0</v>
      </c>
      <c r="K5165" s="455">
        <f t="shared" ca="1" si="183"/>
        <v>-3714936510802.3818</v>
      </c>
      <c r="L5165" s="455">
        <f t="shared" ca="1" si="184"/>
        <v>-895299699103374</v>
      </c>
      <c r="M5165" s="471">
        <f t="shared" si="186"/>
        <v>0.05</v>
      </c>
      <c r="N5165" s="475">
        <f t="shared" si="187"/>
        <v>208250</v>
      </c>
    </row>
    <row r="5166" spans="7:14" ht="11.25" customHeight="1" x14ac:dyDescent="0.3">
      <c r="G5166" s="470"/>
      <c r="H5166" s="470">
        <v>5159</v>
      </c>
      <c r="I5166" s="455">
        <f t="shared" ca="1" si="185"/>
        <v>-895299699103374</v>
      </c>
      <c r="J5166" s="455">
        <f t="array" ref="J5166">IFERROR(INDEX('Retirement Calculator'!K:K,MATCH('Lorri 401b'!N5166,'Retirement Calculator'!A:A,0),0),0)</f>
        <v>0</v>
      </c>
      <c r="K5166" s="455">
        <f t="shared" ca="1" si="183"/>
        <v>-3730415412930.7246</v>
      </c>
      <c r="L5166" s="455">
        <f t="shared" ca="1" si="184"/>
        <v>-899030114516304.75</v>
      </c>
      <c r="M5166" s="471">
        <f t="shared" si="186"/>
        <v>0.05</v>
      </c>
      <c r="N5166" s="475">
        <f t="shared" si="187"/>
        <v>208281</v>
      </c>
    </row>
    <row r="5167" spans="7:14" ht="11.25" customHeight="1" x14ac:dyDescent="0.3">
      <c r="G5167" s="470"/>
      <c r="H5167" s="470">
        <v>5160</v>
      </c>
      <c r="I5167" s="455">
        <f t="shared" ca="1" si="185"/>
        <v>-899030114516304.75</v>
      </c>
      <c r="J5167" s="455">
        <f t="array" ref="J5167">IFERROR(INDEX('Retirement Calculator'!K:K,MATCH('Lorri 401b'!N5167,'Retirement Calculator'!A:A,0),0),0)</f>
        <v>0</v>
      </c>
      <c r="K5167" s="455">
        <f t="shared" ca="1" si="183"/>
        <v>-3745958810484.6035</v>
      </c>
      <c r="L5167" s="455">
        <f t="shared" ca="1" si="184"/>
        <v>-902776073326789.38</v>
      </c>
      <c r="M5167" s="471">
        <f t="shared" si="186"/>
        <v>0.05</v>
      </c>
      <c r="N5167" s="475">
        <f t="shared" si="187"/>
        <v>208311</v>
      </c>
    </row>
    <row r="5168" spans="7:14" ht="11.25" customHeight="1" x14ac:dyDescent="0.3">
      <c r="G5168" s="470"/>
      <c r="H5168" s="470">
        <v>5161</v>
      </c>
      <c r="I5168" s="455">
        <f t="shared" ca="1" si="185"/>
        <v>-902776073326789.38</v>
      </c>
      <c r="J5168" s="455">
        <f t="array" ref="J5168">IFERROR(INDEX('Retirement Calculator'!K:K,MATCH('Lorri 401b'!N5168,'Retirement Calculator'!A:A,0),0),0)</f>
        <v>0</v>
      </c>
      <c r="K5168" s="455">
        <f t="shared" ca="1" si="183"/>
        <v>-3761566972194.9556</v>
      </c>
      <c r="L5168" s="455">
        <f t="shared" ca="1" si="184"/>
        <v>-906537640298984.38</v>
      </c>
      <c r="M5168" s="471">
        <f t="shared" si="186"/>
        <v>0.05</v>
      </c>
      <c r="N5168" s="475">
        <f t="shared" si="187"/>
        <v>208342</v>
      </c>
    </row>
    <row r="5169" spans="7:14" ht="11.25" customHeight="1" x14ac:dyDescent="0.3">
      <c r="G5169" s="470"/>
      <c r="H5169" s="470">
        <v>5162</v>
      </c>
      <c r="I5169" s="455">
        <f t="shared" ca="1" si="185"/>
        <v>-906537640298984.38</v>
      </c>
      <c r="J5169" s="455">
        <f t="array" ref="J5169">IFERROR(INDEX('Retirement Calculator'!K:K,MATCH('Lorri 401b'!N5169,'Retirement Calculator'!A:A,0),0),0)</f>
        <v>0</v>
      </c>
      <c r="K5169" s="455">
        <f t="shared" ca="1" si="183"/>
        <v>-3777240167912.4351</v>
      </c>
      <c r="L5169" s="455">
        <f t="shared" ca="1" si="184"/>
        <v>-910314880466896.75</v>
      </c>
      <c r="M5169" s="471">
        <f t="shared" si="186"/>
        <v>0.05</v>
      </c>
      <c r="N5169" s="475">
        <f t="shared" si="187"/>
        <v>208372</v>
      </c>
    </row>
    <row r="5170" spans="7:14" ht="11.25" customHeight="1" x14ac:dyDescent="0.3">
      <c r="G5170" s="470"/>
      <c r="H5170" s="470">
        <v>5163</v>
      </c>
      <c r="I5170" s="455">
        <f t="shared" ca="1" si="185"/>
        <v>-910314880466896.75</v>
      </c>
      <c r="J5170" s="455">
        <f t="array" ref="J5170">IFERROR(INDEX('Retirement Calculator'!K:K,MATCH('Lorri 401b'!N5170,'Retirement Calculator'!A:A,0),0),0)</f>
        <v>0</v>
      </c>
      <c r="K5170" s="455">
        <f t="shared" ca="1" si="183"/>
        <v>-3792978668612.0698</v>
      </c>
      <c r="L5170" s="455">
        <f t="shared" ca="1" si="184"/>
        <v>-914107859135508.88</v>
      </c>
      <c r="M5170" s="471">
        <f t="shared" si="186"/>
        <v>0.05</v>
      </c>
      <c r="N5170" s="475">
        <f t="shared" si="187"/>
        <v>208403</v>
      </c>
    </row>
    <row r="5171" spans="7:14" ht="11.25" customHeight="1" x14ac:dyDescent="0.3">
      <c r="G5171" s="470"/>
      <c r="H5171" s="470">
        <v>5164</v>
      </c>
      <c r="I5171" s="455">
        <f t="shared" ca="1" si="185"/>
        <v>-914107859135508.88</v>
      </c>
      <c r="J5171" s="455">
        <f t="array" ref="J5171">IFERROR(INDEX('Retirement Calculator'!K:K,MATCH('Lorri 401b'!N5171,'Retirement Calculator'!A:A,0),0),0)</f>
        <v>0</v>
      </c>
      <c r="K5171" s="455">
        <f t="shared" ca="1" si="183"/>
        <v>-3808782746397.9536</v>
      </c>
      <c r="L5171" s="455">
        <f t="shared" ca="1" si="184"/>
        <v>-917916641881906.88</v>
      </c>
      <c r="M5171" s="471">
        <f t="shared" si="186"/>
        <v>0.05</v>
      </c>
      <c r="N5171" s="475">
        <f t="shared" si="187"/>
        <v>208434</v>
      </c>
    </row>
    <row r="5172" spans="7:14" ht="11.25" customHeight="1" x14ac:dyDescent="0.3">
      <c r="G5172" s="470"/>
      <c r="H5172" s="470">
        <v>5165</v>
      </c>
      <c r="I5172" s="455">
        <f t="shared" ca="1" si="185"/>
        <v>-917916641881906.88</v>
      </c>
      <c r="J5172" s="455">
        <f t="array" ref="J5172">IFERROR(INDEX('Retirement Calculator'!K:K,MATCH('Lorri 401b'!N5172,'Retirement Calculator'!A:A,0),0),0)</f>
        <v>0</v>
      </c>
      <c r="K5172" s="455">
        <f t="shared" ca="1" si="183"/>
        <v>-3824652674507.9453</v>
      </c>
      <c r="L5172" s="455">
        <f t="shared" ca="1" si="184"/>
        <v>-921741294556414.88</v>
      </c>
      <c r="M5172" s="471">
        <f t="shared" si="186"/>
        <v>0.05</v>
      </c>
      <c r="N5172" s="475">
        <f t="shared" si="187"/>
        <v>208464</v>
      </c>
    </row>
    <row r="5173" spans="7:14" ht="11.25" customHeight="1" x14ac:dyDescent="0.3">
      <c r="G5173" s="470"/>
      <c r="H5173" s="470">
        <v>5166</v>
      </c>
      <c r="I5173" s="455">
        <f t="shared" ca="1" si="185"/>
        <v>-921741294556414.88</v>
      </c>
      <c r="J5173" s="455">
        <f t="array" ref="J5173">IFERROR(INDEX('Retirement Calculator'!K:K,MATCH('Lorri 401b'!N5173,'Retirement Calculator'!A:A,0),0),0)</f>
        <v>0</v>
      </c>
      <c r="K5173" s="455">
        <f t="shared" ca="1" si="183"/>
        <v>-3840588727318.395</v>
      </c>
      <c r="L5173" s="455">
        <f t="shared" ca="1" si="184"/>
        <v>-925581883283733.25</v>
      </c>
      <c r="M5173" s="471">
        <f t="shared" si="186"/>
        <v>0.05</v>
      </c>
      <c r="N5173" s="475">
        <f t="shared" si="187"/>
        <v>208495</v>
      </c>
    </row>
    <row r="5174" spans="7:14" ht="11.25" customHeight="1" x14ac:dyDescent="0.3">
      <c r="G5174" s="470"/>
      <c r="H5174" s="470">
        <v>5167</v>
      </c>
      <c r="I5174" s="455">
        <f t="shared" ca="1" si="185"/>
        <v>-925581883283733.25</v>
      </c>
      <c r="J5174" s="455">
        <f t="array" ref="J5174">IFERROR(INDEX('Retirement Calculator'!K:K,MATCH('Lorri 401b'!N5174,'Retirement Calculator'!A:A,0),0),0)</f>
        <v>0</v>
      </c>
      <c r="K5174" s="455">
        <f t="shared" ca="1" si="183"/>
        <v>-3856591180348.8887</v>
      </c>
      <c r="L5174" s="455">
        <f t="shared" ca="1" si="184"/>
        <v>-929438474464082.13</v>
      </c>
      <c r="M5174" s="471">
        <f t="shared" si="186"/>
        <v>0.05</v>
      </c>
      <c r="N5174" s="475">
        <f t="shared" si="187"/>
        <v>208525</v>
      </c>
    </row>
    <row r="5175" spans="7:14" ht="11.25" customHeight="1" x14ac:dyDescent="0.3">
      <c r="G5175" s="470"/>
      <c r="H5175" s="470">
        <v>5168</v>
      </c>
      <c r="I5175" s="455">
        <f t="shared" ca="1" si="185"/>
        <v>-929438474464082.13</v>
      </c>
      <c r="J5175" s="455">
        <f t="array" ref="J5175">IFERROR(INDEX('Retirement Calculator'!K:K,MATCH('Lorri 401b'!N5175,'Retirement Calculator'!A:A,0),0),0)</f>
        <v>0</v>
      </c>
      <c r="K5175" s="455">
        <f t="shared" ca="1" si="183"/>
        <v>-3872660310267.0088</v>
      </c>
      <c r="L5175" s="455">
        <f t="shared" ca="1" si="184"/>
        <v>-933311134774349.13</v>
      </c>
      <c r="M5175" s="471">
        <f t="shared" si="186"/>
        <v>0.05</v>
      </c>
      <c r="N5175" s="475">
        <f t="shared" si="187"/>
        <v>208556</v>
      </c>
    </row>
    <row r="5176" spans="7:14" ht="11.25" customHeight="1" x14ac:dyDescent="0.3">
      <c r="G5176" s="470"/>
      <c r="H5176" s="470">
        <v>5169</v>
      </c>
      <c r="I5176" s="455">
        <f t="shared" ca="1" si="185"/>
        <v>-933311134774349.13</v>
      </c>
      <c r="J5176" s="455">
        <f t="array" ref="J5176">IFERROR(INDEX('Retirement Calculator'!K:K,MATCH('Lorri 401b'!N5176,'Retirement Calculator'!A:A,0),0),0)</f>
        <v>0</v>
      </c>
      <c r="K5176" s="455">
        <f t="shared" ca="1" si="183"/>
        <v>-3888796394893.1211</v>
      </c>
      <c r="L5176" s="455">
        <f t="shared" ca="1" si="184"/>
        <v>-937199931169242.25</v>
      </c>
      <c r="M5176" s="471">
        <f t="shared" si="186"/>
        <v>0.05</v>
      </c>
      <c r="N5176" s="475">
        <f t="shared" si="187"/>
        <v>208587</v>
      </c>
    </row>
    <row r="5177" spans="7:14" ht="11.25" customHeight="1" x14ac:dyDescent="0.3">
      <c r="G5177" s="470"/>
      <c r="H5177" s="470">
        <v>5170</v>
      </c>
      <c r="I5177" s="455">
        <f t="shared" ca="1" si="185"/>
        <v>-937199931169242.25</v>
      </c>
      <c r="J5177" s="455">
        <f t="array" ref="J5177">IFERROR(INDEX('Retirement Calculator'!K:K,MATCH('Lorri 401b'!N5177,'Retirement Calculator'!A:A,0),0),0)</f>
        <v>0</v>
      </c>
      <c r="K5177" s="455">
        <f t="shared" ca="1" si="183"/>
        <v>-3904999713205.1758</v>
      </c>
      <c r="L5177" s="455">
        <f t="shared" ca="1" si="184"/>
        <v>-941104930882447.38</v>
      </c>
      <c r="M5177" s="471">
        <f t="shared" si="186"/>
        <v>0.05</v>
      </c>
      <c r="N5177" s="475">
        <f t="shared" si="187"/>
        <v>208615</v>
      </c>
    </row>
    <row r="5178" spans="7:14" ht="11.25" customHeight="1" x14ac:dyDescent="0.3">
      <c r="G5178" s="470"/>
      <c r="H5178" s="470">
        <v>5171</v>
      </c>
      <c r="I5178" s="455">
        <f t="shared" ca="1" si="185"/>
        <v>-941104930882447.38</v>
      </c>
      <c r="J5178" s="455">
        <f t="array" ref="J5178">IFERROR(INDEX('Retirement Calculator'!K:K,MATCH('Lorri 401b'!N5178,'Retirement Calculator'!A:A,0),0),0)</f>
        <v>0</v>
      </c>
      <c r="K5178" s="455">
        <f t="shared" ca="1" si="183"/>
        <v>-3921270545343.5308</v>
      </c>
      <c r="L5178" s="455">
        <f t="shared" ca="1" si="184"/>
        <v>-945026201427790.88</v>
      </c>
      <c r="M5178" s="471">
        <f t="shared" si="186"/>
        <v>0.05</v>
      </c>
      <c r="N5178" s="475">
        <f t="shared" si="187"/>
        <v>208646</v>
      </c>
    </row>
    <row r="5179" spans="7:14" ht="11.25" customHeight="1" x14ac:dyDescent="0.3">
      <c r="G5179" s="470"/>
      <c r="H5179" s="470">
        <v>5172</v>
      </c>
      <c r="I5179" s="455">
        <f t="shared" ca="1" si="185"/>
        <v>-945026201427790.88</v>
      </c>
      <c r="J5179" s="455">
        <f t="array" ref="J5179">IFERROR(INDEX('Retirement Calculator'!K:K,MATCH('Lorri 401b'!N5179,'Retirement Calculator'!A:A,0),0),0)</f>
        <v>0</v>
      </c>
      <c r="K5179" s="455">
        <f t="shared" ca="1" si="183"/>
        <v>-3937609172615.7959</v>
      </c>
      <c r="L5179" s="455">
        <f t="shared" ca="1" si="184"/>
        <v>-948963810600406.63</v>
      </c>
      <c r="M5179" s="471">
        <f t="shared" si="186"/>
        <v>0.05</v>
      </c>
      <c r="N5179" s="475">
        <f t="shared" si="187"/>
        <v>208676</v>
      </c>
    </row>
    <row r="5180" spans="7:14" ht="11.25" customHeight="1" x14ac:dyDescent="0.3">
      <c r="G5180" s="470"/>
      <c r="H5180" s="470">
        <v>5173</v>
      </c>
      <c r="I5180" s="455">
        <f t="shared" ca="1" si="185"/>
        <v>-948963810600406.63</v>
      </c>
      <c r="J5180" s="455">
        <f t="array" ref="J5180">IFERROR(INDEX('Retirement Calculator'!K:K,MATCH('Lorri 401b'!N5180,'Retirement Calculator'!A:A,0),0),0)</f>
        <v>0</v>
      </c>
      <c r="K5180" s="455">
        <f t="shared" ca="1" si="183"/>
        <v>-3954015877501.6943</v>
      </c>
      <c r="L5180" s="455">
        <f t="shared" ca="1" si="184"/>
        <v>-952917826477908.38</v>
      </c>
      <c r="M5180" s="471">
        <f t="shared" si="186"/>
        <v>0.05</v>
      </c>
      <c r="N5180" s="475">
        <f t="shared" si="187"/>
        <v>208707</v>
      </c>
    </row>
    <row r="5181" spans="7:14" ht="11.25" customHeight="1" x14ac:dyDescent="0.3">
      <c r="G5181" s="470"/>
      <c r="H5181" s="470">
        <v>5174</v>
      </c>
      <c r="I5181" s="455">
        <f t="shared" ca="1" si="185"/>
        <v>-952917826477908.38</v>
      </c>
      <c r="J5181" s="455">
        <f t="array" ref="J5181">IFERROR(INDEX('Retirement Calculator'!K:K,MATCH('Lorri 401b'!N5181,'Retirement Calculator'!A:A,0),0),0)</f>
        <v>0</v>
      </c>
      <c r="K5181" s="455">
        <f t="shared" ca="1" si="183"/>
        <v>-3970490943657.9517</v>
      </c>
      <c r="L5181" s="455">
        <f t="shared" ca="1" si="184"/>
        <v>-956888317421566.38</v>
      </c>
      <c r="M5181" s="471">
        <f t="shared" si="186"/>
        <v>0.05</v>
      </c>
      <c r="N5181" s="475">
        <f t="shared" si="187"/>
        <v>208737</v>
      </c>
    </row>
    <row r="5182" spans="7:14" ht="11.25" customHeight="1" x14ac:dyDescent="0.3">
      <c r="G5182" s="470"/>
      <c r="H5182" s="470">
        <v>5175</v>
      </c>
      <c r="I5182" s="455">
        <f t="shared" ca="1" si="185"/>
        <v>-956888317421566.38</v>
      </c>
      <c r="J5182" s="455">
        <f t="array" ref="J5182">IFERROR(INDEX('Retirement Calculator'!K:K,MATCH('Lorri 401b'!N5182,'Retirement Calculator'!A:A,0),0),0)</f>
        <v>0</v>
      </c>
      <c r="K5182" s="455">
        <f t="shared" ca="1" si="183"/>
        <v>-3987034655923.1934</v>
      </c>
      <c r="L5182" s="455">
        <f t="shared" ca="1" si="184"/>
        <v>-960875352077489.63</v>
      </c>
      <c r="M5182" s="471">
        <f t="shared" si="186"/>
        <v>0.05</v>
      </c>
      <c r="N5182" s="475">
        <f t="shared" si="187"/>
        <v>208768</v>
      </c>
    </row>
    <row r="5183" spans="7:14" ht="11.25" customHeight="1" x14ac:dyDescent="0.3">
      <c r="G5183" s="470"/>
      <c r="H5183" s="470">
        <v>5176</v>
      </c>
      <c r="I5183" s="455">
        <f t="shared" ca="1" si="185"/>
        <v>-960875352077489.63</v>
      </c>
      <c r="J5183" s="455">
        <f t="array" ref="J5183">IFERROR(INDEX('Retirement Calculator'!K:K,MATCH('Lorri 401b'!N5183,'Retirement Calculator'!A:A,0),0),0)</f>
        <v>0</v>
      </c>
      <c r="K5183" s="455">
        <f t="shared" ca="1" si="183"/>
        <v>-4003647300322.8735</v>
      </c>
      <c r="L5183" s="455">
        <f t="shared" ca="1" si="184"/>
        <v>-964878999377812.5</v>
      </c>
      <c r="M5183" s="471">
        <f t="shared" si="186"/>
        <v>0.05</v>
      </c>
      <c r="N5183" s="475">
        <f t="shared" si="187"/>
        <v>208799</v>
      </c>
    </row>
    <row r="5184" spans="7:14" ht="11.25" customHeight="1" x14ac:dyDescent="0.3">
      <c r="G5184" s="470"/>
      <c r="H5184" s="470">
        <v>5177</v>
      </c>
      <c r="I5184" s="455">
        <f t="shared" ca="1" si="185"/>
        <v>-964878999377812.5</v>
      </c>
      <c r="J5184" s="455">
        <f t="array" ref="J5184">IFERROR(INDEX('Retirement Calculator'!K:K,MATCH('Lorri 401b'!N5184,'Retirement Calculator'!A:A,0),0),0)</f>
        <v>0</v>
      </c>
      <c r="K5184" s="455">
        <f t="shared" ca="1" si="183"/>
        <v>-4020329164074.2188</v>
      </c>
      <c r="L5184" s="455">
        <f t="shared" ca="1" si="184"/>
        <v>-968899328541886.75</v>
      </c>
      <c r="M5184" s="471">
        <f t="shared" si="186"/>
        <v>0.05</v>
      </c>
      <c r="N5184" s="475">
        <f t="shared" si="187"/>
        <v>208829</v>
      </c>
    </row>
    <row r="5185" spans="7:14" ht="11.25" customHeight="1" x14ac:dyDescent="0.3">
      <c r="G5185" s="470"/>
      <c r="H5185" s="470">
        <v>5178</v>
      </c>
      <c r="I5185" s="455">
        <f t="shared" ca="1" si="185"/>
        <v>-968899328541886.75</v>
      </c>
      <c r="J5185" s="455">
        <f t="array" ref="J5185">IFERROR(INDEX('Retirement Calculator'!K:K,MATCH('Lorri 401b'!N5185,'Retirement Calculator'!A:A,0),0),0)</f>
        <v>0</v>
      </c>
      <c r="K5185" s="455">
        <f t="shared" ca="1" si="183"/>
        <v>-4037080535591.1948</v>
      </c>
      <c r="L5185" s="455">
        <f t="shared" ca="1" si="184"/>
        <v>-972936409077478</v>
      </c>
      <c r="M5185" s="471">
        <f t="shared" si="186"/>
        <v>0.05</v>
      </c>
      <c r="N5185" s="475">
        <f t="shared" si="187"/>
        <v>208860</v>
      </c>
    </row>
    <row r="5186" spans="7:14" ht="11.25" customHeight="1" x14ac:dyDescent="0.3">
      <c r="G5186" s="470"/>
      <c r="H5186" s="470">
        <v>5179</v>
      </c>
      <c r="I5186" s="455">
        <f t="shared" ca="1" si="185"/>
        <v>-972936409077478</v>
      </c>
      <c r="J5186" s="455">
        <f t="array" ref="J5186">IFERROR(INDEX('Retirement Calculator'!K:K,MATCH('Lorri 401b'!N5186,'Retirement Calculator'!A:A,0),0),0)</f>
        <v>0</v>
      </c>
      <c r="K5186" s="455">
        <f t="shared" ca="1" si="183"/>
        <v>-4053901704489.4917</v>
      </c>
      <c r="L5186" s="455">
        <f t="shared" ca="1" si="184"/>
        <v>-976990310781967.5</v>
      </c>
      <c r="M5186" s="471">
        <f t="shared" si="186"/>
        <v>0.05</v>
      </c>
      <c r="N5186" s="475">
        <f t="shared" si="187"/>
        <v>208890</v>
      </c>
    </row>
    <row r="5187" spans="7:14" ht="11.25" customHeight="1" x14ac:dyDescent="0.3">
      <c r="G5187" s="470"/>
      <c r="H5187" s="470">
        <v>5180</v>
      </c>
      <c r="I5187" s="455">
        <f t="shared" ca="1" si="185"/>
        <v>-976990310781967.5</v>
      </c>
      <c r="J5187" s="455">
        <f t="array" ref="J5187">IFERROR(INDEX('Retirement Calculator'!K:K,MATCH('Lorri 401b'!N5187,'Retirement Calculator'!A:A,0),0),0)</f>
        <v>0</v>
      </c>
      <c r="K5187" s="455">
        <f t="shared" ca="1" si="183"/>
        <v>-4070792961591.5308</v>
      </c>
      <c r="L5187" s="455">
        <f t="shared" ca="1" si="184"/>
        <v>-981061103743559</v>
      </c>
      <c r="M5187" s="471">
        <f t="shared" si="186"/>
        <v>0.05</v>
      </c>
      <c r="N5187" s="475">
        <f t="shared" si="187"/>
        <v>208921</v>
      </c>
    </row>
    <row r="5188" spans="7:14" ht="11.25" customHeight="1" x14ac:dyDescent="0.3">
      <c r="G5188" s="470"/>
      <c r="H5188" s="470">
        <v>5181</v>
      </c>
      <c r="I5188" s="455">
        <f t="shared" ca="1" si="185"/>
        <v>-981061103743559</v>
      </c>
      <c r="J5188" s="455">
        <f t="array" ref="J5188">IFERROR(INDEX('Retirement Calculator'!K:K,MATCH('Lorri 401b'!N5188,'Retirement Calculator'!A:A,0),0),0)</f>
        <v>0</v>
      </c>
      <c r="K5188" s="455">
        <f t="shared" ca="1" si="183"/>
        <v>-4087754598931.4956</v>
      </c>
      <c r="L5188" s="455">
        <f t="shared" ca="1" si="184"/>
        <v>-985148858342490.5</v>
      </c>
      <c r="M5188" s="471">
        <f t="shared" si="186"/>
        <v>0.05</v>
      </c>
      <c r="N5188" s="475">
        <f t="shared" si="187"/>
        <v>208952</v>
      </c>
    </row>
    <row r="5189" spans="7:14" ht="11.25" customHeight="1" x14ac:dyDescent="0.3">
      <c r="G5189" s="470"/>
      <c r="H5189" s="470">
        <v>5182</v>
      </c>
      <c r="I5189" s="455">
        <f t="shared" ca="1" si="185"/>
        <v>-985148858342490.5</v>
      </c>
      <c r="J5189" s="455">
        <f t="array" ref="J5189">IFERROR(INDEX('Retirement Calculator'!K:K,MATCH('Lorri 401b'!N5189,'Retirement Calculator'!A:A,0),0),0)</f>
        <v>0</v>
      </c>
      <c r="K5189" s="455">
        <f t="shared" ca="1" si="183"/>
        <v>-4104786909760.3765</v>
      </c>
      <c r="L5189" s="455">
        <f t="shared" ca="1" si="184"/>
        <v>-989253645252250.88</v>
      </c>
      <c r="M5189" s="471">
        <f t="shared" si="186"/>
        <v>0.05</v>
      </c>
      <c r="N5189" s="475">
        <f t="shared" si="187"/>
        <v>208981</v>
      </c>
    </row>
    <row r="5190" spans="7:14" ht="11.25" customHeight="1" x14ac:dyDescent="0.3">
      <c r="G5190" s="470"/>
      <c r="H5190" s="470">
        <v>5183</v>
      </c>
      <c r="I5190" s="455">
        <f t="shared" ca="1" si="185"/>
        <v>-989253645252250.88</v>
      </c>
      <c r="J5190" s="455">
        <f t="array" ref="J5190">IFERROR(INDEX('Retirement Calculator'!K:K,MATCH('Lorri 401b'!N5190,'Retirement Calculator'!A:A,0),0),0)</f>
        <v>0</v>
      </c>
      <c r="K5190" s="455">
        <f t="shared" ca="1" si="183"/>
        <v>-4121890188551.0449</v>
      </c>
      <c r="L5190" s="455">
        <f t="shared" ca="1" si="184"/>
        <v>-993375535440801.88</v>
      </c>
      <c r="M5190" s="471">
        <f t="shared" si="186"/>
        <v>0.05</v>
      </c>
      <c r="N5190" s="475">
        <f t="shared" si="187"/>
        <v>209012</v>
      </c>
    </row>
    <row r="5191" spans="7:14" ht="11.25" customHeight="1" x14ac:dyDescent="0.3">
      <c r="G5191" s="470"/>
      <c r="H5191" s="470">
        <v>5184</v>
      </c>
      <c r="I5191" s="455">
        <f t="shared" ca="1" si="185"/>
        <v>-993375535440801.88</v>
      </c>
      <c r="J5191" s="455">
        <f t="array" ref="J5191">IFERROR(INDEX('Retirement Calculator'!K:K,MATCH('Lorri 401b'!N5191,'Retirement Calculator'!A:A,0),0),0)</f>
        <v>0</v>
      </c>
      <c r="K5191" s="455">
        <f t="shared" ca="1" si="183"/>
        <v>-4139064731003.3413</v>
      </c>
      <c r="L5191" s="455">
        <f t="shared" ca="1" si="184"/>
        <v>-997514600171805.25</v>
      </c>
      <c r="M5191" s="471">
        <f t="shared" si="186"/>
        <v>0.05</v>
      </c>
      <c r="N5191" s="475">
        <f t="shared" si="187"/>
        <v>209042</v>
      </c>
    </row>
    <row r="5192" spans="7:14" ht="11.25" customHeight="1" x14ac:dyDescent="0.3">
      <c r="G5192" s="470"/>
      <c r="H5192" s="470">
        <v>5185</v>
      </c>
      <c r="I5192" s="455">
        <f t="shared" ca="1" si="185"/>
        <v>-997514600171805.25</v>
      </c>
      <c r="J5192" s="455">
        <f t="array" ref="J5192">IFERROR(INDEX('Retirement Calculator'!K:K,MATCH('Lorri 401b'!N5192,'Retirement Calculator'!A:A,0),0),0)</f>
        <v>0</v>
      </c>
      <c r="K5192" s="455">
        <f t="shared" ca="1" si="183"/>
        <v>-4156310834049.1885</v>
      </c>
      <c r="L5192" s="455">
        <f t="shared" ca="1" si="184"/>
        <v>-1001670911005854.5</v>
      </c>
      <c r="M5192" s="471">
        <f t="shared" si="186"/>
        <v>0.05</v>
      </c>
      <c r="N5192" s="475">
        <f t="shared" si="187"/>
        <v>209073</v>
      </c>
    </row>
    <row r="5193" spans="7:14" ht="11.25" customHeight="1" x14ac:dyDescent="0.3">
      <c r="G5193" s="470"/>
      <c r="H5193" s="470">
        <v>5186</v>
      </c>
      <c r="I5193" s="455">
        <f t="shared" ca="1" si="185"/>
        <v>-1001670911005854.5</v>
      </c>
      <c r="J5193" s="455">
        <f t="array" ref="J5193">IFERROR(INDEX('Retirement Calculator'!K:K,MATCH('Lorri 401b'!N5193,'Retirement Calculator'!A:A,0),0),0)</f>
        <v>0</v>
      </c>
      <c r="K5193" s="455">
        <f t="shared" ca="1" si="183"/>
        <v>-4173628795857.7271</v>
      </c>
      <c r="L5193" s="455">
        <f t="shared" ca="1" si="184"/>
        <v>-1005844539801712.3</v>
      </c>
      <c r="M5193" s="471">
        <f t="shared" si="186"/>
        <v>0.05</v>
      </c>
      <c r="N5193" s="475">
        <f t="shared" si="187"/>
        <v>209103</v>
      </c>
    </row>
    <row r="5194" spans="7:14" ht="11.25" customHeight="1" x14ac:dyDescent="0.3">
      <c r="G5194" s="470"/>
      <c r="H5194" s="470">
        <v>5187</v>
      </c>
      <c r="I5194" s="455">
        <f t="shared" ca="1" si="185"/>
        <v>-1005844539801712.3</v>
      </c>
      <c r="J5194" s="455">
        <f t="array" ref="J5194">IFERROR(INDEX('Retirement Calculator'!K:K,MATCH('Lorri 401b'!N5194,'Retirement Calculator'!A:A,0),0),0)</f>
        <v>0</v>
      </c>
      <c r="K5194" s="455">
        <f t="shared" ca="1" si="183"/>
        <v>-4191018915840.4678</v>
      </c>
      <c r="L5194" s="455">
        <f t="shared" ca="1" si="184"/>
        <v>-1010035558717552.8</v>
      </c>
      <c r="M5194" s="471">
        <f t="shared" si="186"/>
        <v>0.05</v>
      </c>
      <c r="N5194" s="475">
        <f t="shared" si="187"/>
        <v>209134</v>
      </c>
    </row>
    <row r="5195" spans="7:14" ht="11.25" customHeight="1" x14ac:dyDescent="0.3">
      <c r="G5195" s="470"/>
      <c r="H5195" s="470">
        <v>5188</v>
      </c>
      <c r="I5195" s="455">
        <f t="shared" ca="1" si="185"/>
        <v>-1010035558717552.8</v>
      </c>
      <c r="J5195" s="455">
        <f t="array" ref="J5195">IFERROR(INDEX('Retirement Calculator'!K:K,MATCH('Lorri 401b'!N5195,'Retirement Calculator'!A:A,0),0),0)</f>
        <v>0</v>
      </c>
      <c r="K5195" s="455">
        <f t="shared" ca="1" si="183"/>
        <v>-4208481494656.4697</v>
      </c>
      <c r="L5195" s="455">
        <f t="shared" ca="1" si="184"/>
        <v>-1014244040212209.3</v>
      </c>
      <c r="M5195" s="471">
        <f t="shared" si="186"/>
        <v>0.05</v>
      </c>
      <c r="N5195" s="475">
        <f t="shared" si="187"/>
        <v>209165</v>
      </c>
    </row>
    <row r="5196" spans="7:14" ht="11.25" customHeight="1" x14ac:dyDescent="0.3">
      <c r="G5196" s="470"/>
      <c r="H5196" s="470">
        <v>5189</v>
      </c>
      <c r="I5196" s="455">
        <f t="shared" ca="1" si="185"/>
        <v>-1014244040212209.3</v>
      </c>
      <c r="J5196" s="455">
        <f t="array" ref="J5196">IFERROR(INDEX('Retirement Calculator'!K:K,MATCH('Lorri 401b'!N5196,'Retirement Calculator'!A:A,0),0),0)</f>
        <v>0</v>
      </c>
      <c r="K5196" s="455">
        <f t="shared" ca="1" si="183"/>
        <v>-4226016834217.5391</v>
      </c>
      <c r="L5196" s="455">
        <f t="shared" ca="1" si="184"/>
        <v>-1018470057046426.8</v>
      </c>
      <c r="M5196" s="471">
        <f t="shared" si="186"/>
        <v>0.05</v>
      </c>
      <c r="N5196" s="475">
        <f t="shared" si="187"/>
        <v>209195</v>
      </c>
    </row>
    <row r="5197" spans="7:14" ht="11.25" customHeight="1" x14ac:dyDescent="0.3">
      <c r="G5197" s="470"/>
      <c r="H5197" s="470">
        <v>5190</v>
      </c>
      <c r="I5197" s="455">
        <f t="shared" ca="1" si="185"/>
        <v>-1018470057046426.8</v>
      </c>
      <c r="J5197" s="455">
        <f t="array" ref="J5197">IFERROR(INDEX('Retirement Calculator'!K:K,MATCH('Lorri 401b'!N5197,'Retirement Calculator'!A:A,0),0),0)</f>
        <v>0</v>
      </c>
      <c r="K5197" s="455">
        <f t="shared" ca="1" si="183"/>
        <v>-4243625237693.4443</v>
      </c>
      <c r="L5197" s="455">
        <f t="shared" ca="1" si="184"/>
        <v>-1022713682284120.3</v>
      </c>
      <c r="M5197" s="471">
        <f t="shared" si="186"/>
        <v>0.05</v>
      </c>
      <c r="N5197" s="475">
        <f t="shared" si="187"/>
        <v>209226</v>
      </c>
    </row>
    <row r="5198" spans="7:14" ht="11.25" customHeight="1" x14ac:dyDescent="0.3">
      <c r="G5198" s="470"/>
      <c r="H5198" s="470">
        <v>5191</v>
      </c>
      <c r="I5198" s="455">
        <f t="shared" ca="1" si="185"/>
        <v>-1022713682284120.3</v>
      </c>
      <c r="J5198" s="455">
        <f t="array" ref="J5198">IFERROR(INDEX('Retirement Calculator'!K:K,MATCH('Lorri 401b'!N5198,'Retirement Calculator'!A:A,0),0),0)</f>
        <v>0</v>
      </c>
      <c r="K5198" s="455">
        <f t="shared" ca="1" si="183"/>
        <v>-4261307009517.1675</v>
      </c>
      <c r="L5198" s="455">
        <f t="shared" ca="1" si="184"/>
        <v>-1026974989293637.4</v>
      </c>
      <c r="M5198" s="471">
        <f t="shared" si="186"/>
        <v>0.05</v>
      </c>
      <c r="N5198" s="475">
        <f t="shared" si="187"/>
        <v>209256</v>
      </c>
    </row>
    <row r="5199" spans="7:14" ht="11.25" customHeight="1" x14ac:dyDescent="0.3">
      <c r="G5199" s="470"/>
      <c r="H5199" s="470">
        <v>5192</v>
      </c>
      <c r="I5199" s="455">
        <f t="shared" ca="1" si="185"/>
        <v>-1026974989293637.4</v>
      </c>
      <c r="J5199" s="455">
        <f t="array" ref="J5199">IFERROR(INDEX('Retirement Calculator'!K:K,MATCH('Lorri 401b'!N5199,'Retirement Calculator'!A:A,0),0),0)</f>
        <v>0</v>
      </c>
      <c r="K5199" s="455">
        <f t="shared" ca="1" si="183"/>
        <v>-4279062455390.1558</v>
      </c>
      <c r="L5199" s="455">
        <f t="shared" ca="1" si="184"/>
        <v>-1031254051749027.5</v>
      </c>
      <c r="M5199" s="471">
        <f t="shared" si="186"/>
        <v>0.05</v>
      </c>
      <c r="N5199" s="475">
        <f t="shared" si="187"/>
        <v>209287</v>
      </c>
    </row>
    <row r="5200" spans="7:14" ht="11.25" customHeight="1" x14ac:dyDescent="0.3">
      <c r="G5200" s="470"/>
      <c r="H5200" s="470">
        <v>5193</v>
      </c>
      <c r="I5200" s="455">
        <f t="shared" ca="1" si="185"/>
        <v>-1031254051749027.5</v>
      </c>
      <c r="J5200" s="455">
        <f t="array" ref="J5200">IFERROR(INDEX('Retirement Calculator'!K:K,MATCH('Lorri 401b'!N5200,'Retirement Calculator'!A:A,0),0),0)</f>
        <v>0</v>
      </c>
      <c r="K5200" s="455">
        <f t="shared" ca="1" si="183"/>
        <v>-4296891882287.6152</v>
      </c>
      <c r="L5200" s="455">
        <f t="shared" ca="1" si="184"/>
        <v>-1035550943631315.1</v>
      </c>
      <c r="M5200" s="471">
        <f t="shared" si="186"/>
        <v>0.05</v>
      </c>
      <c r="N5200" s="475">
        <f t="shared" si="187"/>
        <v>209318</v>
      </c>
    </row>
    <row r="5201" spans="7:14" ht="11.25" customHeight="1" x14ac:dyDescent="0.3">
      <c r="G5201" s="470"/>
      <c r="H5201" s="470">
        <v>5194</v>
      </c>
      <c r="I5201" s="455">
        <f t="shared" ca="1" si="185"/>
        <v>-1035550943631315.1</v>
      </c>
      <c r="J5201" s="455">
        <f t="array" ref="J5201">IFERROR(INDEX('Retirement Calculator'!K:K,MATCH('Lorri 401b'!N5201,'Retirement Calculator'!A:A,0),0),0)</f>
        <v>0</v>
      </c>
      <c r="K5201" s="455">
        <f t="shared" ca="1" si="183"/>
        <v>-4314795598463.8135</v>
      </c>
      <c r="L5201" s="455">
        <f t="shared" ca="1" si="184"/>
        <v>-1039865739229779</v>
      </c>
      <c r="M5201" s="471">
        <f t="shared" si="186"/>
        <v>0.05</v>
      </c>
      <c r="N5201" s="475">
        <f t="shared" si="187"/>
        <v>209346</v>
      </c>
    </row>
    <row r="5202" spans="7:14" ht="11.25" customHeight="1" x14ac:dyDescent="0.3">
      <c r="G5202" s="470"/>
      <c r="H5202" s="470">
        <v>5195</v>
      </c>
      <c r="I5202" s="455">
        <f t="shared" ca="1" si="185"/>
        <v>-1039865739229779</v>
      </c>
      <c r="J5202" s="455">
        <f t="array" ref="J5202">IFERROR(INDEX('Retirement Calculator'!K:K,MATCH('Lorri 401b'!N5202,'Retirement Calculator'!A:A,0),0),0)</f>
        <v>0</v>
      </c>
      <c r="K5202" s="455">
        <f t="shared" ca="1" si="183"/>
        <v>-4332773913457.4126</v>
      </c>
      <c r="L5202" s="455">
        <f t="shared" ca="1" si="184"/>
        <v>-1044198513143236.4</v>
      </c>
      <c r="M5202" s="471">
        <f t="shared" si="186"/>
        <v>0.05</v>
      </c>
      <c r="N5202" s="475">
        <f t="shared" si="187"/>
        <v>209377</v>
      </c>
    </row>
    <row r="5203" spans="7:14" ht="11.25" customHeight="1" x14ac:dyDescent="0.3">
      <c r="G5203" s="470"/>
      <c r="H5203" s="470">
        <v>5196</v>
      </c>
      <c r="I5203" s="455">
        <f t="shared" ca="1" si="185"/>
        <v>-1044198513143236.4</v>
      </c>
      <c r="J5203" s="455">
        <f t="array" ref="J5203">IFERROR(INDEX('Retirement Calculator'!K:K,MATCH('Lorri 401b'!N5203,'Retirement Calculator'!A:A,0),0),0)</f>
        <v>0</v>
      </c>
      <c r="K5203" s="455">
        <f t="shared" ca="1" si="183"/>
        <v>-4350827138096.8184</v>
      </c>
      <c r="L5203" s="455">
        <f t="shared" ca="1" si="184"/>
        <v>-1048549340281333.3</v>
      </c>
      <c r="M5203" s="471">
        <f t="shared" si="186"/>
        <v>0.05</v>
      </c>
      <c r="N5203" s="475">
        <f t="shared" si="187"/>
        <v>209407</v>
      </c>
    </row>
    <row r="5204" spans="7:14" ht="11.25" customHeight="1" x14ac:dyDescent="0.3">
      <c r="G5204" s="470"/>
      <c r="H5204" s="470">
        <v>5197</v>
      </c>
      <c r="I5204" s="455">
        <f t="shared" ca="1" si="185"/>
        <v>-1048549340281333.3</v>
      </c>
      <c r="J5204" s="455">
        <f t="array" ref="J5204">IFERROR(INDEX('Retirement Calculator'!K:K,MATCH('Lorri 401b'!N5204,'Retirement Calculator'!A:A,0),0),0)</f>
        <v>0</v>
      </c>
      <c r="K5204" s="455">
        <f t="shared" ca="1" si="183"/>
        <v>-4368955584505.5557</v>
      </c>
      <c r="L5204" s="455">
        <f t="shared" ca="1" si="184"/>
        <v>-1052918295865838.8</v>
      </c>
      <c r="M5204" s="471">
        <f t="shared" si="186"/>
        <v>0.05</v>
      </c>
      <c r="N5204" s="475">
        <f t="shared" si="187"/>
        <v>209438</v>
      </c>
    </row>
    <row r="5205" spans="7:14" ht="11.25" customHeight="1" x14ac:dyDescent="0.3">
      <c r="G5205" s="470"/>
      <c r="H5205" s="470">
        <v>5198</v>
      </c>
      <c r="I5205" s="455">
        <f t="shared" ca="1" si="185"/>
        <v>-1052918295865838.8</v>
      </c>
      <c r="J5205" s="455">
        <f t="array" ref="J5205">IFERROR(INDEX('Retirement Calculator'!K:K,MATCH('Lorri 401b'!N5205,'Retirement Calculator'!A:A,0),0),0)</f>
        <v>0</v>
      </c>
      <c r="K5205" s="455">
        <f t="shared" ca="1" si="183"/>
        <v>-4387159566107.6616</v>
      </c>
      <c r="L5205" s="455">
        <f t="shared" ca="1" si="184"/>
        <v>-1057305455431946.4</v>
      </c>
      <c r="M5205" s="471">
        <f t="shared" si="186"/>
        <v>0.05</v>
      </c>
      <c r="N5205" s="475">
        <f t="shared" si="187"/>
        <v>209468</v>
      </c>
    </row>
    <row r="5206" spans="7:14" ht="11.25" customHeight="1" x14ac:dyDescent="0.3">
      <c r="G5206" s="470"/>
      <c r="H5206" s="470">
        <v>5199</v>
      </c>
      <c r="I5206" s="455">
        <f t="shared" ca="1" si="185"/>
        <v>-1057305455431946.4</v>
      </c>
      <c r="J5206" s="455">
        <f t="array" ref="J5206">IFERROR(INDEX('Retirement Calculator'!K:K,MATCH('Lorri 401b'!N5206,'Retirement Calculator'!A:A,0),0),0)</f>
        <v>0</v>
      </c>
      <c r="K5206" s="455">
        <f t="shared" ca="1" si="183"/>
        <v>-4405439397633.1104</v>
      </c>
      <c r="L5206" s="455">
        <f t="shared" ca="1" si="184"/>
        <v>-1061710894829579.5</v>
      </c>
      <c r="M5206" s="471">
        <f t="shared" si="186"/>
        <v>0.05</v>
      </c>
      <c r="N5206" s="475">
        <f t="shared" si="187"/>
        <v>209499</v>
      </c>
    </row>
    <row r="5207" spans="7:14" ht="11.25" customHeight="1" x14ac:dyDescent="0.3">
      <c r="G5207" s="470"/>
      <c r="H5207" s="470">
        <v>5200</v>
      </c>
      <c r="I5207" s="455">
        <f t="shared" ca="1" si="185"/>
        <v>-1061710894829579.5</v>
      </c>
      <c r="J5207" s="455">
        <f t="array" ref="J5207">IFERROR(INDEX('Retirement Calculator'!K:K,MATCH('Lorri 401b'!N5207,'Retirement Calculator'!A:A,0),0),0)</f>
        <v>0</v>
      </c>
      <c r="K5207" s="455">
        <f t="shared" ca="1" si="183"/>
        <v>-4423795395123.248</v>
      </c>
      <c r="L5207" s="455">
        <f t="shared" ca="1" si="184"/>
        <v>-1066134690224702.8</v>
      </c>
      <c r="M5207" s="471">
        <f t="shared" si="186"/>
        <v>0.05</v>
      </c>
      <c r="N5207" s="475">
        <f t="shared" si="187"/>
        <v>209530</v>
      </c>
    </row>
    <row r="5208" spans="7:14" ht="11.25" customHeight="1" x14ac:dyDescent="0.3">
      <c r="G5208" s="470"/>
      <c r="H5208" s="470">
        <v>5201</v>
      </c>
      <c r="I5208" s="455">
        <f t="shared" ca="1" si="185"/>
        <v>-1066134690224702.8</v>
      </c>
      <c r="J5208" s="455">
        <f t="array" ref="J5208">IFERROR(INDEX('Retirement Calculator'!K:K,MATCH('Lorri 401b'!N5208,'Retirement Calculator'!A:A,0),0),0)</f>
        <v>0</v>
      </c>
      <c r="K5208" s="455">
        <f t="shared" ca="1" si="183"/>
        <v>-4442227875936.2617</v>
      </c>
      <c r="L5208" s="455">
        <f t="shared" ca="1" si="184"/>
        <v>-1070576918100639</v>
      </c>
      <c r="M5208" s="471">
        <f t="shared" si="186"/>
        <v>0.05</v>
      </c>
      <c r="N5208" s="475">
        <f t="shared" si="187"/>
        <v>209560</v>
      </c>
    </row>
    <row r="5209" spans="7:14" ht="11.25" customHeight="1" x14ac:dyDescent="0.3">
      <c r="G5209" s="470"/>
      <c r="H5209" s="470">
        <v>5202</v>
      </c>
      <c r="I5209" s="455">
        <f t="shared" ca="1" si="185"/>
        <v>-1070576918100639</v>
      </c>
      <c r="J5209" s="455">
        <f t="array" ref="J5209">IFERROR(INDEX('Retirement Calculator'!K:K,MATCH('Lorri 401b'!N5209,'Retirement Calculator'!A:A,0),0),0)</f>
        <v>0</v>
      </c>
      <c r="K5209" s="455">
        <f t="shared" ca="1" si="183"/>
        <v>-4460737158752.6621</v>
      </c>
      <c r="L5209" s="455">
        <f t="shared" ca="1" si="184"/>
        <v>-1075037655259391.6</v>
      </c>
      <c r="M5209" s="471">
        <f t="shared" si="186"/>
        <v>0.05</v>
      </c>
      <c r="N5209" s="475">
        <f t="shared" si="187"/>
        <v>209591</v>
      </c>
    </row>
    <row r="5210" spans="7:14" ht="11.25" customHeight="1" x14ac:dyDescent="0.3">
      <c r="G5210" s="470"/>
      <c r="H5210" s="470">
        <v>5203</v>
      </c>
      <c r="I5210" s="455">
        <f t="shared" ca="1" si="185"/>
        <v>-1075037655259391.6</v>
      </c>
      <c r="J5210" s="455">
        <f t="array" ref="J5210">IFERROR(INDEX('Retirement Calculator'!K:K,MATCH('Lorri 401b'!N5210,'Retirement Calculator'!A:A,0),0),0)</f>
        <v>0</v>
      </c>
      <c r="K5210" s="455">
        <f t="shared" ca="1" si="183"/>
        <v>-4479323563580.7979</v>
      </c>
      <c r="L5210" s="455">
        <f t="shared" ca="1" si="184"/>
        <v>-1079516978822972.4</v>
      </c>
      <c r="M5210" s="471">
        <f t="shared" si="186"/>
        <v>0.05</v>
      </c>
      <c r="N5210" s="475">
        <f t="shared" si="187"/>
        <v>209621</v>
      </c>
    </row>
    <row r="5211" spans="7:14" ht="11.25" customHeight="1" x14ac:dyDescent="0.3">
      <c r="G5211" s="470"/>
      <c r="H5211" s="470">
        <v>5204</v>
      </c>
      <c r="I5211" s="455">
        <f t="shared" ca="1" si="185"/>
        <v>-1079516978822972.4</v>
      </c>
      <c r="J5211" s="455">
        <f t="array" ref="J5211">IFERROR(INDEX('Retirement Calculator'!K:K,MATCH('Lorri 401b'!N5211,'Retirement Calculator'!A:A,0),0),0)</f>
        <v>0</v>
      </c>
      <c r="K5211" s="455">
        <f t="shared" ca="1" si="183"/>
        <v>-4497987411762.3848</v>
      </c>
      <c r="L5211" s="455">
        <f t="shared" ca="1" si="184"/>
        <v>-1084014966234734.8</v>
      </c>
      <c r="M5211" s="471">
        <f t="shared" si="186"/>
        <v>0.05</v>
      </c>
      <c r="N5211" s="475">
        <f t="shared" si="187"/>
        <v>209652</v>
      </c>
    </row>
    <row r="5212" spans="7:14" ht="11.25" customHeight="1" x14ac:dyDescent="0.3">
      <c r="G5212" s="470"/>
      <c r="H5212" s="470">
        <v>5205</v>
      </c>
      <c r="I5212" s="455">
        <f t="shared" ca="1" si="185"/>
        <v>-1084014966234734.8</v>
      </c>
      <c r="J5212" s="455">
        <f t="array" ref="J5212">IFERROR(INDEX('Retirement Calculator'!K:K,MATCH('Lorri 401b'!N5212,'Retirement Calculator'!A:A,0),0),0)</f>
        <v>0</v>
      </c>
      <c r="K5212" s="455">
        <f t="shared" ca="1" si="183"/>
        <v>-4516729025978.0615</v>
      </c>
      <c r="L5212" s="455">
        <f t="shared" ca="1" si="184"/>
        <v>-1088531695260712.8</v>
      </c>
      <c r="M5212" s="471">
        <f t="shared" si="186"/>
        <v>0.05</v>
      </c>
      <c r="N5212" s="475">
        <f t="shared" si="187"/>
        <v>209683</v>
      </c>
    </row>
    <row r="5213" spans="7:14" ht="11.25" customHeight="1" x14ac:dyDescent="0.3">
      <c r="G5213" s="470"/>
      <c r="H5213" s="470">
        <v>5206</v>
      </c>
      <c r="I5213" s="455">
        <f t="shared" ca="1" si="185"/>
        <v>-1088531695260712.8</v>
      </c>
      <c r="J5213" s="455">
        <f t="array" ref="J5213">IFERROR(INDEX('Retirement Calculator'!K:K,MATCH('Lorri 401b'!N5213,'Retirement Calculator'!A:A,0),0),0)</f>
        <v>0</v>
      </c>
      <c r="K5213" s="455">
        <f t="shared" ca="1" si="183"/>
        <v>-4535548730252.9697</v>
      </c>
      <c r="L5213" s="455">
        <f t="shared" ca="1" si="184"/>
        <v>-1093067243990965.8</v>
      </c>
      <c r="M5213" s="471">
        <f t="shared" si="186"/>
        <v>0.05</v>
      </c>
      <c r="N5213" s="475">
        <f t="shared" si="187"/>
        <v>209711</v>
      </c>
    </row>
    <row r="5214" spans="7:14" ht="11.25" customHeight="1" x14ac:dyDescent="0.3">
      <c r="G5214" s="470"/>
      <c r="H5214" s="470">
        <v>5207</v>
      </c>
      <c r="I5214" s="455">
        <f t="shared" ca="1" si="185"/>
        <v>-1093067243990965.8</v>
      </c>
      <c r="J5214" s="455">
        <f t="array" ref="J5214">IFERROR(INDEX('Retirement Calculator'!K:K,MATCH('Lorri 401b'!N5214,'Retirement Calculator'!A:A,0),0),0)</f>
        <v>0</v>
      </c>
      <c r="K5214" s="455">
        <f t="shared" ca="1" si="183"/>
        <v>-4554446849962.3564</v>
      </c>
      <c r="L5214" s="455">
        <f t="shared" ca="1" si="184"/>
        <v>-1097621690840928.1</v>
      </c>
      <c r="M5214" s="471">
        <f t="shared" si="186"/>
        <v>0.05</v>
      </c>
      <c r="N5214" s="475">
        <f t="shared" si="187"/>
        <v>209742</v>
      </c>
    </row>
    <row r="5215" spans="7:14" ht="11.25" customHeight="1" x14ac:dyDescent="0.3">
      <c r="G5215" s="470"/>
      <c r="H5215" s="470">
        <v>5208</v>
      </c>
      <c r="I5215" s="455">
        <f t="shared" ca="1" si="185"/>
        <v>-1097621690840928.1</v>
      </c>
      <c r="J5215" s="455">
        <f t="array" ref="J5215">IFERROR(INDEX('Retirement Calculator'!K:K,MATCH('Lorri 401b'!N5215,'Retirement Calculator'!A:A,0),0),0)</f>
        <v>0</v>
      </c>
      <c r="K5215" s="455">
        <f t="shared" ca="1" si="183"/>
        <v>-4573423711837.2002</v>
      </c>
      <c r="L5215" s="455">
        <f t="shared" ca="1" si="184"/>
        <v>-1102195114552765.4</v>
      </c>
      <c r="M5215" s="471">
        <f t="shared" si="186"/>
        <v>0.05</v>
      </c>
      <c r="N5215" s="475">
        <f t="shared" si="187"/>
        <v>209772</v>
      </c>
    </row>
    <row r="5216" spans="7:14" ht="11.25" customHeight="1" x14ac:dyDescent="0.3">
      <c r="G5216" s="470"/>
      <c r="H5216" s="470">
        <v>5209</v>
      </c>
      <c r="I5216" s="455">
        <f t="shared" ca="1" si="185"/>
        <v>-1102195114552765.4</v>
      </c>
      <c r="J5216" s="455">
        <f t="array" ref="J5216">IFERROR(INDEX('Retirement Calculator'!K:K,MATCH('Lorri 401b'!N5216,'Retirement Calculator'!A:A,0),0),0)</f>
        <v>0</v>
      </c>
      <c r="K5216" s="455">
        <f t="shared" ca="1" si="183"/>
        <v>-4592479643969.8555</v>
      </c>
      <c r="L5216" s="455">
        <f t="shared" ca="1" si="184"/>
        <v>-1106787594196735.3</v>
      </c>
      <c r="M5216" s="471">
        <f t="shared" si="186"/>
        <v>0.05</v>
      </c>
      <c r="N5216" s="475">
        <f t="shared" si="187"/>
        <v>209803</v>
      </c>
    </row>
    <row r="5217" spans="7:14" ht="11.25" customHeight="1" x14ac:dyDescent="0.3">
      <c r="G5217" s="470"/>
      <c r="H5217" s="470">
        <v>5210</v>
      </c>
      <c r="I5217" s="455">
        <f t="shared" ca="1" si="185"/>
        <v>-1106787594196735.3</v>
      </c>
      <c r="J5217" s="455">
        <f t="array" ref="J5217">IFERROR(INDEX('Retirement Calculator'!K:K,MATCH('Lorri 401b'!N5217,'Retirement Calculator'!A:A,0),0),0)</f>
        <v>0</v>
      </c>
      <c r="K5217" s="455">
        <f t="shared" ca="1" si="183"/>
        <v>-4611614975819.7305</v>
      </c>
      <c r="L5217" s="455">
        <f t="shared" ca="1" si="184"/>
        <v>-1111399209172555</v>
      </c>
      <c r="M5217" s="471">
        <f t="shared" si="186"/>
        <v>0.05</v>
      </c>
      <c r="N5217" s="475">
        <f t="shared" si="187"/>
        <v>209833</v>
      </c>
    </row>
    <row r="5218" spans="7:14" ht="11.25" customHeight="1" x14ac:dyDescent="0.3">
      <c r="G5218" s="470"/>
      <c r="H5218" s="470">
        <v>5211</v>
      </c>
      <c r="I5218" s="455">
        <f t="shared" ca="1" si="185"/>
        <v>-1111399209172555</v>
      </c>
      <c r="J5218" s="455">
        <f t="array" ref="J5218">IFERROR(INDEX('Retirement Calculator'!K:K,MATCH('Lorri 401b'!N5218,'Retirement Calculator'!A:A,0),0),0)</f>
        <v>0</v>
      </c>
      <c r="K5218" s="455">
        <f t="shared" ca="1" si="183"/>
        <v>-4630830038218.9795</v>
      </c>
      <c r="L5218" s="455">
        <f t="shared" ca="1" si="184"/>
        <v>-1116030039210774</v>
      </c>
      <c r="M5218" s="471">
        <f t="shared" si="186"/>
        <v>0.05</v>
      </c>
      <c r="N5218" s="475">
        <f t="shared" si="187"/>
        <v>209864</v>
      </c>
    </row>
    <row r="5219" spans="7:14" ht="11.25" customHeight="1" x14ac:dyDescent="0.3">
      <c r="G5219" s="470"/>
      <c r="H5219" s="470">
        <v>5212</v>
      </c>
      <c r="I5219" s="455">
        <f t="shared" ca="1" si="185"/>
        <v>-1116030039210774</v>
      </c>
      <c r="J5219" s="455">
        <f t="array" ref="J5219">IFERROR(INDEX('Retirement Calculator'!K:K,MATCH('Lorri 401b'!N5219,'Retirement Calculator'!A:A,0),0),0)</f>
        <v>0</v>
      </c>
      <c r="K5219" s="455">
        <f t="shared" ca="1" si="183"/>
        <v>-4650125163378.2246</v>
      </c>
      <c r="L5219" s="455">
        <f t="shared" ca="1" si="184"/>
        <v>-1120680164374152.3</v>
      </c>
      <c r="M5219" s="471">
        <f t="shared" si="186"/>
        <v>0.05</v>
      </c>
      <c r="N5219" s="475">
        <f t="shared" si="187"/>
        <v>209895</v>
      </c>
    </row>
    <row r="5220" spans="7:14" ht="11.25" customHeight="1" x14ac:dyDescent="0.3">
      <c r="G5220" s="470"/>
      <c r="H5220" s="470">
        <v>5213</v>
      </c>
      <c r="I5220" s="455">
        <f t="shared" ca="1" si="185"/>
        <v>-1120680164374152.3</v>
      </c>
      <c r="J5220" s="455">
        <f t="array" ref="J5220">IFERROR(INDEX('Retirement Calculator'!K:K,MATCH('Lorri 401b'!N5220,'Retirement Calculator'!A:A,0),0),0)</f>
        <v>0</v>
      </c>
      <c r="K5220" s="455">
        <f t="shared" ca="1" si="183"/>
        <v>-4669500684892.3008</v>
      </c>
      <c r="L5220" s="455">
        <f t="shared" ca="1" si="184"/>
        <v>-1125349665059044.5</v>
      </c>
      <c r="M5220" s="471">
        <f t="shared" si="186"/>
        <v>0.05</v>
      </c>
      <c r="N5220" s="475">
        <f t="shared" si="187"/>
        <v>209925</v>
      </c>
    </row>
    <row r="5221" spans="7:14" ht="11.25" customHeight="1" x14ac:dyDescent="0.3">
      <c r="G5221" s="470"/>
      <c r="H5221" s="470">
        <v>5214</v>
      </c>
      <c r="I5221" s="455">
        <f t="shared" ca="1" si="185"/>
        <v>-1125349665059044.5</v>
      </c>
      <c r="J5221" s="455">
        <f t="array" ref="J5221">IFERROR(INDEX('Retirement Calculator'!K:K,MATCH('Lorri 401b'!N5221,'Retirement Calculator'!A:A,0),0),0)</f>
        <v>0</v>
      </c>
      <c r="K5221" s="455">
        <f t="shared" ca="1" si="183"/>
        <v>-4688956937746.0186</v>
      </c>
      <c r="L5221" s="455">
        <f t="shared" ca="1" si="184"/>
        <v>-1130038621996790.5</v>
      </c>
      <c r="M5221" s="471">
        <f t="shared" si="186"/>
        <v>0.05</v>
      </c>
      <c r="N5221" s="475">
        <f t="shared" si="187"/>
        <v>209956</v>
      </c>
    </row>
    <row r="5222" spans="7:14" ht="11.25" customHeight="1" x14ac:dyDescent="0.3">
      <c r="G5222" s="470"/>
      <c r="H5222" s="470">
        <v>5215</v>
      </c>
      <c r="I5222" s="455">
        <f t="shared" ca="1" si="185"/>
        <v>-1130038621996790.5</v>
      </c>
      <c r="J5222" s="455">
        <f t="array" ref="J5222">IFERROR(INDEX('Retirement Calculator'!K:K,MATCH('Lorri 401b'!N5222,'Retirement Calculator'!A:A,0),0),0)</f>
        <v>0</v>
      </c>
      <c r="K5222" s="455">
        <f t="shared" ca="1" si="183"/>
        <v>-4708494258319.96</v>
      </c>
      <c r="L5222" s="455">
        <f t="shared" ca="1" si="184"/>
        <v>-1134747116255110.5</v>
      </c>
      <c r="M5222" s="471">
        <f t="shared" si="186"/>
        <v>0.05</v>
      </c>
      <c r="N5222" s="475">
        <f t="shared" si="187"/>
        <v>209986</v>
      </c>
    </row>
    <row r="5223" spans="7:14" ht="11.25" customHeight="1" x14ac:dyDescent="0.3">
      <c r="G5223" s="470"/>
      <c r="H5223" s="470">
        <v>5216</v>
      </c>
      <c r="I5223" s="455">
        <f t="shared" ca="1" si="185"/>
        <v>-1134747116255110.5</v>
      </c>
      <c r="J5223" s="455">
        <f t="array" ref="J5223">IFERROR(INDEX('Retirement Calculator'!K:K,MATCH('Lorri 401b'!N5223,'Retirement Calculator'!A:A,0),0),0)</f>
        <v>0</v>
      </c>
      <c r="K5223" s="455">
        <f t="shared" ca="1" si="183"/>
        <v>-4728112984396.2939</v>
      </c>
      <c r="L5223" s="455">
        <f t="shared" ca="1" si="184"/>
        <v>-1139475229239506.8</v>
      </c>
      <c r="M5223" s="471">
        <f t="shared" si="186"/>
        <v>0.05</v>
      </c>
      <c r="N5223" s="475">
        <f t="shared" si="187"/>
        <v>210017</v>
      </c>
    </row>
    <row r="5224" spans="7:14" ht="11.25" customHeight="1" x14ac:dyDescent="0.3">
      <c r="G5224" s="470"/>
      <c r="H5224" s="470">
        <v>5217</v>
      </c>
      <c r="I5224" s="455">
        <f t="shared" ca="1" si="185"/>
        <v>-1139475229239506.8</v>
      </c>
      <c r="J5224" s="455">
        <f t="array" ref="J5224">IFERROR(INDEX('Retirement Calculator'!K:K,MATCH('Lorri 401b'!N5224,'Retirement Calculator'!A:A,0),0),0)</f>
        <v>0</v>
      </c>
      <c r="K5224" s="455">
        <f t="shared" ca="1" si="183"/>
        <v>-4747813455164.6113</v>
      </c>
      <c r="L5224" s="455">
        <f t="shared" ca="1" si="184"/>
        <v>-1144223042694671.3</v>
      </c>
      <c r="M5224" s="471">
        <f t="shared" si="186"/>
        <v>0.05</v>
      </c>
      <c r="N5224" s="475">
        <f t="shared" si="187"/>
        <v>210048</v>
      </c>
    </row>
    <row r="5225" spans="7:14" ht="11.25" customHeight="1" x14ac:dyDescent="0.3">
      <c r="G5225" s="470"/>
      <c r="H5225" s="470">
        <v>5218</v>
      </c>
      <c r="I5225" s="455">
        <f t="shared" ca="1" si="185"/>
        <v>-1144223042694671.3</v>
      </c>
      <c r="J5225" s="455">
        <f t="array" ref="J5225">IFERROR(INDEX('Retirement Calculator'!K:K,MATCH('Lorri 401b'!N5225,'Retirement Calculator'!A:A,0),0),0)</f>
        <v>0</v>
      </c>
      <c r="K5225" s="455">
        <f t="shared" ca="1" si="183"/>
        <v>-4767596011227.7969</v>
      </c>
      <c r="L5225" s="455">
        <f t="shared" ca="1" si="184"/>
        <v>-1148990638705899</v>
      </c>
      <c r="M5225" s="471">
        <f t="shared" si="186"/>
        <v>0.05</v>
      </c>
      <c r="N5225" s="475">
        <f t="shared" si="187"/>
        <v>210076</v>
      </c>
    </row>
    <row r="5226" spans="7:14" ht="11.25" customHeight="1" x14ac:dyDescent="0.3">
      <c r="G5226" s="470"/>
      <c r="H5226" s="470">
        <v>5219</v>
      </c>
      <c r="I5226" s="455">
        <f t="shared" ca="1" si="185"/>
        <v>-1148990638705899</v>
      </c>
      <c r="J5226" s="455">
        <f t="array" ref="J5226">IFERROR(INDEX('Retirement Calculator'!K:K,MATCH('Lorri 401b'!N5226,'Retirement Calculator'!A:A,0),0),0)</f>
        <v>0</v>
      </c>
      <c r="K5226" s="455">
        <f t="shared" ca="1" si="183"/>
        <v>-4787460994607.9121</v>
      </c>
      <c r="L5226" s="455">
        <f t="shared" ca="1" si="184"/>
        <v>-1153778099700507</v>
      </c>
      <c r="M5226" s="471">
        <f t="shared" si="186"/>
        <v>0.05</v>
      </c>
      <c r="N5226" s="475">
        <f t="shared" si="187"/>
        <v>210107</v>
      </c>
    </row>
    <row r="5227" spans="7:14" ht="11.25" customHeight="1" x14ac:dyDescent="0.3">
      <c r="G5227" s="470"/>
      <c r="H5227" s="470">
        <v>5220</v>
      </c>
      <c r="I5227" s="455">
        <f t="shared" ca="1" si="185"/>
        <v>-1153778099700507</v>
      </c>
      <c r="J5227" s="455">
        <f t="array" ref="J5227">IFERROR(INDEX('Retirement Calculator'!K:K,MATCH('Lorri 401b'!N5227,'Retirement Calculator'!A:A,0),0),0)</f>
        <v>0</v>
      </c>
      <c r="K5227" s="455">
        <f t="shared" ca="1" si="183"/>
        <v>-4807408748752.1123</v>
      </c>
      <c r="L5227" s="455">
        <f t="shared" ca="1" si="184"/>
        <v>-1158585508449259</v>
      </c>
      <c r="M5227" s="471">
        <f t="shared" si="186"/>
        <v>0.05</v>
      </c>
      <c r="N5227" s="475">
        <f t="shared" si="187"/>
        <v>210137</v>
      </c>
    </row>
    <row r="5228" spans="7:14" ht="11.25" customHeight="1" x14ac:dyDescent="0.3">
      <c r="G5228" s="470"/>
      <c r="H5228" s="470">
        <v>5221</v>
      </c>
      <c r="I5228" s="455">
        <f t="shared" ca="1" si="185"/>
        <v>-1158585508449259</v>
      </c>
      <c r="J5228" s="455">
        <f t="array" ref="J5228">IFERROR(INDEX('Retirement Calculator'!K:K,MATCH('Lorri 401b'!N5228,'Retirement Calculator'!A:A,0),0),0)</f>
        <v>0</v>
      </c>
      <c r="K5228" s="455">
        <f t="shared" ca="1" si="183"/>
        <v>-4827439618538.5791</v>
      </c>
      <c r="L5228" s="455">
        <f t="shared" ca="1" si="184"/>
        <v>-1163412948067797.5</v>
      </c>
      <c r="M5228" s="471">
        <f t="shared" si="186"/>
        <v>0.05</v>
      </c>
      <c r="N5228" s="475">
        <f t="shared" si="187"/>
        <v>210168</v>
      </c>
    </row>
    <row r="5229" spans="7:14" ht="11.25" customHeight="1" x14ac:dyDescent="0.3">
      <c r="G5229" s="470"/>
      <c r="H5229" s="470">
        <v>5222</v>
      </c>
      <c r="I5229" s="455">
        <f t="shared" ca="1" si="185"/>
        <v>-1163412948067797.5</v>
      </c>
      <c r="J5229" s="455">
        <f t="array" ref="J5229">IFERROR(INDEX('Retirement Calculator'!K:K,MATCH('Lorri 401b'!N5229,'Retirement Calculator'!A:A,0),0),0)</f>
        <v>0</v>
      </c>
      <c r="K5229" s="455">
        <f t="shared" ca="1" si="183"/>
        <v>-4847553950282.4893</v>
      </c>
      <c r="L5229" s="455">
        <f t="shared" ca="1" si="184"/>
        <v>-1168260502018080</v>
      </c>
      <c r="M5229" s="471">
        <f t="shared" si="186"/>
        <v>0.05</v>
      </c>
      <c r="N5229" s="475">
        <f t="shared" si="187"/>
        <v>210198</v>
      </c>
    </row>
    <row r="5230" spans="7:14" ht="11.25" customHeight="1" x14ac:dyDescent="0.3">
      <c r="G5230" s="470"/>
      <c r="H5230" s="470">
        <v>5223</v>
      </c>
      <c r="I5230" s="455">
        <f t="shared" ca="1" si="185"/>
        <v>-1168260502018080</v>
      </c>
      <c r="J5230" s="455">
        <f t="array" ref="J5230">IFERROR(INDEX('Retirement Calculator'!K:K,MATCH('Lorri 401b'!N5230,'Retirement Calculator'!A:A,0),0),0)</f>
        <v>0</v>
      </c>
      <c r="K5230" s="455">
        <f t="shared" ca="1" si="183"/>
        <v>-4867752091742</v>
      </c>
      <c r="L5230" s="455">
        <f t="shared" ca="1" si="184"/>
        <v>-1173128254109822</v>
      </c>
      <c r="M5230" s="471">
        <f t="shared" si="186"/>
        <v>0.05</v>
      </c>
      <c r="N5230" s="475">
        <f t="shared" si="187"/>
        <v>210229</v>
      </c>
    </row>
    <row r="5231" spans="7:14" ht="11.25" customHeight="1" x14ac:dyDescent="0.3">
      <c r="G5231" s="470"/>
      <c r="H5231" s="470">
        <v>5224</v>
      </c>
      <c r="I5231" s="455">
        <f t="shared" ca="1" si="185"/>
        <v>-1173128254109822</v>
      </c>
      <c r="J5231" s="455">
        <f t="array" ref="J5231">IFERROR(INDEX('Retirement Calculator'!K:K,MATCH('Lorri 401b'!N5231,'Retirement Calculator'!A:A,0),0),0)</f>
        <v>0</v>
      </c>
      <c r="K5231" s="455">
        <f t="shared" ca="1" si="183"/>
        <v>-4888034392124.2578</v>
      </c>
      <c r="L5231" s="455">
        <f t="shared" ca="1" si="184"/>
        <v>-1178016288501946.3</v>
      </c>
      <c r="M5231" s="471">
        <f t="shared" si="186"/>
        <v>0.05</v>
      </c>
      <c r="N5231" s="475">
        <f t="shared" si="187"/>
        <v>210260</v>
      </c>
    </row>
    <row r="5232" spans="7:14" ht="11.25" customHeight="1" x14ac:dyDescent="0.3">
      <c r="G5232" s="470"/>
      <c r="H5232" s="470">
        <v>5225</v>
      </c>
      <c r="I5232" s="455">
        <f t="shared" ca="1" si="185"/>
        <v>-1178016288501946.3</v>
      </c>
      <c r="J5232" s="455">
        <f t="array" ref="J5232">IFERROR(INDEX('Retirement Calculator'!K:K,MATCH('Lorri 401b'!N5232,'Retirement Calculator'!A:A,0),0),0)</f>
        <v>0</v>
      </c>
      <c r="K5232" s="455">
        <f t="shared" ca="1" si="183"/>
        <v>-4908401202091.4424</v>
      </c>
      <c r="L5232" s="455">
        <f t="shared" ca="1" si="184"/>
        <v>-1182924689704037.8</v>
      </c>
      <c r="M5232" s="471">
        <f t="shared" si="186"/>
        <v>0.05</v>
      </c>
      <c r="N5232" s="475">
        <f t="shared" si="187"/>
        <v>210290</v>
      </c>
    </row>
    <row r="5233" spans="7:14" ht="11.25" customHeight="1" x14ac:dyDescent="0.3">
      <c r="G5233" s="470"/>
      <c r="H5233" s="470">
        <v>5226</v>
      </c>
      <c r="I5233" s="455">
        <f t="shared" ca="1" si="185"/>
        <v>-1182924689704037.8</v>
      </c>
      <c r="J5233" s="455">
        <f t="array" ref="J5233">IFERROR(INDEX('Retirement Calculator'!K:K,MATCH('Lorri 401b'!N5233,'Retirement Calculator'!A:A,0),0),0)</f>
        <v>0</v>
      </c>
      <c r="K5233" s="455">
        <f t="shared" ca="1" si="183"/>
        <v>-4928852873766.8242</v>
      </c>
      <c r="L5233" s="455">
        <f t="shared" ca="1" si="184"/>
        <v>-1187853542577804.5</v>
      </c>
      <c r="M5233" s="471">
        <f t="shared" si="186"/>
        <v>0.05</v>
      </c>
      <c r="N5233" s="475">
        <f t="shared" si="187"/>
        <v>210321</v>
      </c>
    </row>
    <row r="5234" spans="7:14" ht="11.25" customHeight="1" x14ac:dyDescent="0.3">
      <c r="G5234" s="470"/>
      <c r="H5234" s="470">
        <v>5227</v>
      </c>
      <c r="I5234" s="455">
        <f t="shared" ca="1" si="185"/>
        <v>-1187853542577804.5</v>
      </c>
      <c r="J5234" s="455">
        <f t="array" ref="J5234">IFERROR(INDEX('Retirement Calculator'!K:K,MATCH('Lorri 401b'!N5234,'Retirement Calculator'!A:A,0),0),0)</f>
        <v>0</v>
      </c>
      <c r="K5234" s="455">
        <f t="shared" ca="1" si="183"/>
        <v>-4949389760740.8516</v>
      </c>
      <c r="L5234" s="455">
        <f t="shared" ca="1" si="184"/>
        <v>-1192802932338545.3</v>
      </c>
      <c r="M5234" s="471">
        <f t="shared" si="186"/>
        <v>0.05</v>
      </c>
      <c r="N5234" s="475">
        <f t="shared" si="187"/>
        <v>210351</v>
      </c>
    </row>
    <row r="5235" spans="7:14" ht="11.25" customHeight="1" x14ac:dyDescent="0.3">
      <c r="G5235" s="470"/>
      <c r="H5235" s="470">
        <v>5228</v>
      </c>
      <c r="I5235" s="455">
        <f t="shared" ca="1" si="185"/>
        <v>-1192802932338545.3</v>
      </c>
      <c r="J5235" s="455">
        <f t="array" ref="J5235">IFERROR(INDEX('Retirement Calculator'!K:K,MATCH('Lorri 401b'!N5235,'Retirement Calculator'!A:A,0),0),0)</f>
        <v>0</v>
      </c>
      <c r="K5235" s="455">
        <f t="shared" ca="1" si="183"/>
        <v>-4970012218077.2715</v>
      </c>
      <c r="L5235" s="455">
        <f t="shared" ca="1" si="184"/>
        <v>-1197772944556622.5</v>
      </c>
      <c r="M5235" s="471">
        <f t="shared" si="186"/>
        <v>0.05</v>
      </c>
      <c r="N5235" s="475">
        <f t="shared" si="187"/>
        <v>210382</v>
      </c>
    </row>
    <row r="5236" spans="7:14" ht="11.25" customHeight="1" x14ac:dyDescent="0.3">
      <c r="G5236" s="470"/>
      <c r="H5236" s="470">
        <v>5229</v>
      </c>
      <c r="I5236" s="455">
        <f t="shared" ca="1" si="185"/>
        <v>-1197772944556622.5</v>
      </c>
      <c r="J5236" s="455">
        <f t="array" ref="J5236">IFERROR(INDEX('Retirement Calculator'!K:K,MATCH('Lorri 401b'!N5236,'Retirement Calculator'!A:A,0),0),0)</f>
        <v>0</v>
      </c>
      <c r="K5236" s="455">
        <f t="shared" ca="1" si="183"/>
        <v>-4990720602319.2607</v>
      </c>
      <c r="L5236" s="455">
        <f t="shared" ca="1" si="184"/>
        <v>-1202763665158941.8</v>
      </c>
      <c r="M5236" s="471">
        <f t="shared" si="186"/>
        <v>0.05</v>
      </c>
      <c r="N5236" s="475">
        <f t="shared" si="187"/>
        <v>210413</v>
      </c>
    </row>
    <row r="5237" spans="7:14" ht="11.25" customHeight="1" x14ac:dyDescent="0.3">
      <c r="G5237" s="470"/>
      <c r="H5237" s="470">
        <v>5230</v>
      </c>
      <c r="I5237" s="455">
        <f t="shared" ca="1" si="185"/>
        <v>-1202763665158941.8</v>
      </c>
      <c r="J5237" s="455">
        <f t="array" ref="J5237">IFERROR(INDEX('Retirement Calculator'!K:K,MATCH('Lorri 401b'!N5237,'Retirement Calculator'!A:A,0),0),0)</f>
        <v>0</v>
      </c>
      <c r="K5237" s="455">
        <f t="shared" ca="1" si="183"/>
        <v>-5011515271495.5908</v>
      </c>
      <c r="L5237" s="455">
        <f t="shared" ca="1" si="184"/>
        <v>-1207775180430437.3</v>
      </c>
      <c r="M5237" s="471">
        <f t="shared" si="186"/>
        <v>0.05</v>
      </c>
      <c r="N5237" s="475">
        <f t="shared" si="187"/>
        <v>210442</v>
      </c>
    </row>
    <row r="5238" spans="7:14" ht="11.25" customHeight="1" x14ac:dyDescent="0.3">
      <c r="G5238" s="470"/>
      <c r="H5238" s="470">
        <v>5231</v>
      </c>
      <c r="I5238" s="455">
        <f t="shared" ca="1" si="185"/>
        <v>-1207775180430437.3</v>
      </c>
      <c r="J5238" s="455">
        <f t="array" ref="J5238">IFERROR(INDEX('Retirement Calculator'!K:K,MATCH('Lorri 401b'!N5238,'Retirement Calculator'!A:A,0),0),0)</f>
        <v>0</v>
      </c>
      <c r="K5238" s="455">
        <f t="shared" ca="1" si="183"/>
        <v>-5032396585126.8223</v>
      </c>
      <c r="L5238" s="455">
        <f t="shared" ca="1" si="184"/>
        <v>-1212807577015564</v>
      </c>
      <c r="M5238" s="471">
        <f t="shared" si="186"/>
        <v>0.05</v>
      </c>
      <c r="N5238" s="475">
        <f t="shared" si="187"/>
        <v>210473</v>
      </c>
    </row>
    <row r="5239" spans="7:14" ht="11.25" customHeight="1" x14ac:dyDescent="0.3">
      <c r="G5239" s="470"/>
      <c r="H5239" s="470">
        <v>5232</v>
      </c>
      <c r="I5239" s="455">
        <f t="shared" ca="1" si="185"/>
        <v>-1212807577015564</v>
      </c>
      <c r="J5239" s="455">
        <f t="array" ref="J5239">IFERROR(INDEX('Retirement Calculator'!K:K,MATCH('Lorri 401b'!N5239,'Retirement Calculator'!A:A,0),0),0)</f>
        <v>0</v>
      </c>
      <c r="K5239" s="455">
        <f t="shared" ca="1" si="183"/>
        <v>-5053364904231.5166</v>
      </c>
      <c r="L5239" s="455">
        <f t="shared" ca="1" si="184"/>
        <v>-1217860941919795.5</v>
      </c>
      <c r="M5239" s="471">
        <f t="shared" si="186"/>
        <v>0.05</v>
      </c>
      <c r="N5239" s="475">
        <f t="shared" si="187"/>
        <v>210503</v>
      </c>
    </row>
    <row r="5240" spans="7:14" ht="11.25" customHeight="1" x14ac:dyDescent="0.3">
      <c r="G5240" s="470"/>
      <c r="H5240" s="470">
        <v>5233</v>
      </c>
      <c r="I5240" s="455">
        <f t="shared" ca="1" si="185"/>
        <v>-1217860941919795.5</v>
      </c>
      <c r="J5240" s="455">
        <f t="array" ref="J5240">IFERROR(INDEX('Retirement Calculator'!K:K,MATCH('Lorri 401b'!N5240,'Retirement Calculator'!A:A,0),0),0)</f>
        <v>0</v>
      </c>
      <c r="K5240" s="455">
        <f t="shared" ca="1" si="183"/>
        <v>-5074420591332.4814</v>
      </c>
      <c r="L5240" s="455">
        <f t="shared" ca="1" si="184"/>
        <v>-1222935362511128</v>
      </c>
      <c r="M5240" s="471">
        <f t="shared" si="186"/>
        <v>0.05</v>
      </c>
      <c r="N5240" s="475">
        <f t="shared" si="187"/>
        <v>210534</v>
      </c>
    </row>
    <row r="5241" spans="7:14" ht="11.25" customHeight="1" x14ac:dyDescent="0.3">
      <c r="G5241" s="470"/>
      <c r="H5241" s="470">
        <v>5234</v>
      </c>
      <c r="I5241" s="455">
        <f t="shared" ca="1" si="185"/>
        <v>-1222935362511128</v>
      </c>
      <c r="J5241" s="455">
        <f t="array" ref="J5241">IFERROR(INDEX('Retirement Calculator'!K:K,MATCH('Lorri 401b'!N5241,'Retirement Calculator'!A:A,0),0),0)</f>
        <v>0</v>
      </c>
      <c r="K5241" s="455">
        <f t="shared" ca="1" si="183"/>
        <v>-5095564010463.0332</v>
      </c>
      <c r="L5241" s="455">
        <f t="shared" ca="1" si="184"/>
        <v>-1228030926521591</v>
      </c>
      <c r="M5241" s="471">
        <f t="shared" si="186"/>
        <v>0.05</v>
      </c>
      <c r="N5241" s="475">
        <f t="shared" si="187"/>
        <v>210564</v>
      </c>
    </row>
    <row r="5242" spans="7:14" ht="11.25" customHeight="1" x14ac:dyDescent="0.3">
      <c r="G5242" s="470"/>
      <c r="H5242" s="470">
        <v>5235</v>
      </c>
      <c r="I5242" s="455">
        <f t="shared" ca="1" si="185"/>
        <v>-1228030926521591</v>
      </c>
      <c r="J5242" s="455">
        <f t="array" ref="J5242">IFERROR(INDEX('Retirement Calculator'!K:K,MATCH('Lorri 401b'!N5242,'Retirement Calculator'!A:A,0),0),0)</f>
        <v>0</v>
      </c>
      <c r="K5242" s="455">
        <f t="shared" ca="1" si="183"/>
        <v>-5116795527173.2959</v>
      </c>
      <c r="L5242" s="455">
        <f t="shared" ca="1" si="184"/>
        <v>-1233147722048764.3</v>
      </c>
      <c r="M5242" s="471">
        <f t="shared" si="186"/>
        <v>0.05</v>
      </c>
      <c r="N5242" s="475">
        <f t="shared" si="187"/>
        <v>210595</v>
      </c>
    </row>
    <row r="5243" spans="7:14" ht="11.25" customHeight="1" x14ac:dyDescent="0.3">
      <c r="G5243" s="470"/>
      <c r="H5243" s="470">
        <v>5236</v>
      </c>
      <c r="I5243" s="455">
        <f t="shared" ca="1" si="185"/>
        <v>-1233147722048764.3</v>
      </c>
      <c r="J5243" s="455">
        <f t="array" ref="J5243">IFERROR(INDEX('Retirement Calculator'!K:K,MATCH('Lorri 401b'!N5243,'Retirement Calculator'!A:A,0),0),0)</f>
        <v>0</v>
      </c>
      <c r="K5243" s="455">
        <f t="shared" ca="1" si="183"/>
        <v>-5138115508536.5176</v>
      </c>
      <c r="L5243" s="455">
        <f t="shared" ca="1" si="184"/>
        <v>-1238285837557300.8</v>
      </c>
      <c r="M5243" s="471">
        <f t="shared" si="186"/>
        <v>0.05</v>
      </c>
      <c r="N5243" s="475">
        <f t="shared" si="187"/>
        <v>210626</v>
      </c>
    </row>
    <row r="5244" spans="7:14" ht="11.25" customHeight="1" x14ac:dyDescent="0.3">
      <c r="G5244" s="470"/>
      <c r="H5244" s="470">
        <v>5237</v>
      </c>
      <c r="I5244" s="455">
        <f t="shared" ca="1" si="185"/>
        <v>-1238285837557300.8</v>
      </c>
      <c r="J5244" s="455">
        <f t="array" ref="J5244">IFERROR(INDEX('Retirement Calculator'!K:K,MATCH('Lorri 401b'!N5244,'Retirement Calculator'!A:A,0),0),0)</f>
        <v>0</v>
      </c>
      <c r="K5244" s="455">
        <f t="shared" ca="1" si="183"/>
        <v>-5159524323155.4199</v>
      </c>
      <c r="L5244" s="455">
        <f t="shared" ca="1" si="184"/>
        <v>-1243445361880456.3</v>
      </c>
      <c r="M5244" s="471">
        <f t="shared" si="186"/>
        <v>0.05</v>
      </c>
      <c r="N5244" s="475">
        <f t="shared" si="187"/>
        <v>210656</v>
      </c>
    </row>
    <row r="5245" spans="7:14" ht="11.25" customHeight="1" x14ac:dyDescent="0.3">
      <c r="G5245" s="470"/>
      <c r="H5245" s="470">
        <v>5238</v>
      </c>
      <c r="I5245" s="455">
        <f t="shared" ca="1" si="185"/>
        <v>-1243445361880456.3</v>
      </c>
      <c r="J5245" s="455">
        <f t="array" ref="J5245">IFERROR(INDEX('Retirement Calculator'!K:K,MATCH('Lorri 401b'!N5245,'Retirement Calculator'!A:A,0),0),0)</f>
        <v>0</v>
      </c>
      <c r="K5245" s="455">
        <f t="shared" ca="1" si="183"/>
        <v>-5181022341168.5674</v>
      </c>
      <c r="L5245" s="455">
        <f t="shared" ca="1" si="184"/>
        <v>-1248626384221624.8</v>
      </c>
      <c r="M5245" s="471">
        <f t="shared" si="186"/>
        <v>0.05</v>
      </c>
      <c r="N5245" s="475">
        <f t="shared" si="187"/>
        <v>210687</v>
      </c>
    </row>
    <row r="5246" spans="7:14" ht="11.25" customHeight="1" x14ac:dyDescent="0.3">
      <c r="G5246" s="470"/>
      <c r="H5246" s="470">
        <v>5239</v>
      </c>
      <c r="I5246" s="455">
        <f t="shared" ca="1" si="185"/>
        <v>-1248626384221624.8</v>
      </c>
      <c r="J5246" s="455">
        <f t="array" ref="J5246">IFERROR(INDEX('Retirement Calculator'!K:K,MATCH('Lorri 401b'!N5246,'Retirement Calculator'!A:A,0),0),0)</f>
        <v>0</v>
      </c>
      <c r="K5246" s="455">
        <f t="shared" ca="1" si="183"/>
        <v>-5202609934256.7695</v>
      </c>
      <c r="L5246" s="455">
        <f t="shared" ca="1" si="184"/>
        <v>-1253828994155881.5</v>
      </c>
      <c r="M5246" s="471">
        <f t="shared" si="186"/>
        <v>0.05</v>
      </c>
      <c r="N5246" s="475">
        <f t="shared" si="187"/>
        <v>210717</v>
      </c>
    </row>
    <row r="5247" spans="7:14" ht="11.25" customHeight="1" x14ac:dyDescent="0.3">
      <c r="G5247" s="470"/>
      <c r="H5247" s="470">
        <v>5240</v>
      </c>
      <c r="I5247" s="455">
        <f t="shared" ca="1" si="185"/>
        <v>-1253828994155881.5</v>
      </c>
      <c r="J5247" s="455">
        <f t="array" ref="J5247">IFERROR(INDEX('Retirement Calculator'!K:K,MATCH('Lorri 401b'!N5247,'Retirement Calculator'!A:A,0),0),0)</f>
        <v>0</v>
      </c>
      <c r="K5247" s="455">
        <f t="shared" ca="1" si="183"/>
        <v>-5224287475649.5059</v>
      </c>
      <c r="L5247" s="455">
        <f t="shared" ca="1" si="184"/>
        <v>-1259053281631531</v>
      </c>
      <c r="M5247" s="471">
        <f t="shared" si="186"/>
        <v>0.05</v>
      </c>
      <c r="N5247" s="475">
        <f t="shared" si="187"/>
        <v>210748</v>
      </c>
    </row>
    <row r="5248" spans="7:14" ht="11.25" customHeight="1" x14ac:dyDescent="0.3">
      <c r="G5248" s="470"/>
      <c r="H5248" s="470">
        <v>5241</v>
      </c>
      <c r="I5248" s="455">
        <f t="shared" ca="1" si="185"/>
        <v>-1259053281631531</v>
      </c>
      <c r="J5248" s="455">
        <f t="array" ref="J5248">IFERROR(INDEX('Retirement Calculator'!K:K,MATCH('Lorri 401b'!N5248,'Retirement Calculator'!A:A,0),0),0)</f>
        <v>0</v>
      </c>
      <c r="K5248" s="455">
        <f t="shared" ca="1" si="183"/>
        <v>-5246055340131.3789</v>
      </c>
      <c r="L5248" s="455">
        <f t="shared" ca="1" si="184"/>
        <v>-1264299336971662.5</v>
      </c>
      <c r="M5248" s="471">
        <f t="shared" si="186"/>
        <v>0.05</v>
      </c>
      <c r="N5248" s="475">
        <f t="shared" si="187"/>
        <v>210779</v>
      </c>
    </row>
    <row r="5249" spans="7:14" ht="11.25" customHeight="1" x14ac:dyDescent="0.3">
      <c r="G5249" s="470"/>
      <c r="H5249" s="470">
        <v>5242</v>
      </c>
      <c r="I5249" s="455">
        <f t="shared" ca="1" si="185"/>
        <v>-1264299336971662.5</v>
      </c>
      <c r="J5249" s="455">
        <f t="array" ref="J5249">IFERROR(INDEX('Retirement Calculator'!K:K,MATCH('Lorri 401b'!N5249,'Retirement Calculator'!A:A,0),0),0)</f>
        <v>0</v>
      </c>
      <c r="K5249" s="455">
        <f t="shared" ca="1" si="183"/>
        <v>-5267913904048.5938</v>
      </c>
      <c r="L5249" s="455">
        <f t="shared" ca="1" si="184"/>
        <v>-1269567250875711</v>
      </c>
      <c r="M5249" s="471">
        <f t="shared" si="186"/>
        <v>0.05</v>
      </c>
      <c r="N5249" s="475">
        <f t="shared" si="187"/>
        <v>210807</v>
      </c>
    </row>
    <row r="5250" spans="7:14" ht="11.25" customHeight="1" x14ac:dyDescent="0.3">
      <c r="G5250" s="470"/>
      <c r="H5250" s="470">
        <v>5243</v>
      </c>
      <c r="I5250" s="455">
        <f t="shared" ca="1" si="185"/>
        <v>-1269567250875711</v>
      </c>
      <c r="J5250" s="455">
        <f t="array" ref="J5250">IFERROR(INDEX('Retirement Calculator'!K:K,MATCH('Lorri 401b'!N5250,'Retirement Calculator'!A:A,0),0),0)</f>
        <v>0</v>
      </c>
      <c r="K5250" s="455">
        <f t="shared" ca="1" si="183"/>
        <v>-5289863545315.4629</v>
      </c>
      <c r="L5250" s="455">
        <f t="shared" ca="1" si="184"/>
        <v>-1274857114421026.5</v>
      </c>
      <c r="M5250" s="471">
        <f t="shared" si="186"/>
        <v>0.05</v>
      </c>
      <c r="N5250" s="475">
        <f t="shared" si="187"/>
        <v>210838</v>
      </c>
    </row>
    <row r="5251" spans="7:14" ht="11.25" customHeight="1" x14ac:dyDescent="0.3">
      <c r="G5251" s="470"/>
      <c r="H5251" s="470">
        <v>5244</v>
      </c>
      <c r="I5251" s="455">
        <f t="shared" ca="1" si="185"/>
        <v>-1274857114421026.5</v>
      </c>
      <c r="J5251" s="455">
        <f t="array" ref="J5251">IFERROR(INDEX('Retirement Calculator'!K:K,MATCH('Lorri 401b'!N5251,'Retirement Calculator'!A:A,0),0),0)</f>
        <v>0</v>
      </c>
      <c r="K5251" s="455">
        <f t="shared" ca="1" si="183"/>
        <v>-5311904643420.9434</v>
      </c>
      <c r="L5251" s="455">
        <f t="shared" ca="1" si="184"/>
        <v>-1280169019064447.5</v>
      </c>
      <c r="M5251" s="471">
        <f t="shared" si="186"/>
        <v>0.05</v>
      </c>
      <c r="N5251" s="475">
        <f t="shared" si="187"/>
        <v>210868</v>
      </c>
    </row>
    <row r="5252" spans="7:14" ht="11.25" customHeight="1" x14ac:dyDescent="0.3">
      <c r="G5252" s="470"/>
      <c r="H5252" s="470">
        <v>5245</v>
      </c>
      <c r="I5252" s="455">
        <f t="shared" ca="1" si="185"/>
        <v>-1280169019064447.5</v>
      </c>
      <c r="J5252" s="455">
        <f t="array" ref="J5252">IFERROR(INDEX('Retirement Calculator'!K:K,MATCH('Lorri 401b'!N5252,'Retirement Calculator'!A:A,0),0),0)</f>
        <v>0</v>
      </c>
      <c r="K5252" s="455">
        <f t="shared" ca="1" si="183"/>
        <v>-5334037579435.1982</v>
      </c>
      <c r="L5252" s="455">
        <f t="shared" ca="1" si="184"/>
        <v>-1285503056643882.8</v>
      </c>
      <c r="M5252" s="471">
        <f t="shared" si="186"/>
        <v>0.05</v>
      </c>
      <c r="N5252" s="475">
        <f t="shared" si="187"/>
        <v>210899</v>
      </c>
    </row>
    <row r="5253" spans="7:14" ht="11.25" customHeight="1" x14ac:dyDescent="0.3">
      <c r="G5253" s="470"/>
      <c r="H5253" s="470">
        <v>5246</v>
      </c>
      <c r="I5253" s="455">
        <f t="shared" ca="1" si="185"/>
        <v>-1285503056643882.8</v>
      </c>
      <c r="J5253" s="455">
        <f t="array" ref="J5253">IFERROR(INDEX('Retirement Calculator'!K:K,MATCH('Lorri 401b'!N5253,'Retirement Calculator'!A:A,0),0),0)</f>
        <v>0</v>
      </c>
      <c r="K5253" s="455">
        <f t="shared" ca="1" si="183"/>
        <v>-5356262736016.1777</v>
      </c>
      <c r="L5253" s="455">
        <f t="shared" ca="1" si="184"/>
        <v>-1290859319379899</v>
      </c>
      <c r="M5253" s="471">
        <f t="shared" si="186"/>
        <v>0.05</v>
      </c>
      <c r="N5253" s="475">
        <f t="shared" si="187"/>
        <v>210929</v>
      </c>
    </row>
    <row r="5254" spans="7:14" ht="11.25" customHeight="1" x14ac:dyDescent="0.3">
      <c r="G5254" s="470"/>
      <c r="H5254" s="470">
        <v>5247</v>
      </c>
      <c r="I5254" s="455">
        <f t="shared" ca="1" si="185"/>
        <v>-1290859319379899</v>
      </c>
      <c r="J5254" s="455">
        <f t="array" ref="J5254">IFERROR(INDEX('Retirement Calculator'!K:K,MATCH('Lorri 401b'!N5254,'Retirement Calculator'!A:A,0),0),0)</f>
        <v>0</v>
      </c>
      <c r="K5254" s="455">
        <f t="shared" ca="1" si="183"/>
        <v>-5378580497416.2461</v>
      </c>
      <c r="L5254" s="455">
        <f t="shared" ca="1" si="184"/>
        <v>-1296237899877315.3</v>
      </c>
      <c r="M5254" s="471">
        <f t="shared" si="186"/>
        <v>0.05</v>
      </c>
      <c r="N5254" s="475">
        <f t="shared" si="187"/>
        <v>210960</v>
      </c>
    </row>
    <row r="5255" spans="7:14" ht="11.25" customHeight="1" x14ac:dyDescent="0.3">
      <c r="G5255" s="470"/>
      <c r="H5255" s="470">
        <v>5248</v>
      </c>
      <c r="I5255" s="455">
        <f t="shared" ca="1" si="185"/>
        <v>-1296237899877315.3</v>
      </c>
      <c r="J5255" s="455">
        <f t="array" ref="J5255">IFERROR(INDEX('Retirement Calculator'!K:K,MATCH('Lorri 401b'!N5255,'Retirement Calculator'!A:A,0),0),0)</f>
        <v>0</v>
      </c>
      <c r="K5255" s="455">
        <f t="shared" ca="1" si="183"/>
        <v>-5400991249488.8135</v>
      </c>
      <c r="L5255" s="455">
        <f t="shared" ca="1" si="184"/>
        <v>-1301638891126804</v>
      </c>
      <c r="M5255" s="471">
        <f t="shared" si="186"/>
        <v>0.05</v>
      </c>
      <c r="N5255" s="475">
        <f t="shared" si="187"/>
        <v>210991</v>
      </c>
    </row>
    <row r="5256" spans="7:14" ht="11.25" customHeight="1" x14ac:dyDescent="0.3">
      <c r="G5256" s="470"/>
      <c r="H5256" s="470">
        <v>5249</v>
      </c>
      <c r="I5256" s="455">
        <f t="shared" ca="1" si="185"/>
        <v>-1301638891126804</v>
      </c>
      <c r="J5256" s="455">
        <f t="array" ref="J5256">IFERROR(INDEX('Retirement Calculator'!K:K,MATCH('Lorri 401b'!N5256,'Retirement Calculator'!A:A,0),0),0)</f>
        <v>0</v>
      </c>
      <c r="K5256" s="455">
        <f t="shared" ca="1" si="183"/>
        <v>-5423495379695.0166</v>
      </c>
      <c r="L5256" s="455">
        <f t="shared" ca="1" si="184"/>
        <v>-1307062386506499</v>
      </c>
      <c r="M5256" s="471">
        <f t="shared" si="186"/>
        <v>0.05</v>
      </c>
      <c r="N5256" s="475">
        <f t="shared" si="187"/>
        <v>211021</v>
      </c>
    </row>
    <row r="5257" spans="7:14" ht="11.25" customHeight="1" x14ac:dyDescent="0.3">
      <c r="G5257" s="470"/>
      <c r="H5257" s="470">
        <v>5250</v>
      </c>
      <c r="I5257" s="455">
        <f t="shared" ca="1" si="185"/>
        <v>-1307062386506499</v>
      </c>
      <c r="J5257" s="455">
        <f t="array" ref="J5257">IFERROR(INDEX('Retirement Calculator'!K:K,MATCH('Lorri 401b'!N5257,'Retirement Calculator'!A:A,0),0),0)</f>
        <v>0</v>
      </c>
      <c r="K5257" s="455">
        <f t="shared" ca="1" si="183"/>
        <v>-5446093277110.4121</v>
      </c>
      <c r="L5257" s="455">
        <f t="shared" ca="1" si="184"/>
        <v>-1312508479783609.5</v>
      </c>
      <c r="M5257" s="471">
        <f t="shared" si="186"/>
        <v>0.05</v>
      </c>
      <c r="N5257" s="475">
        <f t="shared" si="187"/>
        <v>211052</v>
      </c>
    </row>
    <row r="5258" spans="7:14" ht="11.25" customHeight="1" x14ac:dyDescent="0.3">
      <c r="G5258" s="470"/>
      <c r="H5258" s="470">
        <v>5251</v>
      </c>
      <c r="I5258" s="455">
        <f t="shared" ca="1" si="185"/>
        <v>-1312508479783609.5</v>
      </c>
      <c r="J5258" s="455">
        <f t="array" ref="J5258">IFERROR(INDEX('Retirement Calculator'!K:K,MATCH('Lorri 401b'!N5258,'Retirement Calculator'!A:A,0),0),0)</f>
        <v>0</v>
      </c>
      <c r="K5258" s="455">
        <f t="shared" ca="1" si="183"/>
        <v>-5468785332431.7061</v>
      </c>
      <c r="L5258" s="455">
        <f t="shared" ca="1" si="184"/>
        <v>-1317977265116041.3</v>
      </c>
      <c r="M5258" s="471">
        <f t="shared" si="186"/>
        <v>0.05</v>
      </c>
      <c r="N5258" s="475">
        <f t="shared" si="187"/>
        <v>211082</v>
      </c>
    </row>
    <row r="5259" spans="7:14" ht="11.25" customHeight="1" x14ac:dyDescent="0.3">
      <c r="G5259" s="470"/>
      <c r="H5259" s="470">
        <v>5252</v>
      </c>
      <c r="I5259" s="455">
        <f t="shared" ca="1" si="185"/>
        <v>-1317977265116041.3</v>
      </c>
      <c r="J5259" s="455">
        <f t="array" ref="J5259">IFERROR(INDEX('Retirement Calculator'!K:K,MATCH('Lorri 401b'!N5259,'Retirement Calculator'!A:A,0),0),0)</f>
        <v>0</v>
      </c>
      <c r="K5259" s="455">
        <f t="shared" ca="1" si="183"/>
        <v>-5491571937983.5049</v>
      </c>
      <c r="L5259" s="455">
        <f t="shared" ca="1" si="184"/>
        <v>-1323468837054024.8</v>
      </c>
      <c r="M5259" s="471">
        <f t="shared" si="186"/>
        <v>0.05</v>
      </c>
      <c r="N5259" s="475">
        <f t="shared" si="187"/>
        <v>211113</v>
      </c>
    </row>
    <row r="5260" spans="7:14" ht="11.25" customHeight="1" x14ac:dyDescent="0.3">
      <c r="G5260" s="470"/>
      <c r="H5260" s="470">
        <v>5253</v>
      </c>
      <c r="I5260" s="455">
        <f t="shared" ca="1" si="185"/>
        <v>-1323468837054024.8</v>
      </c>
      <c r="J5260" s="455">
        <f t="array" ref="J5260">IFERROR(INDEX('Retirement Calculator'!K:K,MATCH('Lorri 401b'!N5260,'Retirement Calculator'!A:A,0),0),0)</f>
        <v>0</v>
      </c>
      <c r="K5260" s="455">
        <f t="shared" ca="1" si="183"/>
        <v>-5514453487725.1035</v>
      </c>
      <c r="L5260" s="455">
        <f t="shared" ca="1" si="184"/>
        <v>-1328983290541749.8</v>
      </c>
      <c r="M5260" s="471">
        <f t="shared" si="186"/>
        <v>0.05</v>
      </c>
      <c r="N5260" s="475">
        <f t="shared" si="187"/>
        <v>211144</v>
      </c>
    </row>
    <row r="5261" spans="7:14" ht="11.25" customHeight="1" x14ac:dyDescent="0.3">
      <c r="G5261" s="470"/>
      <c r="H5261" s="470">
        <v>5254</v>
      </c>
      <c r="I5261" s="455">
        <f t="shared" ca="1" si="185"/>
        <v>-1328983290541749.8</v>
      </c>
      <c r="J5261" s="455">
        <f t="array" ref="J5261">IFERROR(INDEX('Retirement Calculator'!K:K,MATCH('Lorri 401b'!N5261,'Retirement Calculator'!A:A,0),0),0)</f>
        <v>0</v>
      </c>
      <c r="K5261" s="455">
        <f t="shared" ca="1" si="183"/>
        <v>-5537430377257.291</v>
      </c>
      <c r="L5261" s="455">
        <f t="shared" ca="1" si="184"/>
        <v>-1334520720919007</v>
      </c>
      <c r="M5261" s="471">
        <f t="shared" si="186"/>
        <v>0.05</v>
      </c>
      <c r="N5261" s="475">
        <f t="shared" si="187"/>
        <v>211172</v>
      </c>
    </row>
    <row r="5262" spans="7:14" ht="11.25" customHeight="1" x14ac:dyDescent="0.3">
      <c r="G5262" s="470"/>
      <c r="H5262" s="470">
        <v>5255</v>
      </c>
      <c r="I5262" s="455">
        <f t="shared" ca="1" si="185"/>
        <v>-1334520720919007</v>
      </c>
      <c r="J5262" s="455">
        <f t="array" ref="J5262">IFERROR(INDEX('Retirement Calculator'!K:K,MATCH('Lorri 401b'!N5262,'Retirement Calculator'!A:A,0),0),0)</f>
        <v>0</v>
      </c>
      <c r="K5262" s="455">
        <f t="shared" ca="1" si="183"/>
        <v>-5560503003829.1953</v>
      </c>
      <c r="L5262" s="455">
        <f t="shared" ca="1" si="184"/>
        <v>-1340081223922836.3</v>
      </c>
      <c r="M5262" s="471">
        <f t="shared" si="186"/>
        <v>0.05</v>
      </c>
      <c r="N5262" s="475">
        <f t="shared" si="187"/>
        <v>211203</v>
      </c>
    </row>
    <row r="5263" spans="7:14" ht="11.25" customHeight="1" x14ac:dyDescent="0.3">
      <c r="G5263" s="470"/>
      <c r="H5263" s="470">
        <v>5256</v>
      </c>
      <c r="I5263" s="455">
        <f t="shared" ca="1" si="185"/>
        <v>-1340081223922836.3</v>
      </c>
      <c r="J5263" s="455">
        <f t="array" ref="J5263">IFERROR(INDEX('Retirement Calculator'!K:K,MATCH('Lorri 401b'!N5263,'Retirement Calculator'!A:A,0),0),0)</f>
        <v>0</v>
      </c>
      <c r="K5263" s="455">
        <f t="shared" ca="1" si="183"/>
        <v>-5583671766345.1514</v>
      </c>
      <c r="L5263" s="455">
        <f t="shared" ca="1" si="184"/>
        <v>-1345664895689181.5</v>
      </c>
      <c r="M5263" s="471">
        <f t="shared" si="186"/>
        <v>0.05</v>
      </c>
      <c r="N5263" s="475">
        <f t="shared" si="187"/>
        <v>211233</v>
      </c>
    </row>
    <row r="5264" spans="7:14" ht="11.25" customHeight="1" x14ac:dyDescent="0.3">
      <c r="G5264" s="470"/>
      <c r="H5264" s="470">
        <v>5257</v>
      </c>
      <c r="I5264" s="455">
        <f t="shared" ca="1" si="185"/>
        <v>-1345664895689181.5</v>
      </c>
      <c r="J5264" s="455">
        <f t="array" ref="J5264">IFERROR(INDEX('Retirement Calculator'!K:K,MATCH('Lorri 401b'!N5264,'Retirement Calculator'!A:A,0),0),0)</f>
        <v>0</v>
      </c>
      <c r="K5264" s="455">
        <f t="shared" ca="1" si="183"/>
        <v>-5606937065371.5898</v>
      </c>
      <c r="L5264" s="455">
        <f t="shared" ca="1" si="184"/>
        <v>-1351271832754553</v>
      </c>
      <c r="M5264" s="471">
        <f t="shared" si="186"/>
        <v>0.05</v>
      </c>
      <c r="N5264" s="475">
        <f t="shared" si="187"/>
        <v>211264</v>
      </c>
    </row>
    <row r="5265" spans="7:14" ht="11.25" customHeight="1" x14ac:dyDescent="0.3">
      <c r="G5265" s="470"/>
      <c r="H5265" s="470">
        <v>5258</v>
      </c>
      <c r="I5265" s="455">
        <f t="shared" ca="1" si="185"/>
        <v>-1351271832754553</v>
      </c>
      <c r="J5265" s="455">
        <f t="array" ref="J5265">IFERROR(INDEX('Retirement Calculator'!K:K,MATCH('Lorri 401b'!N5265,'Retirement Calculator'!A:A,0),0),0)</f>
        <v>0</v>
      </c>
      <c r="K5265" s="455">
        <f t="shared" ca="1" si="183"/>
        <v>-5630299303143.9707</v>
      </c>
      <c r="L5265" s="455">
        <f t="shared" ca="1" si="184"/>
        <v>-1356902132057697</v>
      </c>
      <c r="M5265" s="471">
        <f t="shared" si="186"/>
        <v>0.05</v>
      </c>
      <c r="N5265" s="475">
        <f t="shared" si="187"/>
        <v>211294</v>
      </c>
    </row>
    <row r="5266" spans="7:14" ht="11.25" customHeight="1" x14ac:dyDescent="0.3">
      <c r="G5266" s="470"/>
      <c r="H5266" s="470">
        <v>5259</v>
      </c>
      <c r="I5266" s="455">
        <f t="shared" ca="1" si="185"/>
        <v>-1356902132057697</v>
      </c>
      <c r="J5266" s="455">
        <f t="array" ref="J5266">IFERROR(INDEX('Retirement Calculator'!K:K,MATCH('Lorri 401b'!N5266,'Retirement Calculator'!A:A,0),0),0)</f>
        <v>0</v>
      </c>
      <c r="K5266" s="455">
        <f t="shared" ca="1" si="183"/>
        <v>-5653758883573.7373</v>
      </c>
      <c r="L5266" s="455">
        <f t="shared" ca="1" si="184"/>
        <v>-1362555890941270.8</v>
      </c>
      <c r="M5266" s="471">
        <f t="shared" si="186"/>
        <v>0.05</v>
      </c>
      <c r="N5266" s="475">
        <f t="shared" si="187"/>
        <v>211325</v>
      </c>
    </row>
    <row r="5267" spans="7:14" ht="11.25" customHeight="1" x14ac:dyDescent="0.3">
      <c r="G5267" s="470"/>
      <c r="H5267" s="470">
        <v>5260</v>
      </c>
      <c r="I5267" s="455">
        <f t="shared" ca="1" si="185"/>
        <v>-1362555890941270.8</v>
      </c>
      <c r="J5267" s="455">
        <f t="array" ref="J5267">IFERROR(INDEX('Retirement Calculator'!K:K,MATCH('Lorri 401b'!N5267,'Retirement Calculator'!A:A,0),0),0)</f>
        <v>0</v>
      </c>
      <c r="K5267" s="455">
        <f t="shared" ca="1" si="183"/>
        <v>-5677316212255.2949</v>
      </c>
      <c r="L5267" s="455">
        <f t="shared" ca="1" si="184"/>
        <v>-1368233207153526</v>
      </c>
      <c r="M5267" s="471">
        <f t="shared" si="186"/>
        <v>0.05</v>
      </c>
      <c r="N5267" s="475">
        <f t="shared" si="187"/>
        <v>211356</v>
      </c>
    </row>
    <row r="5268" spans="7:14" ht="11.25" customHeight="1" x14ac:dyDescent="0.3">
      <c r="G5268" s="470"/>
      <c r="H5268" s="470">
        <v>5261</v>
      </c>
      <c r="I5268" s="455">
        <f t="shared" ca="1" si="185"/>
        <v>-1368233207153526</v>
      </c>
      <c r="J5268" s="455">
        <f t="array" ref="J5268">IFERROR(INDEX('Retirement Calculator'!K:K,MATCH('Lorri 401b'!N5268,'Retirement Calculator'!A:A,0),0),0)</f>
        <v>0</v>
      </c>
      <c r="K5268" s="455">
        <f t="shared" ca="1" si="183"/>
        <v>-5700971696473.0254</v>
      </c>
      <c r="L5268" s="455">
        <f t="shared" ca="1" si="184"/>
        <v>-1373934178849999</v>
      </c>
      <c r="M5268" s="471">
        <f t="shared" si="186"/>
        <v>0.05</v>
      </c>
      <c r="N5268" s="475">
        <f t="shared" si="187"/>
        <v>211386</v>
      </c>
    </row>
    <row r="5269" spans="7:14" ht="11.25" customHeight="1" x14ac:dyDescent="0.3">
      <c r="G5269" s="470"/>
      <c r="H5269" s="470">
        <v>5262</v>
      </c>
      <c r="I5269" s="455">
        <f t="shared" ca="1" si="185"/>
        <v>-1373934178849999</v>
      </c>
      <c r="J5269" s="455">
        <f t="array" ref="J5269">IFERROR(INDEX('Retirement Calculator'!K:K,MATCH('Lorri 401b'!N5269,'Retirement Calculator'!A:A,0),0),0)</f>
        <v>0</v>
      </c>
      <c r="K5269" s="455">
        <f t="shared" ca="1" si="183"/>
        <v>-5724725745208.3291</v>
      </c>
      <c r="L5269" s="455">
        <f t="shared" ca="1" si="184"/>
        <v>-1379658904595207.3</v>
      </c>
      <c r="M5269" s="471">
        <f t="shared" si="186"/>
        <v>0.05</v>
      </c>
      <c r="N5269" s="475">
        <f t="shared" si="187"/>
        <v>211417</v>
      </c>
    </row>
    <row r="5270" spans="7:14" ht="11.25" customHeight="1" x14ac:dyDescent="0.3">
      <c r="G5270" s="470"/>
      <c r="H5270" s="470">
        <v>5263</v>
      </c>
      <c r="I5270" s="455">
        <f t="shared" ca="1" si="185"/>
        <v>-1379658904595207.3</v>
      </c>
      <c r="J5270" s="455">
        <f t="array" ref="J5270">IFERROR(INDEX('Retirement Calculator'!K:K,MATCH('Lorri 401b'!N5270,'Retirement Calculator'!A:A,0),0),0)</f>
        <v>0</v>
      </c>
      <c r="K5270" s="455">
        <f t="shared" ca="1" si="183"/>
        <v>-5748578769146.6973</v>
      </c>
      <c r="L5270" s="455">
        <f t="shared" ca="1" si="184"/>
        <v>-1385407483364354</v>
      </c>
      <c r="M5270" s="471">
        <f t="shared" si="186"/>
        <v>0.05</v>
      </c>
      <c r="N5270" s="475">
        <f t="shared" si="187"/>
        <v>211447</v>
      </c>
    </row>
    <row r="5271" spans="7:14" ht="11.25" customHeight="1" x14ac:dyDescent="0.3">
      <c r="G5271" s="470"/>
      <c r="H5271" s="470">
        <v>5264</v>
      </c>
      <c r="I5271" s="455">
        <f t="shared" ca="1" si="185"/>
        <v>-1385407483364354</v>
      </c>
      <c r="J5271" s="455">
        <f t="array" ref="J5271">IFERROR(INDEX('Retirement Calculator'!K:K,MATCH('Lorri 401b'!N5271,'Retirement Calculator'!A:A,0),0),0)</f>
        <v>0</v>
      </c>
      <c r="K5271" s="455">
        <f t="shared" ca="1" si="183"/>
        <v>-5772531180684.8086</v>
      </c>
      <c r="L5271" s="455">
        <f t="shared" ca="1" si="184"/>
        <v>-1391180014545038.8</v>
      </c>
      <c r="M5271" s="471">
        <f t="shared" si="186"/>
        <v>0.05</v>
      </c>
      <c r="N5271" s="475">
        <f t="shared" si="187"/>
        <v>211478</v>
      </c>
    </row>
    <row r="5272" spans="7:14" ht="11.25" customHeight="1" x14ac:dyDescent="0.3">
      <c r="G5272" s="470"/>
      <c r="H5272" s="470">
        <v>5265</v>
      </c>
      <c r="I5272" s="455">
        <f t="shared" ca="1" si="185"/>
        <v>-1391180014545038.8</v>
      </c>
      <c r="J5272" s="455">
        <f t="array" ref="J5272">IFERROR(INDEX('Retirement Calculator'!K:K,MATCH('Lorri 401b'!N5272,'Retirement Calculator'!A:A,0),0),0)</f>
        <v>0</v>
      </c>
      <c r="K5272" s="455">
        <f t="shared" ca="1" si="183"/>
        <v>-5796583393937.6611</v>
      </c>
      <c r="L5272" s="455">
        <f t="shared" ca="1" si="184"/>
        <v>-1396976597938976.5</v>
      </c>
      <c r="M5272" s="471">
        <f t="shared" si="186"/>
        <v>0.05</v>
      </c>
      <c r="N5272" s="475">
        <f t="shared" si="187"/>
        <v>211509</v>
      </c>
    </row>
    <row r="5273" spans="7:14" ht="11.25" customHeight="1" x14ac:dyDescent="0.3">
      <c r="G5273" s="470"/>
      <c r="H5273" s="470">
        <v>5266</v>
      </c>
      <c r="I5273" s="455">
        <f t="shared" ca="1" si="185"/>
        <v>-1396976597938976.5</v>
      </c>
      <c r="J5273" s="455">
        <f t="array" ref="J5273">IFERROR(INDEX('Retirement Calculator'!K:K,MATCH('Lorri 401b'!N5273,'Retirement Calculator'!A:A,0),0),0)</f>
        <v>0</v>
      </c>
      <c r="K5273" s="455">
        <f t="shared" ca="1" si="183"/>
        <v>-5820735824745.7354</v>
      </c>
      <c r="L5273" s="455">
        <f t="shared" ca="1" si="184"/>
        <v>-1402797333763722.3</v>
      </c>
      <c r="M5273" s="471">
        <f t="shared" si="186"/>
        <v>0.05</v>
      </c>
      <c r="N5273" s="475">
        <f t="shared" si="187"/>
        <v>211537</v>
      </c>
    </row>
    <row r="5274" spans="7:14" ht="11.25" customHeight="1" x14ac:dyDescent="0.3">
      <c r="G5274" s="470"/>
      <c r="H5274" s="470">
        <v>5267</v>
      </c>
      <c r="I5274" s="455">
        <f t="shared" ca="1" si="185"/>
        <v>-1402797333763722.3</v>
      </c>
      <c r="J5274" s="455">
        <f t="array" ref="J5274">IFERROR(INDEX('Retirement Calculator'!K:K,MATCH('Lorri 401b'!N5274,'Retirement Calculator'!A:A,0),0),0)</f>
        <v>0</v>
      </c>
      <c r="K5274" s="455">
        <f t="shared" ca="1" si="183"/>
        <v>-5844988890682.1758</v>
      </c>
      <c r="L5274" s="455">
        <f t="shared" ca="1" si="184"/>
        <v>-1408642322654404.5</v>
      </c>
      <c r="M5274" s="471">
        <f t="shared" si="186"/>
        <v>0.05</v>
      </c>
      <c r="N5274" s="475">
        <f t="shared" si="187"/>
        <v>211568</v>
      </c>
    </row>
    <row r="5275" spans="7:14" ht="11.25" customHeight="1" x14ac:dyDescent="0.3">
      <c r="G5275" s="470"/>
      <c r="H5275" s="470">
        <v>5268</v>
      </c>
      <c r="I5275" s="455">
        <f t="shared" ca="1" si="185"/>
        <v>-1408642322654404.5</v>
      </c>
      <c r="J5275" s="455">
        <f t="array" ref="J5275">IFERROR(INDEX('Retirement Calculator'!K:K,MATCH('Lorri 401b'!N5275,'Retirement Calculator'!A:A,0),0),0)</f>
        <v>0</v>
      </c>
      <c r="K5275" s="455">
        <f t="shared" ca="1" si="183"/>
        <v>-5869343011060.0186</v>
      </c>
      <c r="L5275" s="455">
        <f t="shared" ca="1" si="184"/>
        <v>-1414511665665464.5</v>
      </c>
      <c r="M5275" s="471">
        <f t="shared" si="186"/>
        <v>0.05</v>
      </c>
      <c r="N5275" s="475">
        <f t="shared" si="187"/>
        <v>211598</v>
      </c>
    </row>
    <row r="5276" spans="7:14" ht="11.25" customHeight="1" x14ac:dyDescent="0.3">
      <c r="G5276" s="470"/>
      <c r="H5276" s="470">
        <v>5269</v>
      </c>
      <c r="I5276" s="455">
        <f t="shared" ca="1" si="185"/>
        <v>-1414511665665464.5</v>
      </c>
      <c r="J5276" s="455">
        <f t="array" ref="J5276">IFERROR(INDEX('Retirement Calculator'!K:K,MATCH('Lorri 401b'!N5276,'Retirement Calculator'!A:A,0),0),0)</f>
        <v>0</v>
      </c>
      <c r="K5276" s="455">
        <f t="shared" ca="1" si="183"/>
        <v>-5893798606939.4355</v>
      </c>
      <c r="L5276" s="455">
        <f t="shared" ca="1" si="184"/>
        <v>-1420405464272404</v>
      </c>
      <c r="M5276" s="471">
        <f t="shared" si="186"/>
        <v>0.05</v>
      </c>
      <c r="N5276" s="475">
        <f t="shared" si="187"/>
        <v>211629</v>
      </c>
    </row>
    <row r="5277" spans="7:14" ht="11.25" customHeight="1" x14ac:dyDescent="0.3">
      <c r="G5277" s="470"/>
      <c r="H5277" s="470">
        <v>5270</v>
      </c>
      <c r="I5277" s="455">
        <f t="shared" ca="1" si="185"/>
        <v>-1420405464272404</v>
      </c>
      <c r="J5277" s="455">
        <f t="array" ref="J5277">IFERROR(INDEX('Retirement Calculator'!K:K,MATCH('Lorri 401b'!N5277,'Retirement Calculator'!A:A,0),0),0)</f>
        <v>0</v>
      </c>
      <c r="K5277" s="455">
        <f t="shared" ca="1" si="183"/>
        <v>-5918356101135.0166</v>
      </c>
      <c r="L5277" s="455">
        <f t="shared" ca="1" si="184"/>
        <v>-1426323820373539</v>
      </c>
      <c r="M5277" s="471">
        <f t="shared" si="186"/>
        <v>0.05</v>
      </c>
      <c r="N5277" s="475">
        <f t="shared" si="187"/>
        <v>211659</v>
      </c>
    </row>
    <row r="5278" spans="7:14" ht="11.25" customHeight="1" x14ac:dyDescent="0.3">
      <c r="G5278" s="470"/>
      <c r="H5278" s="470">
        <v>5271</v>
      </c>
      <c r="I5278" s="455">
        <f t="shared" ca="1" si="185"/>
        <v>-1426323820373539</v>
      </c>
      <c r="J5278" s="455">
        <f t="array" ref="J5278">IFERROR(INDEX('Retirement Calculator'!K:K,MATCH('Lorri 401b'!N5278,'Retirement Calculator'!A:A,0),0),0)</f>
        <v>0</v>
      </c>
      <c r="K5278" s="455">
        <f t="shared" ca="1" si="183"/>
        <v>-5943015918223.0791</v>
      </c>
      <c r="L5278" s="455">
        <f t="shared" ca="1" si="184"/>
        <v>-1432266836291762</v>
      </c>
      <c r="M5278" s="471">
        <f t="shared" si="186"/>
        <v>0.05</v>
      </c>
      <c r="N5278" s="475">
        <f t="shared" si="187"/>
        <v>211690</v>
      </c>
    </row>
    <row r="5279" spans="7:14" ht="11.25" customHeight="1" x14ac:dyDescent="0.3">
      <c r="G5279" s="470"/>
      <c r="H5279" s="470">
        <v>5272</v>
      </c>
      <c r="I5279" s="455">
        <f t="shared" ca="1" si="185"/>
        <v>-1432266836291762</v>
      </c>
      <c r="J5279" s="455">
        <f t="array" ref="J5279">IFERROR(INDEX('Retirement Calculator'!K:K,MATCH('Lorri 401b'!N5279,'Retirement Calculator'!A:A,0),0),0)</f>
        <v>0</v>
      </c>
      <c r="K5279" s="455">
        <f t="shared" ca="1" si="183"/>
        <v>-5967778484549.0078</v>
      </c>
      <c r="L5279" s="455">
        <f t="shared" ca="1" si="184"/>
        <v>-1438234614776311</v>
      </c>
      <c r="M5279" s="471">
        <f t="shared" si="186"/>
        <v>0.05</v>
      </c>
      <c r="N5279" s="475">
        <f t="shared" si="187"/>
        <v>211721</v>
      </c>
    </row>
    <row r="5280" spans="7:14" ht="11.25" customHeight="1" x14ac:dyDescent="0.3">
      <c r="G5280" s="470"/>
      <c r="H5280" s="470">
        <v>5273</v>
      </c>
      <c r="I5280" s="455">
        <f t="shared" ca="1" si="185"/>
        <v>-1438234614776311</v>
      </c>
      <c r="J5280" s="455">
        <f t="array" ref="J5280">IFERROR(INDEX('Retirement Calculator'!K:K,MATCH('Lorri 401b'!N5280,'Retirement Calculator'!A:A,0),0),0)</f>
        <v>0</v>
      </c>
      <c r="K5280" s="455">
        <f t="shared" ca="1" si="183"/>
        <v>-5992644228234.6289</v>
      </c>
      <c r="L5280" s="455">
        <f t="shared" ca="1" si="184"/>
        <v>-1444227259004545.8</v>
      </c>
      <c r="M5280" s="471">
        <f t="shared" si="186"/>
        <v>0.05</v>
      </c>
      <c r="N5280" s="475">
        <f t="shared" si="187"/>
        <v>211751</v>
      </c>
    </row>
    <row r="5281" spans="7:14" ht="11.25" customHeight="1" x14ac:dyDescent="0.3">
      <c r="G5281" s="470"/>
      <c r="H5281" s="470">
        <v>5274</v>
      </c>
      <c r="I5281" s="455">
        <f t="shared" ca="1" si="185"/>
        <v>-1444227259004545.8</v>
      </c>
      <c r="J5281" s="455">
        <f t="array" ref="J5281">IFERROR(INDEX('Retirement Calculator'!K:K,MATCH('Lorri 401b'!N5281,'Retirement Calculator'!A:A,0),0),0)</f>
        <v>0</v>
      </c>
      <c r="K5281" s="455">
        <f t="shared" ca="1" si="183"/>
        <v>-6017613579185.6074</v>
      </c>
      <c r="L5281" s="455">
        <f t="shared" ca="1" si="184"/>
        <v>-1450244872583731.3</v>
      </c>
      <c r="M5281" s="471">
        <f t="shared" si="186"/>
        <v>0.05</v>
      </c>
      <c r="N5281" s="475">
        <f t="shared" si="187"/>
        <v>211782</v>
      </c>
    </row>
    <row r="5282" spans="7:14" ht="11.25" customHeight="1" x14ac:dyDescent="0.3">
      <c r="G5282" s="470"/>
      <c r="H5282" s="470">
        <v>5275</v>
      </c>
      <c r="I5282" s="455">
        <f t="shared" ca="1" si="185"/>
        <v>-1450244872583731.3</v>
      </c>
      <c r="J5282" s="455">
        <f t="array" ref="J5282">IFERROR(INDEX('Retirement Calculator'!K:K,MATCH('Lorri 401b'!N5282,'Retirement Calculator'!A:A,0),0),0)</f>
        <v>0</v>
      </c>
      <c r="K5282" s="455">
        <f t="shared" ca="1" si="183"/>
        <v>-6042686969098.8799</v>
      </c>
      <c r="L5282" s="455">
        <f t="shared" ca="1" si="184"/>
        <v>-1456287559552830.3</v>
      </c>
      <c r="M5282" s="471">
        <f t="shared" si="186"/>
        <v>0.05</v>
      </c>
      <c r="N5282" s="475">
        <f t="shared" si="187"/>
        <v>211812</v>
      </c>
    </row>
    <row r="5283" spans="7:14" ht="11.25" customHeight="1" x14ac:dyDescent="0.3">
      <c r="G5283" s="470"/>
      <c r="H5283" s="470">
        <v>5276</v>
      </c>
      <c r="I5283" s="455">
        <f t="shared" ca="1" si="185"/>
        <v>-1456287559552830.3</v>
      </c>
      <c r="J5283" s="455">
        <f t="array" ref="J5283">IFERROR(INDEX('Retirement Calculator'!K:K,MATCH('Lorri 401b'!N5283,'Retirement Calculator'!A:A,0),0),0)</f>
        <v>0</v>
      </c>
      <c r="K5283" s="455">
        <f t="shared" ca="1" si="183"/>
        <v>-6067864831470.126</v>
      </c>
      <c r="L5283" s="455">
        <f t="shared" ca="1" si="184"/>
        <v>-1462355424384300.5</v>
      </c>
      <c r="M5283" s="471">
        <f t="shared" si="186"/>
        <v>0.05</v>
      </c>
      <c r="N5283" s="475">
        <f t="shared" si="187"/>
        <v>211843</v>
      </c>
    </row>
    <row r="5284" spans="7:14" ht="11.25" customHeight="1" x14ac:dyDescent="0.3">
      <c r="G5284" s="470"/>
      <c r="H5284" s="470">
        <v>5277</v>
      </c>
      <c r="I5284" s="455">
        <f t="shared" ca="1" si="185"/>
        <v>-1462355424384300.5</v>
      </c>
      <c r="J5284" s="455">
        <f t="array" ref="J5284">IFERROR(INDEX('Retirement Calculator'!K:K,MATCH('Lorri 401b'!N5284,'Retirement Calculator'!A:A,0),0),0)</f>
        <v>0</v>
      </c>
      <c r="K5284" s="455">
        <f t="shared" ca="1" si="183"/>
        <v>-6093147601601.252</v>
      </c>
      <c r="L5284" s="455">
        <f t="shared" ca="1" si="184"/>
        <v>-1468448571985901.8</v>
      </c>
      <c r="M5284" s="471">
        <f t="shared" si="186"/>
        <v>0.05</v>
      </c>
      <c r="N5284" s="475">
        <f t="shared" si="187"/>
        <v>211874</v>
      </c>
    </row>
    <row r="5285" spans="7:14" ht="11.25" customHeight="1" x14ac:dyDescent="0.3">
      <c r="G5285" s="470"/>
      <c r="H5285" s="470">
        <v>5278</v>
      </c>
      <c r="I5285" s="455">
        <f t="shared" ca="1" si="185"/>
        <v>-1468448571985901.8</v>
      </c>
      <c r="J5285" s="455">
        <f t="array" ref="J5285">IFERROR(INDEX('Retirement Calculator'!K:K,MATCH('Lorri 401b'!N5285,'Retirement Calculator'!A:A,0),0),0)</f>
        <v>0</v>
      </c>
      <c r="K5285" s="455">
        <f t="shared" ca="1" si="183"/>
        <v>-6118535716607.9238</v>
      </c>
      <c r="L5285" s="455">
        <f t="shared" ca="1" si="184"/>
        <v>-1474567107702509.8</v>
      </c>
      <c r="M5285" s="471">
        <f t="shared" si="186"/>
        <v>0.05</v>
      </c>
      <c r="N5285" s="475">
        <f t="shared" si="187"/>
        <v>211903</v>
      </c>
    </row>
    <row r="5286" spans="7:14" ht="11.25" customHeight="1" x14ac:dyDescent="0.3">
      <c r="G5286" s="470"/>
      <c r="H5286" s="470">
        <v>5279</v>
      </c>
      <c r="I5286" s="455">
        <f t="shared" ca="1" si="185"/>
        <v>-1474567107702509.8</v>
      </c>
      <c r="J5286" s="455">
        <f t="array" ref="J5286">IFERROR(INDEX('Retirement Calculator'!K:K,MATCH('Lorri 401b'!N5286,'Retirement Calculator'!A:A,0),0),0)</f>
        <v>0</v>
      </c>
      <c r="K5286" s="455">
        <f t="shared" ca="1" si="183"/>
        <v>-6144029615427.124</v>
      </c>
      <c r="L5286" s="455">
        <f t="shared" ca="1" si="184"/>
        <v>-1480711137317936.8</v>
      </c>
      <c r="M5286" s="471">
        <f t="shared" si="186"/>
        <v>0.05</v>
      </c>
      <c r="N5286" s="475">
        <f t="shared" si="187"/>
        <v>211934</v>
      </c>
    </row>
    <row r="5287" spans="7:14" ht="11.25" customHeight="1" x14ac:dyDescent="0.3">
      <c r="G5287" s="470"/>
      <c r="H5287" s="470">
        <v>5280</v>
      </c>
      <c r="I5287" s="455">
        <f t="shared" ca="1" si="185"/>
        <v>-1480711137317936.8</v>
      </c>
      <c r="J5287" s="455">
        <f t="array" ref="J5287">IFERROR(INDEX('Retirement Calculator'!K:K,MATCH('Lorri 401b'!N5287,'Retirement Calculator'!A:A,0),0),0)</f>
        <v>0</v>
      </c>
      <c r="K5287" s="455">
        <f t="shared" ca="1" si="183"/>
        <v>-6169629738824.7363</v>
      </c>
      <c r="L5287" s="455">
        <f t="shared" ca="1" si="184"/>
        <v>-1486880767056761.5</v>
      </c>
      <c r="M5287" s="471">
        <f t="shared" si="186"/>
        <v>0.05</v>
      </c>
      <c r="N5287" s="475">
        <f t="shared" si="187"/>
        <v>211964</v>
      </c>
    </row>
    <row r="5288" spans="7:14" ht="11.25" customHeight="1" x14ac:dyDescent="0.3">
      <c r="G5288" s="470"/>
      <c r="H5288" s="470">
        <v>5281</v>
      </c>
      <c r="I5288" s="455">
        <f t="shared" ca="1" si="185"/>
        <v>-1486880767056761.5</v>
      </c>
      <c r="J5288" s="455">
        <f t="array" ref="J5288">IFERROR(INDEX('Retirement Calculator'!K:K,MATCH('Lorri 401b'!N5288,'Retirement Calculator'!A:A,0),0),0)</f>
        <v>0</v>
      </c>
      <c r="K5288" s="455">
        <f t="shared" ca="1" si="183"/>
        <v>-6195336529403.1729</v>
      </c>
      <c r="L5288" s="455">
        <f t="shared" ca="1" si="184"/>
        <v>-1493076103586164.8</v>
      </c>
      <c r="M5288" s="471">
        <f t="shared" si="186"/>
        <v>0.05</v>
      </c>
      <c r="N5288" s="475">
        <f t="shared" si="187"/>
        <v>211995</v>
      </c>
    </row>
    <row r="5289" spans="7:14" ht="11.25" customHeight="1" x14ac:dyDescent="0.3">
      <c r="G5289" s="470"/>
      <c r="H5289" s="470">
        <v>5282</v>
      </c>
      <c r="I5289" s="455">
        <f t="shared" ca="1" si="185"/>
        <v>-1493076103586164.8</v>
      </c>
      <c r="J5289" s="455">
        <f t="array" ref="J5289">IFERROR(INDEX('Retirement Calculator'!K:K,MATCH('Lorri 401b'!N5289,'Retirement Calculator'!A:A,0),0),0)</f>
        <v>0</v>
      </c>
      <c r="K5289" s="455">
        <f t="shared" ca="1" si="183"/>
        <v>-6221150431609.0195</v>
      </c>
      <c r="L5289" s="455">
        <f t="shared" ca="1" si="184"/>
        <v>-1499297254017773.8</v>
      </c>
      <c r="M5289" s="471">
        <f t="shared" si="186"/>
        <v>0.05</v>
      </c>
      <c r="N5289" s="475">
        <f t="shared" si="187"/>
        <v>212025</v>
      </c>
    </row>
    <row r="5290" spans="7:14" ht="11.25" customHeight="1" x14ac:dyDescent="0.3">
      <c r="G5290" s="470"/>
      <c r="H5290" s="470">
        <v>5283</v>
      </c>
      <c r="I5290" s="455">
        <f t="shared" ca="1" si="185"/>
        <v>-1499297254017773.8</v>
      </c>
      <c r="J5290" s="455">
        <f t="array" ref="J5290">IFERROR(INDEX('Retirement Calculator'!K:K,MATCH('Lorri 401b'!N5290,'Retirement Calculator'!A:A,0),0),0)</f>
        <v>0</v>
      </c>
      <c r="K5290" s="455">
        <f t="shared" ca="1" si="183"/>
        <v>-6247071891740.7236</v>
      </c>
      <c r="L5290" s="455">
        <f t="shared" ca="1" si="184"/>
        <v>-1505544325909514.5</v>
      </c>
      <c r="M5290" s="471">
        <f t="shared" si="186"/>
        <v>0.05</v>
      </c>
      <c r="N5290" s="475">
        <f t="shared" si="187"/>
        <v>212056</v>
      </c>
    </row>
    <row r="5291" spans="7:14" ht="11.25" customHeight="1" x14ac:dyDescent="0.3">
      <c r="G5291" s="470"/>
      <c r="H5291" s="470">
        <v>5284</v>
      </c>
      <c r="I5291" s="455">
        <f t="shared" ca="1" si="185"/>
        <v>-1505544325909514.5</v>
      </c>
      <c r="J5291" s="455">
        <f t="array" ref="J5291">IFERROR(INDEX('Retirement Calculator'!K:K,MATCH('Lorri 401b'!N5291,'Retirement Calculator'!A:A,0),0),0)</f>
        <v>0</v>
      </c>
      <c r="K5291" s="455">
        <f t="shared" ca="1" si="183"/>
        <v>-6273101357956.3105</v>
      </c>
      <c r="L5291" s="455">
        <f t="shared" ca="1" si="184"/>
        <v>-1511817427267470.8</v>
      </c>
      <c r="M5291" s="471">
        <f t="shared" si="186"/>
        <v>0.05</v>
      </c>
      <c r="N5291" s="475">
        <f t="shared" si="187"/>
        <v>212087</v>
      </c>
    </row>
    <row r="5292" spans="7:14" ht="11.25" customHeight="1" x14ac:dyDescent="0.3">
      <c r="G5292" s="470"/>
      <c r="H5292" s="470">
        <v>5285</v>
      </c>
      <c r="I5292" s="455">
        <f t="shared" ca="1" si="185"/>
        <v>-1511817427267470.8</v>
      </c>
      <c r="J5292" s="455">
        <f t="array" ref="J5292">IFERROR(INDEX('Retirement Calculator'!K:K,MATCH('Lorri 401b'!N5292,'Retirement Calculator'!A:A,0),0),0)</f>
        <v>0</v>
      </c>
      <c r="K5292" s="455">
        <f t="shared" ca="1" si="183"/>
        <v>-6299239280281.1279</v>
      </c>
      <c r="L5292" s="455">
        <f t="shared" ca="1" si="184"/>
        <v>-1518116666547752</v>
      </c>
      <c r="M5292" s="471">
        <f t="shared" si="186"/>
        <v>0.05</v>
      </c>
      <c r="N5292" s="475">
        <f t="shared" si="187"/>
        <v>212117</v>
      </c>
    </row>
    <row r="5293" spans="7:14" ht="11.25" customHeight="1" x14ac:dyDescent="0.3">
      <c r="G5293" s="470"/>
      <c r="H5293" s="470">
        <v>5286</v>
      </c>
      <c r="I5293" s="455">
        <f t="shared" ca="1" si="185"/>
        <v>-1518116666547752</v>
      </c>
      <c r="J5293" s="455">
        <f t="array" ref="J5293">IFERROR(INDEX('Retirement Calculator'!K:K,MATCH('Lorri 401b'!N5293,'Retirement Calculator'!A:A,0),0),0)</f>
        <v>0</v>
      </c>
      <c r="K5293" s="455">
        <f t="shared" ca="1" si="183"/>
        <v>-6325486110615.6328</v>
      </c>
      <c r="L5293" s="455">
        <f t="shared" ca="1" si="184"/>
        <v>-1524442152658367.8</v>
      </c>
      <c r="M5293" s="471">
        <f t="shared" si="186"/>
        <v>0.05</v>
      </c>
      <c r="N5293" s="475">
        <f t="shared" si="187"/>
        <v>212148</v>
      </c>
    </row>
    <row r="5294" spans="7:14" ht="11.25" customHeight="1" x14ac:dyDescent="0.3">
      <c r="G5294" s="470"/>
      <c r="H5294" s="470">
        <v>5287</v>
      </c>
      <c r="I5294" s="455">
        <f t="shared" ca="1" si="185"/>
        <v>-1524442152658367.8</v>
      </c>
      <c r="J5294" s="455">
        <f t="array" ref="J5294">IFERROR(INDEX('Retirement Calculator'!K:K,MATCH('Lorri 401b'!N5294,'Retirement Calculator'!A:A,0),0),0)</f>
        <v>0</v>
      </c>
      <c r="K5294" s="455">
        <f t="shared" ca="1" si="183"/>
        <v>-6351842302743.1992</v>
      </c>
      <c r="L5294" s="455">
        <f t="shared" ca="1" si="184"/>
        <v>-1530793994961111</v>
      </c>
      <c r="M5294" s="471">
        <f t="shared" si="186"/>
        <v>0.05</v>
      </c>
      <c r="N5294" s="475">
        <f t="shared" si="187"/>
        <v>212178</v>
      </c>
    </row>
    <row r="5295" spans="7:14" ht="11.25" customHeight="1" x14ac:dyDescent="0.3">
      <c r="G5295" s="470"/>
      <c r="H5295" s="470">
        <v>5288</v>
      </c>
      <c r="I5295" s="455">
        <f t="shared" ca="1" si="185"/>
        <v>-1530793994961111</v>
      </c>
      <c r="J5295" s="455">
        <f t="array" ref="J5295">IFERROR(INDEX('Retirement Calculator'!K:K,MATCH('Lorri 401b'!N5295,'Retirement Calculator'!A:A,0),0),0)</f>
        <v>0</v>
      </c>
      <c r="K5295" s="455">
        <f t="shared" ca="1" si="183"/>
        <v>-6378308312337.9629</v>
      </c>
      <c r="L5295" s="455">
        <f t="shared" ca="1" si="184"/>
        <v>-1537172303273449</v>
      </c>
      <c r="M5295" s="471">
        <f t="shared" si="186"/>
        <v>0.05</v>
      </c>
      <c r="N5295" s="475">
        <f t="shared" si="187"/>
        <v>212209</v>
      </c>
    </row>
    <row r="5296" spans="7:14" ht="11.25" customHeight="1" x14ac:dyDescent="0.3">
      <c r="G5296" s="470"/>
      <c r="H5296" s="470">
        <v>5289</v>
      </c>
      <c r="I5296" s="455">
        <f t="shared" ca="1" si="185"/>
        <v>-1537172303273449</v>
      </c>
      <c r="J5296" s="455">
        <f t="array" ref="J5296">IFERROR(INDEX('Retirement Calculator'!K:K,MATCH('Lorri 401b'!N5296,'Retirement Calculator'!A:A,0),0),0)</f>
        <v>0</v>
      </c>
      <c r="K5296" s="455">
        <f t="shared" ca="1" si="183"/>
        <v>-6404884596972.7041</v>
      </c>
      <c r="L5296" s="455">
        <f t="shared" ca="1" si="184"/>
        <v>-1543577187870421.8</v>
      </c>
      <c r="M5296" s="471">
        <f t="shared" si="186"/>
        <v>0.05</v>
      </c>
      <c r="N5296" s="475">
        <f t="shared" si="187"/>
        <v>212240</v>
      </c>
    </row>
    <row r="5297" spans="7:14" ht="11.25" customHeight="1" x14ac:dyDescent="0.3">
      <c r="G5297" s="470"/>
      <c r="H5297" s="470">
        <v>5290</v>
      </c>
      <c r="I5297" s="455">
        <f t="shared" ca="1" si="185"/>
        <v>-1543577187870421.8</v>
      </c>
      <c r="J5297" s="455">
        <f t="array" ref="J5297">IFERROR(INDEX('Retirement Calculator'!K:K,MATCH('Lorri 401b'!N5297,'Retirement Calculator'!A:A,0),0),0)</f>
        <v>0</v>
      </c>
      <c r="K5297" s="455">
        <f t="shared" ca="1" si="183"/>
        <v>-6431571616126.7568</v>
      </c>
      <c r="L5297" s="455">
        <f t="shared" ca="1" si="184"/>
        <v>-1550008759486548.5</v>
      </c>
      <c r="M5297" s="471">
        <f t="shared" si="186"/>
        <v>0.05</v>
      </c>
      <c r="N5297" s="475">
        <f t="shared" si="187"/>
        <v>212268</v>
      </c>
    </row>
    <row r="5298" spans="7:14" ht="11.25" customHeight="1" x14ac:dyDescent="0.3">
      <c r="G5298" s="470"/>
      <c r="H5298" s="470">
        <v>5291</v>
      </c>
      <c r="I5298" s="455">
        <f t="shared" ca="1" si="185"/>
        <v>-1550008759486548.5</v>
      </c>
      <c r="J5298" s="455">
        <f t="array" ref="J5298">IFERROR(INDEX('Retirement Calculator'!K:K,MATCH('Lorri 401b'!N5298,'Retirement Calculator'!A:A,0),0),0)</f>
        <v>0</v>
      </c>
      <c r="K5298" s="455">
        <f t="shared" ca="1" si="183"/>
        <v>-6458369831193.9521</v>
      </c>
      <c r="L5298" s="455">
        <f t="shared" ca="1" si="184"/>
        <v>-1556467129317742.5</v>
      </c>
      <c r="M5298" s="471">
        <f t="shared" si="186"/>
        <v>0.05</v>
      </c>
      <c r="N5298" s="475">
        <f t="shared" si="187"/>
        <v>212299</v>
      </c>
    </row>
    <row r="5299" spans="7:14" ht="11.25" customHeight="1" x14ac:dyDescent="0.3">
      <c r="G5299" s="470"/>
      <c r="H5299" s="470">
        <v>5292</v>
      </c>
      <c r="I5299" s="455">
        <f t="shared" ca="1" si="185"/>
        <v>-1556467129317742.5</v>
      </c>
      <c r="J5299" s="455">
        <f t="array" ref="J5299">IFERROR(INDEX('Retirement Calculator'!K:K,MATCH('Lorri 401b'!N5299,'Retirement Calculator'!A:A,0),0),0)</f>
        <v>0</v>
      </c>
      <c r="K5299" s="455">
        <f t="shared" ca="1" si="183"/>
        <v>-6485279705490.5938</v>
      </c>
      <c r="L5299" s="455">
        <f t="shared" ca="1" si="184"/>
        <v>-1562952409023233</v>
      </c>
      <c r="M5299" s="471">
        <f t="shared" si="186"/>
        <v>0.05</v>
      </c>
      <c r="N5299" s="475">
        <f t="shared" si="187"/>
        <v>212329</v>
      </c>
    </row>
    <row r="5300" spans="7:14" ht="11.25" customHeight="1" x14ac:dyDescent="0.3">
      <c r="G5300" s="470"/>
      <c r="H5300" s="470">
        <v>5293</v>
      </c>
      <c r="I5300" s="455">
        <f t="shared" ca="1" si="185"/>
        <v>-1562952409023233</v>
      </c>
      <c r="J5300" s="455">
        <f t="array" ref="J5300">IFERROR(INDEX('Retirement Calculator'!K:K,MATCH('Lorri 401b'!N5300,'Retirement Calculator'!A:A,0),0),0)</f>
        <v>0</v>
      </c>
      <c r="K5300" s="455">
        <f t="shared" ca="1" si="183"/>
        <v>-6512301704263.4707</v>
      </c>
      <c r="L5300" s="455">
        <f t="shared" ca="1" si="184"/>
        <v>-1569464710727496.5</v>
      </c>
      <c r="M5300" s="471">
        <f t="shared" si="186"/>
        <v>0.05</v>
      </c>
      <c r="N5300" s="475">
        <f t="shared" si="187"/>
        <v>212360</v>
      </c>
    </row>
    <row r="5301" spans="7:14" ht="11.25" customHeight="1" x14ac:dyDescent="0.3">
      <c r="G5301" s="470"/>
      <c r="H5301" s="470">
        <v>5294</v>
      </c>
      <c r="I5301" s="455">
        <f t="shared" ca="1" si="185"/>
        <v>-1569464710727496.5</v>
      </c>
      <c r="J5301" s="455">
        <f t="array" ref="J5301">IFERROR(INDEX('Retirement Calculator'!K:K,MATCH('Lorri 401b'!N5301,'Retirement Calculator'!A:A,0),0),0)</f>
        <v>0</v>
      </c>
      <c r="K5301" s="455">
        <f t="shared" ca="1" si="183"/>
        <v>-6539436294697.9023</v>
      </c>
      <c r="L5301" s="455">
        <f t="shared" ca="1" si="184"/>
        <v>-1576004147022194.5</v>
      </c>
      <c r="M5301" s="471">
        <f t="shared" si="186"/>
        <v>0.05</v>
      </c>
      <c r="N5301" s="475">
        <f t="shared" si="187"/>
        <v>212390</v>
      </c>
    </row>
    <row r="5302" spans="7:14" ht="11.25" customHeight="1" x14ac:dyDescent="0.3">
      <c r="G5302" s="470"/>
      <c r="H5302" s="470">
        <v>5295</v>
      </c>
      <c r="I5302" s="455">
        <f t="shared" ca="1" si="185"/>
        <v>-1576004147022194.5</v>
      </c>
      <c r="J5302" s="455">
        <f t="array" ref="J5302">IFERROR(INDEX('Retirement Calculator'!K:K,MATCH('Lorri 401b'!N5302,'Retirement Calculator'!A:A,0),0),0)</f>
        <v>0</v>
      </c>
      <c r="K5302" s="455">
        <f t="shared" ca="1" si="183"/>
        <v>-6566683945925.8105</v>
      </c>
      <c r="L5302" s="455">
        <f t="shared" ca="1" si="184"/>
        <v>-1582570830968120.3</v>
      </c>
      <c r="M5302" s="471">
        <f t="shared" si="186"/>
        <v>0.05</v>
      </c>
      <c r="N5302" s="475">
        <f t="shared" si="187"/>
        <v>212421</v>
      </c>
    </row>
    <row r="5303" spans="7:14" ht="11.25" customHeight="1" x14ac:dyDescent="0.3">
      <c r="G5303" s="470"/>
      <c r="H5303" s="470">
        <v>5296</v>
      </c>
      <c r="I5303" s="455">
        <f t="shared" ca="1" si="185"/>
        <v>-1582570830968120.3</v>
      </c>
      <c r="J5303" s="455">
        <f t="array" ref="J5303">IFERROR(INDEX('Retirement Calculator'!K:K,MATCH('Lorri 401b'!N5303,'Retirement Calculator'!A:A,0),0),0)</f>
        <v>0</v>
      </c>
      <c r="K5303" s="455">
        <f t="shared" ca="1" si="183"/>
        <v>-6594045129033.834</v>
      </c>
      <c r="L5303" s="455">
        <f t="shared" ca="1" si="184"/>
        <v>-1589164876097154</v>
      </c>
      <c r="M5303" s="471">
        <f t="shared" si="186"/>
        <v>0.05</v>
      </c>
      <c r="N5303" s="475">
        <f t="shared" si="187"/>
        <v>212452</v>
      </c>
    </row>
    <row r="5304" spans="7:14" ht="11.25" customHeight="1" x14ac:dyDescent="0.3">
      <c r="G5304" s="470"/>
      <c r="H5304" s="470">
        <v>5297</v>
      </c>
      <c r="I5304" s="455">
        <f t="shared" ca="1" si="185"/>
        <v>-1589164876097154</v>
      </c>
      <c r="J5304" s="455">
        <f t="array" ref="J5304">IFERROR(INDEX('Retirement Calculator'!K:K,MATCH('Lorri 401b'!N5304,'Retirement Calculator'!A:A,0),0),0)</f>
        <v>0</v>
      </c>
      <c r="K5304" s="455">
        <f t="shared" ca="1" si="183"/>
        <v>-6621520317071.4746</v>
      </c>
      <c r="L5304" s="455">
        <f t="shared" ca="1" si="184"/>
        <v>-1595786396414225.5</v>
      </c>
      <c r="M5304" s="471">
        <f t="shared" si="186"/>
        <v>0.05</v>
      </c>
      <c r="N5304" s="475">
        <f t="shared" si="187"/>
        <v>212482</v>
      </c>
    </row>
    <row r="5305" spans="7:14" ht="11.25" customHeight="1" x14ac:dyDescent="0.3">
      <c r="G5305" s="470"/>
      <c r="H5305" s="470">
        <v>5298</v>
      </c>
      <c r="I5305" s="455">
        <f t="shared" ca="1" si="185"/>
        <v>-1595786396414225.5</v>
      </c>
      <c r="J5305" s="455">
        <f t="array" ref="J5305">IFERROR(INDEX('Retirement Calculator'!K:K,MATCH('Lorri 401b'!N5305,'Retirement Calculator'!A:A,0),0),0)</f>
        <v>0</v>
      </c>
      <c r="K5305" s="455">
        <f t="shared" ca="1" si="183"/>
        <v>-6649109985059.2725</v>
      </c>
      <c r="L5305" s="455">
        <f t="shared" ca="1" si="184"/>
        <v>-1602435506399284.8</v>
      </c>
      <c r="M5305" s="471">
        <f t="shared" si="186"/>
        <v>0.05</v>
      </c>
      <c r="N5305" s="475">
        <f t="shared" si="187"/>
        <v>212513</v>
      </c>
    </row>
    <row r="5306" spans="7:14" ht="11.25" customHeight="1" x14ac:dyDescent="0.3">
      <c r="G5306" s="470"/>
      <c r="H5306" s="470">
        <v>5299</v>
      </c>
      <c r="I5306" s="455">
        <f t="shared" ca="1" si="185"/>
        <v>-1602435506399284.8</v>
      </c>
      <c r="J5306" s="455">
        <f t="array" ref="J5306">IFERROR(INDEX('Retirement Calculator'!K:K,MATCH('Lorri 401b'!N5306,'Retirement Calculator'!A:A,0),0),0)</f>
        <v>0</v>
      </c>
      <c r="K5306" s="455">
        <f t="shared" ca="1" si="183"/>
        <v>-6676814609997.0195</v>
      </c>
      <c r="L5306" s="455">
        <f t="shared" ca="1" si="184"/>
        <v>-1609112321009281.8</v>
      </c>
      <c r="M5306" s="471">
        <f t="shared" si="186"/>
        <v>0.05</v>
      </c>
      <c r="N5306" s="475">
        <f t="shared" si="187"/>
        <v>212543</v>
      </c>
    </row>
    <row r="5307" spans="7:14" ht="11.25" customHeight="1" x14ac:dyDescent="0.3">
      <c r="G5307" s="470"/>
      <c r="H5307" s="470">
        <v>5300</v>
      </c>
      <c r="I5307" s="455">
        <f t="shared" ca="1" si="185"/>
        <v>-1609112321009281.8</v>
      </c>
      <c r="J5307" s="455">
        <f t="array" ref="J5307">IFERROR(INDEX('Retirement Calculator'!K:K,MATCH('Lorri 401b'!N5307,'Retirement Calculator'!A:A,0),0),0)</f>
        <v>0</v>
      </c>
      <c r="K5307" s="455">
        <f t="shared" ca="1" si="183"/>
        <v>-6704634670872.0068</v>
      </c>
      <c r="L5307" s="455">
        <f t="shared" ca="1" si="184"/>
        <v>-1615816955680153.8</v>
      </c>
      <c r="M5307" s="471">
        <f t="shared" si="186"/>
        <v>0.05</v>
      </c>
      <c r="N5307" s="475">
        <f t="shared" si="187"/>
        <v>212574</v>
      </c>
    </row>
    <row r="5308" spans="7:14" ht="11.25" customHeight="1" x14ac:dyDescent="0.3">
      <c r="G5308" s="470"/>
      <c r="H5308" s="470">
        <v>5301</v>
      </c>
      <c r="I5308" s="455">
        <f t="shared" ca="1" si="185"/>
        <v>-1615816955680153.8</v>
      </c>
      <c r="J5308" s="455">
        <f t="array" ref="J5308">IFERROR(INDEX('Retirement Calculator'!K:K,MATCH('Lorri 401b'!N5308,'Retirement Calculator'!A:A,0),0),0)</f>
        <v>0</v>
      </c>
      <c r="K5308" s="455">
        <f t="shared" ca="1" si="183"/>
        <v>-6732570648667.3076</v>
      </c>
      <c r="L5308" s="455">
        <f t="shared" ca="1" si="184"/>
        <v>-1622549526328821</v>
      </c>
      <c r="M5308" s="471">
        <f t="shared" si="186"/>
        <v>0.05</v>
      </c>
      <c r="N5308" s="475">
        <f t="shared" si="187"/>
        <v>212605</v>
      </c>
    </row>
    <row r="5309" spans="7:14" ht="11.25" customHeight="1" x14ac:dyDescent="0.3">
      <c r="G5309" s="470"/>
      <c r="H5309" s="470">
        <v>5302</v>
      </c>
      <c r="I5309" s="455">
        <f t="shared" ca="1" si="185"/>
        <v>-1622549526328821</v>
      </c>
      <c r="J5309" s="455">
        <f t="array" ref="J5309">IFERROR(INDEX('Retirement Calculator'!K:K,MATCH('Lorri 401b'!N5309,'Retirement Calculator'!A:A,0),0),0)</f>
        <v>0</v>
      </c>
      <c r="K5309" s="455">
        <f t="shared" ca="1" si="183"/>
        <v>-6760623026370.0879</v>
      </c>
      <c r="L5309" s="455">
        <f t="shared" ca="1" si="184"/>
        <v>-1629310149355191</v>
      </c>
      <c r="M5309" s="471">
        <f t="shared" si="186"/>
        <v>0.05</v>
      </c>
      <c r="N5309" s="475">
        <f t="shared" si="187"/>
        <v>212633</v>
      </c>
    </row>
    <row r="5310" spans="7:14" ht="11.25" customHeight="1" x14ac:dyDescent="0.3">
      <c r="G5310" s="470"/>
      <c r="H5310" s="470">
        <v>5303</v>
      </c>
      <c r="I5310" s="455">
        <f t="shared" ca="1" si="185"/>
        <v>-1629310149355191</v>
      </c>
      <c r="J5310" s="455">
        <f t="array" ref="J5310">IFERROR(INDEX('Retirement Calculator'!K:K,MATCH('Lorri 401b'!N5310,'Retirement Calculator'!A:A,0),0),0)</f>
        <v>0</v>
      </c>
      <c r="K5310" s="455">
        <f t="shared" ca="1" si="183"/>
        <v>-6788792288979.9629</v>
      </c>
      <c r="L5310" s="455">
        <f t="shared" ca="1" si="184"/>
        <v>-1636098941644171</v>
      </c>
      <c r="M5310" s="471">
        <f t="shared" si="186"/>
        <v>0.05</v>
      </c>
      <c r="N5310" s="475">
        <f t="shared" si="187"/>
        <v>212664</v>
      </c>
    </row>
    <row r="5311" spans="7:14" ht="11.25" customHeight="1" x14ac:dyDescent="0.3">
      <c r="G5311" s="470"/>
      <c r="H5311" s="470">
        <v>5304</v>
      </c>
      <c r="I5311" s="455">
        <f t="shared" ca="1" si="185"/>
        <v>-1636098941644171</v>
      </c>
      <c r="J5311" s="455">
        <f t="array" ref="J5311">IFERROR(INDEX('Retirement Calculator'!K:K,MATCH('Lorri 401b'!N5311,'Retirement Calculator'!A:A,0),0),0)</f>
        <v>0</v>
      </c>
      <c r="K5311" s="455">
        <f t="shared" ca="1" si="183"/>
        <v>-6817078923517.3789</v>
      </c>
      <c r="L5311" s="455">
        <f t="shared" ca="1" si="184"/>
        <v>-1642916020567688.5</v>
      </c>
      <c r="M5311" s="471">
        <f t="shared" si="186"/>
        <v>0.05</v>
      </c>
      <c r="N5311" s="475">
        <f t="shared" si="187"/>
        <v>212694</v>
      </c>
    </row>
    <row r="5312" spans="7:14" ht="11.25" customHeight="1" x14ac:dyDescent="0.3">
      <c r="G5312" s="470"/>
      <c r="H5312" s="470">
        <v>5305</v>
      </c>
      <c r="I5312" s="455">
        <f t="shared" ca="1" si="185"/>
        <v>-1642916020567688.5</v>
      </c>
      <c r="J5312" s="455">
        <f t="array" ref="J5312">IFERROR(INDEX('Retirement Calculator'!K:K,MATCH('Lorri 401b'!N5312,'Retirement Calculator'!A:A,0),0),0)</f>
        <v>0</v>
      </c>
      <c r="K5312" s="455">
        <f t="shared" ca="1" si="183"/>
        <v>-6845483419032.0352</v>
      </c>
      <c r="L5312" s="455">
        <f t="shared" ca="1" si="184"/>
        <v>-1649761503986720.5</v>
      </c>
      <c r="M5312" s="471">
        <f t="shared" si="186"/>
        <v>0.05</v>
      </c>
      <c r="N5312" s="475">
        <f t="shared" si="187"/>
        <v>212725</v>
      </c>
    </row>
    <row r="5313" spans="7:14" ht="11.25" customHeight="1" x14ac:dyDescent="0.3">
      <c r="G5313" s="470"/>
      <c r="H5313" s="470">
        <v>5306</v>
      </c>
      <c r="I5313" s="455">
        <f t="shared" ca="1" si="185"/>
        <v>-1649761503986720.5</v>
      </c>
      <c r="J5313" s="455">
        <f t="array" ref="J5313">IFERROR(INDEX('Retirement Calculator'!K:K,MATCH('Lorri 401b'!N5313,'Retirement Calculator'!A:A,0),0),0)</f>
        <v>0</v>
      </c>
      <c r="K5313" s="455">
        <f t="shared" ca="1" si="183"/>
        <v>-6874006266611.335</v>
      </c>
      <c r="L5313" s="455">
        <f t="shared" ca="1" si="184"/>
        <v>-1656635510253331.8</v>
      </c>
      <c r="M5313" s="471">
        <f t="shared" si="186"/>
        <v>0.05</v>
      </c>
      <c r="N5313" s="475">
        <f t="shared" si="187"/>
        <v>212755</v>
      </c>
    </row>
    <row r="5314" spans="7:14" ht="11.25" customHeight="1" x14ac:dyDescent="0.3">
      <c r="G5314" s="470"/>
      <c r="H5314" s="470">
        <v>5307</v>
      </c>
      <c r="I5314" s="455">
        <f t="shared" ca="1" si="185"/>
        <v>-1656635510253331.8</v>
      </c>
      <c r="J5314" s="455">
        <f t="array" ref="J5314">IFERROR(INDEX('Retirement Calculator'!K:K,MATCH('Lorri 401b'!N5314,'Retirement Calculator'!A:A,0),0),0)</f>
        <v>0</v>
      </c>
      <c r="K5314" s="455">
        <f t="shared" ca="1" si="183"/>
        <v>-6902647959388.8818</v>
      </c>
      <c r="L5314" s="455">
        <f t="shared" ca="1" si="184"/>
        <v>-1663538158212720.8</v>
      </c>
      <c r="M5314" s="471">
        <f t="shared" si="186"/>
        <v>0.05</v>
      </c>
      <c r="N5314" s="475">
        <f t="shared" si="187"/>
        <v>212786</v>
      </c>
    </row>
    <row r="5315" spans="7:14" ht="11.25" customHeight="1" x14ac:dyDescent="0.3">
      <c r="G5315" s="470"/>
      <c r="H5315" s="470">
        <v>5308</v>
      </c>
      <c r="I5315" s="455">
        <f t="shared" ca="1" si="185"/>
        <v>-1663538158212720.8</v>
      </c>
      <c r="J5315" s="455">
        <f t="array" ref="J5315">IFERROR(INDEX('Retirement Calculator'!K:K,MATCH('Lorri 401b'!N5315,'Retirement Calculator'!A:A,0),0),0)</f>
        <v>0</v>
      </c>
      <c r="K5315" s="455">
        <f t="shared" ca="1" si="183"/>
        <v>-6931408992553.0029</v>
      </c>
      <c r="L5315" s="455">
        <f t="shared" ca="1" si="184"/>
        <v>-1670469567205273.8</v>
      </c>
      <c r="M5315" s="471">
        <f t="shared" si="186"/>
        <v>0.05</v>
      </c>
      <c r="N5315" s="475">
        <f t="shared" si="187"/>
        <v>212817</v>
      </c>
    </row>
    <row r="5316" spans="7:14" ht="11.25" customHeight="1" x14ac:dyDescent="0.3">
      <c r="G5316" s="470"/>
      <c r="H5316" s="470">
        <v>5309</v>
      </c>
      <c r="I5316" s="455">
        <f t="shared" ca="1" si="185"/>
        <v>-1670469567205273.8</v>
      </c>
      <c r="J5316" s="455">
        <f t="array" ref="J5316">IFERROR(INDEX('Retirement Calculator'!K:K,MATCH('Lorri 401b'!N5316,'Retirement Calculator'!A:A,0),0),0)</f>
        <v>0</v>
      </c>
      <c r="K5316" s="455">
        <f t="shared" ca="1" si="183"/>
        <v>-6960289863355.3076</v>
      </c>
      <c r="L5316" s="455">
        <f t="shared" ca="1" si="184"/>
        <v>-1677429857068629</v>
      </c>
      <c r="M5316" s="471">
        <f t="shared" si="186"/>
        <v>0.05</v>
      </c>
      <c r="N5316" s="475">
        <f t="shared" si="187"/>
        <v>212847</v>
      </c>
    </row>
    <row r="5317" spans="7:14" ht="11.25" customHeight="1" x14ac:dyDescent="0.3">
      <c r="G5317" s="470"/>
      <c r="H5317" s="470">
        <v>5310</v>
      </c>
      <c r="I5317" s="455">
        <f t="shared" ca="1" si="185"/>
        <v>-1677429857068629</v>
      </c>
      <c r="J5317" s="455">
        <f t="array" ref="J5317">IFERROR(INDEX('Retirement Calculator'!K:K,MATCH('Lorri 401b'!N5317,'Retirement Calculator'!A:A,0),0),0)</f>
        <v>0</v>
      </c>
      <c r="K5317" s="455">
        <f t="shared" ca="1" si="183"/>
        <v>-6989291071119.2871</v>
      </c>
      <c r="L5317" s="455">
        <f t="shared" ca="1" si="184"/>
        <v>-1684419148139748.3</v>
      </c>
      <c r="M5317" s="471">
        <f t="shared" si="186"/>
        <v>0.05</v>
      </c>
      <c r="N5317" s="475">
        <f t="shared" si="187"/>
        <v>212878</v>
      </c>
    </row>
    <row r="5318" spans="7:14" ht="11.25" customHeight="1" x14ac:dyDescent="0.3">
      <c r="G5318" s="470"/>
      <c r="H5318" s="470">
        <v>5311</v>
      </c>
      <c r="I5318" s="455">
        <f t="shared" ca="1" si="185"/>
        <v>-1684419148139748.3</v>
      </c>
      <c r="J5318" s="455">
        <f t="array" ref="J5318">IFERROR(INDEX('Retirement Calculator'!K:K,MATCH('Lorri 401b'!N5318,'Retirement Calculator'!A:A,0),0),0)</f>
        <v>0</v>
      </c>
      <c r="K5318" s="455">
        <f t="shared" ca="1" si="183"/>
        <v>-7018413117248.9512</v>
      </c>
      <c r="L5318" s="455">
        <f t="shared" ca="1" si="184"/>
        <v>-1691437561256997.3</v>
      </c>
      <c r="M5318" s="471">
        <f t="shared" si="186"/>
        <v>0.05</v>
      </c>
      <c r="N5318" s="475">
        <f t="shared" si="187"/>
        <v>212908</v>
      </c>
    </row>
    <row r="5319" spans="7:14" ht="11.25" customHeight="1" x14ac:dyDescent="0.3">
      <c r="G5319" s="470"/>
      <c r="H5319" s="470">
        <v>5312</v>
      </c>
      <c r="I5319" s="455">
        <f t="shared" ca="1" si="185"/>
        <v>-1691437561256997.3</v>
      </c>
      <c r="J5319" s="455">
        <f t="array" ref="J5319">IFERROR(INDEX('Retirement Calculator'!K:K,MATCH('Lorri 401b'!N5319,'Retirement Calculator'!A:A,0),0),0)</f>
        <v>0</v>
      </c>
      <c r="K5319" s="455">
        <f t="shared" ca="1" si="183"/>
        <v>-7047656505237.4883</v>
      </c>
      <c r="L5319" s="455">
        <f t="shared" ca="1" si="184"/>
        <v>-1698485217762234.8</v>
      </c>
      <c r="M5319" s="471">
        <f t="shared" si="186"/>
        <v>0.05</v>
      </c>
      <c r="N5319" s="475">
        <f t="shared" si="187"/>
        <v>212939</v>
      </c>
    </row>
    <row r="5320" spans="7:14" ht="11.25" customHeight="1" x14ac:dyDescent="0.3">
      <c r="G5320" s="470"/>
      <c r="H5320" s="470">
        <v>5313</v>
      </c>
      <c r="I5320" s="455">
        <f t="shared" ca="1" si="185"/>
        <v>-1698485217762234.8</v>
      </c>
      <c r="J5320" s="455">
        <f t="array" ref="J5320">IFERROR(INDEX('Retirement Calculator'!K:K,MATCH('Lorri 401b'!N5320,'Retirement Calculator'!A:A,0),0),0)</f>
        <v>0</v>
      </c>
      <c r="K5320" s="455">
        <f t="shared" ca="1" si="183"/>
        <v>-7077021740675.9775</v>
      </c>
      <c r="L5320" s="455">
        <f t="shared" ca="1" si="184"/>
        <v>-1705562239502910.8</v>
      </c>
      <c r="M5320" s="471">
        <f t="shared" si="186"/>
        <v>0.05</v>
      </c>
      <c r="N5320" s="475">
        <f t="shared" si="187"/>
        <v>212970</v>
      </c>
    </row>
    <row r="5321" spans="7:14" ht="11.25" customHeight="1" x14ac:dyDescent="0.3">
      <c r="G5321" s="470"/>
      <c r="H5321" s="470">
        <v>5314</v>
      </c>
      <c r="I5321" s="455">
        <f t="shared" ca="1" si="185"/>
        <v>-1705562239502910.8</v>
      </c>
      <c r="J5321" s="455">
        <f t="array" ref="J5321">IFERROR(INDEX('Retirement Calculator'!K:K,MATCH('Lorri 401b'!N5321,'Retirement Calculator'!A:A,0),0),0)</f>
        <v>0</v>
      </c>
      <c r="K5321" s="455">
        <f t="shared" ca="1" si="183"/>
        <v>-7106509331262.1279</v>
      </c>
      <c r="L5321" s="455">
        <f t="shared" ca="1" si="184"/>
        <v>-1712668748834173</v>
      </c>
      <c r="M5321" s="471">
        <f t="shared" si="186"/>
        <v>0.05</v>
      </c>
      <c r="N5321" s="475">
        <f t="shared" si="187"/>
        <v>212998</v>
      </c>
    </row>
    <row r="5322" spans="7:14" ht="11.25" customHeight="1" x14ac:dyDescent="0.3">
      <c r="G5322" s="470"/>
      <c r="H5322" s="470">
        <v>5315</v>
      </c>
      <c r="I5322" s="455">
        <f t="shared" ca="1" si="185"/>
        <v>-1712668748834173</v>
      </c>
      <c r="J5322" s="455">
        <f t="array" ref="J5322">IFERROR(INDEX('Retirement Calculator'!K:K,MATCH('Lorri 401b'!N5322,'Retirement Calculator'!A:A,0),0),0)</f>
        <v>0</v>
      </c>
      <c r="K5322" s="455">
        <f t="shared" ca="1" si="183"/>
        <v>-7136119786809.0537</v>
      </c>
      <c r="L5322" s="455">
        <f t="shared" ca="1" si="184"/>
        <v>-1719804868620982</v>
      </c>
      <c r="M5322" s="471">
        <f t="shared" si="186"/>
        <v>0.05</v>
      </c>
      <c r="N5322" s="475">
        <f t="shared" si="187"/>
        <v>213029</v>
      </c>
    </row>
    <row r="5323" spans="7:14" ht="11.25" customHeight="1" x14ac:dyDescent="0.3">
      <c r="G5323" s="470"/>
      <c r="H5323" s="470">
        <v>5316</v>
      </c>
      <c r="I5323" s="455">
        <f t="shared" ca="1" si="185"/>
        <v>-1719804868620982</v>
      </c>
      <c r="J5323" s="455">
        <f t="array" ref="J5323">IFERROR(INDEX('Retirement Calculator'!K:K,MATCH('Lorri 401b'!N5323,'Retirement Calculator'!A:A,0),0),0)</f>
        <v>0</v>
      </c>
      <c r="K5323" s="455">
        <f t="shared" ca="1" si="183"/>
        <v>-7165853619254.0918</v>
      </c>
      <c r="L5323" s="455">
        <f t="shared" ca="1" si="184"/>
        <v>-1726970722240236</v>
      </c>
      <c r="M5323" s="471">
        <f t="shared" si="186"/>
        <v>0.05</v>
      </c>
      <c r="N5323" s="475">
        <f t="shared" si="187"/>
        <v>213059</v>
      </c>
    </row>
    <row r="5324" spans="7:14" ht="11.25" customHeight="1" x14ac:dyDescent="0.3">
      <c r="G5324" s="470"/>
      <c r="H5324" s="470">
        <v>5317</v>
      </c>
      <c r="I5324" s="455">
        <f t="shared" ca="1" si="185"/>
        <v>-1726970722240236</v>
      </c>
      <c r="J5324" s="455">
        <f t="array" ref="J5324">IFERROR(INDEX('Retirement Calculator'!K:K,MATCH('Lorri 401b'!N5324,'Retirement Calculator'!A:A,0),0),0)</f>
        <v>0</v>
      </c>
      <c r="K5324" s="455">
        <f t="shared" ca="1" si="183"/>
        <v>-7195711342667.6494</v>
      </c>
      <c r="L5324" s="455">
        <f t="shared" ca="1" si="184"/>
        <v>-1734166433582903.8</v>
      </c>
      <c r="M5324" s="471">
        <f t="shared" si="186"/>
        <v>0.05</v>
      </c>
      <c r="N5324" s="475">
        <f t="shared" si="187"/>
        <v>213090</v>
      </c>
    </row>
    <row r="5325" spans="7:14" ht="11.25" customHeight="1" x14ac:dyDescent="0.3">
      <c r="G5325" s="470"/>
      <c r="H5325" s="470">
        <v>5318</v>
      </c>
      <c r="I5325" s="455">
        <f t="shared" ca="1" si="185"/>
        <v>-1734166433582903.8</v>
      </c>
      <c r="J5325" s="455">
        <f t="array" ref="J5325">IFERROR(INDEX('Retirement Calculator'!K:K,MATCH('Lorri 401b'!N5325,'Retirement Calculator'!A:A,0),0),0)</f>
        <v>0</v>
      </c>
      <c r="K5325" s="455">
        <f t="shared" ca="1" si="183"/>
        <v>-7225693473262.0986</v>
      </c>
      <c r="L5325" s="455">
        <f t="shared" ca="1" si="184"/>
        <v>-1741392127056165.8</v>
      </c>
      <c r="M5325" s="471">
        <f t="shared" si="186"/>
        <v>0.05</v>
      </c>
      <c r="N5325" s="475">
        <f t="shared" si="187"/>
        <v>213120</v>
      </c>
    </row>
    <row r="5326" spans="7:14" ht="11.25" customHeight="1" x14ac:dyDescent="0.3">
      <c r="G5326" s="470"/>
      <c r="H5326" s="470">
        <v>5319</v>
      </c>
      <c r="I5326" s="455">
        <f t="shared" ca="1" si="185"/>
        <v>-1741392127056165.8</v>
      </c>
      <c r="J5326" s="455">
        <f t="array" ref="J5326">IFERROR(INDEX('Retirement Calculator'!K:K,MATCH('Lorri 401b'!N5326,'Retirement Calculator'!A:A,0),0),0)</f>
        <v>0</v>
      </c>
      <c r="K5326" s="455">
        <f t="shared" ca="1" si="183"/>
        <v>-7255800529400.6904</v>
      </c>
      <c r="L5326" s="455">
        <f t="shared" ca="1" si="184"/>
        <v>-1748647927585566.5</v>
      </c>
      <c r="M5326" s="471">
        <f t="shared" si="186"/>
        <v>0.05</v>
      </c>
      <c r="N5326" s="475">
        <f t="shared" si="187"/>
        <v>213151</v>
      </c>
    </row>
    <row r="5327" spans="7:14" ht="11.25" customHeight="1" x14ac:dyDescent="0.3">
      <c r="G5327" s="470"/>
      <c r="H5327" s="470">
        <v>5320</v>
      </c>
      <c r="I5327" s="455">
        <f t="shared" ca="1" si="185"/>
        <v>-1748647927585566.5</v>
      </c>
      <c r="J5327" s="455">
        <f t="array" ref="J5327">IFERROR(INDEX('Retirement Calculator'!K:K,MATCH('Lorri 401b'!N5327,'Retirement Calculator'!A:A,0),0),0)</f>
        <v>0</v>
      </c>
      <c r="K5327" s="455">
        <f t="shared" ca="1" si="183"/>
        <v>-7286033031606.5273</v>
      </c>
      <c r="L5327" s="455">
        <f t="shared" ca="1" si="184"/>
        <v>-1755933960617173</v>
      </c>
      <c r="M5327" s="471">
        <f t="shared" si="186"/>
        <v>0.05</v>
      </c>
      <c r="N5327" s="475">
        <f t="shared" si="187"/>
        <v>213182</v>
      </c>
    </row>
    <row r="5328" spans="7:14" ht="11.25" customHeight="1" x14ac:dyDescent="0.3">
      <c r="G5328" s="470"/>
      <c r="H5328" s="470">
        <v>5321</v>
      </c>
      <c r="I5328" s="455">
        <f t="shared" ca="1" si="185"/>
        <v>-1755933960617173</v>
      </c>
      <c r="J5328" s="455">
        <f t="array" ref="J5328">IFERROR(INDEX('Retirement Calculator'!K:K,MATCH('Lorri 401b'!N5328,'Retirement Calculator'!A:A,0),0),0)</f>
        <v>0</v>
      </c>
      <c r="K5328" s="455">
        <f t="shared" ca="1" si="183"/>
        <v>-7316391502571.5537</v>
      </c>
      <c r="L5328" s="455">
        <f t="shared" ca="1" si="184"/>
        <v>-1763250352119744.5</v>
      </c>
      <c r="M5328" s="471">
        <f t="shared" si="186"/>
        <v>0.05</v>
      </c>
      <c r="N5328" s="475">
        <f t="shared" si="187"/>
        <v>213212</v>
      </c>
    </row>
    <row r="5329" spans="7:14" ht="11.25" customHeight="1" x14ac:dyDescent="0.3">
      <c r="G5329" s="470"/>
      <c r="H5329" s="470">
        <v>5322</v>
      </c>
      <c r="I5329" s="455">
        <f t="shared" ca="1" si="185"/>
        <v>-1763250352119744.5</v>
      </c>
      <c r="J5329" s="455">
        <f t="array" ref="J5329">IFERROR(INDEX('Retirement Calculator'!K:K,MATCH('Lorri 401b'!N5329,'Retirement Calculator'!A:A,0),0),0)</f>
        <v>0</v>
      </c>
      <c r="K5329" s="455">
        <f t="shared" ca="1" si="183"/>
        <v>-7346876467165.6006</v>
      </c>
      <c r="L5329" s="455">
        <f t="shared" ca="1" si="184"/>
        <v>-1770597228586910</v>
      </c>
      <c r="M5329" s="471">
        <f t="shared" si="186"/>
        <v>0.05</v>
      </c>
      <c r="N5329" s="475">
        <f t="shared" si="187"/>
        <v>213243</v>
      </c>
    </row>
    <row r="5330" spans="7:14" ht="11.25" customHeight="1" x14ac:dyDescent="0.3">
      <c r="G5330" s="470"/>
      <c r="H5330" s="470">
        <v>5323</v>
      </c>
      <c r="I5330" s="455">
        <f t="shared" ca="1" si="185"/>
        <v>-1770597228586910</v>
      </c>
      <c r="J5330" s="455">
        <f t="array" ref="J5330">IFERROR(INDEX('Retirement Calculator'!K:K,MATCH('Lorri 401b'!N5330,'Retirement Calculator'!A:A,0),0),0)</f>
        <v>0</v>
      </c>
      <c r="K5330" s="455">
        <f t="shared" ca="1" si="183"/>
        <v>-7377488452445.458</v>
      </c>
      <c r="L5330" s="455">
        <f t="shared" ca="1" si="184"/>
        <v>-1777974717039355.5</v>
      </c>
      <c r="M5330" s="471">
        <f t="shared" si="186"/>
        <v>0.05</v>
      </c>
      <c r="N5330" s="475">
        <f t="shared" si="187"/>
        <v>213273</v>
      </c>
    </row>
    <row r="5331" spans="7:14" ht="11.25" customHeight="1" x14ac:dyDescent="0.3">
      <c r="G5331" s="470"/>
      <c r="H5331" s="470">
        <v>5324</v>
      </c>
      <c r="I5331" s="455">
        <f t="shared" ca="1" si="185"/>
        <v>-1777974717039355.5</v>
      </c>
      <c r="J5331" s="455">
        <f t="array" ref="J5331">IFERROR(INDEX('Retirement Calculator'!K:K,MATCH('Lorri 401b'!N5331,'Retirement Calculator'!A:A,0),0),0)</f>
        <v>0</v>
      </c>
      <c r="K5331" s="455">
        <f t="shared" ca="1" si="183"/>
        <v>-7408227987663.9814</v>
      </c>
      <c r="L5331" s="455">
        <f t="shared" ca="1" si="184"/>
        <v>-1785382945027019.5</v>
      </c>
      <c r="M5331" s="471">
        <f t="shared" si="186"/>
        <v>0.05</v>
      </c>
      <c r="N5331" s="475">
        <f t="shared" si="187"/>
        <v>213304</v>
      </c>
    </row>
    <row r="5332" spans="7:14" ht="11.25" customHeight="1" x14ac:dyDescent="0.3">
      <c r="G5332" s="470"/>
      <c r="H5332" s="470">
        <v>5325</v>
      </c>
      <c r="I5332" s="455">
        <f t="shared" ca="1" si="185"/>
        <v>-1785382945027019.5</v>
      </c>
      <c r="J5332" s="455">
        <f t="array" ref="J5332">IFERROR(INDEX('Retirement Calculator'!K:K,MATCH('Lorri 401b'!N5332,'Retirement Calculator'!A:A,0),0),0)</f>
        <v>0</v>
      </c>
      <c r="K5332" s="455">
        <f t="shared" ca="1" si="183"/>
        <v>-7439095604279.2471</v>
      </c>
      <c r="L5332" s="455">
        <f t="shared" ca="1" si="184"/>
        <v>-1792822040631298.8</v>
      </c>
      <c r="M5332" s="471">
        <f t="shared" si="186"/>
        <v>0.05</v>
      </c>
      <c r="N5332" s="475">
        <f t="shared" si="187"/>
        <v>213335</v>
      </c>
    </row>
    <row r="5333" spans="7:14" ht="11.25" customHeight="1" x14ac:dyDescent="0.3">
      <c r="G5333" s="470"/>
      <c r="H5333" s="470">
        <v>5326</v>
      </c>
      <c r="I5333" s="455">
        <f t="shared" ca="1" si="185"/>
        <v>-1792822040631298.8</v>
      </c>
      <c r="J5333" s="455">
        <f t="array" ref="J5333">IFERROR(INDEX('Retirement Calculator'!K:K,MATCH('Lorri 401b'!N5333,'Retirement Calculator'!A:A,0),0),0)</f>
        <v>0</v>
      </c>
      <c r="K5333" s="455">
        <f t="shared" ca="1" si="183"/>
        <v>-7470091835963.7461</v>
      </c>
      <c r="L5333" s="455">
        <f t="shared" ca="1" si="184"/>
        <v>-1800292132467262.5</v>
      </c>
      <c r="M5333" s="471">
        <f t="shared" si="186"/>
        <v>0.05</v>
      </c>
      <c r="N5333" s="475">
        <f t="shared" si="187"/>
        <v>213364</v>
      </c>
    </row>
    <row r="5334" spans="7:14" ht="11.25" customHeight="1" x14ac:dyDescent="0.3">
      <c r="G5334" s="470"/>
      <c r="H5334" s="470">
        <v>5327</v>
      </c>
      <c r="I5334" s="455">
        <f t="shared" ca="1" si="185"/>
        <v>-1800292132467262.5</v>
      </c>
      <c r="J5334" s="455">
        <f t="array" ref="J5334">IFERROR(INDEX('Retirement Calculator'!K:K,MATCH('Lorri 401b'!N5334,'Retirement Calculator'!A:A,0),0),0)</f>
        <v>0</v>
      </c>
      <c r="K5334" s="455">
        <f t="shared" ca="1" si="183"/>
        <v>-7501217218613.5938</v>
      </c>
      <c r="L5334" s="455">
        <f t="shared" ca="1" si="184"/>
        <v>-1807793349685876</v>
      </c>
      <c r="M5334" s="471">
        <f t="shared" si="186"/>
        <v>0.05</v>
      </c>
      <c r="N5334" s="475">
        <f t="shared" si="187"/>
        <v>213395</v>
      </c>
    </row>
    <row r="5335" spans="7:14" ht="11.25" customHeight="1" x14ac:dyDescent="0.3">
      <c r="G5335" s="470"/>
      <c r="H5335" s="470">
        <v>5328</v>
      </c>
      <c r="I5335" s="455">
        <f t="shared" ca="1" si="185"/>
        <v>-1807793349685876</v>
      </c>
      <c r="J5335" s="455">
        <f t="array" ref="J5335">IFERROR(INDEX('Retirement Calculator'!K:K,MATCH('Lorri 401b'!N5335,'Retirement Calculator'!A:A,0),0),0)</f>
        <v>0</v>
      </c>
      <c r="K5335" s="455">
        <f t="shared" ca="1" si="183"/>
        <v>-7532472290357.8174</v>
      </c>
      <c r="L5335" s="455">
        <f t="shared" ca="1" si="184"/>
        <v>-1815325821976233.8</v>
      </c>
      <c r="M5335" s="471">
        <f t="shared" si="186"/>
        <v>0.05</v>
      </c>
      <c r="N5335" s="475">
        <f t="shared" si="187"/>
        <v>213425</v>
      </c>
    </row>
    <row r="5336" spans="7:14" ht="11.25" customHeight="1" x14ac:dyDescent="0.3">
      <c r="G5336" s="470"/>
      <c r="H5336" s="470">
        <v>5329</v>
      </c>
      <c r="I5336" s="455">
        <f t="shared" ca="1" si="185"/>
        <v>-1815325821976233.8</v>
      </c>
      <c r="J5336" s="455">
        <f t="array" ref="J5336">IFERROR(INDEX('Retirement Calculator'!K:K,MATCH('Lorri 401b'!N5336,'Retirement Calculator'!A:A,0),0),0)</f>
        <v>0</v>
      </c>
      <c r="K5336" s="455">
        <f t="shared" ca="1" si="183"/>
        <v>-7563857591567.6416</v>
      </c>
      <c r="L5336" s="455">
        <f t="shared" ca="1" si="184"/>
        <v>-1822889679567801.5</v>
      </c>
      <c r="M5336" s="471">
        <f t="shared" si="186"/>
        <v>0.05</v>
      </c>
      <c r="N5336" s="475">
        <f t="shared" si="187"/>
        <v>213456</v>
      </c>
    </row>
    <row r="5337" spans="7:14" ht="11.25" customHeight="1" x14ac:dyDescent="0.3">
      <c r="G5337" s="470"/>
      <c r="H5337" s="470">
        <v>5330</v>
      </c>
      <c r="I5337" s="455">
        <f t="shared" ca="1" si="185"/>
        <v>-1822889679567801.5</v>
      </c>
      <c r="J5337" s="455">
        <f t="array" ref="J5337">IFERROR(INDEX('Retirement Calculator'!K:K,MATCH('Lorri 401b'!N5337,'Retirement Calculator'!A:A,0),0),0)</f>
        <v>0</v>
      </c>
      <c r="K5337" s="455">
        <f t="shared" ca="1" si="183"/>
        <v>-7595373664865.8389</v>
      </c>
      <c r="L5337" s="455">
        <f t="shared" ca="1" si="184"/>
        <v>-1830485053232667.3</v>
      </c>
      <c r="M5337" s="471">
        <f t="shared" si="186"/>
        <v>0.05</v>
      </c>
      <c r="N5337" s="475">
        <f t="shared" si="187"/>
        <v>213486</v>
      </c>
    </row>
    <row r="5338" spans="7:14" ht="11.25" customHeight="1" x14ac:dyDescent="0.3">
      <c r="G5338" s="470"/>
      <c r="H5338" s="470">
        <v>5331</v>
      </c>
      <c r="I5338" s="455">
        <f t="shared" ca="1" si="185"/>
        <v>-1830485053232667.3</v>
      </c>
      <c r="J5338" s="455">
        <f t="array" ref="J5338">IFERROR(INDEX('Retirement Calculator'!K:K,MATCH('Lorri 401b'!N5338,'Retirement Calculator'!A:A,0),0),0)</f>
        <v>0</v>
      </c>
      <c r="K5338" s="455">
        <f t="shared" ca="1" si="183"/>
        <v>-7627021055136.1123</v>
      </c>
      <c r="L5338" s="455">
        <f t="shared" ca="1" si="184"/>
        <v>-1838112074287803.3</v>
      </c>
      <c r="M5338" s="471">
        <f t="shared" si="186"/>
        <v>0.05</v>
      </c>
      <c r="N5338" s="475">
        <f t="shared" si="187"/>
        <v>213517</v>
      </c>
    </row>
    <row r="5339" spans="7:14" ht="11.25" customHeight="1" x14ac:dyDescent="0.3">
      <c r="G5339" s="470"/>
      <c r="H5339" s="470">
        <v>5332</v>
      </c>
      <c r="I5339" s="455">
        <f t="shared" ca="1" si="185"/>
        <v>-1838112074287803.3</v>
      </c>
      <c r="J5339" s="455">
        <f t="array" ref="J5339">IFERROR(INDEX('Retirement Calculator'!K:K,MATCH('Lorri 401b'!N5339,'Retirement Calculator'!A:A,0),0),0)</f>
        <v>0</v>
      </c>
      <c r="K5339" s="455">
        <f t="shared" ca="1" si="183"/>
        <v>-7658800309532.5137</v>
      </c>
      <c r="L5339" s="455">
        <f t="shared" ca="1" si="184"/>
        <v>-1845770874597335.8</v>
      </c>
      <c r="M5339" s="471">
        <f t="shared" si="186"/>
        <v>0.05</v>
      </c>
      <c r="N5339" s="475">
        <f t="shared" si="187"/>
        <v>213548</v>
      </c>
    </row>
    <row r="5340" spans="7:14" ht="11.25" customHeight="1" x14ac:dyDescent="0.3">
      <c r="G5340" s="470"/>
      <c r="H5340" s="470">
        <v>5333</v>
      </c>
      <c r="I5340" s="455">
        <f t="shared" ca="1" si="185"/>
        <v>-1845770874597335.8</v>
      </c>
      <c r="J5340" s="455">
        <f t="array" ref="J5340">IFERROR(INDEX('Retirement Calculator'!K:K,MATCH('Lorri 401b'!N5340,'Retirement Calculator'!A:A,0),0),0)</f>
        <v>0</v>
      </c>
      <c r="K5340" s="455">
        <f t="shared" ca="1" si="183"/>
        <v>-7690711977488.8984</v>
      </c>
      <c r="L5340" s="455">
        <f t="shared" ca="1" si="184"/>
        <v>-1853461586574824.8</v>
      </c>
      <c r="M5340" s="471">
        <f t="shared" si="186"/>
        <v>0.05</v>
      </c>
      <c r="N5340" s="475">
        <f t="shared" si="187"/>
        <v>213578</v>
      </c>
    </row>
    <row r="5341" spans="7:14" ht="11.25" customHeight="1" x14ac:dyDescent="0.3">
      <c r="G5341" s="470"/>
      <c r="H5341" s="470">
        <v>5334</v>
      </c>
      <c r="I5341" s="455">
        <f t="shared" ca="1" si="185"/>
        <v>-1853461586574824.8</v>
      </c>
      <c r="J5341" s="455">
        <f t="array" ref="J5341">IFERROR(INDEX('Retirement Calculator'!K:K,MATCH('Lorri 401b'!N5341,'Retirement Calculator'!A:A,0),0),0)</f>
        <v>0</v>
      </c>
      <c r="K5341" s="455">
        <f t="shared" ca="1" si="183"/>
        <v>-7722756610728.4365</v>
      </c>
      <c r="L5341" s="455">
        <f t="shared" ca="1" si="184"/>
        <v>-1861184343185553.3</v>
      </c>
      <c r="M5341" s="471">
        <f t="shared" si="186"/>
        <v>0.05</v>
      </c>
      <c r="N5341" s="475">
        <f t="shared" si="187"/>
        <v>213609</v>
      </c>
    </row>
    <row r="5342" spans="7:14" ht="11.25" customHeight="1" x14ac:dyDescent="0.3">
      <c r="G5342" s="470"/>
      <c r="H5342" s="470">
        <v>5335</v>
      </c>
      <c r="I5342" s="455">
        <f t="shared" ca="1" si="185"/>
        <v>-1861184343185553.3</v>
      </c>
      <c r="J5342" s="455">
        <f t="array" ref="J5342">IFERROR(INDEX('Retirement Calculator'!K:K,MATCH('Lorri 401b'!N5342,'Retirement Calculator'!A:A,0),0),0)</f>
        <v>0</v>
      </c>
      <c r="K5342" s="455">
        <f t="shared" ca="1" si="183"/>
        <v>-7754934763273.1387</v>
      </c>
      <c r="L5342" s="455">
        <f t="shared" ca="1" si="184"/>
        <v>-1868939277948826.5</v>
      </c>
      <c r="M5342" s="471">
        <f t="shared" si="186"/>
        <v>0.05</v>
      </c>
      <c r="N5342" s="475">
        <f t="shared" si="187"/>
        <v>213639</v>
      </c>
    </row>
    <row r="5343" spans="7:14" ht="11.25" customHeight="1" x14ac:dyDescent="0.3">
      <c r="G5343" s="470"/>
      <c r="H5343" s="470">
        <v>5336</v>
      </c>
      <c r="I5343" s="455">
        <f t="shared" ca="1" si="185"/>
        <v>-1868939277948826.5</v>
      </c>
      <c r="J5343" s="455">
        <f t="array" ref="J5343">IFERROR(INDEX('Retirement Calculator'!K:K,MATCH('Lorri 401b'!N5343,'Retirement Calculator'!A:A,0),0),0)</f>
        <v>0</v>
      </c>
      <c r="K5343" s="455">
        <f t="shared" ca="1" si="183"/>
        <v>-7787246991453.4434</v>
      </c>
      <c r="L5343" s="455">
        <f t="shared" ca="1" si="184"/>
        <v>-1876726524940280</v>
      </c>
      <c r="M5343" s="471">
        <f t="shared" si="186"/>
        <v>0.05</v>
      </c>
      <c r="N5343" s="475">
        <f t="shared" si="187"/>
        <v>213670</v>
      </c>
    </row>
    <row r="5344" spans="7:14" ht="11.25" customHeight="1" x14ac:dyDescent="0.3">
      <c r="G5344" s="470"/>
      <c r="H5344" s="470">
        <v>5337</v>
      </c>
      <c r="I5344" s="455">
        <f t="shared" ca="1" si="185"/>
        <v>-1876726524940280</v>
      </c>
      <c r="J5344" s="455">
        <f t="array" ref="J5344">IFERROR(INDEX('Retirement Calculator'!K:K,MATCH('Lorri 401b'!N5344,'Retirement Calculator'!A:A,0),0),0)</f>
        <v>0</v>
      </c>
      <c r="K5344" s="455">
        <f t="shared" ca="1" si="183"/>
        <v>-7819693853917.834</v>
      </c>
      <c r="L5344" s="455">
        <f t="shared" ca="1" si="184"/>
        <v>-1884546218794197.8</v>
      </c>
      <c r="M5344" s="471">
        <f t="shared" si="186"/>
        <v>0.05</v>
      </c>
      <c r="N5344" s="475">
        <f t="shared" si="187"/>
        <v>213701</v>
      </c>
    </row>
    <row r="5345" spans="7:14" ht="11.25" customHeight="1" x14ac:dyDescent="0.3">
      <c r="G5345" s="470"/>
      <c r="H5345" s="470">
        <v>5338</v>
      </c>
      <c r="I5345" s="455">
        <f t="shared" ca="1" si="185"/>
        <v>-1884546218794197.8</v>
      </c>
      <c r="J5345" s="455">
        <f t="array" ref="J5345">IFERROR(INDEX('Retirement Calculator'!K:K,MATCH('Lorri 401b'!N5345,'Retirement Calculator'!A:A,0),0),0)</f>
        <v>0</v>
      </c>
      <c r="K5345" s="455">
        <f t="shared" ca="1" si="183"/>
        <v>-7852275911642.4902</v>
      </c>
      <c r="L5345" s="455">
        <f t="shared" ca="1" si="184"/>
        <v>-1892398494705840.3</v>
      </c>
      <c r="M5345" s="471">
        <f t="shared" si="186"/>
        <v>0.05</v>
      </c>
      <c r="N5345" s="475">
        <f t="shared" si="187"/>
        <v>213729</v>
      </c>
    </row>
    <row r="5346" spans="7:14" ht="11.25" customHeight="1" x14ac:dyDescent="0.3">
      <c r="G5346" s="470"/>
      <c r="H5346" s="470">
        <v>5339</v>
      </c>
      <c r="I5346" s="455">
        <f t="shared" ca="1" si="185"/>
        <v>-1892398494705840.3</v>
      </c>
      <c r="J5346" s="455">
        <f t="array" ref="J5346">IFERROR(INDEX('Retirement Calculator'!K:K,MATCH('Lorri 401b'!N5346,'Retirement Calculator'!A:A,0),0),0)</f>
        <v>0</v>
      </c>
      <c r="K5346" s="455">
        <f t="shared" ca="1" si="183"/>
        <v>-7884993727941.001</v>
      </c>
      <c r="L5346" s="455">
        <f t="shared" ca="1" si="184"/>
        <v>-1900283488433781.3</v>
      </c>
      <c r="M5346" s="471">
        <f t="shared" si="186"/>
        <v>0.05</v>
      </c>
      <c r="N5346" s="475">
        <f t="shared" si="187"/>
        <v>213760</v>
      </c>
    </row>
    <row r="5347" spans="7:14" ht="11.25" customHeight="1" x14ac:dyDescent="0.3">
      <c r="G5347" s="470"/>
      <c r="H5347" s="470">
        <v>5340</v>
      </c>
      <c r="I5347" s="455">
        <f t="shared" ca="1" si="185"/>
        <v>-1900283488433781.3</v>
      </c>
      <c r="J5347" s="455">
        <f t="array" ref="J5347">IFERROR(INDEX('Retirement Calculator'!K:K,MATCH('Lorri 401b'!N5347,'Retirement Calculator'!A:A,0),0),0)</f>
        <v>0</v>
      </c>
      <c r="K5347" s="455">
        <f t="shared" ca="1" si="183"/>
        <v>-7917847868474.0869</v>
      </c>
      <c r="L5347" s="455">
        <f t="shared" ca="1" si="184"/>
        <v>-1908201336302255.3</v>
      </c>
      <c r="M5347" s="471">
        <f t="shared" si="186"/>
        <v>0.05</v>
      </c>
      <c r="N5347" s="475">
        <f t="shared" si="187"/>
        <v>213790</v>
      </c>
    </row>
    <row r="5348" spans="7:14" ht="11.25" customHeight="1" x14ac:dyDescent="0.3">
      <c r="G5348" s="470"/>
      <c r="H5348" s="470">
        <v>5341</v>
      </c>
      <c r="I5348" s="455">
        <f t="shared" ca="1" si="185"/>
        <v>-1908201336302255.3</v>
      </c>
      <c r="J5348" s="455">
        <f t="array" ref="J5348">IFERROR(INDEX('Retirement Calculator'!K:K,MATCH('Lorri 401b'!N5348,'Retirement Calculator'!A:A,0),0),0)</f>
        <v>0</v>
      </c>
      <c r="K5348" s="455">
        <f t="shared" ca="1" si="183"/>
        <v>-7950838901259.3965</v>
      </c>
      <c r="L5348" s="455">
        <f t="shared" ca="1" si="184"/>
        <v>-1916152175203514.8</v>
      </c>
      <c r="M5348" s="471">
        <f t="shared" si="186"/>
        <v>0.05</v>
      </c>
      <c r="N5348" s="475">
        <f t="shared" si="187"/>
        <v>213821</v>
      </c>
    </row>
    <row r="5349" spans="7:14" ht="11.25" customHeight="1" x14ac:dyDescent="0.3">
      <c r="G5349" s="470"/>
      <c r="H5349" s="470">
        <v>5342</v>
      </c>
      <c r="I5349" s="455">
        <f t="shared" ca="1" si="185"/>
        <v>-1916152175203514.8</v>
      </c>
      <c r="J5349" s="455">
        <f t="array" ref="J5349">IFERROR(INDEX('Retirement Calculator'!K:K,MATCH('Lorri 401b'!N5349,'Retirement Calculator'!A:A,0),0),0)</f>
        <v>0</v>
      </c>
      <c r="K5349" s="455">
        <f t="shared" ca="1" si="183"/>
        <v>-7983967396681.3115</v>
      </c>
      <c r="L5349" s="455">
        <f t="shared" ca="1" si="184"/>
        <v>-1924136142600196</v>
      </c>
      <c r="M5349" s="471">
        <f t="shared" si="186"/>
        <v>0.05</v>
      </c>
      <c r="N5349" s="475">
        <f t="shared" si="187"/>
        <v>213851</v>
      </c>
    </row>
    <row r="5350" spans="7:14" ht="11.25" customHeight="1" x14ac:dyDescent="0.3">
      <c r="G5350" s="470"/>
      <c r="H5350" s="470">
        <v>5343</v>
      </c>
      <c r="I5350" s="455">
        <f t="shared" ca="1" si="185"/>
        <v>-1924136142600196</v>
      </c>
      <c r="J5350" s="455">
        <f t="array" ref="J5350">IFERROR(INDEX('Retirement Calculator'!K:K,MATCH('Lorri 401b'!N5350,'Retirement Calculator'!A:A,0),0),0)</f>
        <v>0</v>
      </c>
      <c r="K5350" s="455">
        <f t="shared" ca="1" si="183"/>
        <v>-8017233927500.8164</v>
      </c>
      <c r="L5350" s="455">
        <f t="shared" ca="1" si="184"/>
        <v>-1932153376527696.8</v>
      </c>
      <c r="M5350" s="471">
        <f t="shared" si="186"/>
        <v>0.05</v>
      </c>
      <c r="N5350" s="475">
        <f t="shared" si="187"/>
        <v>213882</v>
      </c>
    </row>
    <row r="5351" spans="7:14" ht="11.25" customHeight="1" x14ac:dyDescent="0.3">
      <c r="G5351" s="470"/>
      <c r="H5351" s="470">
        <v>5344</v>
      </c>
      <c r="I5351" s="455">
        <f t="shared" ca="1" si="185"/>
        <v>-1932153376527696.8</v>
      </c>
      <c r="J5351" s="455">
        <f t="array" ref="J5351">IFERROR(INDEX('Retirement Calculator'!K:K,MATCH('Lorri 401b'!N5351,'Retirement Calculator'!A:A,0),0),0)</f>
        <v>0</v>
      </c>
      <c r="K5351" s="455">
        <f t="shared" ca="1" si="183"/>
        <v>-8050639068865.4033</v>
      </c>
      <c r="L5351" s="455">
        <f t="shared" ca="1" si="184"/>
        <v>-1940204015596562.3</v>
      </c>
      <c r="M5351" s="471">
        <f t="shared" si="186"/>
        <v>0.05</v>
      </c>
      <c r="N5351" s="475">
        <f t="shared" si="187"/>
        <v>213913</v>
      </c>
    </row>
    <row r="5352" spans="7:14" ht="11.25" customHeight="1" x14ac:dyDescent="0.3">
      <c r="G5352" s="470"/>
      <c r="H5352" s="470">
        <v>5345</v>
      </c>
      <c r="I5352" s="455">
        <f t="shared" ca="1" si="185"/>
        <v>-1940204015596562.3</v>
      </c>
      <c r="J5352" s="455">
        <f t="array" ref="J5352">IFERROR(INDEX('Retirement Calculator'!K:K,MATCH('Lorri 401b'!N5352,'Retirement Calculator'!A:A,0),0),0)</f>
        <v>0</v>
      </c>
      <c r="K5352" s="455">
        <f t="shared" ca="1" si="183"/>
        <v>-8084183398319.0088</v>
      </c>
      <c r="L5352" s="455">
        <f t="shared" ca="1" si="184"/>
        <v>-1948288198994881.3</v>
      </c>
      <c r="M5352" s="471">
        <f t="shared" si="186"/>
        <v>0.05</v>
      </c>
      <c r="N5352" s="475">
        <f t="shared" si="187"/>
        <v>213943</v>
      </c>
    </row>
    <row r="5353" spans="7:14" ht="11.25" customHeight="1" x14ac:dyDescent="0.3">
      <c r="G5353" s="470"/>
      <c r="H5353" s="470">
        <v>5346</v>
      </c>
      <c r="I5353" s="455">
        <f t="shared" ca="1" si="185"/>
        <v>-1948288198994881.3</v>
      </c>
      <c r="J5353" s="455">
        <f t="array" ref="J5353">IFERROR(INDEX('Retirement Calculator'!K:K,MATCH('Lorri 401b'!N5353,'Retirement Calculator'!A:A,0),0),0)</f>
        <v>0</v>
      </c>
      <c r="K5353" s="455">
        <f t="shared" ca="1" si="183"/>
        <v>-8117867495812.0059</v>
      </c>
      <c r="L5353" s="455">
        <f t="shared" ca="1" si="184"/>
        <v>-1956406066490693.3</v>
      </c>
      <c r="M5353" s="471">
        <f t="shared" si="186"/>
        <v>0.05</v>
      </c>
      <c r="N5353" s="475">
        <f t="shared" si="187"/>
        <v>213974</v>
      </c>
    </row>
    <row r="5354" spans="7:14" ht="11.25" customHeight="1" x14ac:dyDescent="0.3">
      <c r="G5354" s="470"/>
      <c r="H5354" s="470">
        <v>5347</v>
      </c>
      <c r="I5354" s="455">
        <f t="shared" ca="1" si="185"/>
        <v>-1956406066490693.3</v>
      </c>
      <c r="J5354" s="455">
        <f t="array" ref="J5354">IFERROR(INDEX('Retirement Calculator'!K:K,MATCH('Lorri 401b'!N5354,'Retirement Calculator'!A:A,0),0),0)</f>
        <v>0</v>
      </c>
      <c r="K5354" s="455">
        <f t="shared" ca="1" si="183"/>
        <v>-8151691943711.2217</v>
      </c>
      <c r="L5354" s="455">
        <f t="shared" ca="1" si="184"/>
        <v>-1964557758434404.5</v>
      </c>
      <c r="M5354" s="471">
        <f t="shared" si="186"/>
        <v>0.05</v>
      </c>
      <c r="N5354" s="475">
        <f t="shared" si="187"/>
        <v>214004</v>
      </c>
    </row>
    <row r="5355" spans="7:14" ht="11.25" customHeight="1" x14ac:dyDescent="0.3">
      <c r="G5355" s="470"/>
      <c r="H5355" s="470">
        <v>5348</v>
      </c>
      <c r="I5355" s="455">
        <f t="shared" ca="1" si="185"/>
        <v>-1964557758434404.5</v>
      </c>
      <c r="J5355" s="455">
        <f t="array" ref="J5355">IFERROR(INDEX('Retirement Calculator'!K:K,MATCH('Lorri 401b'!N5355,'Retirement Calculator'!A:A,0),0),0)</f>
        <v>0</v>
      </c>
      <c r="K5355" s="455">
        <f t="shared" ca="1" si="183"/>
        <v>-8185657326810.0186</v>
      </c>
      <c r="L5355" s="455">
        <f t="shared" ca="1" si="184"/>
        <v>-1972743415761214.5</v>
      </c>
      <c r="M5355" s="471">
        <f t="shared" si="186"/>
        <v>0.05</v>
      </c>
      <c r="N5355" s="475">
        <f t="shared" si="187"/>
        <v>214035</v>
      </c>
    </row>
    <row r="5356" spans="7:14" ht="11.25" customHeight="1" x14ac:dyDescent="0.3">
      <c r="G5356" s="470"/>
      <c r="H5356" s="470">
        <v>5349</v>
      </c>
      <c r="I5356" s="455">
        <f t="shared" ca="1" si="185"/>
        <v>-1972743415761214.5</v>
      </c>
      <c r="J5356" s="455">
        <f t="array" ref="J5356">IFERROR(INDEX('Retirement Calculator'!K:K,MATCH('Lorri 401b'!N5356,'Retirement Calculator'!A:A,0),0),0)</f>
        <v>0</v>
      </c>
      <c r="K5356" s="455">
        <f t="shared" ca="1" si="183"/>
        <v>-8219764232338.3936</v>
      </c>
      <c r="L5356" s="455">
        <f t="shared" ca="1" si="184"/>
        <v>-1980963179993553</v>
      </c>
      <c r="M5356" s="471">
        <f t="shared" si="186"/>
        <v>0.05</v>
      </c>
      <c r="N5356" s="475">
        <f t="shared" si="187"/>
        <v>214066</v>
      </c>
    </row>
    <row r="5357" spans="7:14" ht="11.25" customHeight="1" x14ac:dyDescent="0.3">
      <c r="G5357" s="470"/>
      <c r="H5357" s="470">
        <v>5350</v>
      </c>
      <c r="I5357" s="455">
        <f t="shared" ca="1" si="185"/>
        <v>-1980963179993553</v>
      </c>
      <c r="J5357" s="455">
        <f t="array" ref="J5357">IFERROR(INDEX('Retirement Calculator'!K:K,MATCH('Lorri 401b'!N5357,'Retirement Calculator'!A:A,0),0),0)</f>
        <v>0</v>
      </c>
      <c r="K5357" s="455">
        <f t="shared" ca="1" si="183"/>
        <v>-8254013249973.1387</v>
      </c>
      <c r="L5357" s="455">
        <f t="shared" ca="1" si="184"/>
        <v>-1989217193243526.3</v>
      </c>
      <c r="M5357" s="471">
        <f t="shared" si="186"/>
        <v>0.05</v>
      </c>
      <c r="N5357" s="475">
        <f t="shared" si="187"/>
        <v>214094</v>
      </c>
    </row>
    <row r="5358" spans="7:14" ht="11.25" customHeight="1" x14ac:dyDescent="0.3">
      <c r="G5358" s="470"/>
      <c r="H5358" s="470">
        <v>5351</v>
      </c>
      <c r="I5358" s="455">
        <f t="shared" ca="1" si="185"/>
        <v>-1989217193243526.3</v>
      </c>
      <c r="J5358" s="455">
        <f t="array" ref="J5358">IFERROR(INDEX('Retirement Calculator'!K:K,MATCH('Lorri 401b'!N5358,'Retirement Calculator'!A:A,0),0),0)</f>
        <v>0</v>
      </c>
      <c r="K5358" s="455">
        <f t="shared" ca="1" si="183"/>
        <v>-8288404971848.0264</v>
      </c>
      <c r="L5358" s="455">
        <f t="shared" ca="1" si="184"/>
        <v>-1997505598215374.3</v>
      </c>
      <c r="M5358" s="471">
        <f t="shared" si="186"/>
        <v>0.05</v>
      </c>
      <c r="N5358" s="475">
        <f t="shared" si="187"/>
        <v>214125</v>
      </c>
    </row>
    <row r="5359" spans="7:14" ht="11.25" customHeight="1" x14ac:dyDescent="0.3">
      <c r="G5359" s="470"/>
      <c r="H5359" s="470">
        <v>5352</v>
      </c>
      <c r="I5359" s="455">
        <f t="shared" ca="1" si="185"/>
        <v>-1997505598215374.3</v>
      </c>
      <c r="J5359" s="455">
        <f t="array" ref="J5359">IFERROR(INDEX('Retirement Calculator'!K:K,MATCH('Lorri 401b'!N5359,'Retirement Calculator'!A:A,0),0),0)</f>
        <v>0</v>
      </c>
      <c r="K5359" s="455">
        <f t="shared" ca="1" si="183"/>
        <v>-8322939992564.0596</v>
      </c>
      <c r="L5359" s="455">
        <f t="shared" ca="1" si="184"/>
        <v>-2005828538207938.3</v>
      </c>
      <c r="M5359" s="471">
        <f t="shared" si="186"/>
        <v>0.05</v>
      </c>
      <c r="N5359" s="475">
        <f t="shared" si="187"/>
        <v>214155</v>
      </c>
    </row>
    <row r="5360" spans="7:14" ht="11.25" customHeight="1" x14ac:dyDescent="0.3">
      <c r="G5360" s="470"/>
      <c r="H5360" s="470">
        <v>5353</v>
      </c>
      <c r="I5360" s="455">
        <f t="shared" ca="1" si="185"/>
        <v>-2005828538207938.3</v>
      </c>
      <c r="J5360" s="455">
        <f t="array" ref="J5360">IFERROR(INDEX('Retirement Calculator'!K:K,MATCH('Lorri 401b'!N5360,'Retirement Calculator'!A:A,0),0),0)</f>
        <v>0</v>
      </c>
      <c r="K5360" s="455">
        <f t="shared" ca="1" si="183"/>
        <v>-8357618909199.7432</v>
      </c>
      <c r="L5360" s="455">
        <f t="shared" ca="1" si="184"/>
        <v>-2014186157117138</v>
      </c>
      <c r="M5360" s="471">
        <f t="shared" si="186"/>
        <v>0.05</v>
      </c>
      <c r="N5360" s="475">
        <f t="shared" si="187"/>
        <v>214186</v>
      </c>
    </row>
    <row r="5361" spans="7:14" ht="11.25" customHeight="1" x14ac:dyDescent="0.3">
      <c r="G5361" s="470"/>
      <c r="H5361" s="470">
        <v>5354</v>
      </c>
      <c r="I5361" s="455">
        <f t="shared" ca="1" si="185"/>
        <v>-2014186157117138</v>
      </c>
      <c r="J5361" s="455">
        <f t="array" ref="J5361">IFERROR(INDEX('Retirement Calculator'!K:K,MATCH('Lorri 401b'!N5361,'Retirement Calculator'!A:A,0),0),0)</f>
        <v>0</v>
      </c>
      <c r="K5361" s="455">
        <f t="shared" ca="1" si="183"/>
        <v>-8392442321321.4092</v>
      </c>
      <c r="L5361" s="455">
        <f t="shared" ca="1" si="184"/>
        <v>-2022578599438459.5</v>
      </c>
      <c r="M5361" s="471">
        <f t="shared" si="186"/>
        <v>0.05</v>
      </c>
      <c r="N5361" s="475">
        <f t="shared" si="187"/>
        <v>214216</v>
      </c>
    </row>
    <row r="5362" spans="7:14" ht="11.25" customHeight="1" x14ac:dyDescent="0.3">
      <c r="G5362" s="470"/>
      <c r="H5362" s="470">
        <v>5355</v>
      </c>
      <c r="I5362" s="455">
        <f t="shared" ca="1" si="185"/>
        <v>-2022578599438459.5</v>
      </c>
      <c r="J5362" s="455">
        <f t="array" ref="J5362">IFERROR(INDEX('Retirement Calculator'!K:K,MATCH('Lorri 401b'!N5362,'Retirement Calculator'!A:A,0),0),0)</f>
        <v>0</v>
      </c>
      <c r="K5362" s="455">
        <f t="shared" ca="1" si="183"/>
        <v>-8427410830993.5811</v>
      </c>
      <c r="L5362" s="455">
        <f t="shared" ca="1" si="184"/>
        <v>-2031006010269453</v>
      </c>
      <c r="M5362" s="471">
        <f t="shared" si="186"/>
        <v>0.05</v>
      </c>
      <c r="N5362" s="475">
        <f t="shared" si="187"/>
        <v>214247</v>
      </c>
    </row>
    <row r="5363" spans="7:14" ht="11.25" customHeight="1" x14ac:dyDescent="0.3">
      <c r="G5363" s="470"/>
      <c r="H5363" s="470">
        <v>5356</v>
      </c>
      <c r="I5363" s="455">
        <f t="shared" ca="1" si="185"/>
        <v>-2031006010269453</v>
      </c>
      <c r="J5363" s="455">
        <f t="array" ref="J5363">IFERROR(INDEX('Retirement Calculator'!K:K,MATCH('Lorri 401b'!N5363,'Retirement Calculator'!A:A,0),0),0)</f>
        <v>0</v>
      </c>
      <c r="K5363" s="455">
        <f t="shared" ref="K5363:K5617" ca="1" si="188">IPMT(M5363/12,1,12,-I5363+J5363,,0)</f>
        <v>-8462525042789.3867</v>
      </c>
      <c r="L5363" s="455">
        <f t="shared" ref="L5363:L5617" ca="1" si="189">I5363-J5363+K5363</f>
        <v>-2039468535312242.5</v>
      </c>
      <c r="M5363" s="471">
        <f t="shared" si="186"/>
        <v>0.05</v>
      </c>
      <c r="N5363" s="475">
        <f t="shared" si="187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190">L5363</f>
        <v>-2039468535312242.5</v>
      </c>
      <c r="J5364" s="455">
        <f t="array" ref="J5364">IFERROR(INDEX('Retirement Calculator'!K:K,MATCH('Lorri 401b'!N5364,'Retirement Calculator'!A:A,0),0),0)</f>
        <v>0</v>
      </c>
      <c r="K5364" s="455">
        <f t="shared" ca="1" si="188"/>
        <v>-8497785563801.0107</v>
      </c>
      <c r="L5364" s="455">
        <f t="shared" ca="1" si="189"/>
        <v>-2047966320876043.5</v>
      </c>
      <c r="M5364" s="471">
        <f t="shared" ref="M5364:M5618" si="191">M5363</f>
        <v>0.05</v>
      </c>
      <c r="N5364" s="475">
        <f t="shared" ref="N5364:N5618" si="192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190"/>
        <v>-2047966320876043.5</v>
      </c>
      <c r="J5365" s="455">
        <f t="array" ref="J5365">IFERROR(INDEX('Retirement Calculator'!K:K,MATCH('Lorri 401b'!N5365,'Retirement Calculator'!A:A,0),0),0)</f>
        <v>0</v>
      </c>
      <c r="K5365" s="455">
        <f t="shared" ca="1" si="188"/>
        <v>-8533193003650.1807</v>
      </c>
      <c r="L5365" s="455">
        <f t="shared" ca="1" si="189"/>
        <v>-2056499513879693.8</v>
      </c>
      <c r="M5365" s="471">
        <f t="shared" si="191"/>
        <v>0.05</v>
      </c>
      <c r="N5365" s="475">
        <f t="shared" si="192"/>
        <v>214339</v>
      </c>
    </row>
    <row r="5366" spans="7:14" ht="11.25" customHeight="1" x14ac:dyDescent="0.3">
      <c r="G5366" s="470"/>
      <c r="H5366" s="470">
        <v>5359</v>
      </c>
      <c r="I5366" s="455">
        <f t="shared" ca="1" si="190"/>
        <v>-2056499513879693.8</v>
      </c>
      <c r="J5366" s="455">
        <f t="array" ref="J5366">IFERROR(INDEX('Retirement Calculator'!K:K,MATCH('Lorri 401b'!N5366,'Retirement Calculator'!A:A,0),0),0)</f>
        <v>0</v>
      </c>
      <c r="K5366" s="455">
        <f t="shared" ca="1" si="188"/>
        <v>-8568747974498.7246</v>
      </c>
      <c r="L5366" s="455">
        <f t="shared" ca="1" si="189"/>
        <v>-2065068261854192.5</v>
      </c>
      <c r="M5366" s="471">
        <f t="shared" si="191"/>
        <v>0.05</v>
      </c>
      <c r="N5366" s="475">
        <f t="shared" si="192"/>
        <v>214369</v>
      </c>
    </row>
    <row r="5367" spans="7:14" ht="11.25" customHeight="1" x14ac:dyDescent="0.3">
      <c r="G5367" s="470"/>
      <c r="H5367" s="470">
        <v>5360</v>
      </c>
      <c r="I5367" s="455">
        <f t="shared" ca="1" si="190"/>
        <v>-2065068261854192.5</v>
      </c>
      <c r="J5367" s="455">
        <f t="array" ref="J5367">IFERROR(INDEX('Retirement Calculator'!K:K,MATCH('Lorri 401b'!N5367,'Retirement Calculator'!A:A,0),0),0)</f>
        <v>0</v>
      </c>
      <c r="K5367" s="455">
        <f t="shared" ca="1" si="188"/>
        <v>-8604451091059.1367</v>
      </c>
      <c r="L5367" s="455">
        <f t="shared" ca="1" si="189"/>
        <v>-2073672712945251.8</v>
      </c>
      <c r="M5367" s="471">
        <f t="shared" si="191"/>
        <v>0.05</v>
      </c>
      <c r="N5367" s="475">
        <f t="shared" si="192"/>
        <v>214400</v>
      </c>
    </row>
    <row r="5368" spans="7:14" ht="11.25" customHeight="1" x14ac:dyDescent="0.3">
      <c r="G5368" s="470"/>
      <c r="H5368" s="470">
        <v>5361</v>
      </c>
      <c r="I5368" s="455">
        <f t="shared" ca="1" si="190"/>
        <v>-2073672712945251.8</v>
      </c>
      <c r="J5368" s="455">
        <f t="array" ref="J5368">IFERROR(INDEX('Retirement Calculator'!K:K,MATCH('Lorri 401b'!N5368,'Retirement Calculator'!A:A,0),0),0)</f>
        <v>0</v>
      </c>
      <c r="K5368" s="455">
        <f t="shared" ca="1" si="188"/>
        <v>-8640302970605.2158</v>
      </c>
      <c r="L5368" s="455">
        <f t="shared" ca="1" si="189"/>
        <v>-2082313015915857</v>
      </c>
      <c r="M5368" s="471">
        <f t="shared" si="191"/>
        <v>0.05</v>
      </c>
      <c r="N5368" s="475">
        <f t="shared" si="192"/>
        <v>214431</v>
      </c>
    </row>
    <row r="5369" spans="7:14" ht="11.25" customHeight="1" x14ac:dyDescent="0.3">
      <c r="G5369" s="470"/>
      <c r="H5369" s="470">
        <v>5362</v>
      </c>
      <c r="I5369" s="455">
        <f t="shared" ca="1" si="190"/>
        <v>-2082313015915857</v>
      </c>
      <c r="J5369" s="455">
        <f t="array" ref="J5369">IFERROR(INDEX('Retirement Calculator'!K:K,MATCH('Lorri 401b'!N5369,'Retirement Calculator'!A:A,0),0),0)</f>
        <v>0</v>
      </c>
      <c r="K5369" s="455">
        <f t="shared" ca="1" si="188"/>
        <v>-8676304232982.7373</v>
      </c>
      <c r="L5369" s="455">
        <f t="shared" ca="1" si="189"/>
        <v>-2090989320148839.8</v>
      </c>
      <c r="M5369" s="471">
        <f t="shared" si="191"/>
        <v>0.05</v>
      </c>
      <c r="N5369" s="475">
        <f t="shared" si="192"/>
        <v>214459</v>
      </c>
    </row>
    <row r="5370" spans="7:14" ht="11.25" customHeight="1" x14ac:dyDescent="0.3">
      <c r="G5370" s="470"/>
      <c r="H5370" s="470">
        <v>5363</v>
      </c>
      <c r="I5370" s="455">
        <f t="shared" ca="1" si="190"/>
        <v>-2090989320148839.8</v>
      </c>
      <c r="J5370" s="455">
        <f t="array" ref="J5370">IFERROR(INDEX('Retirement Calculator'!K:K,MATCH('Lorri 401b'!N5370,'Retirement Calculator'!A:A,0),0),0)</f>
        <v>0</v>
      </c>
      <c r="K5370" s="455">
        <f t="shared" ca="1" si="188"/>
        <v>-8712455500620.165</v>
      </c>
      <c r="L5370" s="455">
        <f t="shared" ca="1" si="189"/>
        <v>-2099701775649460</v>
      </c>
      <c r="M5370" s="471">
        <f t="shared" si="191"/>
        <v>0.05</v>
      </c>
      <c r="N5370" s="475">
        <f t="shared" si="192"/>
        <v>214490</v>
      </c>
    </row>
    <row r="5371" spans="7:14" ht="11.25" customHeight="1" x14ac:dyDescent="0.3">
      <c r="G5371" s="470"/>
      <c r="H5371" s="470">
        <v>5364</v>
      </c>
      <c r="I5371" s="455">
        <f t="shared" ca="1" si="190"/>
        <v>-2099701775649460</v>
      </c>
      <c r="J5371" s="455">
        <f t="array" ref="J5371">IFERROR(INDEX('Retirement Calculator'!K:K,MATCH('Lorri 401b'!N5371,'Retirement Calculator'!A:A,0),0),0)</f>
        <v>0</v>
      </c>
      <c r="K5371" s="455">
        <f t="shared" ca="1" si="188"/>
        <v>-8748757398539.417</v>
      </c>
      <c r="L5371" s="455">
        <f t="shared" ca="1" si="189"/>
        <v>-2108450533047999.5</v>
      </c>
      <c r="M5371" s="471">
        <f t="shared" si="191"/>
        <v>0.05</v>
      </c>
      <c r="N5371" s="475">
        <f t="shared" si="192"/>
        <v>214520</v>
      </c>
    </row>
    <row r="5372" spans="7:14" ht="11.25" customHeight="1" x14ac:dyDescent="0.3">
      <c r="G5372" s="470"/>
      <c r="H5372" s="470">
        <v>5365</v>
      </c>
      <c r="I5372" s="455">
        <f t="shared" ca="1" si="190"/>
        <v>-2108450533047999.5</v>
      </c>
      <c r="J5372" s="455">
        <f t="array" ref="J5372">IFERROR(INDEX('Retirement Calculator'!K:K,MATCH('Lorri 401b'!N5372,'Retirement Calculator'!A:A,0),0),0)</f>
        <v>0</v>
      </c>
      <c r="K5372" s="455">
        <f t="shared" ca="1" si="188"/>
        <v>-8785210554366.6641</v>
      </c>
      <c r="L5372" s="455">
        <f t="shared" ca="1" si="189"/>
        <v>-2117235743602366.3</v>
      </c>
      <c r="M5372" s="471">
        <f t="shared" si="191"/>
        <v>0.05</v>
      </c>
      <c r="N5372" s="475">
        <f t="shared" si="192"/>
        <v>214551</v>
      </c>
    </row>
    <row r="5373" spans="7:14" ht="11.25" customHeight="1" x14ac:dyDescent="0.3">
      <c r="G5373" s="470"/>
      <c r="H5373" s="470">
        <v>5366</v>
      </c>
      <c r="I5373" s="455">
        <f t="shared" ca="1" si="190"/>
        <v>-2117235743602366.3</v>
      </c>
      <c r="J5373" s="455">
        <f t="array" ref="J5373">IFERROR(INDEX('Retirement Calculator'!K:K,MATCH('Lorri 401b'!N5373,'Retirement Calculator'!A:A,0),0),0)</f>
        <v>0</v>
      </c>
      <c r="K5373" s="455">
        <f t="shared" ca="1" si="188"/>
        <v>-8821815598343.1934</v>
      </c>
      <c r="L5373" s="455">
        <f t="shared" ca="1" si="189"/>
        <v>-2126057559200709.5</v>
      </c>
      <c r="M5373" s="471">
        <f t="shared" si="191"/>
        <v>0.05</v>
      </c>
      <c r="N5373" s="475">
        <f t="shared" si="192"/>
        <v>214581</v>
      </c>
    </row>
    <row r="5374" spans="7:14" ht="11.25" customHeight="1" x14ac:dyDescent="0.3">
      <c r="G5374" s="470"/>
      <c r="H5374" s="470">
        <v>5367</v>
      </c>
      <c r="I5374" s="455">
        <f t="shared" ca="1" si="190"/>
        <v>-2126057559200709.5</v>
      </c>
      <c r="J5374" s="455">
        <f t="array" ref="J5374">IFERROR(INDEX('Retirement Calculator'!K:K,MATCH('Lorri 401b'!N5374,'Retirement Calculator'!A:A,0),0),0)</f>
        <v>0</v>
      </c>
      <c r="K5374" s="455">
        <f t="shared" ca="1" si="188"/>
        <v>-8858573163336.2891</v>
      </c>
      <c r="L5374" s="455">
        <f t="shared" ca="1" si="189"/>
        <v>-2134916132364045.8</v>
      </c>
      <c r="M5374" s="471">
        <f t="shared" si="191"/>
        <v>0.05</v>
      </c>
      <c r="N5374" s="475">
        <f t="shared" si="192"/>
        <v>214612</v>
      </c>
    </row>
    <row r="5375" spans="7:14" ht="11.25" customHeight="1" x14ac:dyDescent="0.3">
      <c r="G5375" s="470"/>
      <c r="H5375" s="470">
        <v>5368</v>
      </c>
      <c r="I5375" s="455">
        <f t="shared" ca="1" si="190"/>
        <v>-2134916132364045.8</v>
      </c>
      <c r="J5375" s="455">
        <f t="array" ref="J5375">IFERROR(INDEX('Retirement Calculator'!K:K,MATCH('Lorri 401b'!N5375,'Retirement Calculator'!A:A,0),0),0)</f>
        <v>0</v>
      </c>
      <c r="K5375" s="455">
        <f t="shared" ca="1" si="188"/>
        <v>-8895483884850.1914</v>
      </c>
      <c r="L5375" s="455">
        <f t="shared" ca="1" si="189"/>
        <v>-2143811616248896</v>
      </c>
      <c r="M5375" s="471">
        <f t="shared" si="191"/>
        <v>0.05</v>
      </c>
      <c r="N5375" s="475">
        <f t="shared" si="192"/>
        <v>214643</v>
      </c>
    </row>
    <row r="5376" spans="7:14" ht="11.25" customHeight="1" x14ac:dyDescent="0.3">
      <c r="G5376" s="470"/>
      <c r="H5376" s="470">
        <v>5369</v>
      </c>
      <c r="I5376" s="455">
        <f t="shared" ca="1" si="190"/>
        <v>-2143811616248896</v>
      </c>
      <c r="J5376" s="455">
        <f t="array" ref="J5376">IFERROR(INDEX('Retirement Calculator'!K:K,MATCH('Lorri 401b'!N5376,'Retirement Calculator'!A:A,0),0),0)</f>
        <v>0</v>
      </c>
      <c r="K5376" s="455">
        <f t="shared" ca="1" si="188"/>
        <v>-8932548401037.0664</v>
      </c>
      <c r="L5376" s="455">
        <f t="shared" ca="1" si="189"/>
        <v>-2152744164649933</v>
      </c>
      <c r="M5376" s="471">
        <f t="shared" si="191"/>
        <v>0.05</v>
      </c>
      <c r="N5376" s="475">
        <f t="shared" si="192"/>
        <v>214673</v>
      </c>
    </row>
    <row r="5377" spans="7:14" ht="11.25" customHeight="1" x14ac:dyDescent="0.3">
      <c r="G5377" s="470"/>
      <c r="H5377" s="470">
        <v>5370</v>
      </c>
      <c r="I5377" s="455">
        <f t="shared" ca="1" si="190"/>
        <v>-2152744164649933</v>
      </c>
      <c r="J5377" s="455">
        <f t="array" ref="J5377">IFERROR(INDEX('Retirement Calculator'!K:K,MATCH('Lorri 401b'!N5377,'Retirement Calculator'!A:A,0),0),0)</f>
        <v>0</v>
      </c>
      <c r="K5377" s="455">
        <f t="shared" ca="1" si="188"/>
        <v>-8969767352708.0547</v>
      </c>
      <c r="L5377" s="455">
        <f t="shared" ca="1" si="189"/>
        <v>-2161713932002641</v>
      </c>
      <c r="M5377" s="471">
        <f t="shared" si="191"/>
        <v>0.05</v>
      </c>
      <c r="N5377" s="475">
        <f t="shared" si="192"/>
        <v>214704</v>
      </c>
    </row>
    <row r="5378" spans="7:14" ht="11.25" customHeight="1" x14ac:dyDescent="0.3">
      <c r="G5378" s="470"/>
      <c r="H5378" s="470">
        <v>5371</v>
      </c>
      <c r="I5378" s="455">
        <f t="shared" ca="1" si="190"/>
        <v>-2161713932002641</v>
      </c>
      <c r="J5378" s="455">
        <f t="array" ref="J5378">IFERROR(INDEX('Retirement Calculator'!K:K,MATCH('Lorri 401b'!N5378,'Retirement Calculator'!A:A,0),0),0)</f>
        <v>0</v>
      </c>
      <c r="K5378" s="455">
        <f t="shared" ca="1" si="188"/>
        <v>-9007141383344.3379</v>
      </c>
      <c r="L5378" s="455">
        <f t="shared" ca="1" si="189"/>
        <v>-2170721073385985.3</v>
      </c>
      <c r="M5378" s="471">
        <f t="shared" si="191"/>
        <v>0.05</v>
      </c>
      <c r="N5378" s="475">
        <f t="shared" si="192"/>
        <v>214734</v>
      </c>
    </row>
    <row r="5379" spans="7:14" ht="11.25" customHeight="1" x14ac:dyDescent="0.3">
      <c r="G5379" s="470"/>
      <c r="H5379" s="470">
        <v>5372</v>
      </c>
      <c r="I5379" s="455">
        <f t="shared" ca="1" si="190"/>
        <v>-2170721073385985.3</v>
      </c>
      <c r="J5379" s="455">
        <f t="array" ref="J5379">IFERROR(INDEX('Retirement Calculator'!K:K,MATCH('Lorri 401b'!N5379,'Retirement Calculator'!A:A,0),0),0)</f>
        <v>0</v>
      </c>
      <c r="K5379" s="455">
        <f t="shared" ca="1" si="188"/>
        <v>-9044671139108.2734</v>
      </c>
      <c r="L5379" s="455">
        <f t="shared" ca="1" si="189"/>
        <v>-2179765744525093.5</v>
      </c>
      <c r="M5379" s="471">
        <f t="shared" si="191"/>
        <v>0.05</v>
      </c>
      <c r="N5379" s="475">
        <f t="shared" si="192"/>
        <v>214765</v>
      </c>
    </row>
    <row r="5380" spans="7:14" ht="11.25" customHeight="1" x14ac:dyDescent="0.3">
      <c r="G5380" s="470"/>
      <c r="H5380" s="470">
        <v>5373</v>
      </c>
      <c r="I5380" s="455">
        <f t="shared" ca="1" si="190"/>
        <v>-2179765744525093.5</v>
      </c>
      <c r="J5380" s="455">
        <f t="array" ref="J5380">IFERROR(INDEX('Retirement Calculator'!K:K,MATCH('Lorri 401b'!N5380,'Retirement Calculator'!A:A,0),0),0)</f>
        <v>0</v>
      </c>
      <c r="K5380" s="455">
        <f t="shared" ca="1" si="188"/>
        <v>-9082357268854.5566</v>
      </c>
      <c r="L5380" s="455">
        <f t="shared" ca="1" si="189"/>
        <v>-2188848101793948</v>
      </c>
      <c r="M5380" s="471">
        <f t="shared" si="191"/>
        <v>0.05</v>
      </c>
      <c r="N5380" s="475">
        <f t="shared" si="192"/>
        <v>214796</v>
      </c>
    </row>
    <row r="5381" spans="7:14" ht="11.25" customHeight="1" x14ac:dyDescent="0.3">
      <c r="G5381" s="470"/>
      <c r="H5381" s="470">
        <v>5374</v>
      </c>
      <c r="I5381" s="455">
        <f t="shared" ca="1" si="190"/>
        <v>-2188848101793948</v>
      </c>
      <c r="J5381" s="455">
        <f t="array" ref="J5381">IFERROR(INDEX('Retirement Calculator'!K:K,MATCH('Lorri 401b'!N5381,'Retirement Calculator'!A:A,0),0),0)</f>
        <v>0</v>
      </c>
      <c r="K5381" s="455">
        <f t="shared" ca="1" si="188"/>
        <v>-9120200424141.4492</v>
      </c>
      <c r="L5381" s="455">
        <f t="shared" ca="1" si="189"/>
        <v>-2197968302218089.5</v>
      </c>
      <c r="M5381" s="471">
        <f t="shared" si="191"/>
        <v>0.05</v>
      </c>
      <c r="N5381" s="475">
        <f t="shared" si="192"/>
        <v>214825</v>
      </c>
    </row>
    <row r="5382" spans="7:14" ht="11.25" customHeight="1" x14ac:dyDescent="0.3">
      <c r="G5382" s="470"/>
      <c r="H5382" s="470">
        <v>5375</v>
      </c>
      <c r="I5382" s="455">
        <f t="shared" ca="1" si="190"/>
        <v>-2197968302218089.5</v>
      </c>
      <c r="J5382" s="455">
        <f t="array" ref="J5382">IFERROR(INDEX('Retirement Calculator'!K:K,MATCH('Lorri 401b'!N5382,'Retirement Calculator'!A:A,0),0),0)</f>
        <v>0</v>
      </c>
      <c r="K5382" s="455">
        <f t="shared" ca="1" si="188"/>
        <v>-9158201259242.0391</v>
      </c>
      <c r="L5382" s="455">
        <f t="shared" ca="1" si="189"/>
        <v>-2207126503477331.5</v>
      </c>
      <c r="M5382" s="471">
        <f t="shared" si="191"/>
        <v>0.05</v>
      </c>
      <c r="N5382" s="475">
        <f t="shared" si="192"/>
        <v>214856</v>
      </c>
    </row>
    <row r="5383" spans="7:14" ht="11.25" customHeight="1" x14ac:dyDescent="0.3">
      <c r="G5383" s="470"/>
      <c r="H5383" s="470">
        <v>5376</v>
      </c>
      <c r="I5383" s="455">
        <f t="shared" ca="1" si="190"/>
        <v>-2207126503477331.5</v>
      </c>
      <c r="J5383" s="455">
        <f t="array" ref="J5383">IFERROR(INDEX('Retirement Calculator'!K:K,MATCH('Lorri 401b'!N5383,'Retirement Calculator'!A:A,0),0),0)</f>
        <v>0</v>
      </c>
      <c r="K5383" s="455">
        <f t="shared" ca="1" si="188"/>
        <v>-9196360431155.5488</v>
      </c>
      <c r="L5383" s="455">
        <f t="shared" ca="1" si="189"/>
        <v>-2216322863908487</v>
      </c>
      <c r="M5383" s="471">
        <f t="shared" si="191"/>
        <v>0.05</v>
      </c>
      <c r="N5383" s="475">
        <f t="shared" si="192"/>
        <v>214886</v>
      </c>
    </row>
    <row r="5384" spans="7:14" ht="11.25" customHeight="1" x14ac:dyDescent="0.3">
      <c r="G5384" s="470"/>
      <c r="H5384" s="470">
        <v>5377</v>
      </c>
      <c r="I5384" s="455">
        <f t="shared" ca="1" si="190"/>
        <v>-2216322863908487</v>
      </c>
      <c r="J5384" s="455">
        <f t="array" ref="J5384">IFERROR(INDEX('Retirement Calculator'!K:K,MATCH('Lorri 401b'!N5384,'Retirement Calculator'!A:A,0),0),0)</f>
        <v>0</v>
      </c>
      <c r="K5384" s="455">
        <f t="shared" ca="1" si="188"/>
        <v>-9234678599618.6953</v>
      </c>
      <c r="L5384" s="455">
        <f t="shared" ca="1" si="189"/>
        <v>-2225557542508105.8</v>
      </c>
      <c r="M5384" s="471">
        <f t="shared" si="191"/>
        <v>0.05</v>
      </c>
      <c r="N5384" s="475">
        <f t="shared" si="192"/>
        <v>214917</v>
      </c>
    </row>
    <row r="5385" spans="7:14" ht="11.25" customHeight="1" x14ac:dyDescent="0.3">
      <c r="G5385" s="470"/>
      <c r="H5385" s="470">
        <v>5378</v>
      </c>
      <c r="I5385" s="455">
        <f t="shared" ca="1" si="190"/>
        <v>-2225557542508105.8</v>
      </c>
      <c r="J5385" s="455">
        <f t="array" ref="J5385">IFERROR(INDEX('Retirement Calculator'!K:K,MATCH('Lorri 401b'!N5385,'Retirement Calculator'!A:A,0),0),0)</f>
        <v>0</v>
      </c>
      <c r="K5385" s="455">
        <f t="shared" ca="1" si="188"/>
        <v>-9273156427117.1074</v>
      </c>
      <c r="L5385" s="455">
        <f t="shared" ca="1" si="189"/>
        <v>-2234830698935222.8</v>
      </c>
      <c r="M5385" s="471">
        <f t="shared" si="191"/>
        <v>0.05</v>
      </c>
      <c r="N5385" s="475">
        <f t="shared" si="192"/>
        <v>214947</v>
      </c>
    </row>
    <row r="5386" spans="7:14" ht="11.25" customHeight="1" x14ac:dyDescent="0.3">
      <c r="G5386" s="470"/>
      <c r="H5386" s="470">
        <v>5379</v>
      </c>
      <c r="I5386" s="455">
        <f t="shared" ca="1" si="190"/>
        <v>-2234830698935222.8</v>
      </c>
      <c r="J5386" s="455">
        <f t="array" ref="J5386">IFERROR(INDEX('Retirement Calculator'!K:K,MATCH('Lorri 401b'!N5386,'Retirement Calculator'!A:A,0),0),0)</f>
        <v>0</v>
      </c>
      <c r="K5386" s="455">
        <f t="shared" ca="1" si="188"/>
        <v>-9311794578896.7598</v>
      </c>
      <c r="L5386" s="455">
        <f t="shared" ca="1" si="189"/>
        <v>-2244142493514119.5</v>
      </c>
      <c r="M5386" s="471">
        <f t="shared" si="191"/>
        <v>0.05</v>
      </c>
      <c r="N5386" s="475">
        <f t="shared" si="192"/>
        <v>214978</v>
      </c>
    </row>
    <row r="5387" spans="7:14" ht="11.25" customHeight="1" x14ac:dyDescent="0.3">
      <c r="G5387" s="470"/>
      <c r="H5387" s="470">
        <v>5380</v>
      </c>
      <c r="I5387" s="455">
        <f t="shared" ca="1" si="190"/>
        <v>-2244142493514119.5</v>
      </c>
      <c r="J5387" s="455">
        <f t="array" ref="J5387">IFERROR(INDEX('Retirement Calculator'!K:K,MATCH('Lorri 401b'!N5387,'Retirement Calculator'!A:A,0),0),0)</f>
        <v>0</v>
      </c>
      <c r="K5387" s="455">
        <f t="shared" ca="1" si="188"/>
        <v>-9350593722975.498</v>
      </c>
      <c r="L5387" s="455">
        <f t="shared" ca="1" si="189"/>
        <v>-2253493087237095</v>
      </c>
      <c r="M5387" s="471">
        <f t="shared" si="191"/>
        <v>0.05</v>
      </c>
      <c r="N5387" s="475">
        <f t="shared" si="192"/>
        <v>215009</v>
      </c>
    </row>
    <row r="5388" spans="7:14" ht="11.25" customHeight="1" x14ac:dyDescent="0.3">
      <c r="G5388" s="470"/>
      <c r="H5388" s="470">
        <v>5381</v>
      </c>
      <c r="I5388" s="455">
        <f t="shared" ca="1" si="190"/>
        <v>-2253493087237095</v>
      </c>
      <c r="J5388" s="455">
        <f t="array" ref="J5388">IFERROR(INDEX('Retirement Calculator'!K:K,MATCH('Lorri 401b'!N5388,'Retirement Calculator'!A:A,0),0),0)</f>
        <v>0</v>
      </c>
      <c r="K5388" s="455">
        <f t="shared" ca="1" si="188"/>
        <v>-9389554530154.5625</v>
      </c>
      <c r="L5388" s="455">
        <f t="shared" ca="1" si="189"/>
        <v>-2262882641767249.5</v>
      </c>
      <c r="M5388" s="471">
        <f t="shared" si="191"/>
        <v>0.05</v>
      </c>
      <c r="N5388" s="475">
        <f t="shared" si="192"/>
        <v>215039</v>
      </c>
    </row>
    <row r="5389" spans="7:14" ht="11.25" customHeight="1" x14ac:dyDescent="0.3">
      <c r="G5389" s="470"/>
      <c r="H5389" s="470">
        <v>5382</v>
      </c>
      <c r="I5389" s="455">
        <f t="shared" ca="1" si="190"/>
        <v>-2262882641767249.5</v>
      </c>
      <c r="J5389" s="455">
        <f t="array" ref="J5389">IFERROR(INDEX('Retirement Calculator'!K:K,MATCH('Lorri 401b'!N5389,'Retirement Calculator'!A:A,0),0),0)</f>
        <v>0</v>
      </c>
      <c r="K5389" s="455">
        <f t="shared" ca="1" si="188"/>
        <v>-9428677674030.207</v>
      </c>
      <c r="L5389" s="455">
        <f t="shared" ca="1" si="189"/>
        <v>-2272311319441279.5</v>
      </c>
      <c r="M5389" s="471">
        <f t="shared" si="191"/>
        <v>0.05</v>
      </c>
      <c r="N5389" s="475">
        <f t="shared" si="192"/>
        <v>215070</v>
      </c>
    </row>
    <row r="5390" spans="7:14" ht="11.25" customHeight="1" x14ac:dyDescent="0.3">
      <c r="G5390" s="470"/>
      <c r="H5390" s="470">
        <v>5383</v>
      </c>
      <c r="I5390" s="455">
        <f t="shared" ca="1" si="190"/>
        <v>-2272311319441279.5</v>
      </c>
      <c r="J5390" s="455">
        <f t="array" ref="J5390">IFERROR(INDEX('Retirement Calculator'!K:K,MATCH('Lorri 401b'!N5390,'Retirement Calculator'!A:A,0),0),0)</f>
        <v>0</v>
      </c>
      <c r="K5390" s="455">
        <f t="shared" ca="1" si="188"/>
        <v>-9467963831005.332</v>
      </c>
      <c r="L5390" s="455">
        <f t="shared" ca="1" si="189"/>
        <v>-2281779283272285</v>
      </c>
      <c r="M5390" s="471">
        <f t="shared" si="191"/>
        <v>0.05</v>
      </c>
      <c r="N5390" s="475">
        <f t="shared" si="192"/>
        <v>215100</v>
      </c>
    </row>
    <row r="5391" spans="7:14" ht="11.25" customHeight="1" x14ac:dyDescent="0.3">
      <c r="G5391" s="470"/>
      <c r="H5391" s="470">
        <v>5384</v>
      </c>
      <c r="I5391" s="455">
        <f t="shared" ca="1" si="190"/>
        <v>-2281779283272285</v>
      </c>
      <c r="J5391" s="455">
        <f t="array" ref="J5391">IFERROR(INDEX('Retirement Calculator'!K:K,MATCH('Lorri 401b'!N5391,'Retirement Calculator'!A:A,0),0),0)</f>
        <v>0</v>
      </c>
      <c r="K5391" s="455">
        <f t="shared" ca="1" si="188"/>
        <v>-9507413680301.1875</v>
      </c>
      <c r="L5391" s="455">
        <f t="shared" ca="1" si="189"/>
        <v>-2291286696952586</v>
      </c>
      <c r="M5391" s="471">
        <f t="shared" si="191"/>
        <v>0.05</v>
      </c>
      <c r="N5391" s="475">
        <f t="shared" si="192"/>
        <v>215131</v>
      </c>
    </row>
    <row r="5392" spans="7:14" ht="11.25" customHeight="1" x14ac:dyDescent="0.3">
      <c r="G5392" s="470"/>
      <c r="H5392" s="470">
        <v>5385</v>
      </c>
      <c r="I5392" s="455">
        <f t="shared" ca="1" si="190"/>
        <v>-2291286696952586</v>
      </c>
      <c r="J5392" s="455">
        <f t="array" ref="J5392">IFERROR(INDEX('Retirement Calculator'!K:K,MATCH('Lorri 401b'!N5392,'Retirement Calculator'!A:A,0),0),0)</f>
        <v>0</v>
      </c>
      <c r="K5392" s="455">
        <f t="shared" ca="1" si="188"/>
        <v>-9547027903969.1074</v>
      </c>
      <c r="L5392" s="455">
        <f t="shared" ca="1" si="189"/>
        <v>-2300833724856555</v>
      </c>
      <c r="M5392" s="471">
        <f t="shared" si="191"/>
        <v>0.05</v>
      </c>
      <c r="N5392" s="475">
        <f t="shared" si="192"/>
        <v>215162</v>
      </c>
    </row>
    <row r="5393" spans="7:14" ht="11.25" customHeight="1" x14ac:dyDescent="0.3">
      <c r="G5393" s="470"/>
      <c r="H5393" s="470">
        <v>5386</v>
      </c>
      <c r="I5393" s="455">
        <f t="shared" ca="1" si="190"/>
        <v>-2300833724856555</v>
      </c>
      <c r="J5393" s="455">
        <f t="array" ref="J5393">IFERROR(INDEX('Retirement Calculator'!K:K,MATCH('Lorri 401b'!N5393,'Retirement Calculator'!A:A,0),0),0)</f>
        <v>0</v>
      </c>
      <c r="K5393" s="455">
        <f t="shared" ca="1" si="188"/>
        <v>-9586807186902.3125</v>
      </c>
      <c r="L5393" s="455">
        <f t="shared" ca="1" si="189"/>
        <v>-2310420532043457.5</v>
      </c>
      <c r="M5393" s="471">
        <f t="shared" si="191"/>
        <v>0.05</v>
      </c>
      <c r="N5393" s="475">
        <f t="shared" si="192"/>
        <v>215190</v>
      </c>
    </row>
    <row r="5394" spans="7:14" ht="11.25" customHeight="1" x14ac:dyDescent="0.3">
      <c r="G5394" s="470"/>
      <c r="H5394" s="470">
        <v>5387</v>
      </c>
      <c r="I5394" s="455">
        <f t="shared" ca="1" si="190"/>
        <v>-2310420532043457.5</v>
      </c>
      <c r="J5394" s="455">
        <f t="array" ref="J5394">IFERROR(INDEX('Retirement Calculator'!K:K,MATCH('Lorri 401b'!N5394,'Retirement Calculator'!A:A,0),0),0)</f>
        <v>0</v>
      </c>
      <c r="K5394" s="455">
        <f t="shared" ca="1" si="188"/>
        <v>-9626752216847.7402</v>
      </c>
      <c r="L5394" s="455">
        <f t="shared" ca="1" si="189"/>
        <v>-2320047284260305</v>
      </c>
      <c r="M5394" s="471">
        <f t="shared" si="191"/>
        <v>0.05</v>
      </c>
      <c r="N5394" s="475">
        <f t="shared" si="192"/>
        <v>215221</v>
      </c>
    </row>
    <row r="5395" spans="7:14" ht="11.25" customHeight="1" x14ac:dyDescent="0.3">
      <c r="G5395" s="470"/>
      <c r="H5395" s="470">
        <v>5388</v>
      </c>
      <c r="I5395" s="455">
        <f t="shared" ca="1" si="190"/>
        <v>-2320047284260305</v>
      </c>
      <c r="J5395" s="455">
        <f t="array" ref="J5395">IFERROR(INDEX('Retirement Calculator'!K:K,MATCH('Lorri 401b'!N5395,'Retirement Calculator'!A:A,0),0),0)</f>
        <v>0</v>
      </c>
      <c r="K5395" s="455">
        <f t="shared" ca="1" si="188"/>
        <v>-9666863684417.9375</v>
      </c>
      <c r="L5395" s="455">
        <f t="shared" ca="1" si="189"/>
        <v>-2329714147944723</v>
      </c>
      <c r="M5395" s="471">
        <f t="shared" si="191"/>
        <v>0.05</v>
      </c>
      <c r="N5395" s="475">
        <f t="shared" si="192"/>
        <v>215251</v>
      </c>
    </row>
    <row r="5396" spans="7:14" ht="11.25" customHeight="1" x14ac:dyDescent="0.3">
      <c r="G5396" s="470"/>
      <c r="H5396" s="470">
        <v>5389</v>
      </c>
      <c r="I5396" s="455">
        <f t="shared" ca="1" si="190"/>
        <v>-2329714147944723</v>
      </c>
      <c r="J5396" s="455">
        <f t="array" ref="J5396">IFERROR(INDEX('Retirement Calculator'!K:K,MATCH('Lorri 401b'!N5396,'Retirement Calculator'!A:A,0),0),0)</f>
        <v>0</v>
      </c>
      <c r="K5396" s="455">
        <f t="shared" ca="1" si="188"/>
        <v>-9707142283103.0117</v>
      </c>
      <c r="L5396" s="455">
        <f t="shared" ca="1" si="189"/>
        <v>-2339421290227826</v>
      </c>
      <c r="M5396" s="471">
        <f t="shared" si="191"/>
        <v>0.05</v>
      </c>
      <c r="N5396" s="475">
        <f t="shared" si="192"/>
        <v>215282</v>
      </c>
    </row>
    <row r="5397" spans="7:14" ht="11.25" customHeight="1" x14ac:dyDescent="0.3">
      <c r="G5397" s="470"/>
      <c r="H5397" s="470">
        <v>5390</v>
      </c>
      <c r="I5397" s="455">
        <f t="shared" ca="1" si="190"/>
        <v>-2339421290227826</v>
      </c>
      <c r="J5397" s="455">
        <f t="array" ref="J5397">IFERROR(INDEX('Retirement Calculator'!K:K,MATCH('Lorri 401b'!N5397,'Retirement Calculator'!A:A,0),0),0)</f>
        <v>0</v>
      </c>
      <c r="K5397" s="455">
        <f t="shared" ca="1" si="188"/>
        <v>-9747588709282.6074</v>
      </c>
      <c r="L5397" s="455">
        <f t="shared" ca="1" si="189"/>
        <v>-2349168878937108.5</v>
      </c>
      <c r="M5397" s="471">
        <f t="shared" si="191"/>
        <v>0.05</v>
      </c>
      <c r="N5397" s="475">
        <f t="shared" si="192"/>
        <v>215312</v>
      </c>
    </row>
    <row r="5398" spans="7:14" ht="11.25" customHeight="1" x14ac:dyDescent="0.3">
      <c r="G5398" s="470"/>
      <c r="H5398" s="470">
        <v>5391</v>
      </c>
      <c r="I5398" s="455">
        <f t="shared" ca="1" si="190"/>
        <v>-2349168878937108.5</v>
      </c>
      <c r="J5398" s="455">
        <f t="array" ref="J5398">IFERROR(INDEX('Retirement Calculator'!K:K,MATCH('Lorri 401b'!N5398,'Retirement Calculator'!A:A,0),0),0)</f>
        <v>0</v>
      </c>
      <c r="K5398" s="455">
        <f t="shared" ca="1" si="188"/>
        <v>-9788203662237.9512</v>
      </c>
      <c r="L5398" s="455">
        <f t="shared" ca="1" si="189"/>
        <v>-2358957082599346.5</v>
      </c>
      <c r="M5398" s="471">
        <f t="shared" si="191"/>
        <v>0.05</v>
      </c>
      <c r="N5398" s="475">
        <f t="shared" si="192"/>
        <v>215343</v>
      </c>
    </row>
    <row r="5399" spans="7:14" ht="11.25" customHeight="1" x14ac:dyDescent="0.3">
      <c r="G5399" s="470"/>
      <c r="H5399" s="470">
        <v>5392</v>
      </c>
      <c r="I5399" s="455">
        <f t="shared" ca="1" si="190"/>
        <v>-2358957082599346.5</v>
      </c>
      <c r="J5399" s="455">
        <f t="array" ref="J5399">IFERROR(INDEX('Retirement Calculator'!K:K,MATCH('Lorri 401b'!N5399,'Retirement Calculator'!A:A,0),0),0)</f>
        <v>0</v>
      </c>
      <c r="K5399" s="455">
        <f t="shared" ca="1" si="188"/>
        <v>-9828987844163.9434</v>
      </c>
      <c r="L5399" s="455">
        <f t="shared" ca="1" si="189"/>
        <v>-2368786070443510.5</v>
      </c>
      <c r="M5399" s="471">
        <f t="shared" si="191"/>
        <v>0.05</v>
      </c>
      <c r="N5399" s="475">
        <f t="shared" si="192"/>
        <v>215374</v>
      </c>
    </row>
    <row r="5400" spans="7:14" ht="11.25" customHeight="1" x14ac:dyDescent="0.3">
      <c r="G5400" s="470"/>
      <c r="H5400" s="470">
        <v>5393</v>
      </c>
      <c r="I5400" s="455">
        <f t="shared" ca="1" si="190"/>
        <v>-2368786070443510.5</v>
      </c>
      <c r="J5400" s="455">
        <f t="array" ref="J5400">IFERROR(INDEX('Retirement Calculator'!K:K,MATCH('Lorri 401b'!N5400,'Retirement Calculator'!A:A,0),0),0)</f>
        <v>0</v>
      </c>
      <c r="K5400" s="455">
        <f t="shared" ca="1" si="188"/>
        <v>-9869941960181.293</v>
      </c>
      <c r="L5400" s="455">
        <f t="shared" ca="1" si="189"/>
        <v>-2378656012403692</v>
      </c>
      <c r="M5400" s="471">
        <f t="shared" si="191"/>
        <v>0.05</v>
      </c>
      <c r="N5400" s="475">
        <f t="shared" si="192"/>
        <v>215404</v>
      </c>
    </row>
    <row r="5401" spans="7:14" ht="11.25" customHeight="1" x14ac:dyDescent="0.3">
      <c r="G5401" s="470"/>
      <c r="H5401" s="470">
        <v>5394</v>
      </c>
      <c r="I5401" s="455">
        <f t="shared" ca="1" si="190"/>
        <v>-2378656012403692</v>
      </c>
      <c r="J5401" s="455">
        <f t="array" ref="J5401">IFERROR(INDEX('Retirement Calculator'!K:K,MATCH('Lorri 401b'!N5401,'Retirement Calculator'!A:A,0),0),0)</f>
        <v>0</v>
      </c>
      <c r="K5401" s="455">
        <f t="shared" ca="1" si="188"/>
        <v>-9911066718348.7168</v>
      </c>
      <c r="L5401" s="455">
        <f t="shared" ca="1" si="189"/>
        <v>-2388567079122040.5</v>
      </c>
      <c r="M5401" s="471">
        <f t="shared" si="191"/>
        <v>0.05</v>
      </c>
      <c r="N5401" s="475">
        <f t="shared" si="192"/>
        <v>215435</v>
      </c>
    </row>
    <row r="5402" spans="7:14" ht="11.25" customHeight="1" x14ac:dyDescent="0.3">
      <c r="G5402" s="470"/>
      <c r="H5402" s="470">
        <v>5395</v>
      </c>
      <c r="I5402" s="455">
        <f t="shared" ca="1" si="190"/>
        <v>-2388567079122040.5</v>
      </c>
      <c r="J5402" s="455">
        <f t="array" ref="J5402">IFERROR(INDEX('Retirement Calculator'!K:K,MATCH('Lorri 401b'!N5402,'Retirement Calculator'!A:A,0),0),0)</f>
        <v>0</v>
      </c>
      <c r="K5402" s="455">
        <f t="shared" ca="1" si="188"/>
        <v>-9952362829675.168</v>
      </c>
      <c r="L5402" s="455">
        <f t="shared" ca="1" si="189"/>
        <v>-2398519441951715.5</v>
      </c>
      <c r="M5402" s="471">
        <f t="shared" si="191"/>
        <v>0.05</v>
      </c>
      <c r="N5402" s="475">
        <f t="shared" si="192"/>
        <v>215465</v>
      </c>
    </row>
    <row r="5403" spans="7:14" ht="11.25" customHeight="1" x14ac:dyDescent="0.3">
      <c r="G5403" s="470"/>
      <c r="H5403" s="470">
        <v>5396</v>
      </c>
      <c r="I5403" s="455">
        <f t="shared" ca="1" si="190"/>
        <v>-2398519441951715.5</v>
      </c>
      <c r="J5403" s="455">
        <f t="array" ref="J5403">IFERROR(INDEX('Retirement Calculator'!K:K,MATCH('Lorri 401b'!N5403,'Retirement Calculator'!A:A,0),0),0)</f>
        <v>0</v>
      </c>
      <c r="K5403" s="455">
        <f t="shared" ca="1" si="188"/>
        <v>-9993831008132.1484</v>
      </c>
      <c r="L5403" s="455">
        <f t="shared" ca="1" si="189"/>
        <v>-2408513272959847.5</v>
      </c>
      <c r="M5403" s="471">
        <f t="shared" si="191"/>
        <v>0.05</v>
      </c>
      <c r="N5403" s="475">
        <f t="shared" si="192"/>
        <v>215496</v>
      </c>
    </row>
    <row r="5404" spans="7:14" ht="11.25" customHeight="1" x14ac:dyDescent="0.3">
      <c r="G5404" s="470"/>
      <c r="H5404" s="470">
        <v>5397</v>
      </c>
      <c r="I5404" s="455">
        <f t="shared" ca="1" si="190"/>
        <v>-2408513272959847.5</v>
      </c>
      <c r="J5404" s="455">
        <f t="array" ref="J5404">IFERROR(INDEX('Retirement Calculator'!K:K,MATCH('Lorri 401b'!N5404,'Retirement Calculator'!A:A,0),0),0)</f>
        <v>0</v>
      </c>
      <c r="K5404" s="455">
        <f t="shared" ca="1" si="188"/>
        <v>-10035471970666.031</v>
      </c>
      <c r="L5404" s="455">
        <f t="shared" ca="1" si="189"/>
        <v>-2418548744930513.5</v>
      </c>
      <c r="M5404" s="471">
        <f t="shared" si="191"/>
        <v>0.05</v>
      </c>
      <c r="N5404" s="475">
        <f t="shared" si="192"/>
        <v>215527</v>
      </c>
    </row>
    <row r="5405" spans="7:14" ht="11.25" customHeight="1" x14ac:dyDescent="0.3">
      <c r="G5405" s="470"/>
      <c r="H5405" s="470">
        <v>5398</v>
      </c>
      <c r="I5405" s="455">
        <f t="shared" ca="1" si="190"/>
        <v>-2418548744930513.5</v>
      </c>
      <c r="J5405" s="455">
        <f t="array" ref="J5405">IFERROR(INDEX('Retirement Calculator'!K:K,MATCH('Lorri 401b'!N5405,'Retirement Calculator'!A:A,0),0),0)</f>
        <v>0</v>
      </c>
      <c r="K5405" s="455">
        <f t="shared" ca="1" si="188"/>
        <v>-10077286437210.473</v>
      </c>
      <c r="L5405" s="455">
        <f t="shared" ca="1" si="189"/>
        <v>-2428626031367724</v>
      </c>
      <c r="M5405" s="471">
        <f t="shared" si="191"/>
        <v>0.05</v>
      </c>
      <c r="N5405" s="475">
        <f t="shared" si="192"/>
        <v>215555</v>
      </c>
    </row>
    <row r="5406" spans="7:14" ht="11.25" customHeight="1" x14ac:dyDescent="0.3">
      <c r="G5406" s="470"/>
      <c r="H5406" s="470">
        <v>5399</v>
      </c>
      <c r="I5406" s="455">
        <f t="shared" ca="1" si="190"/>
        <v>-2428626031367724</v>
      </c>
      <c r="J5406" s="455">
        <f t="array" ref="J5406">IFERROR(INDEX('Retirement Calculator'!K:K,MATCH('Lorri 401b'!N5406,'Retirement Calculator'!A:A,0),0),0)</f>
        <v>0</v>
      </c>
      <c r="K5406" s="455">
        <f t="shared" ca="1" si="188"/>
        <v>-10119275130698.85</v>
      </c>
      <c r="L5406" s="455">
        <f t="shared" ca="1" si="189"/>
        <v>-2438745306498423</v>
      </c>
      <c r="M5406" s="471">
        <f t="shared" si="191"/>
        <v>0.05</v>
      </c>
      <c r="N5406" s="475">
        <f t="shared" si="192"/>
        <v>215586</v>
      </c>
    </row>
    <row r="5407" spans="7:14" ht="11.25" customHeight="1" x14ac:dyDescent="0.3">
      <c r="G5407" s="470"/>
      <c r="H5407" s="470">
        <v>5400</v>
      </c>
      <c r="I5407" s="455">
        <f t="shared" ca="1" si="190"/>
        <v>-2438745306498423</v>
      </c>
      <c r="J5407" s="455">
        <f t="array" ref="J5407">IFERROR(INDEX('Retirement Calculator'!K:K,MATCH('Lorri 401b'!N5407,'Retirement Calculator'!A:A,0),0),0)</f>
        <v>0</v>
      </c>
      <c r="K5407" s="455">
        <f t="shared" ca="1" si="188"/>
        <v>-10161438777076.762</v>
      </c>
      <c r="L5407" s="455">
        <f t="shared" ca="1" si="189"/>
        <v>-2448906745275500</v>
      </c>
      <c r="M5407" s="471">
        <f t="shared" si="191"/>
        <v>0.05</v>
      </c>
      <c r="N5407" s="475">
        <f t="shared" si="192"/>
        <v>215616</v>
      </c>
    </row>
    <row r="5408" spans="7:14" ht="11.25" customHeight="1" x14ac:dyDescent="0.3">
      <c r="G5408" s="470"/>
      <c r="H5408" s="470">
        <v>5401</v>
      </c>
      <c r="I5408" s="455">
        <f t="shared" ca="1" si="190"/>
        <v>-2448906745275500</v>
      </c>
      <c r="J5408" s="455">
        <f t="array" ref="J5408">IFERROR(INDEX('Retirement Calculator'!K:K,MATCH('Lorri 401b'!N5408,'Retirement Calculator'!A:A,0),0),0)</f>
        <v>0</v>
      </c>
      <c r="K5408" s="455">
        <f t="shared" ca="1" si="188"/>
        <v>-10203778105314.584</v>
      </c>
      <c r="L5408" s="455">
        <f t="shared" ca="1" si="189"/>
        <v>-2459110523380814.5</v>
      </c>
      <c r="M5408" s="471">
        <f t="shared" si="191"/>
        <v>0.05</v>
      </c>
      <c r="N5408" s="475">
        <f t="shared" si="192"/>
        <v>215647</v>
      </c>
    </row>
    <row r="5409" spans="7:14" ht="11.25" customHeight="1" x14ac:dyDescent="0.3">
      <c r="G5409" s="470"/>
      <c r="H5409" s="470">
        <v>5402</v>
      </c>
      <c r="I5409" s="455">
        <f t="shared" ca="1" si="190"/>
        <v>-2459110523380814.5</v>
      </c>
      <c r="J5409" s="455">
        <f t="array" ref="J5409">IFERROR(INDEX('Retirement Calculator'!K:K,MATCH('Lorri 401b'!N5409,'Retirement Calculator'!A:A,0),0),0)</f>
        <v>0</v>
      </c>
      <c r="K5409" s="455">
        <f t="shared" ca="1" si="188"/>
        <v>-10246293847420.061</v>
      </c>
      <c r="L5409" s="455">
        <f t="shared" ca="1" si="189"/>
        <v>-2469356817228234.5</v>
      </c>
      <c r="M5409" s="471">
        <f t="shared" si="191"/>
        <v>0.05</v>
      </c>
      <c r="N5409" s="475">
        <f t="shared" si="192"/>
        <v>215677</v>
      </c>
    </row>
    <row r="5410" spans="7:14" ht="11.25" customHeight="1" x14ac:dyDescent="0.3">
      <c r="G5410" s="470"/>
      <c r="H5410" s="470">
        <v>5403</v>
      </c>
      <c r="I5410" s="455">
        <f t="shared" ca="1" si="190"/>
        <v>-2469356817228234.5</v>
      </c>
      <c r="J5410" s="455">
        <f t="array" ref="J5410">IFERROR(INDEX('Retirement Calculator'!K:K,MATCH('Lorri 401b'!N5410,'Retirement Calculator'!A:A,0),0),0)</f>
        <v>0</v>
      </c>
      <c r="K5410" s="455">
        <f t="shared" ca="1" si="188"/>
        <v>-10288986738450.977</v>
      </c>
      <c r="L5410" s="455">
        <f t="shared" ca="1" si="189"/>
        <v>-2479645803966685.5</v>
      </c>
      <c r="M5410" s="471">
        <f t="shared" si="191"/>
        <v>0.05</v>
      </c>
      <c r="N5410" s="475">
        <f t="shared" si="192"/>
        <v>215708</v>
      </c>
    </row>
    <row r="5411" spans="7:14" ht="11.25" customHeight="1" x14ac:dyDescent="0.3">
      <c r="G5411" s="470"/>
      <c r="H5411" s="470">
        <v>5404</v>
      </c>
      <c r="I5411" s="455">
        <f t="shared" ca="1" si="190"/>
        <v>-2479645803966685.5</v>
      </c>
      <c r="J5411" s="455">
        <f t="array" ref="J5411">IFERROR(INDEX('Retirement Calculator'!K:K,MATCH('Lorri 401b'!N5411,'Retirement Calculator'!A:A,0),0),0)</f>
        <v>0</v>
      </c>
      <c r="K5411" s="455">
        <f t="shared" ca="1" si="188"/>
        <v>-10331857516527.855</v>
      </c>
      <c r="L5411" s="455">
        <f t="shared" ca="1" si="189"/>
        <v>-2489977661483213.5</v>
      </c>
      <c r="M5411" s="471">
        <f t="shared" si="191"/>
        <v>0.05</v>
      </c>
      <c r="N5411" s="475">
        <f t="shared" si="192"/>
        <v>215739</v>
      </c>
    </row>
    <row r="5412" spans="7:14" ht="11.25" customHeight="1" x14ac:dyDescent="0.3">
      <c r="G5412" s="470"/>
      <c r="H5412" s="470">
        <v>5405</v>
      </c>
      <c r="I5412" s="455">
        <f t="shared" ca="1" si="190"/>
        <v>-2489977661483213.5</v>
      </c>
      <c r="J5412" s="455">
        <f t="array" ref="J5412">IFERROR(INDEX('Retirement Calculator'!K:K,MATCH('Lorri 401b'!N5412,'Retirement Calculator'!A:A,0),0),0)</f>
        <v>0</v>
      </c>
      <c r="K5412" s="455">
        <f t="shared" ca="1" si="188"/>
        <v>-10374906922846.723</v>
      </c>
      <c r="L5412" s="455">
        <f t="shared" ca="1" si="189"/>
        <v>-2500352568406060</v>
      </c>
      <c r="M5412" s="471">
        <f t="shared" si="191"/>
        <v>0.05</v>
      </c>
      <c r="N5412" s="475">
        <f t="shared" si="192"/>
        <v>215769</v>
      </c>
    </row>
    <row r="5413" spans="7:14" ht="11.25" customHeight="1" x14ac:dyDescent="0.3">
      <c r="G5413" s="470"/>
      <c r="H5413" s="470">
        <v>5406</v>
      </c>
      <c r="I5413" s="455">
        <f t="shared" ca="1" si="190"/>
        <v>-2500352568406060</v>
      </c>
      <c r="J5413" s="455">
        <f t="array" ref="J5413">IFERROR(INDEX('Retirement Calculator'!K:K,MATCH('Lorri 401b'!N5413,'Retirement Calculator'!A:A,0),0),0)</f>
        <v>0</v>
      </c>
      <c r="K5413" s="455">
        <f t="shared" ca="1" si="188"/>
        <v>-10418135701691.916</v>
      </c>
      <c r="L5413" s="455">
        <f t="shared" ca="1" si="189"/>
        <v>-2510770704107752</v>
      </c>
      <c r="M5413" s="471">
        <f t="shared" si="191"/>
        <v>0.05</v>
      </c>
      <c r="N5413" s="475">
        <f t="shared" si="192"/>
        <v>215800</v>
      </c>
    </row>
    <row r="5414" spans="7:14" ht="11.25" customHeight="1" x14ac:dyDescent="0.3">
      <c r="G5414" s="470"/>
      <c r="H5414" s="470">
        <v>5407</v>
      </c>
      <c r="I5414" s="455">
        <f t="shared" ca="1" si="190"/>
        <v>-2510770704107752</v>
      </c>
      <c r="J5414" s="455">
        <f t="array" ref="J5414">IFERROR(INDEX('Retirement Calculator'!K:K,MATCH('Lorri 401b'!N5414,'Retirement Calculator'!A:A,0),0),0)</f>
        <v>0</v>
      </c>
      <c r="K5414" s="455">
        <f t="shared" ca="1" si="188"/>
        <v>-10461544600448.967</v>
      </c>
      <c r="L5414" s="455">
        <f t="shared" ca="1" si="189"/>
        <v>-2521232248708201</v>
      </c>
      <c r="M5414" s="471">
        <f t="shared" si="191"/>
        <v>0.05</v>
      </c>
      <c r="N5414" s="475">
        <f t="shared" si="192"/>
        <v>215830</v>
      </c>
    </row>
    <row r="5415" spans="7:14" ht="11.25" customHeight="1" x14ac:dyDescent="0.3">
      <c r="G5415" s="470"/>
      <c r="H5415" s="470">
        <v>5408</v>
      </c>
      <c r="I5415" s="455">
        <f t="shared" ca="1" si="190"/>
        <v>-2521232248708201</v>
      </c>
      <c r="J5415" s="455">
        <f t="array" ref="J5415">IFERROR(INDEX('Retirement Calculator'!K:K,MATCH('Lorri 401b'!N5415,'Retirement Calculator'!A:A,0),0),0)</f>
        <v>0</v>
      </c>
      <c r="K5415" s="455">
        <f t="shared" ca="1" si="188"/>
        <v>-10505134369617.504</v>
      </c>
      <c r="L5415" s="455">
        <f t="shared" ca="1" si="189"/>
        <v>-2531737383077818.5</v>
      </c>
      <c r="M5415" s="471">
        <f t="shared" si="191"/>
        <v>0.05</v>
      </c>
      <c r="N5415" s="475">
        <f t="shared" si="192"/>
        <v>215861</v>
      </c>
    </row>
    <row r="5416" spans="7:14" ht="11.25" customHeight="1" x14ac:dyDescent="0.3">
      <c r="G5416" s="470"/>
      <c r="H5416" s="470">
        <v>5409</v>
      </c>
      <c r="I5416" s="455">
        <f t="shared" ca="1" si="190"/>
        <v>-2531737383077818.5</v>
      </c>
      <c r="J5416" s="455">
        <f t="array" ref="J5416">IFERROR(INDEX('Retirement Calculator'!K:K,MATCH('Lorri 401b'!N5416,'Retirement Calculator'!A:A,0),0),0)</f>
        <v>0</v>
      </c>
      <c r="K5416" s="455">
        <f t="shared" ca="1" si="188"/>
        <v>-10548905762824.244</v>
      </c>
      <c r="L5416" s="455">
        <f t="shared" ca="1" si="189"/>
        <v>-2542286288840642.5</v>
      </c>
      <c r="M5416" s="471">
        <f t="shared" si="191"/>
        <v>0.05</v>
      </c>
      <c r="N5416" s="475">
        <f t="shared" si="192"/>
        <v>215892</v>
      </c>
    </row>
    <row r="5417" spans="7:14" ht="11.25" customHeight="1" x14ac:dyDescent="0.3">
      <c r="G5417" s="470"/>
      <c r="H5417" s="470">
        <v>5410</v>
      </c>
      <c r="I5417" s="455">
        <f t="shared" ca="1" si="190"/>
        <v>-2542286288840642.5</v>
      </c>
      <c r="J5417" s="455">
        <f t="array" ref="J5417">IFERROR(INDEX('Retirement Calculator'!K:K,MATCH('Lorri 401b'!N5417,'Retirement Calculator'!A:A,0),0),0)</f>
        <v>0</v>
      </c>
      <c r="K5417" s="455">
        <f t="shared" ca="1" si="188"/>
        <v>-10592859536836.01</v>
      </c>
      <c r="L5417" s="455">
        <f t="shared" ca="1" si="189"/>
        <v>-2552879148377478.5</v>
      </c>
      <c r="M5417" s="471">
        <f t="shared" si="191"/>
        <v>0.05</v>
      </c>
      <c r="N5417" s="475">
        <f t="shared" si="192"/>
        <v>215920</v>
      </c>
    </row>
    <row r="5418" spans="7:14" ht="11.25" customHeight="1" x14ac:dyDescent="0.3">
      <c r="G5418" s="470"/>
      <c r="H5418" s="470">
        <v>5411</v>
      </c>
      <c r="I5418" s="455">
        <f t="shared" ca="1" si="190"/>
        <v>-2552879148377478.5</v>
      </c>
      <c r="J5418" s="455">
        <f t="array" ref="J5418">IFERROR(INDEX('Retirement Calculator'!K:K,MATCH('Lorri 401b'!N5418,'Retirement Calculator'!A:A,0),0),0)</f>
        <v>0</v>
      </c>
      <c r="K5418" s="455">
        <f t="shared" ca="1" si="188"/>
        <v>-10636996451572.826</v>
      </c>
      <c r="L5418" s="455">
        <f t="shared" ca="1" si="189"/>
        <v>-2563516144829051.5</v>
      </c>
      <c r="M5418" s="471">
        <f t="shared" si="191"/>
        <v>0.05</v>
      </c>
      <c r="N5418" s="475">
        <f t="shared" si="192"/>
        <v>215951</v>
      </c>
    </row>
    <row r="5419" spans="7:14" ht="11.25" customHeight="1" x14ac:dyDescent="0.3">
      <c r="G5419" s="470"/>
      <c r="H5419" s="470">
        <v>5412</v>
      </c>
      <c r="I5419" s="455">
        <f t="shared" ca="1" si="190"/>
        <v>-2563516144829051.5</v>
      </c>
      <c r="J5419" s="455">
        <f t="array" ref="J5419">IFERROR(INDEX('Retirement Calculator'!K:K,MATCH('Lorri 401b'!N5419,'Retirement Calculator'!A:A,0),0),0)</f>
        <v>0</v>
      </c>
      <c r="K5419" s="455">
        <f t="shared" ca="1" si="188"/>
        <v>-10681317270121.047</v>
      </c>
      <c r="L5419" s="455">
        <f t="shared" ca="1" si="189"/>
        <v>-2574197462099172.5</v>
      </c>
      <c r="M5419" s="471">
        <f t="shared" si="191"/>
        <v>0.05</v>
      </c>
      <c r="N5419" s="475">
        <f t="shared" si="192"/>
        <v>215981</v>
      </c>
    </row>
    <row r="5420" spans="7:14" ht="11.25" customHeight="1" x14ac:dyDescent="0.3">
      <c r="G5420" s="470"/>
      <c r="H5420" s="470">
        <v>5413</v>
      </c>
      <c r="I5420" s="455">
        <f t="shared" ca="1" si="190"/>
        <v>-2574197462099172.5</v>
      </c>
      <c r="J5420" s="455">
        <f t="array" ref="J5420">IFERROR(INDEX('Retirement Calculator'!K:K,MATCH('Lorri 401b'!N5420,'Retirement Calculator'!A:A,0),0),0)</f>
        <v>0</v>
      </c>
      <c r="K5420" s="455">
        <f t="shared" ca="1" si="188"/>
        <v>-10725822758746.553</v>
      </c>
      <c r="L5420" s="455">
        <f t="shared" ca="1" si="189"/>
        <v>-2584923284857919</v>
      </c>
      <c r="M5420" s="471">
        <f t="shared" si="191"/>
        <v>0.05</v>
      </c>
      <c r="N5420" s="475">
        <f t="shared" si="192"/>
        <v>216012</v>
      </c>
    </row>
    <row r="5421" spans="7:14" ht="11.25" customHeight="1" x14ac:dyDescent="0.3">
      <c r="G5421" s="470"/>
      <c r="H5421" s="470">
        <v>5414</v>
      </c>
      <c r="I5421" s="455">
        <f t="shared" ca="1" si="190"/>
        <v>-2584923284857919</v>
      </c>
      <c r="J5421" s="455">
        <f t="array" ref="J5421">IFERROR(INDEX('Retirement Calculator'!K:K,MATCH('Lorri 401b'!N5421,'Retirement Calculator'!A:A,0),0),0)</f>
        <v>0</v>
      </c>
      <c r="K5421" s="455">
        <f t="shared" ca="1" si="188"/>
        <v>-10770513686907.996</v>
      </c>
      <c r="L5421" s="455">
        <f t="shared" ca="1" si="189"/>
        <v>-2595693798544827</v>
      </c>
      <c r="M5421" s="471">
        <f t="shared" si="191"/>
        <v>0.05</v>
      </c>
      <c r="N5421" s="475">
        <f t="shared" si="192"/>
        <v>216042</v>
      </c>
    </row>
    <row r="5422" spans="7:14" ht="11.25" customHeight="1" x14ac:dyDescent="0.3">
      <c r="G5422" s="470"/>
      <c r="H5422" s="470">
        <v>5415</v>
      </c>
      <c r="I5422" s="455">
        <f t="shared" ca="1" si="190"/>
        <v>-2595693798544827</v>
      </c>
      <c r="J5422" s="455">
        <f t="array" ref="J5422">IFERROR(INDEX('Retirement Calculator'!K:K,MATCH('Lorri 401b'!N5422,'Retirement Calculator'!A:A,0),0),0)</f>
        <v>0</v>
      </c>
      <c r="K5422" s="455">
        <f t="shared" ca="1" si="188"/>
        <v>-10815390827270.113</v>
      </c>
      <c r="L5422" s="455">
        <f t="shared" ca="1" si="189"/>
        <v>-2606509189372097</v>
      </c>
      <c r="M5422" s="471">
        <f t="shared" si="191"/>
        <v>0.05</v>
      </c>
      <c r="N5422" s="475">
        <f t="shared" si="192"/>
        <v>216073</v>
      </c>
    </row>
    <row r="5423" spans="7:14" ht="11.25" customHeight="1" x14ac:dyDescent="0.3">
      <c r="G5423" s="470"/>
      <c r="H5423" s="470">
        <v>5416</v>
      </c>
      <c r="I5423" s="455">
        <f t="shared" ca="1" si="190"/>
        <v>-2606509189372097</v>
      </c>
      <c r="J5423" s="455">
        <f t="array" ref="J5423">IFERROR(INDEX('Retirement Calculator'!K:K,MATCH('Lorri 401b'!N5423,'Retirement Calculator'!A:A,0),0),0)</f>
        <v>0</v>
      </c>
      <c r="K5423" s="455">
        <f t="shared" ca="1" si="188"/>
        <v>-10860454955717.07</v>
      </c>
      <c r="L5423" s="455">
        <f t="shared" ca="1" si="189"/>
        <v>-2617369644327814</v>
      </c>
      <c r="M5423" s="471">
        <f t="shared" si="191"/>
        <v>0.05</v>
      </c>
      <c r="N5423" s="475">
        <f t="shared" si="192"/>
        <v>216104</v>
      </c>
    </row>
    <row r="5424" spans="7:14" ht="11.25" customHeight="1" x14ac:dyDescent="0.3">
      <c r="G5424" s="470"/>
      <c r="H5424" s="470">
        <v>5417</v>
      </c>
      <c r="I5424" s="455">
        <f t="shared" ca="1" si="190"/>
        <v>-2617369644327814</v>
      </c>
      <c r="J5424" s="455">
        <f t="array" ref="J5424">IFERROR(INDEX('Retirement Calculator'!K:K,MATCH('Lorri 401b'!N5424,'Retirement Calculator'!A:A,0),0),0)</f>
        <v>0</v>
      </c>
      <c r="K5424" s="455">
        <f t="shared" ca="1" si="188"/>
        <v>-10905706851365.891</v>
      </c>
      <c r="L5424" s="455">
        <f t="shared" ca="1" si="189"/>
        <v>-2628275351179180</v>
      </c>
      <c r="M5424" s="471">
        <f t="shared" si="191"/>
        <v>0.05</v>
      </c>
      <c r="N5424" s="475">
        <f t="shared" si="192"/>
        <v>216134</v>
      </c>
    </row>
    <row r="5425" spans="7:14" ht="11.25" customHeight="1" x14ac:dyDescent="0.3">
      <c r="G5425" s="470"/>
      <c r="H5425" s="470">
        <v>5418</v>
      </c>
      <c r="I5425" s="455">
        <f t="shared" ca="1" si="190"/>
        <v>-2628275351179180</v>
      </c>
      <c r="J5425" s="455">
        <f t="array" ref="J5425">IFERROR(INDEX('Retirement Calculator'!K:K,MATCH('Lorri 401b'!N5425,'Retirement Calculator'!A:A,0),0),0)</f>
        <v>0</v>
      </c>
      <c r="K5425" s="455">
        <f t="shared" ca="1" si="188"/>
        <v>-10951147296579.916</v>
      </c>
      <c r="L5425" s="455">
        <f t="shared" ca="1" si="189"/>
        <v>-2639226498475760</v>
      </c>
      <c r="M5425" s="471">
        <f t="shared" si="191"/>
        <v>0.05</v>
      </c>
      <c r="N5425" s="475">
        <f t="shared" si="192"/>
        <v>216165</v>
      </c>
    </row>
    <row r="5426" spans="7:14" ht="11.25" customHeight="1" x14ac:dyDescent="0.3">
      <c r="G5426" s="470"/>
      <c r="H5426" s="470">
        <v>5419</v>
      </c>
      <c r="I5426" s="455">
        <f t="shared" ca="1" si="190"/>
        <v>-2639226498475760</v>
      </c>
      <c r="J5426" s="455">
        <f t="array" ref="J5426">IFERROR(INDEX('Retirement Calculator'!K:K,MATCH('Lorri 401b'!N5426,'Retirement Calculator'!A:A,0),0),0)</f>
        <v>0</v>
      </c>
      <c r="K5426" s="455">
        <f t="shared" ca="1" si="188"/>
        <v>-10996777076982.334</v>
      </c>
      <c r="L5426" s="455">
        <f t="shared" ca="1" si="189"/>
        <v>-2650223275552742.5</v>
      </c>
      <c r="M5426" s="471">
        <f t="shared" si="191"/>
        <v>0.05</v>
      </c>
      <c r="N5426" s="475">
        <f t="shared" si="192"/>
        <v>216195</v>
      </c>
    </row>
    <row r="5427" spans="7:14" ht="11.25" customHeight="1" x14ac:dyDescent="0.3">
      <c r="G5427" s="470"/>
      <c r="H5427" s="470">
        <v>5420</v>
      </c>
      <c r="I5427" s="455">
        <f t="shared" ca="1" si="190"/>
        <v>-2650223275552742.5</v>
      </c>
      <c r="J5427" s="455">
        <f t="array" ref="J5427">IFERROR(INDEX('Retirement Calculator'!K:K,MATCH('Lorri 401b'!N5427,'Retirement Calculator'!A:A,0),0),0)</f>
        <v>0</v>
      </c>
      <c r="K5427" s="455">
        <f t="shared" ca="1" si="188"/>
        <v>-11042596981469.76</v>
      </c>
      <c r="L5427" s="455">
        <f t="shared" ca="1" si="189"/>
        <v>-2661265872534212.5</v>
      </c>
      <c r="M5427" s="471">
        <f t="shared" si="191"/>
        <v>0.05</v>
      </c>
      <c r="N5427" s="475">
        <f t="shared" si="192"/>
        <v>216226</v>
      </c>
    </row>
    <row r="5428" spans="7:14" ht="11.25" customHeight="1" x14ac:dyDescent="0.3">
      <c r="G5428" s="470"/>
      <c r="H5428" s="470">
        <v>5421</v>
      </c>
      <c r="I5428" s="455">
        <f t="shared" ca="1" si="190"/>
        <v>-2661265872534212.5</v>
      </c>
      <c r="J5428" s="455">
        <f t="array" ref="J5428">IFERROR(INDEX('Retirement Calculator'!K:K,MATCH('Lorri 401b'!N5428,'Retirement Calculator'!A:A,0),0),0)</f>
        <v>0</v>
      </c>
      <c r="K5428" s="455">
        <f t="shared" ca="1" si="188"/>
        <v>-11088607802225.885</v>
      </c>
      <c r="L5428" s="455">
        <f t="shared" ca="1" si="189"/>
        <v>-2672354480336438.5</v>
      </c>
      <c r="M5428" s="471">
        <f t="shared" si="191"/>
        <v>0.05</v>
      </c>
      <c r="N5428" s="475">
        <f t="shared" si="192"/>
        <v>216257</v>
      </c>
    </row>
    <row r="5429" spans="7:14" ht="11.25" customHeight="1" x14ac:dyDescent="0.3">
      <c r="G5429" s="470"/>
      <c r="H5429" s="470">
        <v>5422</v>
      </c>
      <c r="I5429" s="455">
        <f t="shared" ca="1" si="190"/>
        <v>-2672354480336438.5</v>
      </c>
      <c r="J5429" s="455">
        <f t="array" ref="J5429">IFERROR(INDEX('Retirement Calculator'!K:K,MATCH('Lorri 401b'!N5429,'Retirement Calculator'!A:A,0),0),0)</f>
        <v>0</v>
      </c>
      <c r="K5429" s="455">
        <f t="shared" ca="1" si="188"/>
        <v>-11134810334735.16</v>
      </c>
      <c r="L5429" s="455">
        <f t="shared" ca="1" si="189"/>
        <v>-2683489290671173.5</v>
      </c>
      <c r="M5429" s="471">
        <f t="shared" si="191"/>
        <v>0.05</v>
      </c>
      <c r="N5429" s="475">
        <f t="shared" si="192"/>
        <v>216286</v>
      </c>
    </row>
    <row r="5430" spans="7:14" ht="11.25" customHeight="1" x14ac:dyDescent="0.3">
      <c r="G5430" s="470"/>
      <c r="H5430" s="470">
        <v>5423</v>
      </c>
      <c r="I5430" s="455">
        <f t="shared" ca="1" si="190"/>
        <v>-2683489290671173.5</v>
      </c>
      <c r="J5430" s="455">
        <f t="array" ref="J5430">IFERROR(INDEX('Retirement Calculator'!K:K,MATCH('Lorri 401b'!N5430,'Retirement Calculator'!A:A,0),0),0)</f>
        <v>0</v>
      </c>
      <c r="K5430" s="455">
        <f t="shared" ca="1" si="188"/>
        <v>-11181205377796.557</v>
      </c>
      <c r="L5430" s="455">
        <f t="shared" ca="1" si="189"/>
        <v>-2694670496048970</v>
      </c>
      <c r="M5430" s="471">
        <f t="shared" si="191"/>
        <v>0.05</v>
      </c>
      <c r="N5430" s="475">
        <f t="shared" si="192"/>
        <v>216317</v>
      </c>
    </row>
    <row r="5431" spans="7:14" ht="11.25" customHeight="1" x14ac:dyDescent="0.3">
      <c r="G5431" s="470"/>
      <c r="H5431" s="470">
        <v>5424</v>
      </c>
      <c r="I5431" s="455">
        <f t="shared" ca="1" si="190"/>
        <v>-2694670496048970</v>
      </c>
      <c r="J5431" s="455">
        <f t="array" ref="J5431">IFERROR(INDEX('Retirement Calculator'!K:K,MATCH('Lorri 401b'!N5431,'Retirement Calculator'!A:A,0),0),0)</f>
        <v>0</v>
      </c>
      <c r="K5431" s="455">
        <f t="shared" ca="1" si="188"/>
        <v>-11227793733537.375</v>
      </c>
      <c r="L5431" s="455">
        <f t="shared" ca="1" si="189"/>
        <v>-2705898289782507.5</v>
      </c>
      <c r="M5431" s="471">
        <f t="shared" si="191"/>
        <v>0.05</v>
      </c>
      <c r="N5431" s="475">
        <f t="shared" si="192"/>
        <v>216347</v>
      </c>
    </row>
    <row r="5432" spans="7:14" ht="11.25" customHeight="1" x14ac:dyDescent="0.3">
      <c r="G5432" s="470"/>
      <c r="H5432" s="470">
        <v>5425</v>
      </c>
      <c r="I5432" s="455">
        <f t="shared" ca="1" si="190"/>
        <v>-2705898289782507.5</v>
      </c>
      <c r="J5432" s="455">
        <f t="array" ref="J5432">IFERROR(INDEX('Retirement Calculator'!K:K,MATCH('Lorri 401b'!N5432,'Retirement Calculator'!A:A,0),0),0)</f>
        <v>0</v>
      </c>
      <c r="K5432" s="455">
        <f t="shared" ca="1" si="188"/>
        <v>-11274576207427.115</v>
      </c>
      <c r="L5432" s="455">
        <f t="shared" ca="1" si="189"/>
        <v>-2717172865989934.5</v>
      </c>
      <c r="M5432" s="471">
        <f t="shared" si="191"/>
        <v>0.05</v>
      </c>
      <c r="N5432" s="475">
        <f t="shared" si="192"/>
        <v>216378</v>
      </c>
    </row>
    <row r="5433" spans="7:14" ht="11.25" customHeight="1" x14ac:dyDescent="0.3">
      <c r="G5433" s="470"/>
      <c r="H5433" s="470">
        <v>5426</v>
      </c>
      <c r="I5433" s="455">
        <f t="shared" ca="1" si="190"/>
        <v>-2717172865989934.5</v>
      </c>
      <c r="J5433" s="455">
        <f t="array" ref="J5433">IFERROR(INDEX('Retirement Calculator'!K:K,MATCH('Lorri 401b'!N5433,'Retirement Calculator'!A:A,0),0),0)</f>
        <v>0</v>
      </c>
      <c r="K5433" s="455">
        <f t="shared" ca="1" si="188"/>
        <v>-11321553608291.395</v>
      </c>
      <c r="L5433" s="455">
        <f t="shared" ca="1" si="189"/>
        <v>-2728494419598226</v>
      </c>
      <c r="M5433" s="471">
        <f t="shared" si="191"/>
        <v>0.05</v>
      </c>
      <c r="N5433" s="475">
        <f t="shared" si="192"/>
        <v>216408</v>
      </c>
    </row>
    <row r="5434" spans="7:14" ht="11.25" customHeight="1" x14ac:dyDescent="0.3">
      <c r="G5434" s="470"/>
      <c r="H5434" s="470">
        <v>5427</v>
      </c>
      <c r="I5434" s="455">
        <f t="shared" ca="1" si="190"/>
        <v>-2728494419598226</v>
      </c>
      <c r="J5434" s="455">
        <f t="array" ref="J5434">IFERROR(INDEX('Retirement Calculator'!K:K,MATCH('Lorri 401b'!N5434,'Retirement Calculator'!A:A,0),0),0)</f>
        <v>0</v>
      </c>
      <c r="K5434" s="455">
        <f t="shared" ca="1" si="188"/>
        <v>-11368726748325.941</v>
      </c>
      <c r="L5434" s="455">
        <f t="shared" ca="1" si="189"/>
        <v>-2739863146346552</v>
      </c>
      <c r="M5434" s="471">
        <f t="shared" si="191"/>
        <v>0.05</v>
      </c>
      <c r="N5434" s="475">
        <f t="shared" si="192"/>
        <v>216439</v>
      </c>
    </row>
    <row r="5435" spans="7:14" ht="11.25" customHeight="1" x14ac:dyDescent="0.3">
      <c r="G5435" s="470"/>
      <c r="H5435" s="470">
        <v>5428</v>
      </c>
      <c r="I5435" s="455">
        <f t="shared" ca="1" si="190"/>
        <v>-2739863146346552</v>
      </c>
      <c r="J5435" s="455">
        <f t="array" ref="J5435">IFERROR(INDEX('Retirement Calculator'!K:K,MATCH('Lorri 401b'!N5435,'Retirement Calculator'!A:A,0),0),0)</f>
        <v>0</v>
      </c>
      <c r="K5435" s="455">
        <f t="shared" ca="1" si="188"/>
        <v>-11416096443110.633</v>
      </c>
      <c r="L5435" s="455">
        <f t="shared" ca="1" si="189"/>
        <v>-2751279242789662.5</v>
      </c>
      <c r="M5435" s="471">
        <f t="shared" si="191"/>
        <v>0.05</v>
      </c>
      <c r="N5435" s="475">
        <f t="shared" si="192"/>
        <v>216470</v>
      </c>
    </row>
    <row r="5436" spans="7:14" ht="11.25" customHeight="1" x14ac:dyDescent="0.3">
      <c r="G5436" s="470"/>
      <c r="H5436" s="470">
        <v>5429</v>
      </c>
      <c r="I5436" s="455">
        <f t="shared" ca="1" si="190"/>
        <v>-2751279242789662.5</v>
      </c>
      <c r="J5436" s="455">
        <f t="array" ref="J5436">IFERROR(INDEX('Retirement Calculator'!K:K,MATCH('Lorri 401b'!N5436,'Retirement Calculator'!A:A,0),0),0)</f>
        <v>0</v>
      </c>
      <c r="K5436" s="455">
        <f t="shared" ca="1" si="188"/>
        <v>-11463663511623.594</v>
      </c>
      <c r="L5436" s="455">
        <f t="shared" ca="1" si="189"/>
        <v>-2762742906301286</v>
      </c>
      <c r="M5436" s="471">
        <f t="shared" si="191"/>
        <v>0.05</v>
      </c>
      <c r="N5436" s="475">
        <f t="shared" si="192"/>
        <v>216500</v>
      </c>
    </row>
    <row r="5437" spans="7:14" ht="11.25" customHeight="1" x14ac:dyDescent="0.3">
      <c r="G5437" s="470"/>
      <c r="H5437" s="470">
        <v>5430</v>
      </c>
      <c r="I5437" s="455">
        <f t="shared" ca="1" si="190"/>
        <v>-2762742906301286</v>
      </c>
      <c r="J5437" s="455">
        <f t="array" ref="J5437">IFERROR(INDEX('Retirement Calculator'!K:K,MATCH('Lorri 401b'!N5437,'Retirement Calculator'!A:A,0),0),0)</f>
        <v>0</v>
      </c>
      <c r="K5437" s="455">
        <f t="shared" ca="1" si="188"/>
        <v>-11511428776255.357</v>
      </c>
      <c r="L5437" s="455">
        <f t="shared" ca="1" si="189"/>
        <v>-2774254335077541.5</v>
      </c>
      <c r="M5437" s="471">
        <f t="shared" si="191"/>
        <v>0.05</v>
      </c>
      <c r="N5437" s="475">
        <f t="shared" si="192"/>
        <v>216531</v>
      </c>
    </row>
    <row r="5438" spans="7:14" ht="11.25" customHeight="1" x14ac:dyDescent="0.3">
      <c r="G5438" s="470"/>
      <c r="H5438" s="470">
        <v>5431</v>
      </c>
      <c r="I5438" s="455">
        <f t="shared" ca="1" si="190"/>
        <v>-2774254335077541.5</v>
      </c>
      <c r="J5438" s="455">
        <f t="array" ref="J5438">IFERROR(INDEX('Retirement Calculator'!K:K,MATCH('Lorri 401b'!N5438,'Retirement Calculator'!A:A,0),0),0)</f>
        <v>0</v>
      </c>
      <c r="K5438" s="455">
        <f t="shared" ca="1" si="188"/>
        <v>-11559393062823.09</v>
      </c>
      <c r="L5438" s="455">
        <f t="shared" ca="1" si="189"/>
        <v>-2785813728140364.5</v>
      </c>
      <c r="M5438" s="471">
        <f t="shared" si="191"/>
        <v>0.05</v>
      </c>
      <c r="N5438" s="475">
        <f t="shared" si="192"/>
        <v>216561</v>
      </c>
    </row>
    <row r="5439" spans="7:14" ht="11.25" customHeight="1" x14ac:dyDescent="0.3">
      <c r="G5439" s="470"/>
      <c r="H5439" s="470">
        <v>5432</v>
      </c>
      <c r="I5439" s="455">
        <f t="shared" ca="1" si="190"/>
        <v>-2785813728140364.5</v>
      </c>
      <c r="J5439" s="455">
        <f t="array" ref="J5439">IFERROR(INDEX('Retirement Calculator'!K:K,MATCH('Lorri 401b'!N5439,'Retirement Calculator'!A:A,0),0),0)</f>
        <v>0</v>
      </c>
      <c r="K5439" s="455">
        <f t="shared" ca="1" si="188"/>
        <v>-11607557200584.852</v>
      </c>
      <c r="L5439" s="455">
        <f t="shared" ca="1" si="189"/>
        <v>-2797421285340949.5</v>
      </c>
      <c r="M5439" s="471">
        <f t="shared" si="191"/>
        <v>0.05</v>
      </c>
      <c r="N5439" s="475">
        <f t="shared" si="192"/>
        <v>216592</v>
      </c>
    </row>
    <row r="5440" spans="7:14" ht="11.25" customHeight="1" x14ac:dyDescent="0.3">
      <c r="G5440" s="470"/>
      <c r="H5440" s="470">
        <v>5433</v>
      </c>
      <c r="I5440" s="455">
        <f t="shared" ca="1" si="190"/>
        <v>-2797421285340949.5</v>
      </c>
      <c r="J5440" s="455">
        <f t="array" ref="J5440">IFERROR(INDEX('Retirement Calculator'!K:K,MATCH('Lorri 401b'!N5440,'Retirement Calculator'!A:A,0),0),0)</f>
        <v>0</v>
      </c>
      <c r="K5440" s="455">
        <f t="shared" ca="1" si="188"/>
        <v>-11655922022253.957</v>
      </c>
      <c r="L5440" s="455">
        <f t="shared" ca="1" si="189"/>
        <v>-2809077207363203.5</v>
      </c>
      <c r="M5440" s="471">
        <f t="shared" si="191"/>
        <v>0.05</v>
      </c>
      <c r="N5440" s="475">
        <f t="shared" si="192"/>
        <v>216623</v>
      </c>
    </row>
    <row r="5441" spans="7:14" ht="11.25" customHeight="1" x14ac:dyDescent="0.3">
      <c r="G5441" s="470"/>
      <c r="H5441" s="470">
        <v>5434</v>
      </c>
      <c r="I5441" s="455">
        <f t="shared" ca="1" si="190"/>
        <v>-2809077207363203.5</v>
      </c>
      <c r="J5441" s="455">
        <f t="array" ref="J5441">IFERROR(INDEX('Retirement Calculator'!K:K,MATCH('Lorri 401b'!N5441,'Retirement Calculator'!A:A,0),0),0)</f>
        <v>0</v>
      </c>
      <c r="K5441" s="455">
        <f t="shared" ca="1" si="188"/>
        <v>-11704488364013.348</v>
      </c>
      <c r="L5441" s="455">
        <f t="shared" ca="1" si="189"/>
        <v>-2820781695727217</v>
      </c>
      <c r="M5441" s="471">
        <f t="shared" si="191"/>
        <v>0.05</v>
      </c>
      <c r="N5441" s="475">
        <f t="shared" si="192"/>
        <v>216651</v>
      </c>
    </row>
    <row r="5442" spans="7:14" ht="11.25" customHeight="1" x14ac:dyDescent="0.3">
      <c r="G5442" s="470"/>
      <c r="H5442" s="470">
        <v>5435</v>
      </c>
      <c r="I5442" s="455">
        <f t="shared" ca="1" si="190"/>
        <v>-2820781695727217</v>
      </c>
      <c r="J5442" s="455">
        <f t="array" ref="J5442">IFERROR(INDEX('Retirement Calculator'!K:K,MATCH('Lorri 401b'!N5442,'Retirement Calculator'!A:A,0),0),0)</f>
        <v>0</v>
      </c>
      <c r="K5442" s="455">
        <f t="shared" ca="1" si="188"/>
        <v>-11753257065530.07</v>
      </c>
      <c r="L5442" s="455">
        <f t="shared" ca="1" si="189"/>
        <v>-2832534952792747</v>
      </c>
      <c r="M5442" s="471">
        <f t="shared" si="191"/>
        <v>0.05</v>
      </c>
      <c r="N5442" s="475">
        <f t="shared" si="192"/>
        <v>216682</v>
      </c>
    </row>
    <row r="5443" spans="7:14" ht="11.25" customHeight="1" x14ac:dyDescent="0.3">
      <c r="G5443" s="470"/>
      <c r="H5443" s="470">
        <v>5436</v>
      </c>
      <c r="I5443" s="455">
        <f t="shared" ca="1" si="190"/>
        <v>-2832534952792747</v>
      </c>
      <c r="J5443" s="455">
        <f t="array" ref="J5443">IFERROR(INDEX('Retirement Calculator'!K:K,MATCH('Lorri 401b'!N5443,'Retirement Calculator'!A:A,0),0),0)</f>
        <v>0</v>
      </c>
      <c r="K5443" s="455">
        <f t="shared" ca="1" si="188"/>
        <v>-11802228969969.779</v>
      </c>
      <c r="L5443" s="455">
        <f t="shared" ca="1" si="189"/>
        <v>-2844337181762717</v>
      </c>
      <c r="M5443" s="471">
        <f t="shared" si="191"/>
        <v>0.05</v>
      </c>
      <c r="N5443" s="475">
        <f t="shared" si="192"/>
        <v>216712</v>
      </c>
    </row>
    <row r="5444" spans="7:14" ht="11.25" customHeight="1" x14ac:dyDescent="0.3">
      <c r="G5444" s="470"/>
      <c r="H5444" s="470">
        <v>5437</v>
      </c>
      <c r="I5444" s="455">
        <f t="shared" ca="1" si="190"/>
        <v>-2844337181762717</v>
      </c>
      <c r="J5444" s="455">
        <f t="array" ref="J5444">IFERROR(INDEX('Retirement Calculator'!K:K,MATCH('Lorri 401b'!N5444,'Retirement Calculator'!A:A,0),0),0)</f>
        <v>0</v>
      </c>
      <c r="K5444" s="455">
        <f t="shared" ca="1" si="188"/>
        <v>-11851404924011.32</v>
      </c>
      <c r="L5444" s="455">
        <f t="shared" ca="1" si="189"/>
        <v>-2856188586686728.5</v>
      </c>
      <c r="M5444" s="471">
        <f t="shared" si="191"/>
        <v>0.05</v>
      </c>
      <c r="N5444" s="475">
        <f t="shared" si="192"/>
        <v>216743</v>
      </c>
    </row>
    <row r="5445" spans="7:14" ht="11.25" customHeight="1" x14ac:dyDescent="0.3">
      <c r="G5445" s="470"/>
      <c r="H5445" s="470">
        <v>5438</v>
      </c>
      <c r="I5445" s="455">
        <f t="shared" ca="1" si="190"/>
        <v>-2856188586686728.5</v>
      </c>
      <c r="J5445" s="455">
        <f t="array" ref="J5445">IFERROR(INDEX('Retirement Calculator'!K:K,MATCH('Lorri 401b'!N5445,'Retirement Calculator'!A:A,0),0),0)</f>
        <v>0</v>
      </c>
      <c r="K5445" s="455">
        <f t="shared" ca="1" si="188"/>
        <v>-11900785777861.369</v>
      </c>
      <c r="L5445" s="455">
        <f t="shared" ca="1" si="189"/>
        <v>-2868089372464590</v>
      </c>
      <c r="M5445" s="471">
        <f t="shared" si="191"/>
        <v>0.05</v>
      </c>
      <c r="N5445" s="475">
        <f t="shared" si="192"/>
        <v>216773</v>
      </c>
    </row>
    <row r="5446" spans="7:14" ht="11.25" customHeight="1" x14ac:dyDescent="0.3">
      <c r="G5446" s="470"/>
      <c r="H5446" s="470">
        <v>5439</v>
      </c>
      <c r="I5446" s="455">
        <f t="shared" ca="1" si="190"/>
        <v>-2868089372464590</v>
      </c>
      <c r="J5446" s="455">
        <f t="array" ref="J5446">IFERROR(INDEX('Retirement Calculator'!K:K,MATCH('Lorri 401b'!N5446,'Retirement Calculator'!A:A,0),0),0)</f>
        <v>0</v>
      </c>
      <c r="K5446" s="455">
        <f t="shared" ca="1" si="188"/>
        <v>-11950372385269.125</v>
      </c>
      <c r="L5446" s="455">
        <f t="shared" ca="1" si="189"/>
        <v>-2880039744849859</v>
      </c>
      <c r="M5446" s="471">
        <f t="shared" si="191"/>
        <v>0.05</v>
      </c>
      <c r="N5446" s="475">
        <f t="shared" si="192"/>
        <v>216804</v>
      </c>
    </row>
    <row r="5447" spans="7:14" ht="11.25" customHeight="1" x14ac:dyDescent="0.3">
      <c r="G5447" s="470"/>
      <c r="H5447" s="470">
        <v>5440</v>
      </c>
      <c r="I5447" s="455">
        <f t="shared" ca="1" si="190"/>
        <v>-2880039744849859</v>
      </c>
      <c r="J5447" s="455">
        <f t="array" ref="J5447">IFERROR(INDEX('Retirement Calculator'!K:K,MATCH('Lorri 401b'!N5447,'Retirement Calculator'!A:A,0),0),0)</f>
        <v>0</v>
      </c>
      <c r="K5447" s="455">
        <f t="shared" ca="1" si="188"/>
        <v>-12000165603541.078</v>
      </c>
      <c r="L5447" s="455">
        <f t="shared" ca="1" si="189"/>
        <v>-2892039910453400</v>
      </c>
      <c r="M5447" s="471">
        <f t="shared" si="191"/>
        <v>0.05</v>
      </c>
      <c r="N5447" s="475">
        <f t="shared" si="192"/>
        <v>216835</v>
      </c>
    </row>
    <row r="5448" spans="7:14" ht="11.25" customHeight="1" x14ac:dyDescent="0.3">
      <c r="G5448" s="470"/>
      <c r="H5448" s="470">
        <v>5441</v>
      </c>
      <c r="I5448" s="455">
        <f t="shared" ca="1" si="190"/>
        <v>-2892039910453400</v>
      </c>
      <c r="J5448" s="455">
        <f t="array" ref="J5448">IFERROR(INDEX('Retirement Calculator'!K:K,MATCH('Lorri 401b'!N5448,'Retirement Calculator'!A:A,0),0),0)</f>
        <v>0</v>
      </c>
      <c r="K5448" s="455">
        <f t="shared" ca="1" si="188"/>
        <v>-12050166293555.834</v>
      </c>
      <c r="L5448" s="455">
        <f t="shared" ca="1" si="189"/>
        <v>-2904090076746956</v>
      </c>
      <c r="M5448" s="471">
        <f t="shared" si="191"/>
        <v>0.05</v>
      </c>
      <c r="N5448" s="475">
        <f t="shared" si="192"/>
        <v>216865</v>
      </c>
    </row>
    <row r="5449" spans="7:14" ht="11.25" customHeight="1" x14ac:dyDescent="0.3">
      <c r="G5449" s="470"/>
      <c r="H5449" s="470">
        <v>5442</v>
      </c>
      <c r="I5449" s="455">
        <f t="shared" ca="1" si="190"/>
        <v>-2904090076746956</v>
      </c>
      <c r="J5449" s="455">
        <f t="array" ref="J5449">IFERROR(INDEX('Retirement Calculator'!K:K,MATCH('Lorri 401b'!N5449,'Retirement Calculator'!A:A,0),0),0)</f>
        <v>0</v>
      </c>
      <c r="K5449" s="455">
        <f t="shared" ca="1" si="188"/>
        <v>-12100375319778.982</v>
      </c>
      <c r="L5449" s="455">
        <f t="shared" ca="1" si="189"/>
        <v>-2916190452066735</v>
      </c>
      <c r="M5449" s="471">
        <f t="shared" si="191"/>
        <v>0.05</v>
      </c>
      <c r="N5449" s="475">
        <f t="shared" si="192"/>
        <v>216896</v>
      </c>
    </row>
    <row r="5450" spans="7:14" ht="11.25" customHeight="1" x14ac:dyDescent="0.3">
      <c r="G5450" s="470"/>
      <c r="H5450" s="470">
        <v>5443</v>
      </c>
      <c r="I5450" s="455">
        <f t="shared" ca="1" si="190"/>
        <v>-2916190452066735</v>
      </c>
      <c r="J5450" s="455">
        <f t="array" ref="J5450">IFERROR(INDEX('Retirement Calculator'!K:K,MATCH('Lorri 401b'!N5450,'Retirement Calculator'!A:A,0),0),0)</f>
        <v>0</v>
      </c>
      <c r="K5450" s="455">
        <f t="shared" ca="1" si="188"/>
        <v>-12150793550278.063</v>
      </c>
      <c r="L5450" s="455">
        <f t="shared" ca="1" si="189"/>
        <v>-2928341245617013</v>
      </c>
      <c r="M5450" s="471">
        <f t="shared" si="191"/>
        <v>0.05</v>
      </c>
      <c r="N5450" s="475">
        <f t="shared" si="192"/>
        <v>216926</v>
      </c>
    </row>
    <row r="5451" spans="7:14" ht="11.25" customHeight="1" x14ac:dyDescent="0.3">
      <c r="G5451" s="470"/>
      <c r="H5451" s="470">
        <v>5444</v>
      </c>
      <c r="I5451" s="455">
        <f t="shared" ca="1" si="190"/>
        <v>-2928341245617013</v>
      </c>
      <c r="J5451" s="455">
        <f t="array" ref="J5451">IFERROR(INDEX('Retirement Calculator'!K:K,MATCH('Lorri 401b'!N5451,'Retirement Calculator'!A:A,0),0),0)</f>
        <v>0</v>
      </c>
      <c r="K5451" s="455">
        <f t="shared" ca="1" si="188"/>
        <v>-12201421856737.555</v>
      </c>
      <c r="L5451" s="455">
        <f t="shared" ca="1" si="189"/>
        <v>-2940542667473750.5</v>
      </c>
      <c r="M5451" s="471">
        <f t="shared" si="191"/>
        <v>0.05</v>
      </c>
      <c r="N5451" s="475">
        <f t="shared" si="192"/>
        <v>216957</v>
      </c>
    </row>
    <row r="5452" spans="7:14" ht="11.25" customHeight="1" x14ac:dyDescent="0.3">
      <c r="G5452" s="470"/>
      <c r="H5452" s="470">
        <v>5445</v>
      </c>
      <c r="I5452" s="455">
        <f t="shared" ca="1" si="190"/>
        <v>-2940542667473750.5</v>
      </c>
      <c r="J5452" s="455">
        <f t="array" ref="J5452">IFERROR(INDEX('Retirement Calculator'!K:K,MATCH('Lorri 401b'!N5452,'Retirement Calculator'!A:A,0),0),0)</f>
        <v>0</v>
      </c>
      <c r="K5452" s="455">
        <f t="shared" ca="1" si="188"/>
        <v>-12252261114473.961</v>
      </c>
      <c r="L5452" s="455">
        <f t="shared" ca="1" si="189"/>
        <v>-2952794928588224.5</v>
      </c>
      <c r="M5452" s="471">
        <f t="shared" si="191"/>
        <v>0.05</v>
      </c>
      <c r="N5452" s="475">
        <f t="shared" si="192"/>
        <v>216988</v>
      </c>
    </row>
    <row r="5453" spans="7:14" ht="11.25" customHeight="1" x14ac:dyDescent="0.3">
      <c r="G5453" s="470"/>
      <c r="H5453" s="470">
        <v>5446</v>
      </c>
      <c r="I5453" s="455">
        <f t="shared" ca="1" si="190"/>
        <v>-2952794928588224.5</v>
      </c>
      <c r="J5453" s="455">
        <f t="array" ref="J5453">IFERROR(INDEX('Retirement Calculator'!K:K,MATCH('Lorri 401b'!N5453,'Retirement Calculator'!A:A,0),0),0)</f>
        <v>0</v>
      </c>
      <c r="K5453" s="455">
        <f t="shared" ca="1" si="188"/>
        <v>-12303312202450.936</v>
      </c>
      <c r="L5453" s="455">
        <f t="shared" ca="1" si="189"/>
        <v>-2965098240790675.5</v>
      </c>
      <c r="M5453" s="471">
        <f t="shared" si="191"/>
        <v>0.05</v>
      </c>
      <c r="N5453" s="475">
        <f t="shared" si="192"/>
        <v>217016</v>
      </c>
    </row>
    <row r="5454" spans="7:14" ht="11.25" customHeight="1" x14ac:dyDescent="0.3">
      <c r="G5454" s="470"/>
      <c r="H5454" s="470">
        <v>5447</v>
      </c>
      <c r="I5454" s="455">
        <f t="shared" ca="1" si="190"/>
        <v>-2965098240790675.5</v>
      </c>
      <c r="J5454" s="455">
        <f t="array" ref="J5454">IFERROR(INDEX('Retirement Calculator'!K:K,MATCH('Lorri 401b'!N5454,'Retirement Calculator'!A:A,0),0),0)</f>
        <v>0</v>
      </c>
      <c r="K5454" s="455">
        <f t="shared" ca="1" si="188"/>
        <v>-12354576003294.48</v>
      </c>
      <c r="L5454" s="455">
        <f t="shared" ca="1" si="189"/>
        <v>-2977452816793970</v>
      </c>
      <c r="M5454" s="471">
        <f t="shared" si="191"/>
        <v>0.05</v>
      </c>
      <c r="N5454" s="475">
        <f t="shared" si="192"/>
        <v>217047</v>
      </c>
    </row>
    <row r="5455" spans="7:14" ht="11.25" customHeight="1" x14ac:dyDescent="0.3">
      <c r="G5455" s="470"/>
      <c r="H5455" s="470">
        <v>5448</v>
      </c>
      <c r="I5455" s="455">
        <f t="shared" ca="1" si="190"/>
        <v>-2977452816793970</v>
      </c>
      <c r="J5455" s="455">
        <f t="array" ref="J5455">IFERROR(INDEX('Retirement Calculator'!K:K,MATCH('Lorri 401b'!N5455,'Retirement Calculator'!A:A,0),0),0)</f>
        <v>0</v>
      </c>
      <c r="K5455" s="455">
        <f t="shared" ca="1" si="188"/>
        <v>-12406053403308.209</v>
      </c>
      <c r="L5455" s="455">
        <f t="shared" ca="1" si="189"/>
        <v>-2989858870197278</v>
      </c>
      <c r="M5455" s="471">
        <f t="shared" si="191"/>
        <v>0.05</v>
      </c>
      <c r="N5455" s="475">
        <f t="shared" si="192"/>
        <v>217077</v>
      </c>
    </row>
    <row r="5456" spans="7:14" ht="11.25" customHeight="1" x14ac:dyDescent="0.3">
      <c r="G5456" s="470"/>
      <c r="H5456" s="470">
        <v>5449</v>
      </c>
      <c r="I5456" s="455">
        <f t="shared" ca="1" si="190"/>
        <v>-2989858870197278</v>
      </c>
      <c r="J5456" s="455">
        <f t="array" ref="J5456">IFERROR(INDEX('Retirement Calculator'!K:K,MATCH('Lorri 401b'!N5456,'Retirement Calculator'!A:A,0),0),0)</f>
        <v>0</v>
      </c>
      <c r="K5456" s="455">
        <f t="shared" ca="1" si="188"/>
        <v>-12457745292488.658</v>
      </c>
      <c r="L5456" s="455">
        <f t="shared" ca="1" si="189"/>
        <v>-3002316615489766.5</v>
      </c>
      <c r="M5456" s="471">
        <f t="shared" si="191"/>
        <v>0.05</v>
      </c>
      <c r="N5456" s="475">
        <f t="shared" si="192"/>
        <v>217108</v>
      </c>
    </row>
    <row r="5457" spans="7:14" ht="11.25" customHeight="1" x14ac:dyDescent="0.3">
      <c r="G5457" s="470"/>
      <c r="H5457" s="470">
        <v>5450</v>
      </c>
      <c r="I5457" s="455">
        <f t="shared" ca="1" si="190"/>
        <v>-3002316615489766.5</v>
      </c>
      <c r="J5457" s="455">
        <f t="array" ref="J5457">IFERROR(INDEX('Retirement Calculator'!K:K,MATCH('Lorri 401b'!N5457,'Retirement Calculator'!A:A,0),0),0)</f>
        <v>0</v>
      </c>
      <c r="K5457" s="455">
        <f t="shared" ca="1" si="188"/>
        <v>-12509652564540.693</v>
      </c>
      <c r="L5457" s="455">
        <f t="shared" ca="1" si="189"/>
        <v>-3014826268054307</v>
      </c>
      <c r="M5457" s="471">
        <f t="shared" si="191"/>
        <v>0.05</v>
      </c>
      <c r="N5457" s="475">
        <f t="shared" si="192"/>
        <v>217138</v>
      </c>
    </row>
    <row r="5458" spans="7:14" ht="11.25" customHeight="1" x14ac:dyDescent="0.3">
      <c r="G5458" s="470"/>
      <c r="H5458" s="470">
        <v>5451</v>
      </c>
      <c r="I5458" s="455">
        <f t="shared" ca="1" si="190"/>
        <v>-3014826268054307</v>
      </c>
      <c r="J5458" s="455">
        <f t="array" ref="J5458">IFERROR(INDEX('Retirement Calculator'!K:K,MATCH('Lorri 401b'!N5458,'Retirement Calculator'!A:A,0),0),0)</f>
        <v>0</v>
      </c>
      <c r="K5458" s="455">
        <f t="shared" ca="1" si="188"/>
        <v>-12561776116892.945</v>
      </c>
      <c r="L5458" s="455">
        <f t="shared" ca="1" si="189"/>
        <v>-3027388044171200</v>
      </c>
      <c r="M5458" s="471">
        <f t="shared" si="191"/>
        <v>0.05</v>
      </c>
      <c r="N5458" s="475">
        <f t="shared" si="192"/>
        <v>217169</v>
      </c>
    </row>
    <row r="5459" spans="7:14" ht="11.25" customHeight="1" x14ac:dyDescent="0.3">
      <c r="G5459" s="470"/>
      <c r="H5459" s="470">
        <v>5452</v>
      </c>
      <c r="I5459" s="455">
        <f t="shared" ca="1" si="190"/>
        <v>-3027388044171200</v>
      </c>
      <c r="J5459" s="455">
        <f t="array" ref="J5459">IFERROR(INDEX('Retirement Calculator'!K:K,MATCH('Lorri 401b'!N5459,'Retirement Calculator'!A:A,0),0),0)</f>
        <v>0</v>
      </c>
      <c r="K5459" s="455">
        <f t="shared" ca="1" si="188"/>
        <v>-12614116850713.334</v>
      </c>
      <c r="L5459" s="455">
        <f t="shared" ca="1" si="189"/>
        <v>-3040002161021913.5</v>
      </c>
      <c r="M5459" s="471">
        <f t="shared" si="191"/>
        <v>0.05</v>
      </c>
      <c r="N5459" s="475">
        <f t="shared" si="192"/>
        <v>217200</v>
      </c>
    </row>
    <row r="5460" spans="7:14" ht="11.25" customHeight="1" x14ac:dyDescent="0.3">
      <c r="G5460" s="470"/>
      <c r="H5460" s="470">
        <v>5453</v>
      </c>
      <c r="I5460" s="455">
        <f t="shared" ca="1" si="190"/>
        <v>-3040002161021913.5</v>
      </c>
      <c r="J5460" s="455">
        <f t="array" ref="J5460">IFERROR(INDEX('Retirement Calculator'!K:K,MATCH('Lorri 401b'!N5460,'Retirement Calculator'!A:A,0),0),0)</f>
        <v>0</v>
      </c>
      <c r="K5460" s="455">
        <f t="shared" ca="1" si="188"/>
        <v>-12666675670924.639</v>
      </c>
      <c r="L5460" s="455">
        <f t="shared" ca="1" si="189"/>
        <v>-3052668836692838</v>
      </c>
      <c r="M5460" s="471">
        <f t="shared" si="191"/>
        <v>0.05</v>
      </c>
      <c r="N5460" s="475">
        <f t="shared" si="192"/>
        <v>217230</v>
      </c>
    </row>
    <row r="5461" spans="7:14" ht="11.25" customHeight="1" x14ac:dyDescent="0.3">
      <c r="G5461" s="470"/>
      <c r="H5461" s="470">
        <v>5454</v>
      </c>
      <c r="I5461" s="455">
        <f t="shared" ca="1" si="190"/>
        <v>-3052668836692838</v>
      </c>
      <c r="J5461" s="455">
        <f t="array" ref="J5461">IFERROR(INDEX('Retirement Calculator'!K:K,MATCH('Lorri 401b'!N5461,'Retirement Calculator'!A:A,0),0),0)</f>
        <v>0</v>
      </c>
      <c r="K5461" s="455">
        <f t="shared" ca="1" si="188"/>
        <v>-12719453486220.158</v>
      </c>
      <c r="L5461" s="455">
        <f t="shared" ca="1" si="189"/>
        <v>-3065388290179058</v>
      </c>
      <c r="M5461" s="471">
        <f t="shared" si="191"/>
        <v>0.05</v>
      </c>
      <c r="N5461" s="475">
        <f t="shared" si="192"/>
        <v>217261</v>
      </c>
    </row>
    <row r="5462" spans="7:14" ht="11.25" customHeight="1" x14ac:dyDescent="0.3">
      <c r="G5462" s="470"/>
      <c r="H5462" s="470">
        <v>5455</v>
      </c>
      <c r="I5462" s="455">
        <f t="shared" ca="1" si="190"/>
        <v>-3065388290179058</v>
      </c>
      <c r="J5462" s="455">
        <f t="array" ref="J5462">IFERROR(INDEX('Retirement Calculator'!K:K,MATCH('Lorri 401b'!N5462,'Retirement Calculator'!A:A,0),0),0)</f>
        <v>0</v>
      </c>
      <c r="K5462" s="455">
        <f t="shared" ca="1" si="188"/>
        <v>-12772451209079.408</v>
      </c>
      <c r="L5462" s="455">
        <f t="shared" ca="1" si="189"/>
        <v>-3078160741388137.5</v>
      </c>
      <c r="M5462" s="471">
        <f t="shared" si="191"/>
        <v>0.05</v>
      </c>
      <c r="N5462" s="475">
        <f t="shared" si="192"/>
        <v>217291</v>
      </c>
    </row>
    <row r="5463" spans="7:14" ht="11.25" customHeight="1" x14ac:dyDescent="0.3">
      <c r="G5463" s="470"/>
      <c r="H5463" s="470">
        <v>5456</v>
      </c>
      <c r="I5463" s="455">
        <f t="shared" ca="1" si="190"/>
        <v>-3078160741388137.5</v>
      </c>
      <c r="J5463" s="455">
        <f t="array" ref="J5463">IFERROR(INDEX('Retirement Calculator'!K:K,MATCH('Lorri 401b'!N5463,'Retirement Calculator'!A:A,0),0),0)</f>
        <v>0</v>
      </c>
      <c r="K5463" s="455">
        <f t="shared" ca="1" si="188"/>
        <v>-12825669755783.906</v>
      </c>
      <c r="L5463" s="455">
        <f t="shared" ca="1" si="189"/>
        <v>-3090986411143921.5</v>
      </c>
      <c r="M5463" s="471">
        <f t="shared" si="191"/>
        <v>0.05</v>
      </c>
      <c r="N5463" s="475">
        <f t="shared" si="192"/>
        <v>217322</v>
      </c>
    </row>
    <row r="5464" spans="7:14" ht="11.25" customHeight="1" x14ac:dyDescent="0.3">
      <c r="G5464" s="470"/>
      <c r="H5464" s="470">
        <v>5457</v>
      </c>
      <c r="I5464" s="455">
        <f t="shared" ca="1" si="190"/>
        <v>-3090986411143921.5</v>
      </c>
      <c r="J5464" s="455">
        <f t="array" ref="J5464">IFERROR(INDEX('Retirement Calculator'!K:K,MATCH('Lorri 401b'!N5464,'Retirement Calculator'!A:A,0),0),0)</f>
        <v>0</v>
      </c>
      <c r="K5464" s="455">
        <f t="shared" ca="1" si="188"/>
        <v>-12879110046433.006</v>
      </c>
      <c r="L5464" s="455">
        <f t="shared" ca="1" si="189"/>
        <v>-3103865521190354.5</v>
      </c>
      <c r="M5464" s="471">
        <f t="shared" si="191"/>
        <v>0.05</v>
      </c>
      <c r="N5464" s="475">
        <f t="shared" si="192"/>
        <v>217353</v>
      </c>
    </row>
    <row r="5465" spans="7:14" ht="11.25" customHeight="1" x14ac:dyDescent="0.3">
      <c r="G5465" s="470"/>
      <c r="H5465" s="470">
        <v>5458</v>
      </c>
      <c r="I5465" s="455">
        <f t="shared" ca="1" si="190"/>
        <v>-3103865521190354.5</v>
      </c>
      <c r="J5465" s="455">
        <f t="array" ref="J5465">IFERROR(INDEX('Retirement Calculator'!K:K,MATCH('Lorri 401b'!N5465,'Retirement Calculator'!A:A,0),0),0)</f>
        <v>0</v>
      </c>
      <c r="K5465" s="455">
        <f t="shared" ca="1" si="188"/>
        <v>-12932773004959.811</v>
      </c>
      <c r="L5465" s="455">
        <f t="shared" ca="1" si="189"/>
        <v>-3116798294195314.5</v>
      </c>
      <c r="M5465" s="471">
        <f t="shared" si="191"/>
        <v>0.05</v>
      </c>
      <c r="N5465" s="475">
        <f t="shared" si="192"/>
        <v>217381</v>
      </c>
    </row>
    <row r="5466" spans="7:14" ht="11.25" customHeight="1" x14ac:dyDescent="0.3">
      <c r="G5466" s="470"/>
      <c r="H5466" s="470">
        <v>5459</v>
      </c>
      <c r="I5466" s="455">
        <f t="shared" ca="1" si="190"/>
        <v>-3116798294195314.5</v>
      </c>
      <c r="J5466" s="455">
        <f t="array" ref="J5466">IFERROR(INDEX('Retirement Calculator'!K:K,MATCH('Lorri 401b'!N5466,'Retirement Calculator'!A:A,0),0),0)</f>
        <v>0</v>
      </c>
      <c r="K5466" s="455">
        <f t="shared" ca="1" si="188"/>
        <v>-12986659559147.145</v>
      </c>
      <c r="L5466" s="455">
        <f t="shared" ca="1" si="189"/>
        <v>-3129784953754461.5</v>
      </c>
      <c r="M5466" s="471">
        <f t="shared" si="191"/>
        <v>0.05</v>
      </c>
      <c r="N5466" s="475">
        <f t="shared" si="192"/>
        <v>217412</v>
      </c>
    </row>
    <row r="5467" spans="7:14" ht="11.25" customHeight="1" x14ac:dyDescent="0.3">
      <c r="G5467" s="470"/>
      <c r="H5467" s="470">
        <v>5460</v>
      </c>
      <c r="I5467" s="455">
        <f t="shared" ca="1" si="190"/>
        <v>-3129784953754461.5</v>
      </c>
      <c r="J5467" s="455">
        <f t="array" ref="J5467">IFERROR(INDEX('Retirement Calculator'!K:K,MATCH('Lorri 401b'!N5467,'Retirement Calculator'!A:A,0),0),0)</f>
        <v>0</v>
      </c>
      <c r="K5467" s="455">
        <f t="shared" ca="1" si="188"/>
        <v>-13040770640643.59</v>
      </c>
      <c r="L5467" s="455">
        <f t="shared" ca="1" si="189"/>
        <v>-3142825724395105</v>
      </c>
      <c r="M5467" s="471">
        <f t="shared" si="191"/>
        <v>0.05</v>
      </c>
      <c r="N5467" s="475">
        <f t="shared" si="192"/>
        <v>217442</v>
      </c>
    </row>
    <row r="5468" spans="7:14" ht="11.25" customHeight="1" x14ac:dyDescent="0.3">
      <c r="G5468" s="470"/>
      <c r="H5468" s="470">
        <v>5461</v>
      </c>
      <c r="I5468" s="455">
        <f t="shared" ca="1" si="190"/>
        <v>-3142825724395105</v>
      </c>
      <c r="J5468" s="455">
        <f t="array" ref="J5468">IFERROR(INDEX('Retirement Calculator'!K:K,MATCH('Lorri 401b'!N5468,'Retirement Calculator'!A:A,0),0),0)</f>
        <v>0</v>
      </c>
      <c r="K5468" s="455">
        <f t="shared" ca="1" si="188"/>
        <v>-13095107184979.604</v>
      </c>
      <c r="L5468" s="455">
        <f t="shared" ca="1" si="189"/>
        <v>-3155920831580084.5</v>
      </c>
      <c r="M5468" s="471">
        <f t="shared" si="191"/>
        <v>0.05</v>
      </c>
      <c r="N5468" s="475">
        <f t="shared" si="192"/>
        <v>217473</v>
      </c>
    </row>
    <row r="5469" spans="7:14" ht="11.25" customHeight="1" x14ac:dyDescent="0.3">
      <c r="G5469" s="470"/>
      <c r="H5469" s="470">
        <v>5462</v>
      </c>
      <c r="I5469" s="455">
        <f t="shared" ca="1" si="190"/>
        <v>-3155920831580084.5</v>
      </c>
      <c r="J5469" s="455">
        <f t="array" ref="J5469">IFERROR(INDEX('Retirement Calculator'!K:K,MATCH('Lorri 401b'!N5469,'Retirement Calculator'!A:A,0),0),0)</f>
        <v>0</v>
      </c>
      <c r="K5469" s="455">
        <f t="shared" ca="1" si="188"/>
        <v>-13149670131583.686</v>
      </c>
      <c r="L5469" s="455">
        <f t="shared" ca="1" si="189"/>
        <v>-3169070501711668</v>
      </c>
      <c r="M5469" s="471">
        <f t="shared" si="191"/>
        <v>0.05</v>
      </c>
      <c r="N5469" s="475">
        <f t="shared" si="192"/>
        <v>217503</v>
      </c>
    </row>
    <row r="5470" spans="7:14" ht="11.25" customHeight="1" x14ac:dyDescent="0.3">
      <c r="G5470" s="470"/>
      <c r="H5470" s="470">
        <v>5463</v>
      </c>
      <c r="I5470" s="455">
        <f t="shared" ca="1" si="190"/>
        <v>-3169070501711668</v>
      </c>
      <c r="J5470" s="455">
        <f t="array" ref="J5470">IFERROR(INDEX('Retirement Calculator'!K:K,MATCH('Lorri 401b'!N5470,'Retirement Calculator'!A:A,0),0),0)</f>
        <v>0</v>
      </c>
      <c r="K5470" s="455">
        <f t="shared" ca="1" si="188"/>
        <v>-13204460423798.617</v>
      </c>
      <c r="L5470" s="455">
        <f t="shared" ca="1" si="189"/>
        <v>-3182274962135466.5</v>
      </c>
      <c r="M5470" s="471">
        <f t="shared" si="191"/>
        <v>0.05</v>
      </c>
      <c r="N5470" s="475">
        <f t="shared" si="192"/>
        <v>217534</v>
      </c>
    </row>
    <row r="5471" spans="7:14" ht="11.25" customHeight="1" x14ac:dyDescent="0.3">
      <c r="G5471" s="470"/>
      <c r="H5471" s="470">
        <v>5464</v>
      </c>
      <c r="I5471" s="455">
        <f t="shared" ca="1" si="190"/>
        <v>-3182274962135466.5</v>
      </c>
      <c r="J5471" s="455">
        <f t="array" ref="J5471">IFERROR(INDEX('Retirement Calculator'!K:K,MATCH('Lorri 401b'!N5471,'Retirement Calculator'!A:A,0),0),0)</f>
        <v>0</v>
      </c>
      <c r="K5471" s="455">
        <f t="shared" ca="1" si="188"/>
        <v>-13259479008897.777</v>
      </c>
      <c r="L5471" s="455">
        <f t="shared" ca="1" si="189"/>
        <v>-3195534441144364.5</v>
      </c>
      <c r="M5471" s="471">
        <f t="shared" si="191"/>
        <v>0.05</v>
      </c>
      <c r="N5471" s="475">
        <f t="shared" si="192"/>
        <v>217565</v>
      </c>
    </row>
    <row r="5472" spans="7:14" ht="11.25" customHeight="1" x14ac:dyDescent="0.3">
      <c r="G5472" s="470"/>
      <c r="H5472" s="470">
        <v>5465</v>
      </c>
      <c r="I5472" s="455">
        <f t="shared" ca="1" si="190"/>
        <v>-3195534441144364.5</v>
      </c>
      <c r="J5472" s="455">
        <f t="array" ref="J5472">IFERROR(INDEX('Retirement Calculator'!K:K,MATCH('Lorri 401b'!N5472,'Retirement Calculator'!A:A,0),0),0)</f>
        <v>0</v>
      </c>
      <c r="K5472" s="455">
        <f t="shared" ca="1" si="188"/>
        <v>-13314726838101.52</v>
      </c>
      <c r="L5472" s="455">
        <f t="shared" ca="1" si="189"/>
        <v>-3208849167982466</v>
      </c>
      <c r="M5472" s="471">
        <f t="shared" si="191"/>
        <v>0.05</v>
      </c>
      <c r="N5472" s="475">
        <f t="shared" si="192"/>
        <v>217595</v>
      </c>
    </row>
    <row r="5473" spans="7:14" ht="11.25" customHeight="1" x14ac:dyDescent="0.3">
      <c r="G5473" s="470"/>
      <c r="H5473" s="470">
        <v>5466</v>
      </c>
      <c r="I5473" s="455">
        <f t="shared" ca="1" si="190"/>
        <v>-3208849167982466</v>
      </c>
      <c r="J5473" s="455">
        <f t="array" ref="J5473">IFERROR(INDEX('Retirement Calculator'!K:K,MATCH('Lorri 401b'!N5473,'Retirement Calculator'!A:A,0),0),0)</f>
        <v>0</v>
      </c>
      <c r="K5473" s="455">
        <f t="shared" ca="1" si="188"/>
        <v>-13370204866593.607</v>
      </c>
      <c r="L5473" s="455">
        <f t="shared" ca="1" si="189"/>
        <v>-3222219372849059.5</v>
      </c>
      <c r="M5473" s="471">
        <f t="shared" si="191"/>
        <v>0.05</v>
      </c>
      <c r="N5473" s="475">
        <f t="shared" si="192"/>
        <v>217626</v>
      </c>
    </row>
    <row r="5474" spans="7:14" ht="11.25" customHeight="1" x14ac:dyDescent="0.3">
      <c r="G5474" s="470"/>
      <c r="H5474" s="470">
        <v>5467</v>
      </c>
      <c r="I5474" s="455">
        <f t="shared" ca="1" si="190"/>
        <v>-3222219372849059.5</v>
      </c>
      <c r="J5474" s="455">
        <f t="array" ref="J5474">IFERROR(INDEX('Retirement Calculator'!K:K,MATCH('Lorri 401b'!N5474,'Retirement Calculator'!A:A,0),0),0)</f>
        <v>0</v>
      </c>
      <c r="K5474" s="455">
        <f t="shared" ca="1" si="188"/>
        <v>-13425914053537.748</v>
      </c>
      <c r="L5474" s="455">
        <f t="shared" ca="1" si="189"/>
        <v>-3235645286902597</v>
      </c>
      <c r="M5474" s="471">
        <f t="shared" si="191"/>
        <v>0.05</v>
      </c>
      <c r="N5474" s="475">
        <f t="shared" si="192"/>
        <v>217656</v>
      </c>
    </row>
    <row r="5475" spans="7:14" ht="11.25" customHeight="1" x14ac:dyDescent="0.3">
      <c r="G5475" s="470"/>
      <c r="H5475" s="470">
        <v>5468</v>
      </c>
      <c r="I5475" s="455">
        <f t="shared" ca="1" si="190"/>
        <v>-3235645286902597</v>
      </c>
      <c r="J5475" s="455">
        <f t="array" ref="J5475">IFERROR(INDEX('Retirement Calculator'!K:K,MATCH('Lorri 401b'!N5475,'Retirement Calculator'!A:A,0),0),0)</f>
        <v>0</v>
      </c>
      <c r="K5475" s="455">
        <f t="shared" ca="1" si="188"/>
        <v>-13481855362094.154</v>
      </c>
      <c r="L5475" s="455">
        <f t="shared" ca="1" si="189"/>
        <v>-3249127142264691</v>
      </c>
      <c r="M5475" s="471">
        <f t="shared" si="191"/>
        <v>0.05</v>
      </c>
      <c r="N5475" s="475">
        <f t="shared" si="192"/>
        <v>217687</v>
      </c>
    </row>
    <row r="5476" spans="7:14" ht="11.25" customHeight="1" x14ac:dyDescent="0.3">
      <c r="G5476" s="470"/>
      <c r="H5476" s="470">
        <v>5469</v>
      </c>
      <c r="I5476" s="455">
        <f t="shared" ca="1" si="190"/>
        <v>-3249127142264691</v>
      </c>
      <c r="J5476" s="455">
        <f t="array" ref="J5476">IFERROR(INDEX('Retirement Calculator'!K:K,MATCH('Lorri 401b'!N5476,'Retirement Calculator'!A:A,0),0),0)</f>
        <v>0</v>
      </c>
      <c r="K5476" s="455">
        <f t="shared" ca="1" si="188"/>
        <v>-13538029759436.213</v>
      </c>
      <c r="L5476" s="455">
        <f t="shared" ca="1" si="189"/>
        <v>-3262665172024127</v>
      </c>
      <c r="M5476" s="471">
        <f t="shared" si="191"/>
        <v>0.05</v>
      </c>
      <c r="N5476" s="475">
        <f t="shared" si="192"/>
        <v>217718</v>
      </c>
    </row>
    <row r="5477" spans="7:14" ht="11.25" customHeight="1" x14ac:dyDescent="0.3">
      <c r="G5477" s="470"/>
      <c r="H5477" s="470">
        <v>5470</v>
      </c>
      <c r="I5477" s="455">
        <f t="shared" ca="1" si="190"/>
        <v>-3262665172024127</v>
      </c>
      <c r="J5477" s="455">
        <f t="array" ref="J5477">IFERROR(INDEX('Retirement Calculator'!K:K,MATCH('Lorri 401b'!N5477,'Retirement Calculator'!A:A,0),0),0)</f>
        <v>0</v>
      </c>
      <c r="K5477" s="455">
        <f t="shared" ca="1" si="188"/>
        <v>-13594438216767.195</v>
      </c>
      <c r="L5477" s="455">
        <f t="shared" ca="1" si="189"/>
        <v>-3276259610240894</v>
      </c>
      <c r="M5477" s="471">
        <f t="shared" si="191"/>
        <v>0.05</v>
      </c>
      <c r="N5477" s="475">
        <f t="shared" si="192"/>
        <v>217747</v>
      </c>
    </row>
    <row r="5478" spans="7:14" ht="11.25" customHeight="1" x14ac:dyDescent="0.3">
      <c r="G5478" s="470"/>
      <c r="H5478" s="470">
        <v>5471</v>
      </c>
      <c r="I5478" s="455">
        <f t="shared" ca="1" si="190"/>
        <v>-3276259610240894</v>
      </c>
      <c r="J5478" s="455">
        <f t="array" ref="J5478">IFERROR(INDEX('Retirement Calculator'!K:K,MATCH('Lorri 401b'!N5478,'Retirement Calculator'!A:A,0),0),0)</f>
        <v>0</v>
      </c>
      <c r="K5478" s="455">
        <f t="shared" ca="1" si="188"/>
        <v>-13651081709337.059</v>
      </c>
      <c r="L5478" s="455">
        <f t="shared" ca="1" si="189"/>
        <v>-3289910691950231</v>
      </c>
      <c r="M5478" s="471">
        <f t="shared" si="191"/>
        <v>0.05</v>
      </c>
      <c r="N5478" s="475">
        <f t="shared" si="192"/>
        <v>217778</v>
      </c>
    </row>
    <row r="5479" spans="7:14" ht="11.25" customHeight="1" x14ac:dyDescent="0.3">
      <c r="G5479" s="470"/>
      <c r="H5479" s="470">
        <v>5472</v>
      </c>
      <c r="I5479" s="455">
        <f t="shared" ca="1" si="190"/>
        <v>-3289910691950231</v>
      </c>
      <c r="J5479" s="455">
        <f t="array" ref="J5479">IFERROR(INDEX('Retirement Calculator'!K:K,MATCH('Lorri 401b'!N5479,'Retirement Calculator'!A:A,0),0),0)</f>
        <v>0</v>
      </c>
      <c r="K5479" s="455">
        <f t="shared" ca="1" si="188"/>
        <v>-13707961216459.295</v>
      </c>
      <c r="L5479" s="455">
        <f t="shared" ca="1" si="189"/>
        <v>-3303618653166690.5</v>
      </c>
      <c r="M5479" s="471">
        <f t="shared" si="191"/>
        <v>0.05</v>
      </c>
      <c r="N5479" s="475">
        <f t="shared" si="192"/>
        <v>217808</v>
      </c>
    </row>
    <row r="5480" spans="7:14" ht="11.25" customHeight="1" x14ac:dyDescent="0.3">
      <c r="G5480" s="470"/>
      <c r="H5480" s="470">
        <v>5473</v>
      </c>
      <c r="I5480" s="455">
        <f t="shared" ca="1" si="190"/>
        <v>-3303618653166690.5</v>
      </c>
      <c r="J5480" s="455">
        <f t="array" ref="J5480">IFERROR(INDEX('Retirement Calculator'!K:K,MATCH('Lorri 401b'!N5480,'Retirement Calculator'!A:A,0),0),0)</f>
        <v>0</v>
      </c>
      <c r="K5480" s="455">
        <f t="shared" ca="1" si="188"/>
        <v>-13765077721527.877</v>
      </c>
      <c r="L5480" s="455">
        <f t="shared" ca="1" si="189"/>
        <v>-3317383730888218.5</v>
      </c>
      <c r="M5480" s="471">
        <f t="shared" si="191"/>
        <v>0.05</v>
      </c>
      <c r="N5480" s="475">
        <f t="shared" si="192"/>
        <v>217839</v>
      </c>
    </row>
    <row r="5481" spans="7:14" ht="11.25" customHeight="1" x14ac:dyDescent="0.3">
      <c r="G5481" s="470"/>
      <c r="H5481" s="470">
        <v>5474</v>
      </c>
      <c r="I5481" s="455">
        <f t="shared" ca="1" si="190"/>
        <v>-3317383730888218.5</v>
      </c>
      <c r="J5481" s="455">
        <f t="array" ref="J5481">IFERROR(INDEX('Retirement Calculator'!K:K,MATCH('Lorri 401b'!N5481,'Retirement Calculator'!A:A,0),0),0)</f>
        <v>0</v>
      </c>
      <c r="K5481" s="455">
        <f t="shared" ca="1" si="188"/>
        <v>-13822432212034.244</v>
      </c>
      <c r="L5481" s="455">
        <f t="shared" ca="1" si="189"/>
        <v>-3331206163100252.5</v>
      </c>
      <c r="M5481" s="471">
        <f t="shared" si="191"/>
        <v>0.05</v>
      </c>
      <c r="N5481" s="475">
        <f t="shared" si="192"/>
        <v>217869</v>
      </c>
    </row>
    <row r="5482" spans="7:14" ht="11.25" customHeight="1" x14ac:dyDescent="0.3">
      <c r="G5482" s="470"/>
      <c r="H5482" s="470">
        <v>5475</v>
      </c>
      <c r="I5482" s="455">
        <f t="shared" ca="1" si="190"/>
        <v>-3331206163100252.5</v>
      </c>
      <c r="J5482" s="455">
        <f t="array" ref="J5482">IFERROR(INDEX('Retirement Calculator'!K:K,MATCH('Lorri 401b'!N5482,'Retirement Calculator'!A:A,0),0),0)</f>
        <v>0</v>
      </c>
      <c r="K5482" s="455">
        <f t="shared" ca="1" si="188"/>
        <v>-13880025679584.385</v>
      </c>
      <c r="L5482" s="455">
        <f t="shared" ca="1" si="189"/>
        <v>-3345086188779837</v>
      </c>
      <c r="M5482" s="471">
        <f t="shared" si="191"/>
        <v>0.05</v>
      </c>
      <c r="N5482" s="475">
        <f t="shared" si="192"/>
        <v>217900</v>
      </c>
    </row>
    <row r="5483" spans="7:14" ht="11.25" customHeight="1" x14ac:dyDescent="0.3">
      <c r="G5483" s="470"/>
      <c r="H5483" s="470">
        <v>5476</v>
      </c>
      <c r="I5483" s="455">
        <f t="shared" ca="1" si="190"/>
        <v>-3345086188779837</v>
      </c>
      <c r="J5483" s="455">
        <f t="array" ref="J5483">IFERROR(INDEX('Retirement Calculator'!K:K,MATCH('Lorri 401b'!N5483,'Retirement Calculator'!A:A,0),0),0)</f>
        <v>0</v>
      </c>
      <c r="K5483" s="455">
        <f t="shared" ca="1" si="188"/>
        <v>-13937859119915.988</v>
      </c>
      <c r="L5483" s="455">
        <f t="shared" ca="1" si="189"/>
        <v>-3359024047899753</v>
      </c>
      <c r="M5483" s="471">
        <f t="shared" si="191"/>
        <v>0.05</v>
      </c>
      <c r="N5483" s="475">
        <f t="shared" si="192"/>
        <v>217931</v>
      </c>
    </row>
    <row r="5484" spans="7:14" ht="11.25" customHeight="1" x14ac:dyDescent="0.3">
      <c r="G5484" s="470"/>
      <c r="H5484" s="470">
        <v>5477</v>
      </c>
      <c r="I5484" s="455">
        <f t="shared" ca="1" si="190"/>
        <v>-3359024047899753</v>
      </c>
      <c r="J5484" s="455">
        <f t="array" ref="J5484">IFERROR(INDEX('Retirement Calculator'!K:K,MATCH('Lorri 401b'!N5484,'Retirement Calculator'!A:A,0),0),0)</f>
        <v>0</v>
      </c>
      <c r="K5484" s="455">
        <f t="shared" ca="1" si="188"/>
        <v>-13995933532915.637</v>
      </c>
      <c r="L5484" s="455">
        <f t="shared" ca="1" si="189"/>
        <v>-3373019981432668.5</v>
      </c>
      <c r="M5484" s="471">
        <f t="shared" si="191"/>
        <v>0.05</v>
      </c>
      <c r="N5484" s="475">
        <f t="shared" si="192"/>
        <v>217961</v>
      </c>
    </row>
    <row r="5485" spans="7:14" ht="11.25" customHeight="1" x14ac:dyDescent="0.3">
      <c r="G5485" s="470"/>
      <c r="H5485" s="470">
        <v>5478</v>
      </c>
      <c r="I5485" s="455">
        <f t="shared" ca="1" si="190"/>
        <v>-3373019981432668.5</v>
      </c>
      <c r="J5485" s="455">
        <f t="array" ref="J5485">IFERROR(INDEX('Retirement Calculator'!K:K,MATCH('Lorri 401b'!N5485,'Retirement Calculator'!A:A,0),0),0)</f>
        <v>0</v>
      </c>
      <c r="K5485" s="455">
        <f t="shared" ca="1" si="188"/>
        <v>-14054249922636.119</v>
      </c>
      <c r="L5485" s="455">
        <f t="shared" ca="1" si="189"/>
        <v>-3387074231355304.5</v>
      </c>
      <c r="M5485" s="471">
        <f t="shared" si="191"/>
        <v>0.05</v>
      </c>
      <c r="N5485" s="475">
        <f t="shared" si="192"/>
        <v>217992</v>
      </c>
    </row>
    <row r="5486" spans="7:14" ht="11.25" customHeight="1" x14ac:dyDescent="0.3">
      <c r="G5486" s="470"/>
      <c r="H5486" s="470">
        <v>5479</v>
      </c>
      <c r="I5486" s="455">
        <f t="shared" ca="1" si="190"/>
        <v>-3387074231355304.5</v>
      </c>
      <c r="J5486" s="455">
        <f t="array" ref="J5486">IFERROR(INDEX('Retirement Calculator'!K:K,MATCH('Lorri 401b'!N5486,'Retirement Calculator'!A:A,0),0),0)</f>
        <v>0</v>
      </c>
      <c r="K5486" s="455">
        <f t="shared" ca="1" si="188"/>
        <v>-14112809297313.768</v>
      </c>
      <c r="L5486" s="455">
        <f t="shared" ca="1" si="189"/>
        <v>-3401187040652618.5</v>
      </c>
      <c r="M5486" s="471">
        <f t="shared" si="191"/>
        <v>0.05</v>
      </c>
      <c r="N5486" s="475">
        <f t="shared" si="192"/>
        <v>218022</v>
      </c>
    </row>
    <row r="5487" spans="7:14" ht="11.25" customHeight="1" x14ac:dyDescent="0.3">
      <c r="G5487" s="470"/>
      <c r="H5487" s="470">
        <v>5480</v>
      </c>
      <c r="I5487" s="455">
        <f t="shared" ca="1" si="190"/>
        <v>-3401187040652618.5</v>
      </c>
      <c r="J5487" s="455">
        <f t="array" ref="J5487">IFERROR(INDEX('Retirement Calculator'!K:K,MATCH('Lorri 401b'!N5487,'Retirement Calculator'!A:A,0),0),0)</f>
        <v>0</v>
      </c>
      <c r="K5487" s="455">
        <f t="shared" ca="1" si="188"/>
        <v>-14171612669385.91</v>
      </c>
      <c r="L5487" s="455">
        <f t="shared" ca="1" si="189"/>
        <v>-3415358653322004.5</v>
      </c>
      <c r="M5487" s="471">
        <f t="shared" si="191"/>
        <v>0.05</v>
      </c>
      <c r="N5487" s="475">
        <f t="shared" si="192"/>
        <v>218053</v>
      </c>
    </row>
    <row r="5488" spans="7:14" ht="11.25" customHeight="1" x14ac:dyDescent="0.3">
      <c r="G5488" s="470"/>
      <c r="H5488" s="470">
        <v>5481</v>
      </c>
      <c r="I5488" s="455">
        <f t="shared" ca="1" si="190"/>
        <v>-3415358653322004.5</v>
      </c>
      <c r="J5488" s="455">
        <f t="array" ref="J5488">IFERROR(INDEX('Retirement Calculator'!K:K,MATCH('Lorri 401b'!N5488,'Retirement Calculator'!A:A,0),0),0)</f>
        <v>0</v>
      </c>
      <c r="K5488" s="455">
        <f t="shared" ca="1" si="188"/>
        <v>-14230661055508.352</v>
      </c>
      <c r="L5488" s="455">
        <f t="shared" ca="1" si="189"/>
        <v>-3429589314377513</v>
      </c>
      <c r="M5488" s="471">
        <f t="shared" si="191"/>
        <v>0.05</v>
      </c>
      <c r="N5488" s="475">
        <f t="shared" si="192"/>
        <v>218084</v>
      </c>
    </row>
    <row r="5489" spans="7:14" ht="11.25" customHeight="1" x14ac:dyDescent="0.3">
      <c r="G5489" s="470"/>
      <c r="H5489" s="470">
        <v>5482</v>
      </c>
      <c r="I5489" s="455">
        <f t="shared" ca="1" si="190"/>
        <v>-3429589314377513</v>
      </c>
      <c r="J5489" s="455">
        <f t="array" ref="J5489">IFERROR(INDEX('Retirement Calculator'!K:K,MATCH('Lorri 401b'!N5489,'Retirement Calculator'!A:A,0),0),0)</f>
        <v>0</v>
      </c>
      <c r="K5489" s="455">
        <f t="shared" ca="1" si="188"/>
        <v>-14289955476572.971</v>
      </c>
      <c r="L5489" s="455">
        <f t="shared" ca="1" si="189"/>
        <v>-3443879269854086</v>
      </c>
      <c r="M5489" s="471">
        <f t="shared" si="191"/>
        <v>0.05</v>
      </c>
      <c r="N5489" s="475">
        <f t="shared" si="192"/>
        <v>218112</v>
      </c>
    </row>
    <row r="5490" spans="7:14" ht="11.25" customHeight="1" x14ac:dyDescent="0.3">
      <c r="G5490" s="470"/>
      <c r="H5490" s="470">
        <v>5483</v>
      </c>
      <c r="I5490" s="455">
        <f t="shared" ca="1" si="190"/>
        <v>-3443879269854086</v>
      </c>
      <c r="J5490" s="455">
        <f t="array" ref="J5490">IFERROR(INDEX('Retirement Calculator'!K:K,MATCH('Lorri 401b'!N5490,'Retirement Calculator'!A:A,0),0),0)</f>
        <v>0</v>
      </c>
      <c r="K5490" s="455">
        <f t="shared" ca="1" si="188"/>
        <v>-14349496957725.357</v>
      </c>
      <c r="L5490" s="455">
        <f t="shared" ca="1" si="189"/>
        <v>-3458228766811811.5</v>
      </c>
      <c r="M5490" s="471">
        <f t="shared" si="191"/>
        <v>0.05</v>
      </c>
      <c r="N5490" s="475">
        <f t="shared" si="192"/>
        <v>218143</v>
      </c>
    </row>
    <row r="5491" spans="7:14" ht="11.25" customHeight="1" x14ac:dyDescent="0.3">
      <c r="G5491" s="470"/>
      <c r="H5491" s="470">
        <v>5484</v>
      </c>
      <c r="I5491" s="455">
        <f t="shared" ca="1" si="190"/>
        <v>-3458228766811811.5</v>
      </c>
      <c r="J5491" s="455">
        <f t="array" ref="J5491">IFERROR(INDEX('Retirement Calculator'!K:K,MATCH('Lorri 401b'!N5491,'Retirement Calculator'!A:A,0),0),0)</f>
        <v>0</v>
      </c>
      <c r="K5491" s="455">
        <f t="shared" ca="1" si="188"/>
        <v>-14409286528382.547</v>
      </c>
      <c r="L5491" s="455">
        <f t="shared" ca="1" si="189"/>
        <v>-3472638053340194</v>
      </c>
      <c r="M5491" s="471">
        <f t="shared" si="191"/>
        <v>0.05</v>
      </c>
      <c r="N5491" s="475">
        <f t="shared" si="192"/>
        <v>218173</v>
      </c>
    </row>
    <row r="5492" spans="7:14" ht="11.25" customHeight="1" x14ac:dyDescent="0.3">
      <c r="G5492" s="470"/>
      <c r="H5492" s="470">
        <v>5485</v>
      </c>
      <c r="I5492" s="455">
        <f t="shared" ca="1" si="190"/>
        <v>-3472638053340194</v>
      </c>
      <c r="J5492" s="455">
        <f t="array" ref="J5492">IFERROR(INDEX('Retirement Calculator'!K:K,MATCH('Lorri 401b'!N5492,'Retirement Calculator'!A:A,0),0),0)</f>
        <v>0</v>
      </c>
      <c r="K5492" s="455">
        <f t="shared" ca="1" si="188"/>
        <v>-14469325222250.809</v>
      </c>
      <c r="L5492" s="455">
        <f t="shared" ca="1" si="189"/>
        <v>-3487107378562445</v>
      </c>
      <c r="M5492" s="471">
        <f t="shared" si="191"/>
        <v>0.05</v>
      </c>
      <c r="N5492" s="475">
        <f t="shared" si="192"/>
        <v>218204</v>
      </c>
    </row>
    <row r="5493" spans="7:14" ht="11.25" customHeight="1" x14ac:dyDescent="0.3">
      <c r="G5493" s="470"/>
      <c r="H5493" s="470">
        <v>5486</v>
      </c>
      <c r="I5493" s="455">
        <f t="shared" ca="1" si="190"/>
        <v>-3487107378562445</v>
      </c>
      <c r="J5493" s="455">
        <f t="array" ref="J5493">IFERROR(INDEX('Retirement Calculator'!K:K,MATCH('Lorri 401b'!N5493,'Retirement Calculator'!A:A,0),0),0)</f>
        <v>0</v>
      </c>
      <c r="K5493" s="455">
        <f t="shared" ca="1" si="188"/>
        <v>-14529614077343.521</v>
      </c>
      <c r="L5493" s="455">
        <f t="shared" ca="1" si="189"/>
        <v>-3501636992639788.5</v>
      </c>
      <c r="M5493" s="471">
        <f t="shared" si="191"/>
        <v>0.05</v>
      </c>
      <c r="N5493" s="475">
        <f t="shared" si="192"/>
        <v>218234</v>
      </c>
    </row>
    <row r="5494" spans="7:14" ht="11.25" customHeight="1" x14ac:dyDescent="0.3">
      <c r="G5494" s="470"/>
      <c r="H5494" s="470">
        <v>5487</v>
      </c>
      <c r="I5494" s="455">
        <f t="shared" ca="1" si="190"/>
        <v>-3501636992639788.5</v>
      </c>
      <c r="J5494" s="455">
        <f t="array" ref="J5494">IFERROR(INDEX('Retirement Calculator'!K:K,MATCH('Lorri 401b'!N5494,'Retirement Calculator'!A:A,0),0),0)</f>
        <v>0</v>
      </c>
      <c r="K5494" s="455">
        <f t="shared" ca="1" si="188"/>
        <v>-14590154135999.119</v>
      </c>
      <c r="L5494" s="455">
        <f t="shared" ca="1" si="189"/>
        <v>-3516227146775787.5</v>
      </c>
      <c r="M5494" s="471">
        <f t="shared" si="191"/>
        <v>0.05</v>
      </c>
      <c r="N5494" s="475">
        <f t="shared" si="192"/>
        <v>218265</v>
      </c>
    </row>
    <row r="5495" spans="7:14" ht="11.25" customHeight="1" x14ac:dyDescent="0.3">
      <c r="G5495" s="470"/>
      <c r="H5495" s="470">
        <v>5488</v>
      </c>
      <c r="I5495" s="455">
        <f t="shared" ca="1" si="190"/>
        <v>-3516227146775787.5</v>
      </c>
      <c r="J5495" s="455">
        <f t="array" ref="J5495">IFERROR(INDEX('Retirement Calculator'!K:K,MATCH('Lorri 401b'!N5495,'Retirement Calculator'!A:A,0),0),0)</f>
        <v>0</v>
      </c>
      <c r="K5495" s="455">
        <f t="shared" ca="1" si="188"/>
        <v>-14650946444899.111</v>
      </c>
      <c r="L5495" s="455">
        <f t="shared" ca="1" si="189"/>
        <v>-3530878093220686.5</v>
      </c>
      <c r="M5495" s="471">
        <f t="shared" si="191"/>
        <v>0.05</v>
      </c>
      <c r="N5495" s="475">
        <f t="shared" si="192"/>
        <v>218296</v>
      </c>
    </row>
    <row r="5496" spans="7:14" ht="11.25" customHeight="1" x14ac:dyDescent="0.3">
      <c r="G5496" s="470"/>
      <c r="H5496" s="470">
        <v>5489</v>
      </c>
      <c r="I5496" s="455">
        <f t="shared" ca="1" si="190"/>
        <v>-3530878093220686.5</v>
      </c>
      <c r="J5496" s="455">
        <f t="array" ref="J5496">IFERROR(INDEX('Retirement Calculator'!K:K,MATCH('Lorri 401b'!N5496,'Retirement Calculator'!A:A,0),0),0)</f>
        <v>0</v>
      </c>
      <c r="K5496" s="455">
        <f t="shared" ca="1" si="188"/>
        <v>-14711992055086.193</v>
      </c>
      <c r="L5496" s="455">
        <f t="shared" ca="1" si="189"/>
        <v>-3545590085275772.5</v>
      </c>
      <c r="M5496" s="471">
        <f t="shared" si="191"/>
        <v>0.05</v>
      </c>
      <c r="N5496" s="475">
        <f t="shared" si="192"/>
        <v>218326</v>
      </c>
    </row>
    <row r="5497" spans="7:14" ht="11.25" customHeight="1" x14ac:dyDescent="0.3">
      <c r="G5497" s="470"/>
      <c r="H5497" s="470">
        <v>5490</v>
      </c>
      <c r="I5497" s="455">
        <f t="shared" ca="1" si="190"/>
        <v>-3545590085275772.5</v>
      </c>
      <c r="J5497" s="455">
        <f t="array" ref="J5497">IFERROR(INDEX('Retirement Calculator'!K:K,MATCH('Lorri 401b'!N5497,'Retirement Calculator'!A:A,0),0),0)</f>
        <v>0</v>
      </c>
      <c r="K5497" s="455">
        <f t="shared" ca="1" si="188"/>
        <v>-14773292021982.387</v>
      </c>
      <c r="L5497" s="455">
        <f t="shared" ca="1" si="189"/>
        <v>-3560363377297755</v>
      </c>
      <c r="M5497" s="471">
        <f t="shared" si="191"/>
        <v>0.05</v>
      </c>
      <c r="N5497" s="475">
        <f t="shared" si="192"/>
        <v>218357</v>
      </c>
    </row>
    <row r="5498" spans="7:14" ht="11.25" customHeight="1" x14ac:dyDescent="0.3">
      <c r="G5498" s="470"/>
      <c r="H5498" s="470">
        <v>5491</v>
      </c>
      <c r="I5498" s="455">
        <f t="shared" ca="1" si="190"/>
        <v>-3560363377297755</v>
      </c>
      <c r="J5498" s="455">
        <f t="array" ref="J5498">IFERROR(INDEX('Retirement Calculator'!K:K,MATCH('Lorri 401b'!N5498,'Retirement Calculator'!A:A,0),0),0)</f>
        <v>0</v>
      </c>
      <c r="K5498" s="455">
        <f t="shared" ca="1" si="188"/>
        <v>-14834847405407.313</v>
      </c>
      <c r="L5498" s="455">
        <f t="shared" ca="1" si="189"/>
        <v>-3575198224703162.5</v>
      </c>
      <c r="M5498" s="471">
        <f t="shared" si="191"/>
        <v>0.05</v>
      </c>
      <c r="N5498" s="475">
        <f t="shared" si="192"/>
        <v>218387</v>
      </c>
    </row>
    <row r="5499" spans="7:14" ht="11.25" customHeight="1" x14ac:dyDescent="0.3">
      <c r="G5499" s="470"/>
      <c r="H5499" s="470">
        <v>5492</v>
      </c>
      <c r="I5499" s="455">
        <f t="shared" ca="1" si="190"/>
        <v>-3575198224703162.5</v>
      </c>
      <c r="J5499" s="455">
        <f t="array" ref="J5499">IFERROR(INDEX('Retirement Calculator'!K:K,MATCH('Lorri 401b'!N5499,'Retirement Calculator'!A:A,0),0),0)</f>
        <v>0</v>
      </c>
      <c r="K5499" s="455">
        <f t="shared" ca="1" si="188"/>
        <v>-14896659269596.51</v>
      </c>
      <c r="L5499" s="455">
        <f t="shared" ca="1" si="189"/>
        <v>-3590094883972759</v>
      </c>
      <c r="M5499" s="471">
        <f t="shared" si="191"/>
        <v>0.05</v>
      </c>
      <c r="N5499" s="475">
        <f t="shared" si="192"/>
        <v>218418</v>
      </c>
    </row>
    <row r="5500" spans="7:14" ht="11.25" customHeight="1" x14ac:dyDescent="0.3">
      <c r="G5500" s="470"/>
      <c r="H5500" s="470">
        <v>5493</v>
      </c>
      <c r="I5500" s="455">
        <f t="shared" ca="1" si="190"/>
        <v>-3590094883972759</v>
      </c>
      <c r="J5500" s="455">
        <f t="array" ref="J5500">IFERROR(INDEX('Retirement Calculator'!K:K,MATCH('Lorri 401b'!N5500,'Retirement Calculator'!A:A,0),0),0)</f>
        <v>0</v>
      </c>
      <c r="K5500" s="455">
        <f t="shared" ca="1" si="188"/>
        <v>-14958728683219.83</v>
      </c>
      <c r="L5500" s="455">
        <f t="shared" ca="1" si="189"/>
        <v>-3605053612655979</v>
      </c>
      <c r="M5500" s="471">
        <f t="shared" si="191"/>
        <v>0.05</v>
      </c>
      <c r="N5500" s="475">
        <f t="shared" si="192"/>
        <v>218449</v>
      </c>
    </row>
    <row r="5501" spans="7:14" ht="11.25" customHeight="1" x14ac:dyDescent="0.3">
      <c r="G5501" s="470"/>
      <c r="H5501" s="470">
        <v>5494</v>
      </c>
      <c r="I5501" s="455">
        <f t="shared" ca="1" si="190"/>
        <v>-3605053612655979</v>
      </c>
      <c r="J5501" s="455">
        <f t="array" ref="J5501">IFERROR(INDEX('Retirement Calculator'!K:K,MATCH('Lorri 401b'!N5501,'Retirement Calculator'!A:A,0),0),0)</f>
        <v>0</v>
      </c>
      <c r="K5501" s="455">
        <f t="shared" ca="1" si="188"/>
        <v>-15021056719399.91</v>
      </c>
      <c r="L5501" s="455">
        <f t="shared" ca="1" si="189"/>
        <v>-3620074669375379</v>
      </c>
      <c r="M5501" s="471">
        <f t="shared" si="191"/>
        <v>0.05</v>
      </c>
      <c r="N5501" s="475">
        <f t="shared" si="192"/>
        <v>218477</v>
      </c>
    </row>
    <row r="5502" spans="7:14" ht="11.25" customHeight="1" x14ac:dyDescent="0.3">
      <c r="G5502" s="470"/>
      <c r="H5502" s="470">
        <v>5495</v>
      </c>
      <c r="I5502" s="455">
        <f t="shared" ca="1" si="190"/>
        <v>-3620074669375379</v>
      </c>
      <c r="J5502" s="455">
        <f t="array" ref="J5502">IFERROR(INDEX('Retirement Calculator'!K:K,MATCH('Lorri 401b'!N5502,'Retirement Calculator'!A:A,0),0),0)</f>
        <v>0</v>
      </c>
      <c r="K5502" s="455">
        <f t="shared" ca="1" si="188"/>
        <v>-15083644455730.746</v>
      </c>
      <c r="L5502" s="455">
        <f t="shared" ca="1" si="189"/>
        <v>-3635158313831109.5</v>
      </c>
      <c r="M5502" s="471">
        <f t="shared" si="191"/>
        <v>0.05</v>
      </c>
      <c r="N5502" s="475">
        <f t="shared" si="192"/>
        <v>218508</v>
      </c>
    </row>
    <row r="5503" spans="7:14" ht="11.25" customHeight="1" x14ac:dyDescent="0.3">
      <c r="G5503" s="470"/>
      <c r="H5503" s="470">
        <v>5496</v>
      </c>
      <c r="I5503" s="455">
        <f t="shared" ca="1" si="190"/>
        <v>-3635158313831109.5</v>
      </c>
      <c r="J5503" s="455">
        <f t="array" ref="J5503">IFERROR(INDEX('Retirement Calculator'!K:K,MATCH('Lorri 401b'!N5503,'Retirement Calculator'!A:A,0),0),0)</f>
        <v>0</v>
      </c>
      <c r="K5503" s="455">
        <f t="shared" ca="1" si="188"/>
        <v>-15146492974296.289</v>
      </c>
      <c r="L5503" s="455">
        <f t="shared" ca="1" si="189"/>
        <v>-3650304806805406</v>
      </c>
      <c r="M5503" s="471">
        <f t="shared" si="191"/>
        <v>0.05</v>
      </c>
      <c r="N5503" s="475">
        <f t="shared" si="192"/>
        <v>218538</v>
      </c>
    </row>
    <row r="5504" spans="7:14" ht="11.25" customHeight="1" x14ac:dyDescent="0.3">
      <c r="G5504" s="470"/>
      <c r="H5504" s="470">
        <v>5497</v>
      </c>
      <c r="I5504" s="455">
        <f t="shared" ca="1" si="190"/>
        <v>-3650304806805406</v>
      </c>
      <c r="J5504" s="455">
        <f t="array" ref="J5504">IFERROR(INDEX('Retirement Calculator'!K:K,MATCH('Lorri 401b'!N5504,'Retirement Calculator'!A:A,0),0),0)</f>
        <v>0</v>
      </c>
      <c r="K5504" s="455">
        <f t="shared" ca="1" si="188"/>
        <v>-15209603361689.191</v>
      </c>
      <c r="L5504" s="455">
        <f t="shared" ca="1" si="189"/>
        <v>-3665514410167095</v>
      </c>
      <c r="M5504" s="471">
        <f t="shared" si="191"/>
        <v>0.05</v>
      </c>
      <c r="N5504" s="475">
        <f t="shared" si="192"/>
        <v>218569</v>
      </c>
    </row>
    <row r="5505" spans="7:14" ht="11.25" customHeight="1" x14ac:dyDescent="0.3">
      <c r="G5505" s="470"/>
      <c r="H5505" s="470">
        <v>5498</v>
      </c>
      <c r="I5505" s="455">
        <f t="shared" ca="1" si="190"/>
        <v>-3665514410167095</v>
      </c>
      <c r="J5505" s="455">
        <f t="array" ref="J5505">IFERROR(INDEX('Retirement Calculator'!K:K,MATCH('Lorri 401b'!N5505,'Retirement Calculator'!A:A,0),0),0)</f>
        <v>0</v>
      </c>
      <c r="K5505" s="455">
        <f t="shared" ca="1" si="188"/>
        <v>-15272976709029.563</v>
      </c>
      <c r="L5505" s="455">
        <f t="shared" ca="1" si="189"/>
        <v>-3680787386876124.5</v>
      </c>
      <c r="M5505" s="471">
        <f t="shared" si="191"/>
        <v>0.05</v>
      </c>
      <c r="N5505" s="475">
        <f t="shared" si="192"/>
        <v>218599</v>
      </c>
    </row>
    <row r="5506" spans="7:14" ht="11.25" customHeight="1" x14ac:dyDescent="0.3">
      <c r="G5506" s="470"/>
      <c r="H5506" s="470">
        <v>5499</v>
      </c>
      <c r="I5506" s="455">
        <f t="shared" ca="1" si="190"/>
        <v>-3680787386876124.5</v>
      </c>
      <c r="J5506" s="455">
        <f t="array" ref="J5506">IFERROR(INDEX('Retirement Calculator'!K:K,MATCH('Lorri 401b'!N5506,'Retirement Calculator'!A:A,0),0),0)</f>
        <v>0</v>
      </c>
      <c r="K5506" s="455">
        <f t="shared" ca="1" si="188"/>
        <v>-15336614111983.852</v>
      </c>
      <c r="L5506" s="455">
        <f t="shared" ca="1" si="189"/>
        <v>-3696124000988108.5</v>
      </c>
      <c r="M5506" s="471">
        <f t="shared" si="191"/>
        <v>0.05</v>
      </c>
      <c r="N5506" s="475">
        <f t="shared" si="192"/>
        <v>218630</v>
      </c>
    </row>
    <row r="5507" spans="7:14" ht="11.25" customHeight="1" x14ac:dyDescent="0.3">
      <c r="G5507" s="470"/>
      <c r="H5507" s="470">
        <v>5500</v>
      </c>
      <c r="I5507" s="455">
        <f t="shared" ca="1" si="190"/>
        <v>-3696124000988108.5</v>
      </c>
      <c r="J5507" s="455">
        <f t="array" ref="J5507">IFERROR(INDEX('Retirement Calculator'!K:K,MATCH('Lorri 401b'!N5507,'Retirement Calculator'!A:A,0),0),0)</f>
        <v>0</v>
      </c>
      <c r="K5507" s="455">
        <f t="shared" ca="1" si="188"/>
        <v>-15400516670783.783</v>
      </c>
      <c r="L5507" s="455">
        <f t="shared" ca="1" si="189"/>
        <v>-3711524517658892.5</v>
      </c>
      <c r="M5507" s="471">
        <f t="shared" si="191"/>
        <v>0.05</v>
      </c>
      <c r="N5507" s="475">
        <f t="shared" si="192"/>
        <v>218661</v>
      </c>
    </row>
    <row r="5508" spans="7:14" ht="11.25" customHeight="1" x14ac:dyDescent="0.3">
      <c r="G5508" s="470"/>
      <c r="H5508" s="470">
        <v>5501</v>
      </c>
      <c r="I5508" s="455">
        <f t="shared" ca="1" si="190"/>
        <v>-3711524517658892.5</v>
      </c>
      <c r="J5508" s="455">
        <f t="array" ref="J5508">IFERROR(INDEX('Retirement Calculator'!K:K,MATCH('Lorri 401b'!N5508,'Retirement Calculator'!A:A,0),0),0)</f>
        <v>0</v>
      </c>
      <c r="K5508" s="455">
        <f t="shared" ca="1" si="188"/>
        <v>-15464685490245.385</v>
      </c>
      <c r="L5508" s="455">
        <f t="shared" ca="1" si="189"/>
        <v>-3726989203149138</v>
      </c>
      <c r="M5508" s="471">
        <f t="shared" si="191"/>
        <v>0.05</v>
      </c>
      <c r="N5508" s="475">
        <f t="shared" si="192"/>
        <v>218691</v>
      </c>
    </row>
    <row r="5509" spans="7:14" ht="11.25" customHeight="1" x14ac:dyDescent="0.3">
      <c r="G5509" s="470"/>
      <c r="H5509" s="470">
        <v>5502</v>
      </c>
      <c r="I5509" s="455">
        <f t="shared" ca="1" si="190"/>
        <v>-3726989203149138</v>
      </c>
      <c r="J5509" s="455">
        <f t="array" ref="J5509">IFERROR(INDEX('Retirement Calculator'!K:K,MATCH('Lorri 401b'!N5509,'Retirement Calculator'!A:A,0),0),0)</f>
        <v>0</v>
      </c>
      <c r="K5509" s="455">
        <f t="shared" ca="1" si="188"/>
        <v>-15529121679788.074</v>
      </c>
      <c r="L5509" s="455">
        <f t="shared" ca="1" si="189"/>
        <v>-3742518324828926</v>
      </c>
      <c r="M5509" s="471">
        <f t="shared" si="191"/>
        <v>0.05</v>
      </c>
      <c r="N5509" s="475">
        <f t="shared" si="192"/>
        <v>218722</v>
      </c>
    </row>
    <row r="5510" spans="7:14" ht="11.25" customHeight="1" x14ac:dyDescent="0.3">
      <c r="G5510" s="470"/>
      <c r="H5510" s="470">
        <v>5503</v>
      </c>
      <c r="I5510" s="455">
        <f t="shared" ca="1" si="190"/>
        <v>-3742518324828926</v>
      </c>
      <c r="J5510" s="455">
        <f t="array" ref="J5510">IFERROR(INDEX('Retirement Calculator'!K:K,MATCH('Lorri 401b'!N5510,'Retirement Calculator'!A:A,0),0),0)</f>
        <v>0</v>
      </c>
      <c r="K5510" s="455">
        <f t="shared" ca="1" si="188"/>
        <v>-15593826353453.857</v>
      </c>
      <c r="L5510" s="455">
        <f t="shared" ca="1" si="189"/>
        <v>-3758112151182380</v>
      </c>
      <c r="M5510" s="471">
        <f t="shared" si="191"/>
        <v>0.05</v>
      </c>
      <c r="N5510" s="475">
        <f t="shared" si="192"/>
        <v>218752</v>
      </c>
    </row>
    <row r="5511" spans="7:14" ht="11.25" customHeight="1" x14ac:dyDescent="0.3">
      <c r="G5511" s="470"/>
      <c r="H5511" s="470">
        <v>5504</v>
      </c>
      <c r="I5511" s="455">
        <f t="shared" ca="1" si="190"/>
        <v>-3758112151182380</v>
      </c>
      <c r="J5511" s="455">
        <f t="array" ref="J5511">IFERROR(INDEX('Retirement Calculator'!K:K,MATCH('Lorri 401b'!N5511,'Retirement Calculator'!A:A,0),0),0)</f>
        <v>0</v>
      </c>
      <c r="K5511" s="455">
        <f t="shared" ca="1" si="188"/>
        <v>-15658800629926.58</v>
      </c>
      <c r="L5511" s="455">
        <f t="shared" ca="1" si="189"/>
        <v>-3773770951812306.5</v>
      </c>
      <c r="M5511" s="471">
        <f t="shared" si="191"/>
        <v>0.05</v>
      </c>
      <c r="N5511" s="475">
        <f t="shared" si="192"/>
        <v>218783</v>
      </c>
    </row>
    <row r="5512" spans="7:14" ht="11.25" customHeight="1" x14ac:dyDescent="0.3">
      <c r="G5512" s="470"/>
      <c r="H5512" s="470">
        <v>5505</v>
      </c>
      <c r="I5512" s="455">
        <f t="shared" ca="1" si="190"/>
        <v>-3773770951812306.5</v>
      </c>
      <c r="J5512" s="455">
        <f t="array" ref="J5512">IFERROR(INDEX('Retirement Calculator'!K:K,MATCH('Lorri 401b'!N5512,'Retirement Calculator'!A:A,0),0),0)</f>
        <v>0</v>
      </c>
      <c r="K5512" s="455">
        <f t="shared" ca="1" si="188"/>
        <v>-15724045632551.275</v>
      </c>
      <c r="L5512" s="455">
        <f t="shared" ca="1" si="189"/>
        <v>-3789494997444858</v>
      </c>
      <c r="M5512" s="471">
        <f t="shared" si="191"/>
        <v>0.05</v>
      </c>
      <c r="N5512" s="475">
        <f t="shared" si="192"/>
        <v>218814</v>
      </c>
    </row>
    <row r="5513" spans="7:14" ht="11.25" customHeight="1" x14ac:dyDescent="0.3">
      <c r="G5513" s="470"/>
      <c r="H5513" s="470">
        <v>5506</v>
      </c>
      <c r="I5513" s="455">
        <f t="shared" ca="1" si="190"/>
        <v>-3789494997444858</v>
      </c>
      <c r="J5513" s="455">
        <f t="array" ref="J5513">IFERROR(INDEX('Retirement Calculator'!K:K,MATCH('Lorri 401b'!N5513,'Retirement Calculator'!A:A,0),0),0)</f>
        <v>0</v>
      </c>
      <c r="K5513" s="455">
        <f t="shared" ca="1" si="188"/>
        <v>-15789562489353.576</v>
      </c>
      <c r="L5513" s="455">
        <f t="shared" ca="1" si="189"/>
        <v>-3805284559934211.5</v>
      </c>
      <c r="M5513" s="471">
        <f t="shared" si="191"/>
        <v>0.05</v>
      </c>
      <c r="N5513" s="475">
        <f t="shared" si="192"/>
        <v>218842</v>
      </c>
    </row>
    <row r="5514" spans="7:14" ht="11.25" customHeight="1" x14ac:dyDescent="0.3">
      <c r="G5514" s="470"/>
      <c r="H5514" s="470">
        <v>5507</v>
      </c>
      <c r="I5514" s="455">
        <f t="shared" ca="1" si="190"/>
        <v>-3805284559934211.5</v>
      </c>
      <c r="J5514" s="455">
        <f t="array" ref="J5514">IFERROR(INDEX('Retirement Calculator'!K:K,MATCH('Lorri 401b'!N5514,'Retirement Calculator'!A:A,0),0),0)</f>
        <v>0</v>
      </c>
      <c r="K5514" s="455">
        <f t="shared" ca="1" si="188"/>
        <v>-15855352333059.213</v>
      </c>
      <c r="L5514" s="455">
        <f t="shared" ca="1" si="189"/>
        <v>-3821139912267270.5</v>
      </c>
      <c r="M5514" s="471">
        <f t="shared" si="191"/>
        <v>0.05</v>
      </c>
      <c r="N5514" s="475">
        <f t="shared" si="192"/>
        <v>218873</v>
      </c>
    </row>
    <row r="5515" spans="7:14" ht="11.25" customHeight="1" x14ac:dyDescent="0.3">
      <c r="G5515" s="470"/>
      <c r="H5515" s="470">
        <v>5508</v>
      </c>
      <c r="I5515" s="455">
        <f t="shared" ca="1" si="190"/>
        <v>-3821139912267270.5</v>
      </c>
      <c r="J5515" s="455">
        <f t="array" ref="J5515">IFERROR(INDEX('Retirement Calculator'!K:K,MATCH('Lorri 401b'!N5515,'Retirement Calculator'!A:A,0),0),0)</f>
        <v>0</v>
      </c>
      <c r="K5515" s="455">
        <f t="shared" ca="1" si="188"/>
        <v>-15921416301113.629</v>
      </c>
      <c r="L5515" s="455">
        <f t="shared" ca="1" si="189"/>
        <v>-3837061328568384</v>
      </c>
      <c r="M5515" s="471">
        <f t="shared" si="191"/>
        <v>0.05</v>
      </c>
      <c r="N5515" s="475">
        <f t="shared" si="192"/>
        <v>218903</v>
      </c>
    </row>
    <row r="5516" spans="7:14" ht="11.25" customHeight="1" x14ac:dyDescent="0.3">
      <c r="G5516" s="470"/>
      <c r="H5516" s="470">
        <v>5509</v>
      </c>
      <c r="I5516" s="455">
        <f t="shared" ca="1" si="190"/>
        <v>-3837061328568384</v>
      </c>
      <c r="J5516" s="455">
        <f t="array" ref="J5516">IFERROR(INDEX('Retirement Calculator'!K:K,MATCH('Lorri 401b'!N5516,'Retirement Calculator'!A:A,0),0),0)</f>
        <v>0</v>
      </c>
      <c r="K5516" s="455">
        <f t="shared" ca="1" si="188"/>
        <v>-15987755535701.598</v>
      </c>
      <c r="L5516" s="455">
        <f t="shared" ca="1" si="189"/>
        <v>-3853049084104085.5</v>
      </c>
      <c r="M5516" s="471">
        <f t="shared" si="191"/>
        <v>0.05</v>
      </c>
      <c r="N5516" s="475">
        <f t="shared" si="192"/>
        <v>218934</v>
      </c>
    </row>
    <row r="5517" spans="7:14" ht="11.25" customHeight="1" x14ac:dyDescent="0.3">
      <c r="G5517" s="470"/>
      <c r="H5517" s="470">
        <v>5510</v>
      </c>
      <c r="I5517" s="455">
        <f t="shared" ca="1" si="190"/>
        <v>-3853049084104085.5</v>
      </c>
      <c r="J5517" s="455">
        <f t="array" ref="J5517">IFERROR(INDEX('Retirement Calculator'!K:K,MATCH('Lorri 401b'!N5517,'Retirement Calculator'!A:A,0),0),0)</f>
        <v>0</v>
      </c>
      <c r="K5517" s="455">
        <f t="shared" ca="1" si="188"/>
        <v>-16054371183767.023</v>
      </c>
      <c r="L5517" s="455">
        <f t="shared" ca="1" si="189"/>
        <v>-3869103455287852.5</v>
      </c>
      <c r="M5517" s="471">
        <f t="shared" si="191"/>
        <v>0.05</v>
      </c>
      <c r="N5517" s="475">
        <f t="shared" si="192"/>
        <v>218964</v>
      </c>
    </row>
    <row r="5518" spans="7:14" ht="11.25" customHeight="1" x14ac:dyDescent="0.3">
      <c r="G5518" s="470"/>
      <c r="H5518" s="470">
        <v>5511</v>
      </c>
      <c r="I5518" s="455">
        <f t="shared" ca="1" si="190"/>
        <v>-3869103455287852.5</v>
      </c>
      <c r="J5518" s="455">
        <f t="array" ref="J5518">IFERROR(INDEX('Retirement Calculator'!K:K,MATCH('Lorri 401b'!N5518,'Retirement Calculator'!A:A,0),0),0)</f>
        <v>0</v>
      </c>
      <c r="K5518" s="455">
        <f t="shared" ca="1" si="188"/>
        <v>-16121264397032.719</v>
      </c>
      <c r="L5518" s="455">
        <f t="shared" ca="1" si="189"/>
        <v>-3885224719684885</v>
      </c>
      <c r="M5518" s="471">
        <f t="shared" si="191"/>
        <v>0.05</v>
      </c>
      <c r="N5518" s="475">
        <f t="shared" si="192"/>
        <v>218995</v>
      </c>
    </row>
    <row r="5519" spans="7:14" ht="11.25" customHeight="1" x14ac:dyDescent="0.3">
      <c r="G5519" s="470"/>
      <c r="H5519" s="470">
        <v>5512</v>
      </c>
      <c r="I5519" s="455">
        <f t="shared" ca="1" si="190"/>
        <v>-3885224719684885</v>
      </c>
      <c r="J5519" s="455">
        <f t="array" ref="J5519">IFERROR(INDEX('Retirement Calculator'!K:K,MATCH('Lorri 401b'!N5519,'Retirement Calculator'!A:A,0),0),0)</f>
        <v>0</v>
      </c>
      <c r="K5519" s="455">
        <f t="shared" ca="1" si="188"/>
        <v>-16188436332020.355</v>
      </c>
      <c r="L5519" s="455">
        <f t="shared" ca="1" si="189"/>
        <v>-3901413156016905.5</v>
      </c>
      <c r="M5519" s="471">
        <f t="shared" si="191"/>
        <v>0.05</v>
      </c>
      <c r="N5519" s="475">
        <f t="shared" si="192"/>
        <v>219026</v>
      </c>
    </row>
    <row r="5520" spans="7:14" ht="11.25" customHeight="1" x14ac:dyDescent="0.3">
      <c r="G5520" s="470"/>
      <c r="H5520" s="470">
        <v>5513</v>
      </c>
      <c r="I5520" s="455">
        <f t="shared" ca="1" si="190"/>
        <v>-3901413156016905.5</v>
      </c>
      <c r="J5520" s="455">
        <f t="array" ref="J5520">IFERROR(INDEX('Retirement Calculator'!K:K,MATCH('Lorri 401b'!N5520,'Retirement Calculator'!A:A,0),0),0)</f>
        <v>0</v>
      </c>
      <c r="K5520" s="455">
        <f t="shared" ca="1" si="188"/>
        <v>-16255888150070.441</v>
      </c>
      <c r="L5520" s="455">
        <f t="shared" ca="1" si="189"/>
        <v>-3917669044166976</v>
      </c>
      <c r="M5520" s="471">
        <f t="shared" si="191"/>
        <v>0.05</v>
      </c>
      <c r="N5520" s="475">
        <f t="shared" si="192"/>
        <v>219056</v>
      </c>
    </row>
    <row r="5521" spans="7:14" ht="11.25" customHeight="1" x14ac:dyDescent="0.3">
      <c r="G5521" s="470"/>
      <c r="H5521" s="470">
        <v>5514</v>
      </c>
      <c r="I5521" s="455">
        <f t="shared" ca="1" si="190"/>
        <v>-3917669044166976</v>
      </c>
      <c r="J5521" s="455">
        <f t="array" ref="J5521">IFERROR(INDEX('Retirement Calculator'!K:K,MATCH('Lorri 401b'!N5521,'Retirement Calculator'!A:A,0),0),0)</f>
        <v>0</v>
      </c>
      <c r="K5521" s="455">
        <f t="shared" ca="1" si="188"/>
        <v>-16323621017362.398</v>
      </c>
      <c r="L5521" s="455">
        <f t="shared" ca="1" si="189"/>
        <v>-3933992665184338.5</v>
      </c>
      <c r="M5521" s="471">
        <f t="shared" si="191"/>
        <v>0.05</v>
      </c>
      <c r="N5521" s="475">
        <f t="shared" si="192"/>
        <v>219087</v>
      </c>
    </row>
    <row r="5522" spans="7:14" ht="11.25" customHeight="1" x14ac:dyDescent="0.3">
      <c r="G5522" s="470"/>
      <c r="H5522" s="470">
        <v>5515</v>
      </c>
      <c r="I5522" s="455">
        <f t="shared" ca="1" si="190"/>
        <v>-3933992665184338.5</v>
      </c>
      <c r="J5522" s="455">
        <f t="array" ref="J5522">IFERROR(INDEX('Retirement Calculator'!K:K,MATCH('Lorri 401b'!N5522,'Retirement Calculator'!A:A,0),0),0)</f>
        <v>0</v>
      </c>
      <c r="K5522" s="455">
        <f t="shared" ca="1" si="188"/>
        <v>-16391636104934.744</v>
      </c>
      <c r="L5522" s="455">
        <f t="shared" ca="1" si="189"/>
        <v>-3950384301289273</v>
      </c>
      <c r="M5522" s="471">
        <f t="shared" si="191"/>
        <v>0.05</v>
      </c>
      <c r="N5522" s="475">
        <f t="shared" si="192"/>
        <v>219117</v>
      </c>
    </row>
    <row r="5523" spans="7:14" ht="11.25" customHeight="1" x14ac:dyDescent="0.3">
      <c r="G5523" s="470"/>
      <c r="H5523" s="470">
        <v>5516</v>
      </c>
      <c r="I5523" s="455">
        <f t="shared" ca="1" si="190"/>
        <v>-3950384301289273</v>
      </c>
      <c r="J5523" s="455">
        <f t="array" ref="J5523">IFERROR(INDEX('Retirement Calculator'!K:K,MATCH('Lorri 401b'!N5523,'Retirement Calculator'!A:A,0),0),0)</f>
        <v>0</v>
      </c>
      <c r="K5523" s="455">
        <f t="shared" ca="1" si="188"/>
        <v>-16459934588705.305</v>
      </c>
      <c r="L5523" s="455">
        <f t="shared" ca="1" si="189"/>
        <v>-3966844235877978.5</v>
      </c>
      <c r="M5523" s="471">
        <f t="shared" si="191"/>
        <v>0.05</v>
      </c>
      <c r="N5523" s="475">
        <f t="shared" si="192"/>
        <v>219148</v>
      </c>
    </row>
    <row r="5524" spans="7:14" ht="11.25" customHeight="1" x14ac:dyDescent="0.3">
      <c r="G5524" s="470"/>
      <c r="H5524" s="470">
        <v>5517</v>
      </c>
      <c r="I5524" s="455">
        <f t="shared" ca="1" si="190"/>
        <v>-3966844235877978.5</v>
      </c>
      <c r="J5524" s="455">
        <f t="array" ref="J5524">IFERROR(INDEX('Retirement Calculator'!K:K,MATCH('Lorri 401b'!N5524,'Retirement Calculator'!A:A,0),0),0)</f>
        <v>0</v>
      </c>
      <c r="K5524" s="455">
        <f t="shared" ca="1" si="188"/>
        <v>-16528517649491.576</v>
      </c>
      <c r="L5524" s="455">
        <f t="shared" ca="1" si="189"/>
        <v>-3983372753527470</v>
      </c>
      <c r="M5524" s="471">
        <f t="shared" si="191"/>
        <v>0.05</v>
      </c>
      <c r="N5524" s="475">
        <f t="shared" si="192"/>
        <v>219179</v>
      </c>
    </row>
    <row r="5525" spans="7:14" ht="11.25" customHeight="1" x14ac:dyDescent="0.3">
      <c r="G5525" s="470"/>
      <c r="H5525" s="470">
        <v>5518</v>
      </c>
      <c r="I5525" s="455">
        <f t="shared" ca="1" si="190"/>
        <v>-3983372753527470</v>
      </c>
      <c r="J5525" s="455">
        <f t="array" ref="J5525">IFERROR(INDEX('Retirement Calculator'!K:K,MATCH('Lorri 401b'!N5525,'Retirement Calculator'!A:A,0),0),0)</f>
        <v>0</v>
      </c>
      <c r="K5525" s="455">
        <f t="shared" ca="1" si="188"/>
        <v>-16597386473031.125</v>
      </c>
      <c r="L5525" s="455">
        <f t="shared" ca="1" si="189"/>
        <v>-3999970140000501</v>
      </c>
      <c r="M5525" s="471">
        <f t="shared" si="191"/>
        <v>0.05</v>
      </c>
      <c r="N5525" s="475">
        <f t="shared" si="192"/>
        <v>219207</v>
      </c>
    </row>
    <row r="5526" spans="7:14" ht="11.25" customHeight="1" x14ac:dyDescent="0.3">
      <c r="G5526" s="470"/>
      <c r="H5526" s="470">
        <v>5519</v>
      </c>
      <c r="I5526" s="455">
        <f t="shared" ca="1" si="190"/>
        <v>-3999970140000501</v>
      </c>
      <c r="J5526" s="455">
        <f t="array" ref="J5526">IFERROR(INDEX('Retirement Calculator'!K:K,MATCH('Lorri 401b'!N5526,'Retirement Calculator'!A:A,0),0),0)</f>
        <v>0</v>
      </c>
      <c r="K5526" s="455">
        <f t="shared" ca="1" si="188"/>
        <v>-16666542250002.088</v>
      </c>
      <c r="L5526" s="455">
        <f t="shared" ca="1" si="189"/>
        <v>-4016636682250503</v>
      </c>
      <c r="M5526" s="471">
        <f t="shared" si="191"/>
        <v>0.05</v>
      </c>
      <c r="N5526" s="475">
        <f t="shared" si="192"/>
        <v>219238</v>
      </c>
    </row>
    <row r="5527" spans="7:14" ht="11.25" customHeight="1" x14ac:dyDescent="0.3">
      <c r="G5527" s="470"/>
      <c r="H5527" s="470">
        <v>5520</v>
      </c>
      <c r="I5527" s="455">
        <f t="shared" ca="1" si="190"/>
        <v>-4016636682250503</v>
      </c>
      <c r="J5527" s="455">
        <f t="array" ref="J5527">IFERROR(INDEX('Retirement Calculator'!K:K,MATCH('Lorri 401b'!N5527,'Retirement Calculator'!A:A,0),0),0)</f>
        <v>0</v>
      </c>
      <c r="K5527" s="455">
        <f t="shared" ca="1" si="188"/>
        <v>-16735986176043.764</v>
      </c>
      <c r="L5527" s="455">
        <f t="shared" ca="1" si="189"/>
        <v>-4033372668426547</v>
      </c>
      <c r="M5527" s="471">
        <f t="shared" si="191"/>
        <v>0.05</v>
      </c>
      <c r="N5527" s="475">
        <f t="shared" si="192"/>
        <v>219268</v>
      </c>
    </row>
    <row r="5528" spans="7:14" ht="11.25" customHeight="1" x14ac:dyDescent="0.3">
      <c r="G5528" s="470"/>
      <c r="H5528" s="470">
        <v>5521</v>
      </c>
      <c r="I5528" s="455">
        <f t="shared" ca="1" si="190"/>
        <v>-4033372668426547</v>
      </c>
      <c r="J5528" s="455">
        <f t="array" ref="J5528">IFERROR(INDEX('Retirement Calculator'!K:K,MATCH('Lorri 401b'!N5528,'Retirement Calculator'!A:A,0),0),0)</f>
        <v>0</v>
      </c>
      <c r="K5528" s="455">
        <f t="shared" ca="1" si="188"/>
        <v>-16805719451777.277</v>
      </c>
      <c r="L5528" s="455">
        <f t="shared" ca="1" si="189"/>
        <v>-4050178387878324.5</v>
      </c>
      <c r="M5528" s="471">
        <f t="shared" si="191"/>
        <v>0.05</v>
      </c>
      <c r="N5528" s="475">
        <f t="shared" si="192"/>
        <v>219299</v>
      </c>
    </row>
    <row r="5529" spans="7:14" ht="11.25" customHeight="1" x14ac:dyDescent="0.3">
      <c r="G5529" s="470"/>
      <c r="H5529" s="470">
        <v>5522</v>
      </c>
      <c r="I5529" s="455">
        <f t="shared" ca="1" si="190"/>
        <v>-4050178387878324.5</v>
      </c>
      <c r="J5529" s="455">
        <f t="array" ref="J5529">IFERROR(INDEX('Retirement Calculator'!K:K,MATCH('Lorri 401b'!N5529,'Retirement Calculator'!A:A,0),0),0)</f>
        <v>0</v>
      </c>
      <c r="K5529" s="455">
        <f t="shared" ca="1" si="188"/>
        <v>-16875743282826.35</v>
      </c>
      <c r="L5529" s="455">
        <f t="shared" ca="1" si="189"/>
        <v>-4067054131161151</v>
      </c>
      <c r="M5529" s="471">
        <f t="shared" si="191"/>
        <v>0.05</v>
      </c>
      <c r="N5529" s="475">
        <f t="shared" si="192"/>
        <v>219329</v>
      </c>
    </row>
    <row r="5530" spans="7:14" ht="11.25" customHeight="1" x14ac:dyDescent="0.3">
      <c r="G5530" s="470"/>
      <c r="H5530" s="470">
        <v>5523</v>
      </c>
      <c r="I5530" s="455">
        <f t="shared" ca="1" si="190"/>
        <v>-4067054131161151</v>
      </c>
      <c r="J5530" s="455">
        <f t="array" ref="J5530">IFERROR(INDEX('Retirement Calculator'!K:K,MATCH('Lorri 401b'!N5530,'Retirement Calculator'!A:A,0),0),0)</f>
        <v>0</v>
      </c>
      <c r="K5530" s="455">
        <f t="shared" ca="1" si="188"/>
        <v>-16946058879838.131</v>
      </c>
      <c r="L5530" s="455">
        <f t="shared" ca="1" si="189"/>
        <v>-4084000190040989</v>
      </c>
      <c r="M5530" s="471">
        <f t="shared" si="191"/>
        <v>0.05</v>
      </c>
      <c r="N5530" s="475">
        <f t="shared" si="192"/>
        <v>219360</v>
      </c>
    </row>
    <row r="5531" spans="7:14" ht="11.25" customHeight="1" x14ac:dyDescent="0.3">
      <c r="G5531" s="470"/>
      <c r="H5531" s="470">
        <v>5524</v>
      </c>
      <c r="I5531" s="455">
        <f t="shared" ca="1" si="190"/>
        <v>-4084000190040989</v>
      </c>
      <c r="J5531" s="455">
        <f t="array" ref="J5531">IFERROR(INDEX('Retirement Calculator'!K:K,MATCH('Lorri 401b'!N5531,'Retirement Calculator'!A:A,0),0),0)</f>
        <v>0</v>
      </c>
      <c r="K5531" s="455">
        <f t="shared" ca="1" si="188"/>
        <v>-17016667458504.121</v>
      </c>
      <c r="L5531" s="455">
        <f t="shared" ca="1" si="189"/>
        <v>-4101016857499493</v>
      </c>
      <c r="M5531" s="471">
        <f t="shared" si="191"/>
        <v>0.05</v>
      </c>
      <c r="N5531" s="475">
        <f t="shared" si="192"/>
        <v>219391</v>
      </c>
    </row>
    <row r="5532" spans="7:14" ht="11.25" customHeight="1" x14ac:dyDescent="0.3">
      <c r="G5532" s="470"/>
      <c r="H5532" s="470">
        <v>5525</v>
      </c>
      <c r="I5532" s="455">
        <f t="shared" ca="1" si="190"/>
        <v>-4101016857499493</v>
      </c>
      <c r="J5532" s="455">
        <f t="array" ref="J5532">IFERROR(INDEX('Retirement Calculator'!K:K,MATCH('Lorri 401b'!N5532,'Retirement Calculator'!A:A,0),0),0)</f>
        <v>0</v>
      </c>
      <c r="K5532" s="455">
        <f t="shared" ca="1" si="188"/>
        <v>-17087570239581.221</v>
      </c>
      <c r="L5532" s="455">
        <f t="shared" ca="1" si="189"/>
        <v>-4118104427739074</v>
      </c>
      <c r="M5532" s="471">
        <f t="shared" si="191"/>
        <v>0.05</v>
      </c>
      <c r="N5532" s="475">
        <f t="shared" si="192"/>
        <v>219421</v>
      </c>
    </row>
    <row r="5533" spans="7:14" ht="11.25" customHeight="1" x14ac:dyDescent="0.3">
      <c r="G5533" s="470"/>
      <c r="H5533" s="470">
        <v>5526</v>
      </c>
      <c r="I5533" s="455">
        <f t="shared" ca="1" si="190"/>
        <v>-4118104427739074</v>
      </c>
      <c r="J5533" s="455">
        <f t="array" ref="J5533">IFERROR(INDEX('Retirement Calculator'!K:K,MATCH('Lorri 401b'!N5533,'Retirement Calculator'!A:A,0),0),0)</f>
        <v>0</v>
      </c>
      <c r="K5533" s="455">
        <f t="shared" ca="1" si="188"/>
        <v>-17158768448912.807</v>
      </c>
      <c r="L5533" s="455">
        <f t="shared" ca="1" si="189"/>
        <v>-4135263196187987</v>
      </c>
      <c r="M5533" s="471">
        <f t="shared" si="191"/>
        <v>0.05</v>
      </c>
      <c r="N5533" s="475">
        <f t="shared" si="192"/>
        <v>219452</v>
      </c>
    </row>
    <row r="5534" spans="7:14" ht="11.25" customHeight="1" x14ac:dyDescent="0.3">
      <c r="G5534" s="470"/>
      <c r="H5534" s="470">
        <v>5527</v>
      </c>
      <c r="I5534" s="455">
        <f t="shared" ca="1" si="190"/>
        <v>-4135263196187987</v>
      </c>
      <c r="J5534" s="455">
        <f t="array" ref="J5534">IFERROR(INDEX('Retirement Calculator'!K:K,MATCH('Lorri 401b'!N5534,'Retirement Calculator'!A:A,0),0),0)</f>
        <v>0</v>
      </c>
      <c r="K5534" s="455">
        <f t="shared" ca="1" si="188"/>
        <v>-17230263317449.945</v>
      </c>
      <c r="L5534" s="455">
        <f t="shared" ca="1" si="189"/>
        <v>-4152493459505437</v>
      </c>
      <c r="M5534" s="471">
        <f t="shared" si="191"/>
        <v>0.05</v>
      </c>
      <c r="N5534" s="475">
        <f t="shared" si="192"/>
        <v>219482</v>
      </c>
    </row>
    <row r="5535" spans="7:14" ht="11.25" customHeight="1" x14ac:dyDescent="0.3">
      <c r="G5535" s="470"/>
      <c r="H5535" s="470">
        <v>5528</v>
      </c>
      <c r="I5535" s="455">
        <f t="shared" ca="1" si="190"/>
        <v>-4152493459505437</v>
      </c>
      <c r="J5535" s="455">
        <f t="array" ref="J5535">IFERROR(INDEX('Retirement Calculator'!K:K,MATCH('Lorri 401b'!N5535,'Retirement Calculator'!A:A,0),0),0)</f>
        <v>0</v>
      </c>
      <c r="K5535" s="455">
        <f t="shared" ca="1" si="188"/>
        <v>-17302056081272.652</v>
      </c>
      <c r="L5535" s="455">
        <f t="shared" ca="1" si="189"/>
        <v>-4169795515586709.5</v>
      </c>
      <c r="M5535" s="471">
        <f t="shared" si="191"/>
        <v>0.05</v>
      </c>
      <c r="N5535" s="475">
        <f t="shared" si="192"/>
        <v>219513</v>
      </c>
    </row>
    <row r="5536" spans="7:14" ht="11.25" customHeight="1" x14ac:dyDescent="0.3">
      <c r="G5536" s="470"/>
      <c r="H5536" s="470">
        <v>5529</v>
      </c>
      <c r="I5536" s="455">
        <f t="shared" ca="1" si="190"/>
        <v>-4169795515586709.5</v>
      </c>
      <c r="J5536" s="455">
        <f t="array" ref="J5536">IFERROR(INDEX('Retirement Calculator'!K:K,MATCH('Lorri 401b'!N5536,'Retirement Calculator'!A:A,0),0),0)</f>
        <v>0</v>
      </c>
      <c r="K5536" s="455">
        <f t="shared" ca="1" si="188"/>
        <v>-17374147981611.289</v>
      </c>
      <c r="L5536" s="455">
        <f t="shared" ca="1" si="189"/>
        <v>-4187169663568321</v>
      </c>
      <c r="M5536" s="471">
        <f t="shared" si="191"/>
        <v>0.05</v>
      </c>
      <c r="N5536" s="475">
        <f t="shared" si="192"/>
        <v>219544</v>
      </c>
    </row>
    <row r="5537" spans="7:14" ht="11.25" customHeight="1" x14ac:dyDescent="0.3">
      <c r="G5537" s="470"/>
      <c r="H5537" s="470">
        <v>5530</v>
      </c>
      <c r="I5537" s="455">
        <f t="shared" ca="1" si="190"/>
        <v>-4187169663568321</v>
      </c>
      <c r="J5537" s="455">
        <f t="array" ref="J5537">IFERROR(INDEX('Retirement Calculator'!K:K,MATCH('Lorri 401b'!N5537,'Retirement Calculator'!A:A,0),0),0)</f>
        <v>0</v>
      </c>
      <c r="K5537" s="455">
        <f t="shared" ca="1" si="188"/>
        <v>-17446540264868.004</v>
      </c>
      <c r="L5537" s="455">
        <f t="shared" ca="1" si="189"/>
        <v>-4204616203833189</v>
      </c>
      <c r="M5537" s="471">
        <f t="shared" si="191"/>
        <v>0.05</v>
      </c>
      <c r="N5537" s="475">
        <f t="shared" si="192"/>
        <v>219572</v>
      </c>
    </row>
    <row r="5538" spans="7:14" ht="11.25" customHeight="1" x14ac:dyDescent="0.3">
      <c r="G5538" s="470"/>
      <c r="H5538" s="470">
        <v>5531</v>
      </c>
      <c r="I5538" s="455">
        <f t="shared" ca="1" si="190"/>
        <v>-4204616203833189</v>
      </c>
      <c r="J5538" s="455">
        <f t="array" ref="J5538">IFERROR(INDEX('Retirement Calculator'!K:K,MATCH('Lorri 401b'!N5538,'Retirement Calculator'!A:A,0),0),0)</f>
        <v>0</v>
      </c>
      <c r="K5538" s="455">
        <f t="shared" ca="1" si="188"/>
        <v>-17519234182638.287</v>
      </c>
      <c r="L5538" s="455">
        <f t="shared" ca="1" si="189"/>
        <v>-4222135438015827.5</v>
      </c>
      <c r="M5538" s="471">
        <f t="shared" si="191"/>
        <v>0.05</v>
      </c>
      <c r="N5538" s="475">
        <f t="shared" si="192"/>
        <v>219603</v>
      </c>
    </row>
    <row r="5539" spans="7:14" ht="11.25" customHeight="1" x14ac:dyDescent="0.3">
      <c r="G5539" s="470"/>
      <c r="H5539" s="470">
        <v>5532</v>
      </c>
      <c r="I5539" s="455">
        <f t="shared" ca="1" si="190"/>
        <v>-4222135438015827.5</v>
      </c>
      <c r="J5539" s="455">
        <f t="array" ref="J5539">IFERROR(INDEX('Retirement Calculator'!K:K,MATCH('Lorri 401b'!N5539,'Retirement Calculator'!A:A,0),0),0)</f>
        <v>0</v>
      </c>
      <c r="K5539" s="455">
        <f t="shared" ca="1" si="188"/>
        <v>-17592230991732.617</v>
      </c>
      <c r="L5539" s="455">
        <f t="shared" ca="1" si="189"/>
        <v>-4239727669007560</v>
      </c>
      <c r="M5539" s="471">
        <f t="shared" si="191"/>
        <v>0.05</v>
      </c>
      <c r="N5539" s="475">
        <f t="shared" si="192"/>
        <v>219633</v>
      </c>
    </row>
    <row r="5540" spans="7:14" ht="11.25" customHeight="1" x14ac:dyDescent="0.3">
      <c r="G5540" s="470"/>
      <c r="H5540" s="470">
        <v>5533</v>
      </c>
      <c r="I5540" s="455">
        <f t="shared" ca="1" si="190"/>
        <v>-4239727669007560</v>
      </c>
      <c r="J5540" s="455">
        <f t="array" ref="J5540">IFERROR(INDEX('Retirement Calculator'!K:K,MATCH('Lorri 401b'!N5540,'Retirement Calculator'!A:A,0),0),0)</f>
        <v>0</v>
      </c>
      <c r="K5540" s="455">
        <f t="shared" ca="1" si="188"/>
        <v>-17665531954198.168</v>
      </c>
      <c r="L5540" s="455">
        <f t="shared" ca="1" si="189"/>
        <v>-4257393200961758</v>
      </c>
      <c r="M5540" s="471">
        <f t="shared" si="191"/>
        <v>0.05</v>
      </c>
      <c r="N5540" s="475">
        <f t="shared" si="192"/>
        <v>219664</v>
      </c>
    </row>
    <row r="5541" spans="7:14" ht="11.25" customHeight="1" x14ac:dyDescent="0.3">
      <c r="G5541" s="470"/>
      <c r="H5541" s="470">
        <v>5534</v>
      </c>
      <c r="I5541" s="455">
        <f t="shared" ca="1" si="190"/>
        <v>-4257393200961758</v>
      </c>
      <c r="J5541" s="455">
        <f t="array" ref="J5541">IFERROR(INDEX('Retirement Calculator'!K:K,MATCH('Lorri 401b'!N5541,'Retirement Calculator'!A:A,0),0),0)</f>
        <v>0</v>
      </c>
      <c r="K5541" s="455">
        <f t="shared" ca="1" si="188"/>
        <v>-17739138337340.656</v>
      </c>
      <c r="L5541" s="455">
        <f t="shared" ca="1" si="189"/>
        <v>-4275132339299098.5</v>
      </c>
      <c r="M5541" s="471">
        <f t="shared" si="191"/>
        <v>0.05</v>
      </c>
      <c r="N5541" s="475">
        <f t="shared" si="192"/>
        <v>219694</v>
      </c>
    </row>
    <row r="5542" spans="7:14" ht="11.25" customHeight="1" x14ac:dyDescent="0.3">
      <c r="G5542" s="470"/>
      <c r="H5542" s="470">
        <v>5535</v>
      </c>
      <c r="I5542" s="455">
        <f t="shared" ca="1" si="190"/>
        <v>-4275132339299098.5</v>
      </c>
      <c r="J5542" s="455">
        <f t="array" ref="J5542">IFERROR(INDEX('Retirement Calculator'!K:K,MATCH('Lorri 401b'!N5542,'Retirement Calculator'!A:A,0),0),0)</f>
        <v>0</v>
      </c>
      <c r="K5542" s="455">
        <f t="shared" ca="1" si="188"/>
        <v>-17813051413746.242</v>
      </c>
      <c r="L5542" s="455">
        <f t="shared" ca="1" si="189"/>
        <v>-4292945390712844.5</v>
      </c>
      <c r="M5542" s="471">
        <f t="shared" si="191"/>
        <v>0.05</v>
      </c>
      <c r="N5542" s="475">
        <f t="shared" si="192"/>
        <v>219725</v>
      </c>
    </row>
    <row r="5543" spans="7:14" ht="11.25" customHeight="1" x14ac:dyDescent="0.3">
      <c r="G5543" s="470"/>
      <c r="H5543" s="470">
        <v>5536</v>
      </c>
      <c r="I5543" s="455">
        <f t="shared" ca="1" si="190"/>
        <v>-4292945390712844.5</v>
      </c>
      <c r="J5543" s="455">
        <f t="array" ref="J5543">IFERROR(INDEX('Retirement Calculator'!K:K,MATCH('Lorri 401b'!N5543,'Retirement Calculator'!A:A,0),0),0)</f>
        <v>0</v>
      </c>
      <c r="K5543" s="455">
        <f t="shared" ca="1" si="188"/>
        <v>-17887272461303.52</v>
      </c>
      <c r="L5543" s="455">
        <f t="shared" ca="1" si="189"/>
        <v>-4310832663174148</v>
      </c>
      <c r="M5543" s="471">
        <f t="shared" si="191"/>
        <v>0.05</v>
      </c>
      <c r="N5543" s="475">
        <f t="shared" si="192"/>
        <v>219756</v>
      </c>
    </row>
    <row r="5544" spans="7:14" ht="11.25" customHeight="1" x14ac:dyDescent="0.3">
      <c r="G5544" s="470"/>
      <c r="H5544" s="470">
        <v>5537</v>
      </c>
      <c r="I5544" s="455">
        <f t="shared" ca="1" si="190"/>
        <v>-4310832663174148</v>
      </c>
      <c r="J5544" s="455">
        <f t="array" ref="J5544">IFERROR(INDEX('Retirement Calculator'!K:K,MATCH('Lorri 401b'!N5544,'Retirement Calculator'!A:A,0),0),0)</f>
        <v>0</v>
      </c>
      <c r="K5544" s="455">
        <f t="shared" ca="1" si="188"/>
        <v>-17961802763225.617</v>
      </c>
      <c r="L5544" s="455">
        <f t="shared" ca="1" si="189"/>
        <v>-4328794465937373.5</v>
      </c>
      <c r="M5544" s="471">
        <f t="shared" si="191"/>
        <v>0.05</v>
      </c>
      <c r="N5544" s="475">
        <f t="shared" si="192"/>
        <v>219786</v>
      </c>
    </row>
    <row r="5545" spans="7:14" ht="11.25" customHeight="1" x14ac:dyDescent="0.3">
      <c r="G5545" s="470"/>
      <c r="H5545" s="470">
        <v>5538</v>
      </c>
      <c r="I5545" s="455">
        <f t="shared" ca="1" si="190"/>
        <v>-4328794465937373.5</v>
      </c>
      <c r="J5545" s="455">
        <f t="array" ref="J5545">IFERROR(INDEX('Retirement Calculator'!K:K,MATCH('Lorri 401b'!N5545,'Retirement Calculator'!A:A,0),0),0)</f>
        <v>0</v>
      </c>
      <c r="K5545" s="455">
        <f t="shared" ca="1" si="188"/>
        <v>-18036643608072.391</v>
      </c>
      <c r="L5545" s="455">
        <f t="shared" ca="1" si="189"/>
        <v>-4346831109545446</v>
      </c>
      <c r="M5545" s="471">
        <f t="shared" si="191"/>
        <v>0.05</v>
      </c>
      <c r="N5545" s="475">
        <f t="shared" si="192"/>
        <v>219817</v>
      </c>
    </row>
    <row r="5546" spans="7:14" ht="11.25" customHeight="1" x14ac:dyDescent="0.3">
      <c r="G5546" s="470"/>
      <c r="H5546" s="470">
        <v>5539</v>
      </c>
      <c r="I5546" s="455">
        <f t="shared" ca="1" si="190"/>
        <v>-4346831109545446</v>
      </c>
      <c r="J5546" s="455">
        <f t="array" ref="J5546">IFERROR(INDEX('Retirement Calculator'!K:K,MATCH('Lorri 401b'!N5546,'Retirement Calculator'!A:A,0),0),0)</f>
        <v>0</v>
      </c>
      <c r="K5546" s="455">
        <f t="shared" ca="1" si="188"/>
        <v>-18111796289772.691</v>
      </c>
      <c r="L5546" s="455">
        <f t="shared" ca="1" si="189"/>
        <v>-4364942905835218.5</v>
      </c>
      <c r="M5546" s="471">
        <f t="shared" si="191"/>
        <v>0.05</v>
      </c>
      <c r="N5546" s="475">
        <f t="shared" si="192"/>
        <v>219847</v>
      </c>
    </row>
    <row r="5547" spans="7:14" ht="11.25" customHeight="1" x14ac:dyDescent="0.3">
      <c r="G5547" s="470"/>
      <c r="H5547" s="470">
        <v>5540</v>
      </c>
      <c r="I5547" s="455">
        <f t="shared" ca="1" si="190"/>
        <v>-4364942905835218.5</v>
      </c>
      <c r="J5547" s="455">
        <f t="array" ref="J5547">IFERROR(INDEX('Retirement Calculator'!K:K,MATCH('Lorri 401b'!N5547,'Retirement Calculator'!A:A,0),0),0)</f>
        <v>0</v>
      </c>
      <c r="K5547" s="455">
        <f t="shared" ca="1" si="188"/>
        <v>-18187262107646.742</v>
      </c>
      <c r="L5547" s="455">
        <f t="shared" ca="1" si="189"/>
        <v>-4383130167942865</v>
      </c>
      <c r="M5547" s="471">
        <f t="shared" si="191"/>
        <v>0.05</v>
      </c>
      <c r="N5547" s="475">
        <f t="shared" si="192"/>
        <v>219878</v>
      </c>
    </row>
    <row r="5548" spans="7:14" ht="11.25" customHeight="1" x14ac:dyDescent="0.3">
      <c r="G5548" s="470"/>
      <c r="H5548" s="470">
        <v>5541</v>
      </c>
      <c r="I5548" s="455">
        <f t="shared" ca="1" si="190"/>
        <v>-4383130167942865</v>
      </c>
      <c r="J5548" s="455">
        <f t="array" ref="J5548">IFERROR(INDEX('Retirement Calculator'!K:K,MATCH('Lorri 401b'!N5548,'Retirement Calculator'!A:A,0),0),0)</f>
        <v>0</v>
      </c>
      <c r="K5548" s="455">
        <f t="shared" ca="1" si="188"/>
        <v>-18263042366428.605</v>
      </c>
      <c r="L5548" s="455">
        <f t="shared" ca="1" si="189"/>
        <v>-4401393210309293.5</v>
      </c>
      <c r="M5548" s="471">
        <f t="shared" si="191"/>
        <v>0.05</v>
      </c>
      <c r="N5548" s="475">
        <f t="shared" si="192"/>
        <v>219909</v>
      </c>
    </row>
    <row r="5549" spans="7:14" ht="11.25" customHeight="1" x14ac:dyDescent="0.3">
      <c r="G5549" s="470"/>
      <c r="H5549" s="470">
        <v>5542</v>
      </c>
      <c r="I5549" s="455">
        <f t="shared" ca="1" si="190"/>
        <v>-4401393210309293.5</v>
      </c>
      <c r="J5549" s="455">
        <f t="array" ref="J5549">IFERROR(INDEX('Retirement Calculator'!K:K,MATCH('Lorri 401b'!N5549,'Retirement Calculator'!A:A,0),0),0)</f>
        <v>0</v>
      </c>
      <c r="K5549" s="455">
        <f t="shared" ca="1" si="188"/>
        <v>-18339138376288.723</v>
      </c>
      <c r="L5549" s="455">
        <f t="shared" ca="1" si="189"/>
        <v>-4419732348685582</v>
      </c>
      <c r="M5549" s="471">
        <f t="shared" si="191"/>
        <v>0.05</v>
      </c>
      <c r="N5549" s="475">
        <f t="shared" si="192"/>
        <v>219937</v>
      </c>
    </row>
    <row r="5550" spans="7:14" ht="11.25" customHeight="1" x14ac:dyDescent="0.3">
      <c r="G5550" s="470"/>
      <c r="H5550" s="470">
        <v>5543</v>
      </c>
      <c r="I5550" s="455">
        <f t="shared" ca="1" si="190"/>
        <v>-4419732348685582</v>
      </c>
      <c r="J5550" s="455">
        <f t="array" ref="J5550">IFERROR(INDEX('Retirement Calculator'!K:K,MATCH('Lorri 401b'!N5550,'Retirement Calculator'!A:A,0),0),0)</f>
        <v>0</v>
      </c>
      <c r="K5550" s="455">
        <f t="shared" ca="1" si="188"/>
        <v>-18415551452856.59</v>
      </c>
      <c r="L5550" s="455">
        <f t="shared" ca="1" si="189"/>
        <v>-4438147900138438.5</v>
      </c>
      <c r="M5550" s="471">
        <f t="shared" si="191"/>
        <v>0.05</v>
      </c>
      <c r="N5550" s="475">
        <f t="shared" si="192"/>
        <v>219968</v>
      </c>
    </row>
    <row r="5551" spans="7:14" ht="11.25" customHeight="1" x14ac:dyDescent="0.3">
      <c r="G5551" s="470"/>
      <c r="H5551" s="470">
        <v>5544</v>
      </c>
      <c r="I5551" s="455">
        <f t="shared" ca="1" si="190"/>
        <v>-4438147900138438.5</v>
      </c>
      <c r="J5551" s="455">
        <f t="array" ref="J5551">IFERROR(INDEX('Retirement Calculator'!K:K,MATCH('Lorri 401b'!N5551,'Retirement Calculator'!A:A,0),0),0)</f>
        <v>0</v>
      </c>
      <c r="K5551" s="455">
        <f t="shared" ca="1" si="188"/>
        <v>-18492282917243.492</v>
      </c>
      <c r="L5551" s="455">
        <f t="shared" ca="1" si="189"/>
        <v>-4456640183055682</v>
      </c>
      <c r="M5551" s="471">
        <f t="shared" si="191"/>
        <v>0.05</v>
      </c>
      <c r="N5551" s="475">
        <f t="shared" si="192"/>
        <v>219998</v>
      </c>
    </row>
    <row r="5552" spans="7:14" ht="11.25" customHeight="1" x14ac:dyDescent="0.3">
      <c r="G5552" s="470"/>
      <c r="H5552" s="470">
        <v>5545</v>
      </c>
      <c r="I5552" s="455">
        <f t="shared" ca="1" si="190"/>
        <v>-4456640183055682</v>
      </c>
      <c r="J5552" s="455">
        <f t="array" ref="J5552">IFERROR(INDEX('Retirement Calculator'!K:K,MATCH('Lorri 401b'!N5552,'Retirement Calculator'!A:A,0),0),0)</f>
        <v>0</v>
      </c>
      <c r="K5552" s="455">
        <f t="shared" ca="1" si="188"/>
        <v>-18569334096065.344</v>
      </c>
      <c r="L5552" s="455">
        <f t="shared" ca="1" si="189"/>
        <v>-4475209517151747.5</v>
      </c>
      <c r="M5552" s="471">
        <f t="shared" si="191"/>
        <v>0.05</v>
      </c>
      <c r="N5552" s="475">
        <f t="shared" si="192"/>
        <v>220029</v>
      </c>
    </row>
    <row r="5553" spans="7:14" ht="11.25" customHeight="1" x14ac:dyDescent="0.3">
      <c r="G5553" s="470"/>
      <c r="H5553" s="470">
        <v>5546</v>
      </c>
      <c r="I5553" s="455">
        <f t="shared" ca="1" si="190"/>
        <v>-4475209517151747.5</v>
      </c>
      <c r="J5553" s="455">
        <f t="array" ref="J5553">IFERROR(INDEX('Retirement Calculator'!K:K,MATCH('Lorri 401b'!N5553,'Retirement Calculator'!A:A,0),0),0)</f>
        <v>0</v>
      </c>
      <c r="K5553" s="455">
        <f t="shared" ca="1" si="188"/>
        <v>-18646706321465.613</v>
      </c>
      <c r="L5553" s="455">
        <f t="shared" ca="1" si="189"/>
        <v>-4493856223473213</v>
      </c>
      <c r="M5553" s="471">
        <f t="shared" si="191"/>
        <v>0.05</v>
      </c>
      <c r="N5553" s="475">
        <f t="shared" si="192"/>
        <v>220059</v>
      </c>
    </row>
    <row r="5554" spans="7:14" ht="11.25" customHeight="1" x14ac:dyDescent="0.3">
      <c r="G5554" s="470"/>
      <c r="H5554" s="470">
        <v>5547</v>
      </c>
      <c r="I5554" s="455">
        <f t="shared" ca="1" si="190"/>
        <v>-4493856223473213</v>
      </c>
      <c r="J5554" s="455">
        <f t="array" ref="J5554">IFERROR(INDEX('Retirement Calculator'!K:K,MATCH('Lorri 401b'!N5554,'Retirement Calculator'!A:A,0),0),0)</f>
        <v>0</v>
      </c>
      <c r="K5554" s="455">
        <f t="shared" ca="1" si="188"/>
        <v>-18724400931138.387</v>
      </c>
      <c r="L5554" s="455">
        <f t="shared" ca="1" si="189"/>
        <v>-4512580624404351</v>
      </c>
      <c r="M5554" s="471">
        <f t="shared" si="191"/>
        <v>0.05</v>
      </c>
      <c r="N5554" s="475">
        <f t="shared" si="192"/>
        <v>220090</v>
      </c>
    </row>
    <row r="5555" spans="7:14" ht="11.25" customHeight="1" x14ac:dyDescent="0.3">
      <c r="G5555" s="470"/>
      <c r="H5555" s="470">
        <v>5548</v>
      </c>
      <c r="I5555" s="455">
        <f t="shared" ca="1" si="190"/>
        <v>-4512580624404351</v>
      </c>
      <c r="J5555" s="455">
        <f t="array" ref="J5555">IFERROR(INDEX('Retirement Calculator'!K:K,MATCH('Lorri 401b'!N5555,'Retirement Calculator'!A:A,0),0),0)</f>
        <v>0</v>
      </c>
      <c r="K5555" s="455">
        <f t="shared" ca="1" si="188"/>
        <v>-18802419268351.461</v>
      </c>
      <c r="L5555" s="455">
        <f t="shared" ca="1" si="189"/>
        <v>-4531383043672702</v>
      </c>
      <c r="M5555" s="471">
        <f t="shared" si="191"/>
        <v>0.05</v>
      </c>
      <c r="N5555" s="475">
        <f t="shared" si="192"/>
        <v>220121</v>
      </c>
    </row>
    <row r="5556" spans="7:14" ht="11.25" customHeight="1" x14ac:dyDescent="0.3">
      <c r="G5556" s="470"/>
      <c r="H5556" s="470">
        <v>5549</v>
      </c>
      <c r="I5556" s="455">
        <f t="shared" ca="1" si="190"/>
        <v>-4531383043672702</v>
      </c>
      <c r="J5556" s="455">
        <f t="array" ref="J5556">IFERROR(INDEX('Retirement Calculator'!K:K,MATCH('Lorri 401b'!N5556,'Retirement Calculator'!A:A,0),0),0)</f>
        <v>0</v>
      </c>
      <c r="K5556" s="455">
        <f t="shared" ca="1" si="188"/>
        <v>-18880762681969.59</v>
      </c>
      <c r="L5556" s="455">
        <f t="shared" ca="1" si="189"/>
        <v>-4550263806354672</v>
      </c>
      <c r="M5556" s="471">
        <f t="shared" si="191"/>
        <v>0.05</v>
      </c>
      <c r="N5556" s="475">
        <f t="shared" si="192"/>
        <v>220151</v>
      </c>
    </row>
    <row r="5557" spans="7:14" ht="11.25" customHeight="1" x14ac:dyDescent="0.3">
      <c r="G5557" s="470"/>
      <c r="H5557" s="470">
        <v>5550</v>
      </c>
      <c r="I5557" s="455">
        <f t="shared" ca="1" si="190"/>
        <v>-4550263806354672</v>
      </c>
      <c r="J5557" s="455">
        <f t="array" ref="J5557">IFERROR(INDEX('Retirement Calculator'!K:K,MATCH('Lorri 401b'!N5557,'Retirement Calculator'!A:A,0),0),0)</f>
        <v>0</v>
      </c>
      <c r="K5557" s="455">
        <f t="shared" ca="1" si="188"/>
        <v>-18959432526477.801</v>
      </c>
      <c r="L5557" s="455">
        <f t="shared" ca="1" si="189"/>
        <v>-4569223238881150</v>
      </c>
      <c r="M5557" s="471">
        <f t="shared" si="191"/>
        <v>0.05</v>
      </c>
      <c r="N5557" s="475">
        <f t="shared" si="192"/>
        <v>220182</v>
      </c>
    </row>
    <row r="5558" spans="7:14" ht="11.25" customHeight="1" x14ac:dyDescent="0.3">
      <c r="G5558" s="470"/>
      <c r="H5558" s="470">
        <v>5551</v>
      </c>
      <c r="I5558" s="455">
        <f t="shared" ca="1" si="190"/>
        <v>-4569223238881150</v>
      </c>
      <c r="J5558" s="455">
        <f t="array" ref="J5558">IFERROR(INDEX('Retirement Calculator'!K:K,MATCH('Lorri 401b'!N5558,'Retirement Calculator'!A:A,0),0),0)</f>
        <v>0</v>
      </c>
      <c r="K5558" s="455">
        <f t="shared" ca="1" si="188"/>
        <v>-19038430162004.793</v>
      </c>
      <c r="L5558" s="455">
        <f t="shared" ca="1" si="189"/>
        <v>-4588261669043155</v>
      </c>
      <c r="M5558" s="471">
        <f t="shared" si="191"/>
        <v>0.05</v>
      </c>
      <c r="N5558" s="475">
        <f t="shared" si="192"/>
        <v>220212</v>
      </c>
    </row>
    <row r="5559" spans="7:14" ht="11.25" customHeight="1" x14ac:dyDescent="0.3">
      <c r="G5559" s="470"/>
      <c r="H5559" s="470">
        <v>5552</v>
      </c>
      <c r="I5559" s="455">
        <f t="shared" ca="1" si="190"/>
        <v>-4588261669043155</v>
      </c>
      <c r="J5559" s="455">
        <f t="array" ref="J5559">IFERROR(INDEX('Retirement Calculator'!K:K,MATCH('Lorri 401b'!N5559,'Retirement Calculator'!A:A,0),0),0)</f>
        <v>0</v>
      </c>
      <c r="K5559" s="455">
        <f t="shared" ca="1" si="188"/>
        <v>-19117756954346.48</v>
      </c>
      <c r="L5559" s="455">
        <f t="shared" ca="1" si="189"/>
        <v>-4607379425997501</v>
      </c>
      <c r="M5559" s="471">
        <f t="shared" si="191"/>
        <v>0.05</v>
      </c>
      <c r="N5559" s="475">
        <f t="shared" si="192"/>
        <v>220243</v>
      </c>
    </row>
    <row r="5560" spans="7:14" ht="11.25" customHeight="1" x14ac:dyDescent="0.3">
      <c r="G5560" s="470"/>
      <c r="H5560" s="470">
        <v>5553</v>
      </c>
      <c r="I5560" s="455">
        <f t="shared" ca="1" si="190"/>
        <v>-4607379425997501</v>
      </c>
      <c r="J5560" s="455">
        <f t="array" ref="J5560">IFERROR(INDEX('Retirement Calculator'!K:K,MATCH('Lorri 401b'!N5560,'Retirement Calculator'!A:A,0),0),0)</f>
        <v>0</v>
      </c>
      <c r="K5560" s="455">
        <f t="shared" ca="1" si="188"/>
        <v>-19197414274989.586</v>
      </c>
      <c r="L5560" s="455">
        <f t="shared" ca="1" si="189"/>
        <v>-4626576840272491</v>
      </c>
      <c r="M5560" s="471">
        <f t="shared" si="191"/>
        <v>0.05</v>
      </c>
      <c r="N5560" s="475">
        <f t="shared" si="192"/>
        <v>220274</v>
      </c>
    </row>
    <row r="5561" spans="7:14" ht="11.25" customHeight="1" x14ac:dyDescent="0.3">
      <c r="G5561" s="470"/>
      <c r="H5561" s="470">
        <v>5554</v>
      </c>
      <c r="I5561" s="455">
        <f t="shared" ca="1" si="190"/>
        <v>-4626576840272491</v>
      </c>
      <c r="J5561" s="455">
        <f t="array" ref="J5561">IFERROR(INDEX('Retirement Calculator'!K:K,MATCH('Lorri 401b'!N5561,'Retirement Calculator'!A:A,0),0),0)</f>
        <v>0</v>
      </c>
      <c r="K5561" s="455">
        <f t="shared" ca="1" si="188"/>
        <v>-19277403501135.379</v>
      </c>
      <c r="L5561" s="455">
        <f t="shared" ca="1" si="189"/>
        <v>-4645854243773626</v>
      </c>
      <c r="M5561" s="471">
        <f t="shared" si="191"/>
        <v>0.05</v>
      </c>
      <c r="N5561" s="475">
        <f t="shared" si="192"/>
        <v>220302</v>
      </c>
    </row>
    <row r="5562" spans="7:14" ht="11.25" customHeight="1" x14ac:dyDescent="0.3">
      <c r="G5562" s="470"/>
      <c r="H5562" s="470">
        <v>5555</v>
      </c>
      <c r="I5562" s="455">
        <f t="shared" ca="1" si="190"/>
        <v>-4645854243773626</v>
      </c>
      <c r="J5562" s="455">
        <f t="array" ref="J5562">IFERROR(INDEX('Retirement Calculator'!K:K,MATCH('Lorri 401b'!N5562,'Retirement Calculator'!A:A,0),0),0)</f>
        <v>0</v>
      </c>
      <c r="K5562" s="455">
        <f t="shared" ca="1" si="188"/>
        <v>-19357726015723.441</v>
      </c>
      <c r="L5562" s="455">
        <f t="shared" ca="1" si="189"/>
        <v>-4665211969789349</v>
      </c>
      <c r="M5562" s="471">
        <f t="shared" si="191"/>
        <v>0.05</v>
      </c>
      <c r="N5562" s="475">
        <f t="shared" si="192"/>
        <v>220333</v>
      </c>
    </row>
    <row r="5563" spans="7:14" ht="11.25" customHeight="1" x14ac:dyDescent="0.3">
      <c r="G5563" s="470"/>
      <c r="H5563" s="470">
        <v>5556</v>
      </c>
      <c r="I5563" s="455">
        <f t="shared" ca="1" si="190"/>
        <v>-4665211969789349</v>
      </c>
      <c r="J5563" s="455">
        <f t="array" ref="J5563">IFERROR(INDEX('Retirement Calculator'!K:K,MATCH('Lorri 401b'!N5563,'Retirement Calculator'!A:A,0),0),0)</f>
        <v>0</v>
      </c>
      <c r="K5563" s="455">
        <f t="shared" ca="1" si="188"/>
        <v>-19438383207455.621</v>
      </c>
      <c r="L5563" s="455">
        <f t="shared" ca="1" si="189"/>
        <v>-4684650352996805</v>
      </c>
      <c r="M5563" s="471">
        <f t="shared" si="191"/>
        <v>0.05</v>
      </c>
      <c r="N5563" s="475">
        <f t="shared" si="192"/>
        <v>220363</v>
      </c>
    </row>
    <row r="5564" spans="7:14" ht="11.25" customHeight="1" x14ac:dyDescent="0.3">
      <c r="G5564" s="470"/>
      <c r="H5564" s="470">
        <v>5557</v>
      </c>
      <c r="I5564" s="455">
        <f t="shared" ca="1" si="190"/>
        <v>-4684650352996805</v>
      </c>
      <c r="J5564" s="455">
        <f t="array" ref="J5564">IFERROR(INDEX('Retirement Calculator'!K:K,MATCH('Lorri 401b'!N5564,'Retirement Calculator'!A:A,0),0),0)</f>
        <v>0</v>
      </c>
      <c r="K5564" s="455">
        <f t="shared" ca="1" si="188"/>
        <v>-19519376470820.02</v>
      </c>
      <c r="L5564" s="455">
        <f t="shared" ca="1" si="189"/>
        <v>-4704169729467625</v>
      </c>
      <c r="M5564" s="471">
        <f t="shared" si="191"/>
        <v>0.05</v>
      </c>
      <c r="N5564" s="475">
        <f t="shared" si="192"/>
        <v>220394</v>
      </c>
    </row>
    <row r="5565" spans="7:14" ht="11.25" customHeight="1" x14ac:dyDescent="0.3">
      <c r="G5565" s="470"/>
      <c r="H5565" s="470">
        <v>5558</v>
      </c>
      <c r="I5565" s="455">
        <f t="shared" ca="1" si="190"/>
        <v>-4704169729467625</v>
      </c>
      <c r="J5565" s="455">
        <f t="array" ref="J5565">IFERROR(INDEX('Retirement Calculator'!K:K,MATCH('Lorri 401b'!N5565,'Retirement Calculator'!A:A,0),0),0)</f>
        <v>0</v>
      </c>
      <c r="K5565" s="455">
        <f t="shared" ca="1" si="188"/>
        <v>-19600707206115.105</v>
      </c>
      <c r="L5565" s="455">
        <f t="shared" ca="1" si="189"/>
        <v>-4723770436673740</v>
      </c>
      <c r="M5565" s="471">
        <f t="shared" si="191"/>
        <v>0.05</v>
      </c>
      <c r="N5565" s="475">
        <f t="shared" si="192"/>
        <v>220424</v>
      </c>
    </row>
    <row r="5566" spans="7:14" ht="11.25" customHeight="1" x14ac:dyDescent="0.3">
      <c r="G5566" s="470"/>
      <c r="H5566" s="470">
        <v>5559</v>
      </c>
      <c r="I5566" s="455">
        <f t="shared" ca="1" si="190"/>
        <v>-4723770436673740</v>
      </c>
      <c r="J5566" s="455">
        <f t="array" ref="J5566">IFERROR(INDEX('Retirement Calculator'!K:K,MATCH('Lorri 401b'!N5566,'Retirement Calculator'!A:A,0),0),0)</f>
        <v>0</v>
      </c>
      <c r="K5566" s="455">
        <f t="shared" ca="1" si="188"/>
        <v>-19682376819473.918</v>
      </c>
      <c r="L5566" s="455">
        <f t="shared" ca="1" si="189"/>
        <v>-4743452813493214</v>
      </c>
      <c r="M5566" s="471">
        <f t="shared" si="191"/>
        <v>0.05</v>
      </c>
      <c r="N5566" s="475">
        <f t="shared" si="192"/>
        <v>220455</v>
      </c>
    </row>
    <row r="5567" spans="7:14" ht="11.25" customHeight="1" x14ac:dyDescent="0.3">
      <c r="G5567" s="470"/>
      <c r="H5567" s="470">
        <v>5560</v>
      </c>
      <c r="I5567" s="455">
        <f t="shared" ca="1" si="190"/>
        <v>-4743452813493214</v>
      </c>
      <c r="J5567" s="455">
        <f t="array" ref="J5567">IFERROR(INDEX('Retirement Calculator'!K:K,MATCH('Lorri 401b'!N5567,'Retirement Calculator'!A:A,0),0),0)</f>
        <v>0</v>
      </c>
      <c r="K5567" s="455">
        <f t="shared" ca="1" si="188"/>
        <v>-19764386722888.391</v>
      </c>
      <c r="L5567" s="455">
        <f t="shared" ca="1" si="189"/>
        <v>-4763217200216102</v>
      </c>
      <c r="M5567" s="471">
        <f t="shared" si="191"/>
        <v>0.05</v>
      </c>
      <c r="N5567" s="475">
        <f t="shared" si="192"/>
        <v>220486</v>
      </c>
    </row>
    <row r="5568" spans="7:14" ht="11.25" customHeight="1" x14ac:dyDescent="0.3">
      <c r="G5568" s="470"/>
      <c r="H5568" s="470">
        <v>5561</v>
      </c>
      <c r="I5568" s="455">
        <f t="shared" ca="1" si="190"/>
        <v>-4763217200216102</v>
      </c>
      <c r="J5568" s="455">
        <f t="array" ref="J5568">IFERROR(INDEX('Retirement Calculator'!K:K,MATCH('Lorri 401b'!N5568,'Retirement Calculator'!A:A,0),0),0)</f>
        <v>0</v>
      </c>
      <c r="K5568" s="455">
        <f t="shared" ca="1" si="188"/>
        <v>-19846738334233.758</v>
      </c>
      <c r="L5568" s="455">
        <f t="shared" ca="1" si="189"/>
        <v>-4783063938550336</v>
      </c>
      <c r="M5568" s="471">
        <f t="shared" si="191"/>
        <v>0.05</v>
      </c>
      <c r="N5568" s="475">
        <f t="shared" si="192"/>
        <v>220516</v>
      </c>
    </row>
    <row r="5569" spans="7:14" ht="11.25" customHeight="1" x14ac:dyDescent="0.3">
      <c r="G5569" s="470"/>
      <c r="H5569" s="470">
        <v>5562</v>
      </c>
      <c r="I5569" s="455">
        <f t="shared" ca="1" si="190"/>
        <v>-4783063938550336</v>
      </c>
      <c r="J5569" s="455">
        <f t="array" ref="J5569">IFERROR(INDEX('Retirement Calculator'!K:K,MATCH('Lorri 401b'!N5569,'Retirement Calculator'!A:A,0),0),0)</f>
        <v>0</v>
      </c>
      <c r="K5569" s="455">
        <f t="shared" ca="1" si="188"/>
        <v>-19929433077293.066</v>
      </c>
      <c r="L5569" s="455">
        <f t="shared" ca="1" si="189"/>
        <v>-4802993371627629</v>
      </c>
      <c r="M5569" s="471">
        <f t="shared" si="191"/>
        <v>0.05</v>
      </c>
      <c r="N5569" s="475">
        <f t="shared" si="192"/>
        <v>220547</v>
      </c>
    </row>
    <row r="5570" spans="7:14" ht="11.25" customHeight="1" x14ac:dyDescent="0.3">
      <c r="G5570" s="470"/>
      <c r="H5570" s="470">
        <v>5563</v>
      </c>
      <c r="I5570" s="455">
        <f t="shared" ca="1" si="190"/>
        <v>-4802993371627629</v>
      </c>
      <c r="J5570" s="455">
        <f t="array" ref="J5570">IFERROR(INDEX('Retirement Calculator'!K:K,MATCH('Lorri 401b'!N5570,'Retirement Calculator'!A:A,0),0),0)</f>
        <v>0</v>
      </c>
      <c r="K5570" s="455">
        <f t="shared" ca="1" si="188"/>
        <v>-20012472381781.789</v>
      </c>
      <c r="L5570" s="455">
        <f t="shared" ca="1" si="189"/>
        <v>-4823005844009411</v>
      </c>
      <c r="M5570" s="471">
        <f t="shared" si="191"/>
        <v>0.05</v>
      </c>
      <c r="N5570" s="475">
        <f t="shared" si="192"/>
        <v>220577</v>
      </c>
    </row>
    <row r="5571" spans="7:14" ht="11.25" customHeight="1" x14ac:dyDescent="0.3">
      <c r="G5571" s="470"/>
      <c r="H5571" s="470">
        <v>5564</v>
      </c>
      <c r="I5571" s="455">
        <f t="shared" ca="1" si="190"/>
        <v>-4823005844009411</v>
      </c>
      <c r="J5571" s="455">
        <f t="array" ref="J5571">IFERROR(INDEX('Retirement Calculator'!K:K,MATCH('Lorri 401b'!N5571,'Retirement Calculator'!A:A,0),0),0)</f>
        <v>0</v>
      </c>
      <c r="K5571" s="455">
        <f t="shared" ca="1" si="188"/>
        <v>-20095857683372.547</v>
      </c>
      <c r="L5571" s="455">
        <f t="shared" ca="1" si="189"/>
        <v>-4843101701692784</v>
      </c>
      <c r="M5571" s="471">
        <f t="shared" si="191"/>
        <v>0.05</v>
      </c>
      <c r="N5571" s="475">
        <f t="shared" si="192"/>
        <v>220608</v>
      </c>
    </row>
    <row r="5572" spans="7:14" ht="11.25" customHeight="1" x14ac:dyDescent="0.3">
      <c r="G5572" s="470"/>
      <c r="H5572" s="470">
        <v>5565</v>
      </c>
      <c r="I5572" s="455">
        <f t="shared" ca="1" si="190"/>
        <v>-4843101701692784</v>
      </c>
      <c r="J5572" s="455">
        <f t="array" ref="J5572">IFERROR(INDEX('Retirement Calculator'!K:K,MATCH('Lorri 401b'!N5572,'Retirement Calculator'!A:A,0),0),0)</f>
        <v>0</v>
      </c>
      <c r="K5572" s="455">
        <f t="shared" ca="1" si="188"/>
        <v>-20179590423719.934</v>
      </c>
      <c r="L5572" s="455">
        <f t="shared" ca="1" si="189"/>
        <v>-4863281292116504</v>
      </c>
      <c r="M5572" s="471">
        <f t="shared" si="191"/>
        <v>0.05</v>
      </c>
      <c r="N5572" s="475">
        <f t="shared" si="192"/>
        <v>220639</v>
      </c>
    </row>
    <row r="5573" spans="7:14" ht="11.25" customHeight="1" x14ac:dyDescent="0.3">
      <c r="G5573" s="470"/>
      <c r="H5573" s="470">
        <v>5566</v>
      </c>
      <c r="I5573" s="455">
        <f t="shared" ca="1" si="190"/>
        <v>-4863281292116504</v>
      </c>
      <c r="J5573" s="455">
        <f t="array" ref="J5573">IFERROR(INDEX('Retirement Calculator'!K:K,MATCH('Lorri 401b'!N5573,'Retirement Calculator'!A:A,0),0),0)</f>
        <v>0</v>
      </c>
      <c r="K5573" s="455">
        <f t="shared" ca="1" si="188"/>
        <v>-20263672050485.434</v>
      </c>
      <c r="L5573" s="455">
        <f t="shared" ca="1" si="189"/>
        <v>-4883544964166989</v>
      </c>
      <c r="M5573" s="471">
        <f t="shared" si="191"/>
        <v>0.05</v>
      </c>
      <c r="N5573" s="475">
        <f t="shared" si="192"/>
        <v>220668</v>
      </c>
    </row>
    <row r="5574" spans="7:14" ht="11.25" customHeight="1" x14ac:dyDescent="0.3">
      <c r="G5574" s="470"/>
      <c r="H5574" s="470">
        <v>5567</v>
      </c>
      <c r="I5574" s="455">
        <f t="shared" ca="1" si="190"/>
        <v>-4883544964166989</v>
      </c>
      <c r="J5574" s="455">
        <f t="array" ref="J5574">IFERROR(INDEX('Retirement Calculator'!K:K,MATCH('Lorri 401b'!N5574,'Retirement Calculator'!A:A,0),0),0)</f>
        <v>0</v>
      </c>
      <c r="K5574" s="455">
        <f t="shared" ca="1" si="188"/>
        <v>-20348104017362.453</v>
      </c>
      <c r="L5574" s="455">
        <f t="shared" ca="1" si="189"/>
        <v>-4903893068184351</v>
      </c>
      <c r="M5574" s="471">
        <f t="shared" si="191"/>
        <v>0.05</v>
      </c>
      <c r="N5574" s="475">
        <f t="shared" si="192"/>
        <v>220699</v>
      </c>
    </row>
    <row r="5575" spans="7:14" ht="11.25" customHeight="1" x14ac:dyDescent="0.3">
      <c r="G5575" s="470"/>
      <c r="H5575" s="470">
        <v>5568</v>
      </c>
      <c r="I5575" s="455">
        <f t="shared" ca="1" si="190"/>
        <v>-4903893068184351</v>
      </c>
      <c r="J5575" s="455">
        <f t="array" ref="J5575">IFERROR(INDEX('Retirement Calculator'!K:K,MATCH('Lorri 401b'!N5575,'Retirement Calculator'!A:A,0),0),0)</f>
        <v>0</v>
      </c>
      <c r="K5575" s="455">
        <f t="shared" ca="1" si="188"/>
        <v>-20432887784101.461</v>
      </c>
      <c r="L5575" s="455">
        <f t="shared" ca="1" si="189"/>
        <v>-4924325955968452</v>
      </c>
      <c r="M5575" s="471">
        <f t="shared" si="191"/>
        <v>0.05</v>
      </c>
      <c r="N5575" s="475">
        <f t="shared" si="192"/>
        <v>220729</v>
      </c>
    </row>
    <row r="5576" spans="7:14" ht="11.25" customHeight="1" x14ac:dyDescent="0.3">
      <c r="G5576" s="470"/>
      <c r="H5576" s="470">
        <v>5569</v>
      </c>
      <c r="I5576" s="455">
        <f t="shared" ca="1" si="190"/>
        <v>-4924325955968452</v>
      </c>
      <c r="J5576" s="455">
        <f t="array" ref="J5576">IFERROR(INDEX('Retirement Calculator'!K:K,MATCH('Lorri 401b'!N5576,'Retirement Calculator'!A:A,0),0),0)</f>
        <v>0</v>
      </c>
      <c r="K5576" s="455">
        <f t="shared" ca="1" si="188"/>
        <v>-20518024816535.215</v>
      </c>
      <c r="L5576" s="455">
        <f t="shared" ca="1" si="189"/>
        <v>-4944843980784987</v>
      </c>
      <c r="M5576" s="471">
        <f t="shared" si="191"/>
        <v>0.05</v>
      </c>
      <c r="N5576" s="475">
        <f t="shared" si="192"/>
        <v>220760</v>
      </c>
    </row>
    <row r="5577" spans="7:14" ht="11.25" customHeight="1" x14ac:dyDescent="0.3">
      <c r="G5577" s="470"/>
      <c r="H5577" s="470">
        <v>5570</v>
      </c>
      <c r="I5577" s="455">
        <f t="shared" ca="1" si="190"/>
        <v>-4944843980784987</v>
      </c>
      <c r="J5577" s="455">
        <f t="array" ref="J5577">IFERROR(INDEX('Retirement Calculator'!K:K,MATCH('Lorri 401b'!N5577,'Retirement Calculator'!A:A,0),0),0)</f>
        <v>0</v>
      </c>
      <c r="K5577" s="455">
        <f t="shared" ca="1" si="188"/>
        <v>-20603516586604.113</v>
      </c>
      <c r="L5577" s="455">
        <f t="shared" ca="1" si="189"/>
        <v>-4965447497371591</v>
      </c>
      <c r="M5577" s="471">
        <f t="shared" si="191"/>
        <v>0.05</v>
      </c>
      <c r="N5577" s="475">
        <f t="shared" si="192"/>
        <v>220790</v>
      </c>
    </row>
    <row r="5578" spans="7:14" ht="11.25" customHeight="1" x14ac:dyDescent="0.3">
      <c r="G5578" s="470"/>
      <c r="H5578" s="470">
        <v>5571</v>
      </c>
      <c r="I5578" s="455">
        <f t="shared" ca="1" si="190"/>
        <v>-4965447497371591</v>
      </c>
      <c r="J5578" s="455">
        <f t="array" ref="J5578">IFERROR(INDEX('Retirement Calculator'!K:K,MATCH('Lorri 401b'!N5578,'Retirement Calculator'!A:A,0),0),0)</f>
        <v>0</v>
      </c>
      <c r="K5578" s="455">
        <f t="shared" ca="1" si="188"/>
        <v>-20689364572381.629</v>
      </c>
      <c r="L5578" s="455">
        <f t="shared" ca="1" si="189"/>
        <v>-4986136861943973</v>
      </c>
      <c r="M5578" s="471">
        <f t="shared" si="191"/>
        <v>0.05</v>
      </c>
      <c r="N5578" s="475">
        <f t="shared" si="192"/>
        <v>220821</v>
      </c>
    </row>
    <row r="5579" spans="7:14" ht="11.25" customHeight="1" x14ac:dyDescent="0.3">
      <c r="G5579" s="470"/>
      <c r="H5579" s="470">
        <v>5572</v>
      </c>
      <c r="I5579" s="455">
        <f t="shared" ca="1" si="190"/>
        <v>-4986136861943973</v>
      </c>
      <c r="J5579" s="455">
        <f t="array" ref="J5579">IFERROR(INDEX('Retirement Calculator'!K:K,MATCH('Lorri 401b'!N5579,'Retirement Calculator'!A:A,0),0),0)</f>
        <v>0</v>
      </c>
      <c r="K5579" s="455">
        <f t="shared" ca="1" si="188"/>
        <v>-20775570258099.887</v>
      </c>
      <c r="L5579" s="455">
        <f t="shared" ca="1" si="189"/>
        <v>-5006912432202073</v>
      </c>
      <c r="M5579" s="471">
        <f t="shared" si="191"/>
        <v>0.05</v>
      </c>
      <c r="N5579" s="475">
        <f t="shared" si="192"/>
        <v>220852</v>
      </c>
    </row>
    <row r="5580" spans="7:14" ht="11.25" customHeight="1" x14ac:dyDescent="0.3">
      <c r="G5580" s="470"/>
      <c r="H5580" s="470">
        <v>5573</v>
      </c>
      <c r="I5580" s="455">
        <f t="shared" ca="1" si="190"/>
        <v>-5006912432202073</v>
      </c>
      <c r="J5580" s="455">
        <f t="array" ref="J5580">IFERROR(INDEX('Retirement Calculator'!K:K,MATCH('Lorri 401b'!N5580,'Retirement Calculator'!A:A,0),0),0)</f>
        <v>0</v>
      </c>
      <c r="K5580" s="455">
        <f t="shared" ca="1" si="188"/>
        <v>-20862135134175.305</v>
      </c>
      <c r="L5580" s="455">
        <f t="shared" ca="1" si="189"/>
        <v>-5027774567336248</v>
      </c>
      <c r="M5580" s="471">
        <f t="shared" si="191"/>
        <v>0.05</v>
      </c>
      <c r="N5580" s="475">
        <f t="shared" si="192"/>
        <v>220882</v>
      </c>
    </row>
    <row r="5581" spans="7:14" ht="11.25" customHeight="1" x14ac:dyDescent="0.3">
      <c r="G5581" s="470"/>
      <c r="H5581" s="470">
        <v>5574</v>
      </c>
      <c r="I5581" s="455">
        <f t="shared" ca="1" si="190"/>
        <v>-5027774567336248</v>
      </c>
      <c r="J5581" s="455">
        <f t="array" ref="J5581">IFERROR(INDEX('Retirement Calculator'!K:K,MATCH('Lorri 401b'!N5581,'Retirement Calculator'!A:A,0),0),0)</f>
        <v>0</v>
      </c>
      <c r="K5581" s="455">
        <f t="shared" ca="1" si="188"/>
        <v>-20949060697234.367</v>
      </c>
      <c r="L5581" s="455">
        <f t="shared" ca="1" si="189"/>
        <v>-5048723628033482</v>
      </c>
      <c r="M5581" s="471">
        <f t="shared" si="191"/>
        <v>0.05</v>
      </c>
      <c r="N5581" s="475">
        <f t="shared" si="192"/>
        <v>220913</v>
      </c>
    </row>
    <row r="5582" spans="7:14" ht="11.25" customHeight="1" x14ac:dyDescent="0.3">
      <c r="G5582" s="470"/>
      <c r="H5582" s="470">
        <v>5575</v>
      </c>
      <c r="I5582" s="455">
        <f t="shared" ca="1" si="190"/>
        <v>-5048723628033482</v>
      </c>
      <c r="J5582" s="455">
        <f t="array" ref="J5582">IFERROR(INDEX('Retirement Calculator'!K:K,MATCH('Lorri 401b'!N5582,'Retirement Calculator'!A:A,0),0),0)</f>
        <v>0</v>
      </c>
      <c r="K5582" s="455">
        <f t="shared" ca="1" si="188"/>
        <v>-21036348450139.508</v>
      </c>
      <c r="L5582" s="455">
        <f t="shared" ca="1" si="189"/>
        <v>-5069759976483622</v>
      </c>
      <c r="M5582" s="471">
        <f t="shared" si="191"/>
        <v>0.05</v>
      </c>
      <c r="N5582" s="475">
        <f t="shared" si="192"/>
        <v>220943</v>
      </c>
    </row>
    <row r="5583" spans="7:14" ht="11.25" customHeight="1" x14ac:dyDescent="0.3">
      <c r="G5583" s="470"/>
      <c r="H5583" s="470">
        <v>5576</v>
      </c>
      <c r="I5583" s="455">
        <f t="shared" ca="1" si="190"/>
        <v>-5069759976483622</v>
      </c>
      <c r="J5583" s="455">
        <f t="array" ref="J5583">IFERROR(INDEX('Retirement Calculator'!K:K,MATCH('Lorri 401b'!N5583,'Retirement Calculator'!A:A,0),0),0)</f>
        <v>0</v>
      </c>
      <c r="K5583" s="455">
        <f t="shared" ca="1" si="188"/>
        <v>-21123999902015.09</v>
      </c>
      <c r="L5583" s="455">
        <f t="shared" ca="1" si="189"/>
        <v>-5090883976385637</v>
      </c>
      <c r="M5583" s="471">
        <f t="shared" si="191"/>
        <v>0.05</v>
      </c>
      <c r="N5583" s="475">
        <f t="shared" si="192"/>
        <v>220974</v>
      </c>
    </row>
    <row r="5584" spans="7:14" ht="11.25" customHeight="1" x14ac:dyDescent="0.3">
      <c r="G5584" s="470"/>
      <c r="H5584" s="470">
        <v>5577</v>
      </c>
      <c r="I5584" s="455">
        <f t="shared" ca="1" si="190"/>
        <v>-5090883976385637</v>
      </c>
      <c r="J5584" s="455">
        <f t="array" ref="J5584">IFERROR(INDEX('Retirement Calculator'!K:K,MATCH('Lorri 401b'!N5584,'Retirement Calculator'!A:A,0),0),0)</f>
        <v>0</v>
      </c>
      <c r="K5584" s="455">
        <f t="shared" ca="1" si="188"/>
        <v>-21212016568273.488</v>
      </c>
      <c r="L5584" s="455">
        <f t="shared" ca="1" si="189"/>
        <v>-5112095992953910</v>
      </c>
      <c r="M5584" s="471">
        <f t="shared" si="191"/>
        <v>0.05</v>
      </c>
      <c r="N5584" s="475">
        <f t="shared" si="192"/>
        <v>221005</v>
      </c>
    </row>
    <row r="5585" spans="7:14" ht="11.25" customHeight="1" x14ac:dyDescent="0.3">
      <c r="G5585" s="470"/>
      <c r="H5585" s="470">
        <v>5578</v>
      </c>
      <c r="I5585" s="455">
        <f t="shared" ca="1" si="190"/>
        <v>-5112095992953910</v>
      </c>
      <c r="J5585" s="455">
        <f t="array" ref="J5585">IFERROR(INDEX('Retirement Calculator'!K:K,MATCH('Lorri 401b'!N5585,'Retirement Calculator'!A:A,0),0),0)</f>
        <v>0</v>
      </c>
      <c r="K5585" s="455">
        <f t="shared" ca="1" si="188"/>
        <v>-21300399970641.293</v>
      </c>
      <c r="L5585" s="455">
        <f t="shared" ca="1" si="189"/>
        <v>-5133396392924551</v>
      </c>
      <c r="M5585" s="471">
        <f t="shared" si="191"/>
        <v>0.05</v>
      </c>
      <c r="N5585" s="475">
        <f t="shared" si="192"/>
        <v>221033</v>
      </c>
    </row>
    <row r="5586" spans="7:14" ht="11.25" customHeight="1" x14ac:dyDescent="0.3">
      <c r="G5586" s="470"/>
      <c r="H5586" s="470">
        <v>5579</v>
      </c>
      <c r="I5586" s="455">
        <f t="shared" ca="1" si="190"/>
        <v>-5133396392924551</v>
      </c>
      <c r="J5586" s="455">
        <f t="array" ref="J5586">IFERROR(INDEX('Retirement Calculator'!K:K,MATCH('Lorri 401b'!N5586,'Retirement Calculator'!A:A,0),0),0)</f>
        <v>0</v>
      </c>
      <c r="K5586" s="455">
        <f t="shared" ca="1" si="188"/>
        <v>-21389151637185.629</v>
      </c>
      <c r="L5586" s="455">
        <f t="shared" ca="1" si="189"/>
        <v>-5154785544561737</v>
      </c>
      <c r="M5586" s="471">
        <f t="shared" si="191"/>
        <v>0.05</v>
      </c>
      <c r="N5586" s="475">
        <f t="shared" si="192"/>
        <v>221064</v>
      </c>
    </row>
    <row r="5587" spans="7:14" ht="11.25" customHeight="1" x14ac:dyDescent="0.3">
      <c r="G5587" s="470"/>
      <c r="H5587" s="470">
        <v>5580</v>
      </c>
      <c r="I5587" s="455">
        <f t="shared" ca="1" si="190"/>
        <v>-5154785544561737</v>
      </c>
      <c r="J5587" s="455">
        <f t="array" ref="J5587">IFERROR(INDEX('Retirement Calculator'!K:K,MATCH('Lorri 401b'!N5587,'Retirement Calculator'!A:A,0),0),0)</f>
        <v>0</v>
      </c>
      <c r="K5587" s="455">
        <f t="shared" ca="1" si="188"/>
        <v>-21478273102340.57</v>
      </c>
      <c r="L5587" s="455">
        <f t="shared" ca="1" si="189"/>
        <v>-5176263817664078</v>
      </c>
      <c r="M5587" s="471">
        <f t="shared" si="191"/>
        <v>0.05</v>
      </c>
      <c r="N5587" s="475">
        <f t="shared" si="192"/>
        <v>221094</v>
      </c>
    </row>
    <row r="5588" spans="7:14" ht="11.25" customHeight="1" x14ac:dyDescent="0.3">
      <c r="G5588" s="470"/>
      <c r="H5588" s="470">
        <v>5581</v>
      </c>
      <c r="I5588" s="455">
        <f t="shared" ca="1" si="190"/>
        <v>-5176263817664078</v>
      </c>
      <c r="J5588" s="455">
        <f t="array" ref="J5588">IFERROR(INDEX('Retirement Calculator'!K:K,MATCH('Lorri 401b'!N5588,'Retirement Calculator'!A:A,0),0),0)</f>
        <v>0</v>
      </c>
      <c r="K5588" s="455">
        <f t="shared" ca="1" si="188"/>
        <v>-21567765906933.656</v>
      </c>
      <c r="L5588" s="455">
        <f t="shared" ca="1" si="189"/>
        <v>-5197831583571012</v>
      </c>
      <c r="M5588" s="471">
        <f t="shared" si="191"/>
        <v>0.05</v>
      </c>
      <c r="N5588" s="475">
        <f t="shared" si="192"/>
        <v>221125</v>
      </c>
    </row>
    <row r="5589" spans="7:14" ht="11.25" customHeight="1" x14ac:dyDescent="0.3">
      <c r="G5589" s="470"/>
      <c r="H5589" s="470">
        <v>5582</v>
      </c>
      <c r="I5589" s="455">
        <f t="shared" ca="1" si="190"/>
        <v>-5197831583571012</v>
      </c>
      <c r="J5589" s="455">
        <f t="array" ref="J5589">IFERROR(INDEX('Retirement Calculator'!K:K,MATCH('Lorri 401b'!N5589,'Retirement Calculator'!A:A,0),0),0)</f>
        <v>0</v>
      </c>
      <c r="K5589" s="455">
        <f t="shared" ca="1" si="188"/>
        <v>-21657631598212.551</v>
      </c>
      <c r="L5589" s="455">
        <f t="shared" ca="1" si="189"/>
        <v>-5219489215169225</v>
      </c>
      <c r="M5589" s="471">
        <f t="shared" si="191"/>
        <v>0.05</v>
      </c>
      <c r="N5589" s="475">
        <f t="shared" si="192"/>
        <v>221155</v>
      </c>
    </row>
    <row r="5590" spans="7:14" ht="11.25" customHeight="1" x14ac:dyDescent="0.3">
      <c r="G5590" s="470"/>
      <c r="H5590" s="470">
        <v>5583</v>
      </c>
      <c r="I5590" s="455">
        <f t="shared" ca="1" si="190"/>
        <v>-5219489215169225</v>
      </c>
      <c r="J5590" s="455">
        <f t="array" ref="J5590">IFERROR(INDEX('Retirement Calculator'!K:K,MATCH('Lorri 401b'!N5590,'Retirement Calculator'!A:A,0),0),0)</f>
        <v>0</v>
      </c>
      <c r="K5590" s="455">
        <f t="shared" ca="1" si="188"/>
        <v>-21747871729871.77</v>
      </c>
      <c r="L5590" s="455">
        <f t="shared" ca="1" si="189"/>
        <v>-5241237086899097</v>
      </c>
      <c r="M5590" s="471">
        <f t="shared" si="191"/>
        <v>0.05</v>
      </c>
      <c r="N5590" s="475">
        <f t="shared" si="192"/>
        <v>221186</v>
      </c>
    </row>
    <row r="5591" spans="7:14" ht="11.25" customHeight="1" x14ac:dyDescent="0.3">
      <c r="G5591" s="470"/>
      <c r="H5591" s="470">
        <v>5584</v>
      </c>
      <c r="I5591" s="455">
        <f t="shared" ca="1" si="190"/>
        <v>-5241237086899097</v>
      </c>
      <c r="J5591" s="455">
        <f t="array" ref="J5591">IFERROR(INDEX('Retirement Calculator'!K:K,MATCH('Lorri 401b'!N5591,'Retirement Calculator'!A:A,0),0),0)</f>
        <v>0</v>
      </c>
      <c r="K5591" s="455">
        <f t="shared" ca="1" si="188"/>
        <v>-21838487862079.57</v>
      </c>
      <c r="L5591" s="455">
        <f t="shared" ca="1" si="189"/>
        <v>-5263075574761177</v>
      </c>
      <c r="M5591" s="471">
        <f t="shared" si="191"/>
        <v>0.05</v>
      </c>
      <c r="N5591" s="475">
        <f t="shared" si="192"/>
        <v>221217</v>
      </c>
    </row>
    <row r="5592" spans="7:14" ht="11.25" customHeight="1" x14ac:dyDescent="0.3">
      <c r="G5592" s="470"/>
      <c r="H5592" s="470">
        <v>5585</v>
      </c>
      <c r="I5592" s="455">
        <f t="shared" ca="1" si="190"/>
        <v>-5263075574761177</v>
      </c>
      <c r="J5592" s="455">
        <f t="array" ref="J5592">IFERROR(INDEX('Retirement Calculator'!K:K,MATCH('Lorri 401b'!N5592,'Retirement Calculator'!A:A,0),0),0)</f>
        <v>0</v>
      </c>
      <c r="K5592" s="455">
        <f t="shared" ca="1" si="188"/>
        <v>-21929481561504.902</v>
      </c>
      <c r="L5592" s="455">
        <f t="shared" ca="1" si="189"/>
        <v>-5285005056322682</v>
      </c>
      <c r="M5592" s="471">
        <f t="shared" si="191"/>
        <v>0.05</v>
      </c>
      <c r="N5592" s="475">
        <f t="shared" si="192"/>
        <v>221247</v>
      </c>
    </row>
    <row r="5593" spans="7:14" ht="11.25" customHeight="1" x14ac:dyDescent="0.3">
      <c r="G5593" s="470"/>
      <c r="H5593" s="470">
        <v>5586</v>
      </c>
      <c r="I5593" s="455">
        <f t="shared" ca="1" si="190"/>
        <v>-5285005056322682</v>
      </c>
      <c r="J5593" s="455">
        <f t="array" ref="J5593">IFERROR(INDEX('Retirement Calculator'!K:K,MATCH('Lorri 401b'!N5593,'Retirement Calculator'!A:A,0),0),0)</f>
        <v>0</v>
      </c>
      <c r="K5593" s="455">
        <f t="shared" ca="1" si="188"/>
        <v>-22020854401344.508</v>
      </c>
      <c r="L5593" s="455">
        <f t="shared" ca="1" si="189"/>
        <v>-5307025910724027</v>
      </c>
      <c r="M5593" s="471">
        <f t="shared" si="191"/>
        <v>0.05</v>
      </c>
      <c r="N5593" s="475">
        <f t="shared" si="192"/>
        <v>221278</v>
      </c>
    </row>
    <row r="5594" spans="7:14" ht="11.25" customHeight="1" x14ac:dyDescent="0.3">
      <c r="G5594" s="470"/>
      <c r="H5594" s="470">
        <v>5587</v>
      </c>
      <c r="I5594" s="455">
        <f t="shared" ca="1" si="190"/>
        <v>-5307025910724027</v>
      </c>
      <c r="J5594" s="455">
        <f t="array" ref="J5594">IFERROR(INDEX('Retirement Calculator'!K:K,MATCH('Lorri 401b'!N5594,'Retirement Calculator'!A:A,0),0),0)</f>
        <v>0</v>
      </c>
      <c r="K5594" s="455">
        <f t="shared" ca="1" si="188"/>
        <v>-22112607961350.113</v>
      </c>
      <c r="L5594" s="455">
        <f t="shared" ca="1" si="189"/>
        <v>-5329138518685377</v>
      </c>
      <c r="M5594" s="471">
        <f t="shared" si="191"/>
        <v>0.05</v>
      </c>
      <c r="N5594" s="475">
        <f t="shared" si="192"/>
        <v>221308</v>
      </c>
    </row>
    <row r="5595" spans="7:14" ht="11.25" customHeight="1" x14ac:dyDescent="0.3">
      <c r="G5595" s="470"/>
      <c r="H5595" s="470">
        <v>5588</v>
      </c>
      <c r="I5595" s="455">
        <f t="shared" ca="1" si="190"/>
        <v>-5329138518685377</v>
      </c>
      <c r="J5595" s="455">
        <f t="array" ref="J5595">IFERROR(INDEX('Retirement Calculator'!K:K,MATCH('Lorri 401b'!N5595,'Retirement Calculator'!A:A,0),0),0)</f>
        <v>0</v>
      </c>
      <c r="K5595" s="455">
        <f t="shared" ca="1" si="188"/>
        <v>-22204743827855.738</v>
      </c>
      <c r="L5595" s="455">
        <f t="shared" ca="1" si="189"/>
        <v>-5351343262513233</v>
      </c>
      <c r="M5595" s="471">
        <f t="shared" si="191"/>
        <v>0.05</v>
      </c>
      <c r="N5595" s="475">
        <f t="shared" si="192"/>
        <v>221339</v>
      </c>
    </row>
    <row r="5596" spans="7:14" ht="11.25" customHeight="1" x14ac:dyDescent="0.3">
      <c r="G5596" s="470"/>
      <c r="H5596" s="470">
        <v>5589</v>
      </c>
      <c r="I5596" s="455">
        <f t="shared" ca="1" si="190"/>
        <v>-5351343262513233</v>
      </c>
      <c r="J5596" s="455">
        <f t="array" ref="J5596">IFERROR(INDEX('Retirement Calculator'!K:K,MATCH('Lorri 401b'!N5596,'Retirement Calculator'!A:A,0),0),0)</f>
        <v>0</v>
      </c>
      <c r="K5596" s="455">
        <f t="shared" ca="1" si="188"/>
        <v>-22297263593805.137</v>
      </c>
      <c r="L5596" s="455">
        <f t="shared" ca="1" si="189"/>
        <v>-5373640526107038</v>
      </c>
      <c r="M5596" s="471">
        <f t="shared" si="191"/>
        <v>0.05</v>
      </c>
      <c r="N5596" s="475">
        <f t="shared" si="192"/>
        <v>221370</v>
      </c>
    </row>
    <row r="5597" spans="7:14" ht="11.25" customHeight="1" x14ac:dyDescent="0.3">
      <c r="G5597" s="470"/>
      <c r="H5597" s="470">
        <v>5590</v>
      </c>
      <c r="I5597" s="455">
        <f t="shared" ca="1" si="190"/>
        <v>-5373640526107038</v>
      </c>
      <c r="J5597" s="455">
        <f t="array" ref="J5597">IFERROR(INDEX('Retirement Calculator'!K:K,MATCH('Lorri 401b'!N5597,'Retirement Calculator'!A:A,0),0),0)</f>
        <v>0</v>
      </c>
      <c r="K5597" s="455">
        <f t="shared" ca="1" si="188"/>
        <v>-22390168858779.324</v>
      </c>
      <c r="L5597" s="455">
        <f t="shared" ca="1" si="189"/>
        <v>-5396030694965817</v>
      </c>
      <c r="M5597" s="471">
        <f t="shared" si="191"/>
        <v>0.05</v>
      </c>
      <c r="N5597" s="475">
        <f t="shared" si="192"/>
        <v>221398</v>
      </c>
    </row>
    <row r="5598" spans="7:14" ht="11.25" customHeight="1" x14ac:dyDescent="0.3">
      <c r="G5598" s="470"/>
      <c r="H5598" s="470">
        <v>5591</v>
      </c>
      <c r="I5598" s="455">
        <f t="shared" ca="1" si="190"/>
        <v>-5396030694965817</v>
      </c>
      <c r="J5598" s="455">
        <f t="array" ref="J5598">IFERROR(INDEX('Retirement Calculator'!K:K,MATCH('Lorri 401b'!N5598,'Retirement Calculator'!A:A,0),0),0)</f>
        <v>0</v>
      </c>
      <c r="K5598" s="455">
        <f t="shared" ca="1" si="188"/>
        <v>-22483461229024.238</v>
      </c>
      <c r="L5598" s="455">
        <f t="shared" ca="1" si="189"/>
        <v>-5418514156194841</v>
      </c>
      <c r="M5598" s="471">
        <f t="shared" si="191"/>
        <v>0.05</v>
      </c>
      <c r="N5598" s="475">
        <f t="shared" si="192"/>
        <v>221429</v>
      </c>
    </row>
    <row r="5599" spans="7:14" ht="11.25" customHeight="1" x14ac:dyDescent="0.3">
      <c r="G5599" s="470"/>
      <c r="H5599" s="470">
        <v>5592</v>
      </c>
      <c r="I5599" s="455">
        <f t="shared" ca="1" si="190"/>
        <v>-5418514156194841</v>
      </c>
      <c r="J5599" s="455">
        <f t="array" ref="J5599">IFERROR(INDEX('Retirement Calculator'!K:K,MATCH('Lorri 401b'!N5599,'Retirement Calculator'!A:A,0),0),0)</f>
        <v>0</v>
      </c>
      <c r="K5599" s="455">
        <f t="shared" ca="1" si="188"/>
        <v>-22577142317478.504</v>
      </c>
      <c r="L5599" s="455">
        <f t="shared" ca="1" si="189"/>
        <v>-5441091298512320</v>
      </c>
      <c r="M5599" s="471">
        <f t="shared" si="191"/>
        <v>0.05</v>
      </c>
      <c r="N5599" s="475">
        <f t="shared" si="192"/>
        <v>221459</v>
      </c>
    </row>
    <row r="5600" spans="7:14" ht="11.25" customHeight="1" x14ac:dyDescent="0.3">
      <c r="G5600" s="470"/>
      <c r="H5600" s="470">
        <v>5593</v>
      </c>
      <c r="I5600" s="455">
        <f t="shared" ca="1" si="190"/>
        <v>-5441091298512320</v>
      </c>
      <c r="J5600" s="455">
        <f t="array" ref="J5600">IFERROR(INDEX('Retirement Calculator'!K:K,MATCH('Lorri 401b'!N5600,'Retirement Calculator'!A:A,0),0),0)</f>
        <v>0</v>
      </c>
      <c r="K5600" s="455">
        <f t="shared" ca="1" si="188"/>
        <v>-22671213743801.332</v>
      </c>
      <c r="L5600" s="455">
        <f t="shared" ca="1" si="189"/>
        <v>-5463762512256121</v>
      </c>
      <c r="M5600" s="471">
        <f t="shared" si="191"/>
        <v>0.05</v>
      </c>
      <c r="N5600" s="475">
        <f t="shared" si="192"/>
        <v>221490</v>
      </c>
    </row>
    <row r="5601" spans="7:14" ht="11.25" customHeight="1" x14ac:dyDescent="0.3">
      <c r="G5601" s="470"/>
      <c r="H5601" s="470">
        <v>5594</v>
      </c>
      <c r="I5601" s="455">
        <f t="shared" ca="1" si="190"/>
        <v>-5463762512256121</v>
      </c>
      <c r="J5601" s="455">
        <f t="array" ref="J5601">IFERROR(INDEX('Retirement Calculator'!K:K,MATCH('Lorri 401b'!N5601,'Retirement Calculator'!A:A,0),0),0)</f>
        <v>0</v>
      </c>
      <c r="K5601" s="455">
        <f t="shared" ca="1" si="188"/>
        <v>-22765677134400.504</v>
      </c>
      <c r="L5601" s="455">
        <f t="shared" ca="1" si="189"/>
        <v>-5486528189390522</v>
      </c>
      <c r="M5601" s="471">
        <f t="shared" si="191"/>
        <v>0.05</v>
      </c>
      <c r="N5601" s="475">
        <f t="shared" si="192"/>
        <v>221520</v>
      </c>
    </row>
    <row r="5602" spans="7:14" ht="11.25" customHeight="1" x14ac:dyDescent="0.3">
      <c r="G5602" s="470"/>
      <c r="H5602" s="470">
        <v>5595</v>
      </c>
      <c r="I5602" s="455">
        <f t="shared" ca="1" si="190"/>
        <v>-5486528189390522</v>
      </c>
      <c r="J5602" s="455">
        <f t="array" ref="J5602">IFERROR(INDEX('Retirement Calculator'!K:K,MATCH('Lorri 401b'!N5602,'Retirement Calculator'!A:A,0),0),0)</f>
        <v>0</v>
      </c>
      <c r="K5602" s="455">
        <f t="shared" ca="1" si="188"/>
        <v>-22860534122460.508</v>
      </c>
      <c r="L5602" s="455">
        <f t="shared" ca="1" si="189"/>
        <v>-5509388723512983</v>
      </c>
      <c r="M5602" s="471">
        <f t="shared" si="191"/>
        <v>0.05</v>
      </c>
      <c r="N5602" s="475">
        <f t="shared" si="192"/>
        <v>221551</v>
      </c>
    </row>
    <row r="5603" spans="7:14" ht="11.25" customHeight="1" x14ac:dyDescent="0.3">
      <c r="G5603" s="470"/>
      <c r="H5603" s="470">
        <v>5596</v>
      </c>
      <c r="I5603" s="455">
        <f t="shared" ca="1" si="190"/>
        <v>-5509388723512983</v>
      </c>
      <c r="J5603" s="455">
        <f t="array" ref="J5603">IFERROR(INDEX('Retirement Calculator'!K:K,MATCH('Lorri 401b'!N5603,'Retirement Calculator'!A:A,0),0),0)</f>
        <v>0</v>
      </c>
      <c r="K5603" s="455">
        <f t="shared" ca="1" si="188"/>
        <v>-22955786347970.762</v>
      </c>
      <c r="L5603" s="455">
        <f t="shared" ca="1" si="189"/>
        <v>-5532344509860954</v>
      </c>
      <c r="M5603" s="471">
        <f t="shared" si="191"/>
        <v>0.05</v>
      </c>
      <c r="N5603" s="475">
        <f t="shared" si="192"/>
        <v>221582</v>
      </c>
    </row>
    <row r="5604" spans="7:14" ht="11.25" customHeight="1" x14ac:dyDescent="0.3">
      <c r="G5604" s="470"/>
      <c r="H5604" s="470">
        <v>5597</v>
      </c>
      <c r="I5604" s="455">
        <f t="shared" ca="1" si="190"/>
        <v>-5532344509860954</v>
      </c>
      <c r="J5604" s="455">
        <f t="array" ref="J5604">IFERROR(INDEX('Retirement Calculator'!K:K,MATCH('Lorri 401b'!N5604,'Retirement Calculator'!A:A,0),0),0)</f>
        <v>0</v>
      </c>
      <c r="K5604" s="455">
        <f t="shared" ca="1" si="188"/>
        <v>-23051435457753.977</v>
      </c>
      <c r="L5604" s="455">
        <f t="shared" ca="1" si="189"/>
        <v>-5555395945318708</v>
      </c>
      <c r="M5604" s="471">
        <f t="shared" si="191"/>
        <v>0.05</v>
      </c>
      <c r="N5604" s="475">
        <f t="shared" si="192"/>
        <v>221612</v>
      </c>
    </row>
    <row r="5605" spans="7:14" ht="11.25" customHeight="1" x14ac:dyDescent="0.3">
      <c r="G5605" s="470"/>
      <c r="H5605" s="470">
        <v>5598</v>
      </c>
      <c r="I5605" s="455">
        <f t="shared" ca="1" si="190"/>
        <v>-5555395945318708</v>
      </c>
      <c r="J5605" s="455">
        <f t="array" ref="J5605">IFERROR(INDEX('Retirement Calculator'!K:K,MATCH('Lorri 401b'!N5605,'Retirement Calculator'!A:A,0),0),0)</f>
        <v>0</v>
      </c>
      <c r="K5605" s="455">
        <f t="shared" ca="1" si="188"/>
        <v>-23147483105494.617</v>
      </c>
      <c r="L5605" s="455">
        <f t="shared" ca="1" si="189"/>
        <v>-5578543428424203</v>
      </c>
      <c r="M5605" s="471">
        <f t="shared" si="191"/>
        <v>0.05</v>
      </c>
      <c r="N5605" s="475">
        <f t="shared" si="192"/>
        <v>221643</v>
      </c>
    </row>
    <row r="5606" spans="7:14" ht="11.25" customHeight="1" x14ac:dyDescent="0.3">
      <c r="G5606" s="470"/>
      <c r="H5606" s="470">
        <v>5599</v>
      </c>
      <c r="I5606" s="455">
        <f t="shared" ca="1" si="190"/>
        <v>-5578543428424203</v>
      </c>
      <c r="J5606" s="455">
        <f t="array" ref="J5606">IFERROR(INDEX('Retirement Calculator'!K:K,MATCH('Lorri 401b'!N5606,'Retirement Calculator'!A:A,0),0),0)</f>
        <v>0</v>
      </c>
      <c r="K5606" s="455">
        <f t="shared" ca="1" si="188"/>
        <v>-23243930951767.512</v>
      </c>
      <c r="L5606" s="455">
        <f t="shared" ca="1" si="189"/>
        <v>-5601787359375971</v>
      </c>
      <c r="M5606" s="471">
        <f t="shared" si="191"/>
        <v>0.05</v>
      </c>
      <c r="N5606" s="475">
        <f t="shared" si="192"/>
        <v>221673</v>
      </c>
    </row>
    <row r="5607" spans="7:14" ht="11.25" customHeight="1" x14ac:dyDescent="0.3">
      <c r="G5607" s="470"/>
      <c r="H5607" s="470">
        <v>5600</v>
      </c>
      <c r="I5607" s="455">
        <f t="shared" ca="1" si="190"/>
        <v>-5601787359375971</v>
      </c>
      <c r="J5607" s="455">
        <f t="array" ref="J5607">IFERROR(INDEX('Retirement Calculator'!K:K,MATCH('Lorri 401b'!N5607,'Retirement Calculator'!A:A,0),0),0)</f>
        <v>0</v>
      </c>
      <c r="K5607" s="455">
        <f t="shared" ca="1" si="188"/>
        <v>-23340780664066.547</v>
      </c>
      <c r="L5607" s="455">
        <f t="shared" ca="1" si="189"/>
        <v>-5625128140040038</v>
      </c>
      <c r="M5607" s="471">
        <f t="shared" si="191"/>
        <v>0.05</v>
      </c>
      <c r="N5607" s="475">
        <f t="shared" si="192"/>
        <v>221704</v>
      </c>
    </row>
    <row r="5608" spans="7:14" ht="11.25" customHeight="1" x14ac:dyDescent="0.3">
      <c r="G5608" s="470"/>
      <c r="H5608" s="470">
        <v>5601</v>
      </c>
      <c r="I5608" s="455">
        <f t="shared" ca="1" si="190"/>
        <v>-5625128140040038</v>
      </c>
      <c r="J5608" s="455">
        <f t="array" ref="J5608">IFERROR(INDEX('Retirement Calculator'!K:K,MATCH('Lorri 401b'!N5608,'Retirement Calculator'!A:A,0),0),0)</f>
        <v>0</v>
      </c>
      <c r="K5608" s="455">
        <f t="shared" ca="1" si="188"/>
        <v>-23438033916833.492</v>
      </c>
      <c r="L5608" s="455">
        <f t="shared" ca="1" si="189"/>
        <v>-5648566173956871</v>
      </c>
      <c r="M5608" s="471">
        <f t="shared" si="191"/>
        <v>0.05</v>
      </c>
      <c r="N5608" s="475">
        <f t="shared" si="192"/>
        <v>221735</v>
      </c>
    </row>
    <row r="5609" spans="7:14" ht="11.25" customHeight="1" x14ac:dyDescent="0.3">
      <c r="G5609" s="470"/>
      <c r="H5609" s="470">
        <v>5602</v>
      </c>
      <c r="I5609" s="455">
        <f t="shared" ca="1" si="190"/>
        <v>-5648566173956871</v>
      </c>
      <c r="J5609" s="455">
        <f t="array" ref="J5609">IFERROR(INDEX('Retirement Calculator'!K:K,MATCH('Lorri 401b'!N5609,'Retirement Calculator'!A:A,0),0),0)</f>
        <v>0</v>
      </c>
      <c r="K5609" s="455">
        <f t="shared" ca="1" si="188"/>
        <v>-23535692391486.961</v>
      </c>
      <c r="L5609" s="455">
        <f t="shared" ca="1" si="189"/>
        <v>-5672101866348358</v>
      </c>
      <c r="M5609" s="471">
        <f t="shared" si="191"/>
        <v>0.05</v>
      </c>
      <c r="N5609" s="475">
        <f t="shared" si="192"/>
        <v>221763</v>
      </c>
    </row>
    <row r="5610" spans="7:14" ht="11.25" customHeight="1" x14ac:dyDescent="0.3">
      <c r="G5610" s="470"/>
      <c r="H5610" s="470">
        <v>5603</v>
      </c>
      <c r="I5610" s="455">
        <f t="shared" ca="1" si="190"/>
        <v>-5672101866348358</v>
      </c>
      <c r="J5610" s="455">
        <f t="array" ref="J5610">IFERROR(INDEX('Retirement Calculator'!K:K,MATCH('Lorri 401b'!N5610,'Retirement Calculator'!A:A,0),0),0)</f>
        <v>0</v>
      </c>
      <c r="K5610" s="455">
        <f t="shared" ca="1" si="188"/>
        <v>-23633757776451.492</v>
      </c>
      <c r="L5610" s="455">
        <f t="shared" ca="1" si="189"/>
        <v>-5695735624124809</v>
      </c>
      <c r="M5610" s="471">
        <f t="shared" si="191"/>
        <v>0.05</v>
      </c>
      <c r="N5610" s="475">
        <f t="shared" si="192"/>
        <v>221794</v>
      </c>
    </row>
    <row r="5611" spans="7:14" ht="11.25" customHeight="1" x14ac:dyDescent="0.3">
      <c r="G5611" s="470"/>
      <c r="H5611" s="470">
        <v>5604</v>
      </c>
      <c r="I5611" s="455">
        <f t="shared" ca="1" si="190"/>
        <v>-5695735624124809</v>
      </c>
      <c r="J5611" s="455">
        <f t="array" ref="J5611">IFERROR(INDEX('Retirement Calculator'!K:K,MATCH('Lorri 401b'!N5611,'Retirement Calculator'!A:A,0),0),0)</f>
        <v>0</v>
      </c>
      <c r="K5611" s="455">
        <f t="shared" ca="1" si="188"/>
        <v>-23732231767186.703</v>
      </c>
      <c r="L5611" s="455">
        <f t="shared" ca="1" si="189"/>
        <v>-5719467855891996</v>
      </c>
      <c r="M5611" s="471">
        <f t="shared" si="191"/>
        <v>0.05</v>
      </c>
      <c r="N5611" s="475">
        <f t="shared" si="192"/>
        <v>221824</v>
      </c>
    </row>
    <row r="5612" spans="7:14" ht="11.25" customHeight="1" x14ac:dyDescent="0.3">
      <c r="G5612" s="470"/>
      <c r="H5612" s="470">
        <v>5605</v>
      </c>
      <c r="I5612" s="455">
        <f t="shared" ca="1" si="190"/>
        <v>-5719467855891996</v>
      </c>
      <c r="J5612" s="455">
        <f t="array" ref="J5612">IFERROR(INDEX('Retirement Calculator'!K:K,MATCH('Lorri 401b'!N5612,'Retirement Calculator'!A:A,0),0),0)</f>
        <v>0</v>
      </c>
      <c r="K5612" s="455">
        <f t="shared" ca="1" si="188"/>
        <v>-23831116066216.648</v>
      </c>
      <c r="L5612" s="455">
        <f t="shared" ca="1" si="189"/>
        <v>-5743298971958213</v>
      </c>
      <c r="M5612" s="471">
        <f t="shared" si="191"/>
        <v>0.05</v>
      </c>
      <c r="N5612" s="475">
        <f t="shared" si="192"/>
        <v>221855</v>
      </c>
    </row>
    <row r="5613" spans="7:14" ht="11.25" customHeight="1" x14ac:dyDescent="0.3">
      <c r="G5613" s="470"/>
      <c r="H5613" s="470">
        <v>5606</v>
      </c>
      <c r="I5613" s="455">
        <f t="shared" ca="1" si="190"/>
        <v>-5743298971958213</v>
      </c>
      <c r="J5613" s="455">
        <f t="array" ref="J5613">IFERROR(INDEX('Retirement Calculator'!K:K,MATCH('Lorri 401b'!N5613,'Retirement Calculator'!A:A,0),0),0)</f>
        <v>0</v>
      </c>
      <c r="K5613" s="455">
        <f t="shared" ca="1" si="188"/>
        <v>-23930412383159.219</v>
      </c>
      <c r="L5613" s="455">
        <f t="shared" ca="1" si="189"/>
        <v>-5767229384341372</v>
      </c>
      <c r="M5613" s="471">
        <f t="shared" si="191"/>
        <v>0.05</v>
      </c>
      <c r="N5613" s="475">
        <f t="shared" si="192"/>
        <v>221885</v>
      </c>
    </row>
    <row r="5614" spans="7:14" ht="11.25" customHeight="1" x14ac:dyDescent="0.3">
      <c r="G5614" s="470"/>
      <c r="H5614" s="470">
        <v>5607</v>
      </c>
      <c r="I5614" s="455">
        <f t="shared" ca="1" si="190"/>
        <v>-5767229384341372</v>
      </c>
      <c r="J5614" s="455">
        <f t="array" ref="J5614">IFERROR(INDEX('Retirement Calculator'!K:K,MATCH('Lorri 401b'!N5614,'Retirement Calculator'!A:A,0),0),0)</f>
        <v>0</v>
      </c>
      <c r="K5614" s="455">
        <f t="shared" ca="1" si="188"/>
        <v>-24030122434755.715</v>
      </c>
      <c r="L5614" s="455">
        <f t="shared" ca="1" si="189"/>
        <v>-5791259506776128</v>
      </c>
      <c r="M5614" s="471">
        <f t="shared" si="191"/>
        <v>0.05</v>
      </c>
      <c r="N5614" s="475">
        <f t="shared" si="192"/>
        <v>221916</v>
      </c>
    </row>
    <row r="5615" spans="7:14" ht="11.25" customHeight="1" x14ac:dyDescent="0.3">
      <c r="G5615" s="470"/>
      <c r="H5615" s="470">
        <v>5608</v>
      </c>
      <c r="I5615" s="455">
        <f t="shared" ca="1" si="190"/>
        <v>-5791259506776128</v>
      </c>
      <c r="J5615" s="455">
        <f t="array" ref="J5615">IFERROR(INDEX('Retirement Calculator'!K:K,MATCH('Lorri 401b'!N5615,'Retirement Calculator'!A:A,0),0),0)</f>
        <v>0</v>
      </c>
      <c r="K5615" s="455">
        <f t="shared" ca="1" si="188"/>
        <v>-24130247944900.531</v>
      </c>
      <c r="L5615" s="455">
        <f t="shared" ca="1" si="189"/>
        <v>-5815389754721029</v>
      </c>
      <c r="M5615" s="471">
        <f t="shared" si="191"/>
        <v>0.05</v>
      </c>
      <c r="N5615" s="475">
        <f t="shared" si="192"/>
        <v>221947</v>
      </c>
    </row>
    <row r="5616" spans="7:14" ht="11.25" customHeight="1" x14ac:dyDescent="0.3">
      <c r="G5616" s="470"/>
      <c r="H5616" s="470">
        <v>5609</v>
      </c>
      <c r="I5616" s="455">
        <f t="shared" ca="1" si="190"/>
        <v>-5815389754721029</v>
      </c>
      <c r="J5616" s="455">
        <f t="array" ref="J5616">IFERROR(INDEX('Retirement Calculator'!K:K,MATCH('Lorri 401b'!N5616,'Retirement Calculator'!A:A,0),0),0)</f>
        <v>0</v>
      </c>
      <c r="K5616" s="455">
        <f t="shared" ca="1" si="188"/>
        <v>-24230790644670.953</v>
      </c>
      <c r="L5616" s="455">
        <f t="shared" ca="1" si="189"/>
        <v>-5839620545365700</v>
      </c>
      <c r="M5616" s="471">
        <f t="shared" si="191"/>
        <v>0.05</v>
      </c>
      <c r="N5616" s="475">
        <f t="shared" si="192"/>
        <v>221977</v>
      </c>
    </row>
    <row r="5617" spans="7:14" ht="11.25" customHeight="1" x14ac:dyDescent="0.3">
      <c r="G5617" s="470"/>
      <c r="H5617" s="470">
        <v>5610</v>
      </c>
      <c r="I5617" s="455">
        <f t="shared" ca="1" si="190"/>
        <v>-5839620545365700</v>
      </c>
      <c r="J5617" s="455">
        <f t="array" ref="J5617">IFERROR(INDEX('Retirement Calculator'!K:K,MATCH('Lorri 401b'!N5617,'Retirement Calculator'!A:A,0),0),0)</f>
        <v>0</v>
      </c>
      <c r="K5617" s="455">
        <f t="shared" ca="1" si="188"/>
        <v>-24331752272357.082</v>
      </c>
      <c r="L5617" s="455">
        <f t="shared" ca="1" si="189"/>
        <v>-5863952297638057</v>
      </c>
      <c r="M5617" s="471">
        <f t="shared" si="191"/>
        <v>0.05</v>
      </c>
      <c r="N5617" s="475">
        <f t="shared" si="192"/>
        <v>222008</v>
      </c>
    </row>
    <row r="5618" spans="7:14" ht="11.25" customHeight="1" x14ac:dyDescent="0.3">
      <c r="G5618" s="470"/>
      <c r="H5618" s="470">
        <v>5611</v>
      </c>
      <c r="I5618" s="455">
        <f t="shared" ca="1" si="190"/>
        <v>-5863952297638057</v>
      </c>
      <c r="J5618" s="455">
        <f t="array" ref="J5618">IFERROR(INDEX('Retirement Calculator'!K:K,MATCH('Lorri 401b'!N5618,'Retirement Calculator'!A:A,0),0),0)</f>
        <v>0</v>
      </c>
      <c r="K5618" s="455">
        <f t="shared" ref="K5618:K5872" ca="1" si="193">IPMT(M5618/12,1,12,-I5618+J5618,,0)</f>
        <v>-24433134573491.902</v>
      </c>
      <c r="L5618" s="455">
        <f t="shared" ref="L5618:L5872" ca="1" si="194">I5618-J5618+K5618</f>
        <v>-5888385432211549</v>
      </c>
      <c r="M5618" s="471">
        <f t="shared" si="191"/>
        <v>0.05</v>
      </c>
      <c r="N5618" s="475">
        <f t="shared" si="192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195">L5618</f>
        <v>-5888385432211549</v>
      </c>
      <c r="J5619" s="455">
        <f t="array" ref="J5619">IFERROR(INDEX('Retirement Calculator'!K:K,MATCH('Lorri 401b'!N5619,'Retirement Calculator'!A:A,0),0),0)</f>
        <v>0</v>
      </c>
      <c r="K5619" s="455">
        <f t="shared" ca="1" si="193"/>
        <v>-24534939300881.453</v>
      </c>
      <c r="L5619" s="455">
        <f t="shared" ca="1" si="194"/>
        <v>-5912920371512430</v>
      </c>
      <c r="M5619" s="471">
        <f t="shared" ref="M5619:M5873" si="196">M5618</f>
        <v>0.05</v>
      </c>
      <c r="N5619" s="475">
        <f t="shared" ref="N5619:N5873" si="197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195"/>
        <v>-5912920371512430</v>
      </c>
      <c r="J5620" s="455">
        <f t="array" ref="J5620">IFERROR(INDEX('Retirement Calculator'!K:K,MATCH('Lorri 401b'!N5620,'Retirement Calculator'!A:A,0),0),0)</f>
        <v>0</v>
      </c>
      <c r="K5620" s="455">
        <f t="shared" ca="1" si="193"/>
        <v>-24637168214635.125</v>
      </c>
      <c r="L5620" s="455">
        <f t="shared" ca="1" si="194"/>
        <v>-5937557539727065</v>
      </c>
      <c r="M5620" s="471">
        <f t="shared" si="196"/>
        <v>0.05</v>
      </c>
      <c r="N5620" s="475">
        <f t="shared" si="197"/>
        <v>222100</v>
      </c>
    </row>
    <row r="5621" spans="7:14" ht="11.25" customHeight="1" x14ac:dyDescent="0.3">
      <c r="G5621" s="470"/>
      <c r="H5621" s="470">
        <v>5614</v>
      </c>
      <c r="I5621" s="455">
        <f t="shared" ca="1" si="195"/>
        <v>-5937557539727065</v>
      </c>
      <c r="J5621" s="455">
        <f t="array" ref="J5621">IFERROR(INDEX('Retirement Calculator'!K:K,MATCH('Lorri 401b'!N5621,'Retirement Calculator'!A:A,0),0),0)</f>
        <v>0</v>
      </c>
      <c r="K5621" s="455">
        <f t="shared" ca="1" si="193"/>
        <v>-24739823082196.105</v>
      </c>
      <c r="L5621" s="455">
        <f t="shared" ca="1" si="194"/>
        <v>-5962297362809261</v>
      </c>
      <c r="M5621" s="471">
        <f t="shared" si="196"/>
        <v>0.05</v>
      </c>
      <c r="N5621" s="475">
        <f t="shared" si="197"/>
        <v>222129</v>
      </c>
    </row>
    <row r="5622" spans="7:14" ht="11.25" customHeight="1" x14ac:dyDescent="0.3">
      <c r="G5622" s="470"/>
      <c r="H5622" s="470">
        <v>5615</v>
      </c>
      <c r="I5622" s="455">
        <f t="shared" ca="1" si="195"/>
        <v>-5962297362809261</v>
      </c>
      <c r="J5622" s="455">
        <f t="array" ref="J5622">IFERROR(INDEX('Retirement Calculator'!K:K,MATCH('Lorri 401b'!N5622,'Retirement Calculator'!A:A,0),0),0)</f>
        <v>0</v>
      </c>
      <c r="K5622" s="455">
        <f t="shared" ca="1" si="193"/>
        <v>-24842905678371.922</v>
      </c>
      <c r="L5622" s="455">
        <f t="shared" ca="1" si="194"/>
        <v>-5987140268487633</v>
      </c>
      <c r="M5622" s="471">
        <f t="shared" si="196"/>
        <v>0.05</v>
      </c>
      <c r="N5622" s="475">
        <f t="shared" si="197"/>
        <v>222160</v>
      </c>
    </row>
    <row r="5623" spans="7:14" ht="11.25" customHeight="1" x14ac:dyDescent="0.3">
      <c r="G5623" s="470"/>
      <c r="H5623" s="470">
        <v>5616</v>
      </c>
      <c r="I5623" s="455">
        <f t="shared" ca="1" si="195"/>
        <v>-5987140268487633</v>
      </c>
      <c r="J5623" s="455">
        <f t="array" ref="J5623">IFERROR(INDEX('Retirement Calculator'!K:K,MATCH('Lorri 401b'!N5623,'Retirement Calculator'!A:A,0),0),0)</f>
        <v>0</v>
      </c>
      <c r="K5623" s="455">
        <f t="shared" ca="1" si="193"/>
        <v>-24946417785365.137</v>
      </c>
      <c r="L5623" s="455">
        <f t="shared" ca="1" si="194"/>
        <v>-6012086686272998</v>
      </c>
      <c r="M5623" s="471">
        <f t="shared" si="196"/>
        <v>0.05</v>
      </c>
      <c r="N5623" s="475">
        <f t="shared" si="197"/>
        <v>222190</v>
      </c>
    </row>
    <row r="5624" spans="7:14" ht="11.25" customHeight="1" x14ac:dyDescent="0.3">
      <c r="G5624" s="470"/>
      <c r="H5624" s="470">
        <v>5617</v>
      </c>
      <c r="I5624" s="455">
        <f t="shared" ca="1" si="195"/>
        <v>-6012086686272998</v>
      </c>
      <c r="J5624" s="455">
        <f t="array" ref="J5624">IFERROR(INDEX('Retirement Calculator'!K:K,MATCH('Lorri 401b'!N5624,'Retirement Calculator'!A:A,0),0),0)</f>
        <v>0</v>
      </c>
      <c r="K5624" s="455">
        <f t="shared" ca="1" si="193"/>
        <v>-25050361192804.156</v>
      </c>
      <c r="L5624" s="455">
        <f t="shared" ca="1" si="194"/>
        <v>-6037137047465802</v>
      </c>
      <c r="M5624" s="471">
        <f t="shared" si="196"/>
        <v>0.05</v>
      </c>
      <c r="N5624" s="475">
        <f t="shared" si="197"/>
        <v>222221</v>
      </c>
    </row>
    <row r="5625" spans="7:14" ht="11.25" customHeight="1" x14ac:dyDescent="0.3">
      <c r="G5625" s="470"/>
      <c r="H5625" s="470">
        <v>5618</v>
      </c>
      <c r="I5625" s="455">
        <f t="shared" ca="1" si="195"/>
        <v>-6037137047465802</v>
      </c>
      <c r="J5625" s="455">
        <f t="array" ref="J5625">IFERROR(INDEX('Retirement Calculator'!K:K,MATCH('Lorri 401b'!N5625,'Retirement Calculator'!A:A,0),0),0)</f>
        <v>0</v>
      </c>
      <c r="K5625" s="455">
        <f t="shared" ca="1" si="193"/>
        <v>-25154737697774.176</v>
      </c>
      <c r="L5625" s="455">
        <f t="shared" ca="1" si="194"/>
        <v>-6062291785163576</v>
      </c>
      <c r="M5625" s="471">
        <f t="shared" si="196"/>
        <v>0.05</v>
      </c>
      <c r="N5625" s="475">
        <f t="shared" si="197"/>
        <v>222251</v>
      </c>
    </row>
    <row r="5626" spans="7:14" ht="11.25" customHeight="1" x14ac:dyDescent="0.3">
      <c r="G5626" s="470"/>
      <c r="H5626" s="470">
        <v>5619</v>
      </c>
      <c r="I5626" s="455">
        <f t="shared" ca="1" si="195"/>
        <v>-6062291785163576</v>
      </c>
      <c r="J5626" s="455">
        <f t="array" ref="J5626">IFERROR(INDEX('Retirement Calculator'!K:K,MATCH('Lorri 401b'!N5626,'Retirement Calculator'!A:A,0),0),0)</f>
        <v>0</v>
      </c>
      <c r="K5626" s="455">
        <f t="shared" ca="1" si="193"/>
        <v>-25259549104848.234</v>
      </c>
      <c r="L5626" s="455">
        <f t="shared" ca="1" si="194"/>
        <v>-6087551334268424</v>
      </c>
      <c r="M5626" s="471">
        <f t="shared" si="196"/>
        <v>0.05</v>
      </c>
      <c r="N5626" s="475">
        <f t="shared" si="197"/>
        <v>222282</v>
      </c>
    </row>
    <row r="5627" spans="7:14" ht="11.25" customHeight="1" x14ac:dyDescent="0.3">
      <c r="G5627" s="470"/>
      <c r="H5627" s="470">
        <v>5620</v>
      </c>
      <c r="I5627" s="455">
        <f t="shared" ca="1" si="195"/>
        <v>-6087551334268424</v>
      </c>
      <c r="J5627" s="455">
        <f t="array" ref="J5627">IFERROR(INDEX('Retirement Calculator'!K:K,MATCH('Lorri 401b'!N5627,'Retirement Calculator'!A:A,0),0),0)</f>
        <v>0</v>
      </c>
      <c r="K5627" s="455">
        <f t="shared" ca="1" si="193"/>
        <v>-25364797226118.434</v>
      </c>
      <c r="L5627" s="455">
        <f t="shared" ca="1" si="194"/>
        <v>-6112916131494542</v>
      </c>
      <c r="M5627" s="471">
        <f t="shared" si="196"/>
        <v>0.05</v>
      </c>
      <c r="N5627" s="475">
        <f t="shared" si="197"/>
        <v>222313</v>
      </c>
    </row>
    <row r="5628" spans="7:14" ht="11.25" customHeight="1" x14ac:dyDescent="0.3">
      <c r="G5628" s="470"/>
      <c r="H5628" s="470">
        <v>5621</v>
      </c>
      <c r="I5628" s="455">
        <f t="shared" ca="1" si="195"/>
        <v>-6112916131494542</v>
      </c>
      <c r="J5628" s="455">
        <f t="array" ref="J5628">IFERROR(INDEX('Retirement Calculator'!K:K,MATCH('Lorri 401b'!N5628,'Retirement Calculator'!A:A,0),0),0)</f>
        <v>0</v>
      </c>
      <c r="K5628" s="455">
        <f t="shared" ca="1" si="193"/>
        <v>-25470483881227.258</v>
      </c>
      <c r="L5628" s="455">
        <f t="shared" ca="1" si="194"/>
        <v>-6138386615375769</v>
      </c>
      <c r="M5628" s="471">
        <f t="shared" si="196"/>
        <v>0.05</v>
      </c>
      <c r="N5628" s="475">
        <f t="shared" si="197"/>
        <v>222343</v>
      </c>
    </row>
    <row r="5629" spans="7:14" ht="11.25" customHeight="1" x14ac:dyDescent="0.3">
      <c r="G5629" s="470"/>
      <c r="H5629" s="470">
        <v>5622</v>
      </c>
      <c r="I5629" s="455">
        <f t="shared" ca="1" si="195"/>
        <v>-6138386615375769</v>
      </c>
      <c r="J5629" s="455">
        <f t="array" ref="J5629">IFERROR(INDEX('Retirement Calculator'!K:K,MATCH('Lorri 401b'!N5629,'Retirement Calculator'!A:A,0),0),0)</f>
        <v>0</v>
      </c>
      <c r="K5629" s="455">
        <f t="shared" ca="1" si="193"/>
        <v>-25576610897399.039</v>
      </c>
      <c r="L5629" s="455">
        <f t="shared" ca="1" si="194"/>
        <v>-6163963226273168</v>
      </c>
      <c r="M5629" s="471">
        <f t="shared" si="196"/>
        <v>0.05</v>
      </c>
      <c r="N5629" s="475">
        <f t="shared" si="197"/>
        <v>222374</v>
      </c>
    </row>
    <row r="5630" spans="7:14" ht="11.25" customHeight="1" x14ac:dyDescent="0.3">
      <c r="G5630" s="470"/>
      <c r="H5630" s="470">
        <v>5623</v>
      </c>
      <c r="I5630" s="455">
        <f t="shared" ca="1" si="195"/>
        <v>-6163963226273168</v>
      </c>
      <c r="J5630" s="455">
        <f t="array" ref="J5630">IFERROR(INDEX('Retirement Calculator'!K:K,MATCH('Lorri 401b'!N5630,'Retirement Calculator'!A:A,0),0),0)</f>
        <v>0</v>
      </c>
      <c r="K5630" s="455">
        <f t="shared" ca="1" si="193"/>
        <v>-25683180109471.531</v>
      </c>
      <c r="L5630" s="455">
        <f t="shared" ca="1" si="194"/>
        <v>-6189646406382640</v>
      </c>
      <c r="M5630" s="471">
        <f t="shared" si="196"/>
        <v>0.05</v>
      </c>
      <c r="N5630" s="475">
        <f t="shared" si="197"/>
        <v>222404</v>
      </c>
    </row>
    <row r="5631" spans="7:14" ht="11.25" customHeight="1" x14ac:dyDescent="0.3">
      <c r="G5631" s="470"/>
      <c r="H5631" s="470">
        <v>5624</v>
      </c>
      <c r="I5631" s="455">
        <f t="shared" ca="1" si="195"/>
        <v>-6189646406382640</v>
      </c>
      <c r="J5631" s="455">
        <f t="array" ref="J5631">IFERROR(INDEX('Retirement Calculator'!K:K,MATCH('Lorri 401b'!N5631,'Retirement Calculator'!A:A,0),0),0)</f>
        <v>0</v>
      </c>
      <c r="K5631" s="455">
        <f t="shared" ca="1" si="193"/>
        <v>-25790193359927.668</v>
      </c>
      <c r="L5631" s="455">
        <f t="shared" ca="1" si="194"/>
        <v>-6215436599742568</v>
      </c>
      <c r="M5631" s="471">
        <f t="shared" si="196"/>
        <v>0.05</v>
      </c>
      <c r="N5631" s="475">
        <f t="shared" si="197"/>
        <v>222435</v>
      </c>
    </row>
    <row r="5632" spans="7:14" ht="11.25" customHeight="1" x14ac:dyDescent="0.3">
      <c r="G5632" s="470"/>
      <c r="H5632" s="470">
        <v>5625</v>
      </c>
      <c r="I5632" s="455">
        <f t="shared" ca="1" si="195"/>
        <v>-6215436599742568</v>
      </c>
      <c r="J5632" s="455">
        <f t="array" ref="J5632">IFERROR(INDEX('Retirement Calculator'!K:K,MATCH('Lorri 401b'!N5632,'Retirement Calculator'!A:A,0),0),0)</f>
        <v>0</v>
      </c>
      <c r="K5632" s="455">
        <f t="shared" ca="1" si="193"/>
        <v>-25897652498927.367</v>
      </c>
      <c r="L5632" s="455">
        <f t="shared" ca="1" si="194"/>
        <v>-6241334252241495</v>
      </c>
      <c r="M5632" s="471">
        <f t="shared" si="196"/>
        <v>0.05</v>
      </c>
      <c r="N5632" s="475">
        <f t="shared" si="197"/>
        <v>222466</v>
      </c>
    </row>
    <row r="5633" spans="7:14" ht="11.25" customHeight="1" x14ac:dyDescent="0.3">
      <c r="G5633" s="470"/>
      <c r="H5633" s="470">
        <v>5626</v>
      </c>
      <c r="I5633" s="455">
        <f t="shared" ca="1" si="195"/>
        <v>-6241334252241495</v>
      </c>
      <c r="J5633" s="455">
        <f t="array" ref="J5633">IFERROR(INDEX('Retirement Calculator'!K:K,MATCH('Lorri 401b'!N5633,'Retirement Calculator'!A:A,0),0),0)</f>
        <v>0</v>
      </c>
      <c r="K5633" s="455">
        <f t="shared" ca="1" si="193"/>
        <v>-26005559384339.563</v>
      </c>
      <c r="L5633" s="455">
        <f t="shared" ca="1" si="194"/>
        <v>-6267339811625835</v>
      </c>
      <c r="M5633" s="471">
        <f t="shared" si="196"/>
        <v>0.05</v>
      </c>
      <c r="N5633" s="475">
        <f t="shared" si="197"/>
        <v>222494</v>
      </c>
    </row>
    <row r="5634" spans="7:14" ht="11.25" customHeight="1" x14ac:dyDescent="0.3">
      <c r="G5634" s="470"/>
      <c r="H5634" s="470">
        <v>5627</v>
      </c>
      <c r="I5634" s="455">
        <f t="shared" ca="1" si="195"/>
        <v>-6267339811625835</v>
      </c>
      <c r="J5634" s="455">
        <f t="array" ref="J5634">IFERROR(INDEX('Retirement Calculator'!K:K,MATCH('Lorri 401b'!N5634,'Retirement Calculator'!A:A,0),0),0)</f>
        <v>0</v>
      </c>
      <c r="K5634" s="455">
        <f t="shared" ca="1" si="193"/>
        <v>-26113915881774.313</v>
      </c>
      <c r="L5634" s="455">
        <f t="shared" ca="1" si="194"/>
        <v>-6293453727507609</v>
      </c>
      <c r="M5634" s="471">
        <f t="shared" si="196"/>
        <v>0.05</v>
      </c>
      <c r="N5634" s="475">
        <f t="shared" si="197"/>
        <v>222525</v>
      </c>
    </row>
    <row r="5635" spans="7:14" ht="11.25" customHeight="1" x14ac:dyDescent="0.3">
      <c r="G5635" s="470"/>
      <c r="H5635" s="470">
        <v>5628</v>
      </c>
      <c r="I5635" s="455">
        <f t="shared" ca="1" si="195"/>
        <v>-6293453727507609</v>
      </c>
      <c r="J5635" s="455">
        <f t="array" ref="J5635">IFERROR(INDEX('Retirement Calculator'!K:K,MATCH('Lorri 401b'!N5635,'Retirement Calculator'!A:A,0),0),0)</f>
        <v>0</v>
      </c>
      <c r="K5635" s="455">
        <f t="shared" ca="1" si="193"/>
        <v>-26222723864615.039</v>
      </c>
      <c r="L5635" s="455">
        <f t="shared" ca="1" si="194"/>
        <v>-6319676451372224</v>
      </c>
      <c r="M5635" s="471">
        <f t="shared" si="196"/>
        <v>0.05</v>
      </c>
      <c r="N5635" s="475">
        <f t="shared" si="197"/>
        <v>222555</v>
      </c>
    </row>
    <row r="5636" spans="7:14" ht="11.25" customHeight="1" x14ac:dyDescent="0.3">
      <c r="G5636" s="470"/>
      <c r="H5636" s="470">
        <v>5629</v>
      </c>
      <c r="I5636" s="455">
        <f t="shared" ca="1" si="195"/>
        <v>-6319676451372224</v>
      </c>
      <c r="J5636" s="455">
        <f t="array" ref="J5636">IFERROR(INDEX('Retirement Calculator'!K:K,MATCH('Lorri 401b'!N5636,'Retirement Calculator'!A:A,0),0),0)</f>
        <v>0</v>
      </c>
      <c r="K5636" s="455">
        <f t="shared" ca="1" si="193"/>
        <v>-26331985214050.934</v>
      </c>
      <c r="L5636" s="455">
        <f t="shared" ca="1" si="194"/>
        <v>-6346008436586275</v>
      </c>
      <c r="M5636" s="471">
        <f t="shared" si="196"/>
        <v>0.05</v>
      </c>
      <c r="N5636" s="475">
        <f t="shared" si="197"/>
        <v>222586</v>
      </c>
    </row>
    <row r="5637" spans="7:14" ht="11.25" customHeight="1" x14ac:dyDescent="0.3">
      <c r="G5637" s="470"/>
      <c r="H5637" s="470">
        <v>5630</v>
      </c>
      <c r="I5637" s="455">
        <f t="shared" ca="1" si="195"/>
        <v>-6346008436586275</v>
      </c>
      <c r="J5637" s="455">
        <f t="array" ref="J5637">IFERROR(INDEX('Retirement Calculator'!K:K,MATCH('Lorri 401b'!N5637,'Retirement Calculator'!A:A,0),0),0)</f>
        <v>0</v>
      </c>
      <c r="K5637" s="455">
        <f t="shared" ca="1" si="193"/>
        <v>-26441701819109.48</v>
      </c>
      <c r="L5637" s="455">
        <f t="shared" ca="1" si="194"/>
        <v>-6372450138405384</v>
      </c>
      <c r="M5637" s="471">
        <f t="shared" si="196"/>
        <v>0.05</v>
      </c>
      <c r="N5637" s="475">
        <f t="shared" si="197"/>
        <v>222616</v>
      </c>
    </row>
    <row r="5638" spans="7:14" ht="11.25" customHeight="1" x14ac:dyDescent="0.3">
      <c r="G5638" s="470"/>
      <c r="H5638" s="470">
        <v>5631</v>
      </c>
      <c r="I5638" s="455">
        <f t="shared" ca="1" si="195"/>
        <v>-6372450138405384</v>
      </c>
      <c r="J5638" s="455">
        <f t="array" ref="J5638">IFERROR(INDEX('Retirement Calculator'!K:K,MATCH('Lorri 401b'!N5638,'Retirement Calculator'!A:A,0),0),0)</f>
        <v>0</v>
      </c>
      <c r="K5638" s="455">
        <f t="shared" ca="1" si="193"/>
        <v>-26551875576689.102</v>
      </c>
      <c r="L5638" s="455">
        <f t="shared" ca="1" si="194"/>
        <v>-6399002013982073</v>
      </c>
      <c r="M5638" s="471">
        <f t="shared" si="196"/>
        <v>0.05</v>
      </c>
      <c r="N5638" s="475">
        <f t="shared" si="197"/>
        <v>222647</v>
      </c>
    </row>
    <row r="5639" spans="7:14" ht="11.25" customHeight="1" x14ac:dyDescent="0.3">
      <c r="G5639" s="470"/>
      <c r="H5639" s="470">
        <v>5632</v>
      </c>
      <c r="I5639" s="455">
        <f t="shared" ca="1" si="195"/>
        <v>-6399002013982073</v>
      </c>
      <c r="J5639" s="455">
        <f t="array" ref="J5639">IFERROR(INDEX('Retirement Calculator'!K:K,MATCH('Lorri 401b'!N5639,'Retirement Calculator'!A:A,0),0),0)</f>
        <v>0</v>
      </c>
      <c r="K5639" s="455">
        <f t="shared" ca="1" si="193"/>
        <v>-26662508391591.969</v>
      </c>
      <c r="L5639" s="455">
        <f t="shared" ca="1" si="194"/>
        <v>-6425664522373665</v>
      </c>
      <c r="M5639" s="471">
        <f t="shared" si="196"/>
        <v>0.05</v>
      </c>
      <c r="N5639" s="475">
        <f t="shared" si="197"/>
        <v>222678</v>
      </c>
    </row>
    <row r="5640" spans="7:14" ht="11.25" customHeight="1" x14ac:dyDescent="0.3">
      <c r="G5640" s="470"/>
      <c r="H5640" s="470">
        <v>5633</v>
      </c>
      <c r="I5640" s="455">
        <f t="shared" ca="1" si="195"/>
        <v>-6425664522373665</v>
      </c>
      <c r="J5640" s="455">
        <f t="array" ref="J5640">IFERROR(INDEX('Retirement Calculator'!K:K,MATCH('Lorri 401b'!N5640,'Retirement Calculator'!A:A,0),0),0)</f>
        <v>0</v>
      </c>
      <c r="K5640" s="455">
        <f t="shared" ca="1" si="193"/>
        <v>-26773602176556.938</v>
      </c>
      <c r="L5640" s="455">
        <f t="shared" ca="1" si="194"/>
        <v>-6452438124550222</v>
      </c>
      <c r="M5640" s="471">
        <f t="shared" si="196"/>
        <v>0.05</v>
      </c>
      <c r="N5640" s="475">
        <f t="shared" si="197"/>
        <v>222708</v>
      </c>
    </row>
    <row r="5641" spans="7:14" ht="11.25" customHeight="1" x14ac:dyDescent="0.3">
      <c r="G5641" s="470"/>
      <c r="H5641" s="470">
        <v>5634</v>
      </c>
      <c r="I5641" s="455">
        <f t="shared" ca="1" si="195"/>
        <v>-6452438124550222</v>
      </c>
      <c r="J5641" s="455">
        <f t="array" ref="J5641">IFERROR(INDEX('Retirement Calculator'!K:K,MATCH('Lorri 401b'!N5641,'Retirement Calculator'!A:A,0),0),0)</f>
        <v>0</v>
      </c>
      <c r="K5641" s="455">
        <f t="shared" ca="1" si="193"/>
        <v>-26885158852292.59</v>
      </c>
      <c r="L5641" s="455">
        <f t="shared" ca="1" si="194"/>
        <v>-6479323283402515</v>
      </c>
      <c r="M5641" s="471">
        <f t="shared" si="196"/>
        <v>0.05</v>
      </c>
      <c r="N5641" s="475">
        <f t="shared" si="197"/>
        <v>222739</v>
      </c>
    </row>
    <row r="5642" spans="7:14" ht="11.25" customHeight="1" x14ac:dyDescent="0.3">
      <c r="G5642" s="470"/>
      <c r="H5642" s="470">
        <v>5635</v>
      </c>
      <c r="I5642" s="455">
        <f t="shared" ca="1" si="195"/>
        <v>-6479323283402515</v>
      </c>
      <c r="J5642" s="455">
        <f t="array" ref="J5642">IFERROR(INDEX('Retirement Calculator'!K:K,MATCH('Lorri 401b'!N5642,'Retirement Calculator'!A:A,0),0),0)</f>
        <v>0</v>
      </c>
      <c r="K5642" s="455">
        <f t="shared" ca="1" si="193"/>
        <v>-26997180347510.48</v>
      </c>
      <c r="L5642" s="455">
        <f t="shared" ca="1" si="194"/>
        <v>-6506320463750025</v>
      </c>
      <c r="M5642" s="471">
        <f t="shared" si="196"/>
        <v>0.05</v>
      </c>
      <c r="N5642" s="475">
        <f t="shared" si="197"/>
        <v>222769</v>
      </c>
    </row>
    <row r="5643" spans="7:14" ht="11.25" customHeight="1" x14ac:dyDescent="0.3">
      <c r="G5643" s="470"/>
      <c r="H5643" s="470">
        <v>5636</v>
      </c>
      <c r="I5643" s="455">
        <f t="shared" ca="1" si="195"/>
        <v>-6506320463750025</v>
      </c>
      <c r="J5643" s="455">
        <f t="array" ref="J5643">IFERROR(INDEX('Retirement Calculator'!K:K,MATCH('Lorri 401b'!N5643,'Retirement Calculator'!A:A,0),0),0)</f>
        <v>0</v>
      </c>
      <c r="K5643" s="455">
        <f t="shared" ca="1" si="193"/>
        <v>-27109668598958.438</v>
      </c>
      <c r="L5643" s="455">
        <f t="shared" ca="1" si="194"/>
        <v>-6533430132348983</v>
      </c>
      <c r="M5643" s="471">
        <f t="shared" si="196"/>
        <v>0.05</v>
      </c>
      <c r="N5643" s="475">
        <f t="shared" si="197"/>
        <v>222800</v>
      </c>
    </row>
    <row r="5644" spans="7:14" ht="11.25" customHeight="1" x14ac:dyDescent="0.3">
      <c r="G5644" s="470"/>
      <c r="H5644" s="470">
        <v>5637</v>
      </c>
      <c r="I5644" s="455">
        <f t="shared" ca="1" si="195"/>
        <v>-6533430132348983</v>
      </c>
      <c r="J5644" s="455">
        <f t="array" ref="J5644">IFERROR(INDEX('Retirement Calculator'!K:K,MATCH('Lorri 401b'!N5644,'Retirement Calculator'!A:A,0),0),0)</f>
        <v>0</v>
      </c>
      <c r="K5644" s="455">
        <f t="shared" ca="1" si="193"/>
        <v>-27222625551454.094</v>
      </c>
      <c r="L5644" s="455">
        <f t="shared" ca="1" si="194"/>
        <v>-6560652757900437</v>
      </c>
      <c r="M5644" s="471">
        <f t="shared" si="196"/>
        <v>0.05</v>
      </c>
      <c r="N5644" s="475">
        <f t="shared" si="197"/>
        <v>222831</v>
      </c>
    </row>
    <row r="5645" spans="7:14" ht="11.25" customHeight="1" x14ac:dyDescent="0.3">
      <c r="G5645" s="470"/>
      <c r="H5645" s="470">
        <v>5638</v>
      </c>
      <c r="I5645" s="455">
        <f t="shared" ca="1" si="195"/>
        <v>-6560652757900437</v>
      </c>
      <c r="J5645" s="455">
        <f t="array" ref="J5645">IFERROR(INDEX('Retirement Calculator'!K:K,MATCH('Lorri 401b'!N5645,'Retirement Calculator'!A:A,0),0),0)</f>
        <v>0</v>
      </c>
      <c r="K5645" s="455">
        <f t="shared" ca="1" si="193"/>
        <v>-27336053157918.488</v>
      </c>
      <c r="L5645" s="455">
        <f t="shared" ca="1" si="194"/>
        <v>-6587988811058355</v>
      </c>
      <c r="M5645" s="471">
        <f t="shared" si="196"/>
        <v>0.05</v>
      </c>
      <c r="N5645" s="475">
        <f t="shared" si="197"/>
        <v>222859</v>
      </c>
    </row>
    <row r="5646" spans="7:14" ht="11.25" customHeight="1" x14ac:dyDescent="0.3">
      <c r="G5646" s="470"/>
      <c r="H5646" s="470">
        <v>5639</v>
      </c>
      <c r="I5646" s="455">
        <f t="shared" ca="1" si="195"/>
        <v>-6587988811058355</v>
      </c>
      <c r="J5646" s="455">
        <f t="array" ref="J5646">IFERROR(INDEX('Retirement Calculator'!K:K,MATCH('Lorri 401b'!N5646,'Retirement Calculator'!A:A,0),0),0)</f>
        <v>0</v>
      </c>
      <c r="K5646" s="455">
        <f t="shared" ca="1" si="193"/>
        <v>-27449953379409.813</v>
      </c>
      <c r="L5646" s="455">
        <f t="shared" ca="1" si="194"/>
        <v>-6615438764437765</v>
      </c>
      <c r="M5646" s="471">
        <f t="shared" si="196"/>
        <v>0.05</v>
      </c>
      <c r="N5646" s="475">
        <f t="shared" si="197"/>
        <v>222890</v>
      </c>
    </row>
    <row r="5647" spans="7:14" ht="11.25" customHeight="1" x14ac:dyDescent="0.3">
      <c r="G5647" s="470"/>
      <c r="H5647" s="470">
        <v>5640</v>
      </c>
      <c r="I5647" s="455">
        <f t="shared" ca="1" si="195"/>
        <v>-6615438764437765</v>
      </c>
      <c r="J5647" s="455">
        <f t="array" ref="J5647">IFERROR(INDEX('Retirement Calculator'!K:K,MATCH('Lorri 401b'!N5647,'Retirement Calculator'!A:A,0),0),0)</f>
        <v>0</v>
      </c>
      <c r="K5647" s="455">
        <f t="shared" ca="1" si="193"/>
        <v>-27564328185157.355</v>
      </c>
      <c r="L5647" s="455">
        <f t="shared" ca="1" si="194"/>
        <v>-6643003092622922</v>
      </c>
      <c r="M5647" s="471">
        <f t="shared" si="196"/>
        <v>0.05</v>
      </c>
      <c r="N5647" s="475">
        <f t="shared" si="197"/>
        <v>222920</v>
      </c>
    </row>
    <row r="5648" spans="7:14" ht="11.25" customHeight="1" x14ac:dyDescent="0.3">
      <c r="G5648" s="470"/>
      <c r="H5648" s="470">
        <v>5641</v>
      </c>
      <c r="I5648" s="455">
        <f t="shared" ca="1" si="195"/>
        <v>-6643003092622922</v>
      </c>
      <c r="J5648" s="455">
        <f t="array" ref="J5648">IFERROR(INDEX('Retirement Calculator'!K:K,MATCH('Lorri 401b'!N5648,'Retirement Calculator'!A:A,0),0),0)</f>
        <v>0</v>
      </c>
      <c r="K5648" s="455">
        <f t="shared" ca="1" si="193"/>
        <v>-27679179552595.508</v>
      </c>
      <c r="L5648" s="455">
        <f t="shared" ca="1" si="194"/>
        <v>-6670682272175518</v>
      </c>
      <c r="M5648" s="471">
        <f t="shared" si="196"/>
        <v>0.05</v>
      </c>
      <c r="N5648" s="475">
        <f t="shared" si="197"/>
        <v>222951</v>
      </c>
    </row>
    <row r="5649" spans="7:14" ht="11.25" customHeight="1" x14ac:dyDescent="0.3">
      <c r="G5649" s="470"/>
      <c r="H5649" s="470">
        <v>5642</v>
      </c>
      <c r="I5649" s="455">
        <f t="shared" ca="1" si="195"/>
        <v>-6670682272175518</v>
      </c>
      <c r="J5649" s="455">
        <f t="array" ref="J5649">IFERROR(INDEX('Retirement Calculator'!K:K,MATCH('Lorri 401b'!N5649,'Retirement Calculator'!A:A,0),0),0)</f>
        <v>0</v>
      </c>
      <c r="K5649" s="455">
        <f t="shared" ca="1" si="193"/>
        <v>-27794509467397.992</v>
      </c>
      <c r="L5649" s="455">
        <f t="shared" ca="1" si="194"/>
        <v>-6698476781642916</v>
      </c>
      <c r="M5649" s="471">
        <f t="shared" si="196"/>
        <v>0.05</v>
      </c>
      <c r="N5649" s="475">
        <f t="shared" si="197"/>
        <v>222981</v>
      </c>
    </row>
    <row r="5650" spans="7:14" ht="11.25" customHeight="1" x14ac:dyDescent="0.3">
      <c r="G5650" s="470"/>
      <c r="H5650" s="470">
        <v>5643</v>
      </c>
      <c r="I5650" s="455">
        <f t="shared" ca="1" si="195"/>
        <v>-6698476781642916</v>
      </c>
      <c r="J5650" s="455">
        <f t="array" ref="J5650">IFERROR(INDEX('Retirement Calculator'!K:K,MATCH('Lorri 401b'!N5650,'Retirement Calculator'!A:A,0),0),0)</f>
        <v>0</v>
      </c>
      <c r="K5650" s="455">
        <f t="shared" ca="1" si="193"/>
        <v>-27910319923512.148</v>
      </c>
      <c r="L5650" s="455">
        <f t="shared" ca="1" si="194"/>
        <v>-6726387101566428</v>
      </c>
      <c r="M5650" s="471">
        <f t="shared" si="196"/>
        <v>0.05</v>
      </c>
      <c r="N5650" s="475">
        <f t="shared" si="197"/>
        <v>223012</v>
      </c>
    </row>
    <row r="5651" spans="7:14" ht="11.25" customHeight="1" x14ac:dyDescent="0.3">
      <c r="G5651" s="470"/>
      <c r="H5651" s="470">
        <v>5644</v>
      </c>
      <c r="I5651" s="455">
        <f t="shared" ca="1" si="195"/>
        <v>-6726387101566428</v>
      </c>
      <c r="J5651" s="455">
        <f t="array" ref="J5651">IFERROR(INDEX('Retirement Calculator'!K:K,MATCH('Lorri 401b'!N5651,'Retirement Calculator'!A:A,0),0),0)</f>
        <v>0</v>
      </c>
      <c r="K5651" s="455">
        <f t="shared" ca="1" si="193"/>
        <v>-28026612923193.449</v>
      </c>
      <c r="L5651" s="455">
        <f t="shared" ca="1" si="194"/>
        <v>-6754413714489621</v>
      </c>
      <c r="M5651" s="471">
        <f t="shared" si="196"/>
        <v>0.05</v>
      </c>
      <c r="N5651" s="475">
        <f t="shared" si="197"/>
        <v>223043</v>
      </c>
    </row>
    <row r="5652" spans="7:14" ht="11.25" customHeight="1" x14ac:dyDescent="0.3">
      <c r="G5652" s="470"/>
      <c r="H5652" s="470">
        <v>5645</v>
      </c>
      <c r="I5652" s="455">
        <f t="shared" ca="1" si="195"/>
        <v>-6754413714489621</v>
      </c>
      <c r="J5652" s="455">
        <f t="array" ref="J5652">IFERROR(INDEX('Retirement Calculator'!K:K,MATCH('Lorri 401b'!N5652,'Retirement Calculator'!A:A,0),0),0)</f>
        <v>0</v>
      </c>
      <c r="K5652" s="455">
        <f t="shared" ca="1" si="193"/>
        <v>-28143390477040.086</v>
      </c>
      <c r="L5652" s="455">
        <f t="shared" ca="1" si="194"/>
        <v>-6782557104966661</v>
      </c>
      <c r="M5652" s="471">
        <f t="shared" si="196"/>
        <v>0.05</v>
      </c>
      <c r="N5652" s="475">
        <f t="shared" si="197"/>
        <v>223073</v>
      </c>
    </row>
    <row r="5653" spans="7:14" ht="11.25" customHeight="1" x14ac:dyDescent="0.3">
      <c r="G5653" s="470"/>
      <c r="H5653" s="470">
        <v>5646</v>
      </c>
      <c r="I5653" s="455">
        <f t="shared" ca="1" si="195"/>
        <v>-6782557104966661</v>
      </c>
      <c r="J5653" s="455">
        <f t="array" ref="J5653">IFERROR(INDEX('Retirement Calculator'!K:K,MATCH('Lorri 401b'!N5653,'Retirement Calculator'!A:A,0),0),0)</f>
        <v>0</v>
      </c>
      <c r="K5653" s="455">
        <f t="shared" ca="1" si="193"/>
        <v>-28260654604027.754</v>
      </c>
      <c r="L5653" s="455">
        <f t="shared" ca="1" si="194"/>
        <v>-6810817759570689</v>
      </c>
      <c r="M5653" s="471">
        <f t="shared" si="196"/>
        <v>0.05</v>
      </c>
      <c r="N5653" s="475">
        <f t="shared" si="197"/>
        <v>223104</v>
      </c>
    </row>
    <row r="5654" spans="7:14" ht="11.25" customHeight="1" x14ac:dyDescent="0.3">
      <c r="G5654" s="470"/>
      <c r="H5654" s="470">
        <v>5647</v>
      </c>
      <c r="I5654" s="455">
        <f t="shared" ca="1" si="195"/>
        <v>-6810817759570689</v>
      </c>
      <c r="J5654" s="455">
        <f t="array" ref="J5654">IFERROR(INDEX('Retirement Calculator'!K:K,MATCH('Lorri 401b'!N5654,'Retirement Calculator'!A:A,0),0),0)</f>
        <v>0</v>
      </c>
      <c r="K5654" s="455">
        <f t="shared" ca="1" si="193"/>
        <v>-28378407331544.535</v>
      </c>
      <c r="L5654" s="455">
        <f t="shared" ca="1" si="194"/>
        <v>-6839196166902234</v>
      </c>
      <c r="M5654" s="471">
        <f t="shared" si="196"/>
        <v>0.05</v>
      </c>
      <c r="N5654" s="475">
        <f t="shared" si="197"/>
        <v>223134</v>
      </c>
    </row>
    <row r="5655" spans="7:14" ht="11.25" customHeight="1" x14ac:dyDescent="0.3">
      <c r="G5655" s="470"/>
      <c r="H5655" s="470">
        <v>5648</v>
      </c>
      <c r="I5655" s="455">
        <f t="shared" ca="1" si="195"/>
        <v>-6839196166902234</v>
      </c>
      <c r="J5655" s="455">
        <f t="array" ref="J5655">IFERROR(INDEX('Retirement Calculator'!K:K,MATCH('Lorri 401b'!N5655,'Retirement Calculator'!A:A,0),0),0)</f>
        <v>0</v>
      </c>
      <c r="K5655" s="455">
        <f t="shared" ca="1" si="193"/>
        <v>-28496650695425.973</v>
      </c>
      <c r="L5655" s="455">
        <f t="shared" ca="1" si="194"/>
        <v>-6867692817597660</v>
      </c>
      <c r="M5655" s="471">
        <f t="shared" si="196"/>
        <v>0.05</v>
      </c>
      <c r="N5655" s="475">
        <f t="shared" si="197"/>
        <v>223165</v>
      </c>
    </row>
    <row r="5656" spans="7:14" ht="11.25" customHeight="1" x14ac:dyDescent="0.3">
      <c r="G5656" s="470"/>
      <c r="H5656" s="470">
        <v>5649</v>
      </c>
      <c r="I5656" s="455">
        <f t="shared" ca="1" si="195"/>
        <v>-6867692817597660</v>
      </c>
      <c r="J5656" s="455">
        <f t="array" ref="J5656">IFERROR(INDEX('Retirement Calculator'!K:K,MATCH('Lorri 401b'!N5656,'Retirement Calculator'!A:A,0),0),0)</f>
        <v>0</v>
      </c>
      <c r="K5656" s="455">
        <f t="shared" ca="1" si="193"/>
        <v>-28615386739990.25</v>
      </c>
      <c r="L5656" s="455">
        <f t="shared" ca="1" si="194"/>
        <v>-6896308204337650</v>
      </c>
      <c r="M5656" s="471">
        <f t="shared" si="196"/>
        <v>0.05</v>
      </c>
      <c r="N5656" s="475">
        <f t="shared" si="197"/>
        <v>223196</v>
      </c>
    </row>
    <row r="5657" spans="7:14" ht="11.25" customHeight="1" x14ac:dyDescent="0.3">
      <c r="G5657" s="470"/>
      <c r="H5657" s="470">
        <v>5650</v>
      </c>
      <c r="I5657" s="455">
        <f t="shared" ca="1" si="195"/>
        <v>-6896308204337650</v>
      </c>
      <c r="J5657" s="455">
        <f t="array" ref="J5657">IFERROR(INDEX('Retirement Calculator'!K:K,MATCH('Lorri 401b'!N5657,'Retirement Calculator'!A:A,0),0),0)</f>
        <v>0</v>
      </c>
      <c r="K5657" s="455">
        <f t="shared" ca="1" si="193"/>
        <v>-28734617518073.543</v>
      </c>
      <c r="L5657" s="455">
        <f t="shared" ca="1" si="194"/>
        <v>-6925042821855724</v>
      </c>
      <c r="M5657" s="471">
        <f t="shared" si="196"/>
        <v>0.05</v>
      </c>
      <c r="N5657" s="475">
        <f t="shared" si="197"/>
        <v>223224</v>
      </c>
    </row>
    <row r="5658" spans="7:14" ht="11.25" customHeight="1" x14ac:dyDescent="0.3">
      <c r="G5658" s="470"/>
      <c r="H5658" s="470">
        <v>5651</v>
      </c>
      <c r="I5658" s="455">
        <f t="shared" ca="1" si="195"/>
        <v>-6925042821855724</v>
      </c>
      <c r="J5658" s="455">
        <f t="array" ref="J5658">IFERROR(INDEX('Retirement Calculator'!K:K,MATCH('Lorri 401b'!N5658,'Retirement Calculator'!A:A,0),0),0)</f>
        <v>0</v>
      </c>
      <c r="K5658" s="455">
        <f t="shared" ca="1" si="193"/>
        <v>-28854345091065.516</v>
      </c>
      <c r="L5658" s="455">
        <f t="shared" ca="1" si="194"/>
        <v>-6953897166946790</v>
      </c>
      <c r="M5658" s="471">
        <f t="shared" si="196"/>
        <v>0.05</v>
      </c>
      <c r="N5658" s="475">
        <f t="shared" si="197"/>
        <v>223255</v>
      </c>
    </row>
    <row r="5659" spans="7:14" ht="11.25" customHeight="1" x14ac:dyDescent="0.3">
      <c r="G5659" s="470"/>
      <c r="H5659" s="470">
        <v>5652</v>
      </c>
      <c r="I5659" s="455">
        <f t="shared" ca="1" si="195"/>
        <v>-6953897166946790</v>
      </c>
      <c r="J5659" s="455">
        <f t="array" ref="J5659">IFERROR(INDEX('Retirement Calculator'!K:K,MATCH('Lorri 401b'!N5659,'Retirement Calculator'!A:A,0),0),0)</f>
        <v>0</v>
      </c>
      <c r="K5659" s="455">
        <f t="shared" ca="1" si="193"/>
        <v>-28974571528944.957</v>
      </c>
      <c r="L5659" s="455">
        <f t="shared" ca="1" si="194"/>
        <v>-6982871738475735</v>
      </c>
      <c r="M5659" s="471">
        <f t="shared" si="196"/>
        <v>0.05</v>
      </c>
      <c r="N5659" s="475">
        <f t="shared" si="197"/>
        <v>223285</v>
      </c>
    </row>
    <row r="5660" spans="7:14" ht="11.25" customHeight="1" x14ac:dyDescent="0.3">
      <c r="G5660" s="470"/>
      <c r="H5660" s="470">
        <v>5653</v>
      </c>
      <c r="I5660" s="455">
        <f t="shared" ca="1" si="195"/>
        <v>-6982871738475735</v>
      </c>
      <c r="J5660" s="455">
        <f t="array" ref="J5660">IFERROR(INDEX('Retirement Calculator'!K:K,MATCH('Lorri 401b'!N5660,'Retirement Calculator'!A:A,0),0),0)</f>
        <v>0</v>
      </c>
      <c r="K5660" s="455">
        <f t="shared" ca="1" si="193"/>
        <v>-29095298910315.563</v>
      </c>
      <c r="L5660" s="455">
        <f t="shared" ca="1" si="194"/>
        <v>-7011967037386051</v>
      </c>
      <c r="M5660" s="471">
        <f t="shared" si="196"/>
        <v>0.05</v>
      </c>
      <c r="N5660" s="475">
        <f t="shared" si="197"/>
        <v>223316</v>
      </c>
    </row>
    <row r="5661" spans="7:14" ht="11.25" customHeight="1" x14ac:dyDescent="0.3">
      <c r="G5661" s="470"/>
      <c r="H5661" s="470">
        <v>5654</v>
      </c>
      <c r="I5661" s="455">
        <f t="shared" ca="1" si="195"/>
        <v>-7011967037386051</v>
      </c>
      <c r="J5661" s="455">
        <f t="array" ref="J5661">IFERROR(INDEX('Retirement Calculator'!K:K,MATCH('Lorri 401b'!N5661,'Retirement Calculator'!A:A,0),0),0)</f>
        <v>0</v>
      </c>
      <c r="K5661" s="455">
        <f t="shared" ca="1" si="193"/>
        <v>-29216529322441.879</v>
      </c>
      <c r="L5661" s="455">
        <f t="shared" ca="1" si="194"/>
        <v>-7041183566708493</v>
      </c>
      <c r="M5661" s="471">
        <f t="shared" si="196"/>
        <v>0.05</v>
      </c>
      <c r="N5661" s="475">
        <f t="shared" si="197"/>
        <v>223346</v>
      </c>
    </row>
    <row r="5662" spans="7:14" ht="11.25" customHeight="1" x14ac:dyDescent="0.3">
      <c r="G5662" s="470"/>
      <c r="H5662" s="470">
        <v>5655</v>
      </c>
      <c r="I5662" s="455">
        <f t="shared" ca="1" si="195"/>
        <v>-7041183566708493</v>
      </c>
      <c r="J5662" s="455">
        <f t="array" ref="J5662">IFERROR(INDEX('Retirement Calculator'!K:K,MATCH('Lorri 401b'!N5662,'Retirement Calculator'!A:A,0),0),0)</f>
        <v>0</v>
      </c>
      <c r="K5662" s="455">
        <f t="shared" ca="1" si="193"/>
        <v>-29338264861285.387</v>
      </c>
      <c r="L5662" s="455">
        <f t="shared" ca="1" si="194"/>
        <v>-7070521831569778</v>
      </c>
      <c r="M5662" s="471">
        <f t="shared" si="196"/>
        <v>0.05</v>
      </c>
      <c r="N5662" s="475">
        <f t="shared" si="197"/>
        <v>223377</v>
      </c>
    </row>
    <row r="5663" spans="7:14" ht="11.25" customHeight="1" x14ac:dyDescent="0.3">
      <c r="G5663" s="470"/>
      <c r="H5663" s="470">
        <v>5656</v>
      </c>
      <c r="I5663" s="455">
        <f t="shared" ca="1" si="195"/>
        <v>-7070521831569778</v>
      </c>
      <c r="J5663" s="455">
        <f t="array" ref="J5663">IFERROR(INDEX('Retirement Calculator'!K:K,MATCH('Lorri 401b'!N5663,'Retirement Calculator'!A:A,0),0),0)</f>
        <v>0</v>
      </c>
      <c r="K5663" s="455">
        <f t="shared" ca="1" si="193"/>
        <v>-29460507631540.746</v>
      </c>
      <c r="L5663" s="455">
        <f t="shared" ca="1" si="194"/>
        <v>-7099982339201319</v>
      </c>
      <c r="M5663" s="471">
        <f t="shared" si="196"/>
        <v>0.05</v>
      </c>
      <c r="N5663" s="475">
        <f t="shared" si="197"/>
        <v>223408</v>
      </c>
    </row>
    <row r="5664" spans="7:14" ht="11.25" customHeight="1" x14ac:dyDescent="0.3">
      <c r="G5664" s="470"/>
      <c r="H5664" s="470">
        <v>5657</v>
      </c>
      <c r="I5664" s="455">
        <f t="shared" ca="1" si="195"/>
        <v>-7099982339201319</v>
      </c>
      <c r="J5664" s="455">
        <f t="array" ref="J5664">IFERROR(INDEX('Retirement Calculator'!K:K,MATCH('Lorri 401b'!N5664,'Retirement Calculator'!A:A,0),0),0)</f>
        <v>0</v>
      </c>
      <c r="K5664" s="455">
        <f t="shared" ca="1" si="193"/>
        <v>-29583259746672.16</v>
      </c>
      <c r="L5664" s="455">
        <f t="shared" ca="1" si="194"/>
        <v>-7129565598947991</v>
      </c>
      <c r="M5664" s="471">
        <f t="shared" si="196"/>
        <v>0.05</v>
      </c>
      <c r="N5664" s="475">
        <f t="shared" si="197"/>
        <v>223438</v>
      </c>
    </row>
    <row r="5665" spans="7:14" ht="11.25" customHeight="1" x14ac:dyDescent="0.3">
      <c r="G5665" s="470"/>
      <c r="H5665" s="470">
        <v>5658</v>
      </c>
      <c r="I5665" s="455">
        <f t="shared" ca="1" si="195"/>
        <v>-7129565598947991</v>
      </c>
      <c r="J5665" s="455">
        <f t="array" ref="J5665">IFERROR(INDEX('Retirement Calculator'!K:K,MATCH('Lorri 401b'!N5665,'Retirement Calculator'!A:A,0),0),0)</f>
        <v>0</v>
      </c>
      <c r="K5665" s="455">
        <f t="shared" ca="1" si="193"/>
        <v>-29706523328949.961</v>
      </c>
      <c r="L5665" s="455">
        <f t="shared" ca="1" si="194"/>
        <v>-7159272122276941</v>
      </c>
      <c r="M5665" s="471">
        <f t="shared" si="196"/>
        <v>0.05</v>
      </c>
      <c r="N5665" s="475">
        <f t="shared" si="197"/>
        <v>223469</v>
      </c>
    </row>
    <row r="5666" spans="7:14" ht="11.25" customHeight="1" x14ac:dyDescent="0.3">
      <c r="G5666" s="470"/>
      <c r="H5666" s="470">
        <v>5659</v>
      </c>
      <c r="I5666" s="455">
        <f t="shared" ca="1" si="195"/>
        <v>-7159272122276941</v>
      </c>
      <c r="J5666" s="455">
        <f t="array" ref="J5666">IFERROR(INDEX('Retirement Calculator'!K:K,MATCH('Lorri 401b'!N5666,'Retirement Calculator'!A:A,0),0),0)</f>
        <v>0</v>
      </c>
      <c r="K5666" s="455">
        <f t="shared" ca="1" si="193"/>
        <v>-29830300509487.254</v>
      </c>
      <c r="L5666" s="455">
        <f t="shared" ca="1" si="194"/>
        <v>-7189102422786428</v>
      </c>
      <c r="M5666" s="471">
        <f t="shared" si="196"/>
        <v>0.05</v>
      </c>
      <c r="N5666" s="475">
        <f t="shared" si="197"/>
        <v>223499</v>
      </c>
    </row>
    <row r="5667" spans="7:14" ht="11.25" customHeight="1" x14ac:dyDescent="0.3">
      <c r="G5667" s="470"/>
      <c r="H5667" s="470">
        <v>5660</v>
      </c>
      <c r="I5667" s="455">
        <f t="shared" ca="1" si="195"/>
        <v>-7189102422786428</v>
      </c>
      <c r="J5667" s="455">
        <f t="array" ref="J5667">IFERROR(INDEX('Retirement Calculator'!K:K,MATCH('Lorri 401b'!N5667,'Retirement Calculator'!A:A,0),0),0)</f>
        <v>0</v>
      </c>
      <c r="K5667" s="455">
        <f t="shared" ca="1" si="193"/>
        <v>-29954593428276.777</v>
      </c>
      <c r="L5667" s="455">
        <f t="shared" ca="1" si="194"/>
        <v>-7219057016214705</v>
      </c>
      <c r="M5667" s="471">
        <f t="shared" si="196"/>
        <v>0.05</v>
      </c>
      <c r="N5667" s="475">
        <f t="shared" si="197"/>
        <v>223530</v>
      </c>
    </row>
    <row r="5668" spans="7:14" ht="11.25" customHeight="1" x14ac:dyDescent="0.3">
      <c r="G5668" s="470"/>
      <c r="H5668" s="470">
        <v>5661</v>
      </c>
      <c r="I5668" s="455">
        <f t="shared" ca="1" si="195"/>
        <v>-7219057016214705</v>
      </c>
      <c r="J5668" s="455">
        <f t="array" ref="J5668">IFERROR(INDEX('Retirement Calculator'!K:K,MATCH('Lorri 401b'!N5668,'Retirement Calculator'!A:A,0),0),0)</f>
        <v>0</v>
      </c>
      <c r="K5668" s="455">
        <f t="shared" ca="1" si="193"/>
        <v>-30079404234227.941</v>
      </c>
      <c r="L5668" s="455">
        <f t="shared" ca="1" si="194"/>
        <v>-7249136420448933</v>
      </c>
      <c r="M5668" s="471">
        <f t="shared" si="196"/>
        <v>0.05</v>
      </c>
      <c r="N5668" s="475">
        <f t="shared" si="197"/>
        <v>223561</v>
      </c>
    </row>
    <row r="5669" spans="7:14" ht="11.25" customHeight="1" x14ac:dyDescent="0.3">
      <c r="G5669" s="470"/>
      <c r="H5669" s="470">
        <v>5662</v>
      </c>
      <c r="I5669" s="455">
        <f t="shared" ca="1" si="195"/>
        <v>-7249136420448933</v>
      </c>
      <c r="J5669" s="455">
        <f t="array" ref="J5669">IFERROR(INDEX('Retirement Calculator'!K:K,MATCH('Lorri 401b'!N5669,'Retirement Calculator'!A:A,0),0),0)</f>
        <v>0</v>
      </c>
      <c r="K5669" s="455">
        <f t="shared" ca="1" si="193"/>
        <v>-30204735085203.887</v>
      </c>
      <c r="L5669" s="455">
        <f t="shared" ca="1" si="194"/>
        <v>-7279341155534137</v>
      </c>
      <c r="M5669" s="471">
        <f t="shared" si="196"/>
        <v>0.05</v>
      </c>
      <c r="N5669" s="475">
        <f t="shared" si="197"/>
        <v>223590</v>
      </c>
    </row>
    <row r="5670" spans="7:14" ht="11.25" customHeight="1" x14ac:dyDescent="0.3">
      <c r="G5670" s="470"/>
      <c r="H5670" s="470">
        <v>5663</v>
      </c>
      <c r="I5670" s="455">
        <f t="shared" ca="1" si="195"/>
        <v>-7279341155534137</v>
      </c>
      <c r="J5670" s="455">
        <f t="array" ref="J5670">IFERROR(INDEX('Retirement Calculator'!K:K,MATCH('Lorri 401b'!N5670,'Retirement Calculator'!A:A,0),0),0)</f>
        <v>0</v>
      </c>
      <c r="K5670" s="455">
        <f t="shared" ca="1" si="193"/>
        <v>-30330588148058.902</v>
      </c>
      <c r="L5670" s="455">
        <f t="shared" ca="1" si="194"/>
        <v>-7309671743682196</v>
      </c>
      <c r="M5670" s="471">
        <f t="shared" si="196"/>
        <v>0.05</v>
      </c>
      <c r="N5670" s="475">
        <f t="shared" si="197"/>
        <v>223621</v>
      </c>
    </row>
    <row r="5671" spans="7:14" ht="11.25" customHeight="1" x14ac:dyDescent="0.3">
      <c r="G5671" s="470"/>
      <c r="H5671" s="470">
        <v>5664</v>
      </c>
      <c r="I5671" s="455">
        <f t="shared" ca="1" si="195"/>
        <v>-7309671743682196</v>
      </c>
      <c r="J5671" s="455">
        <f t="array" ref="J5671">IFERROR(INDEX('Retirement Calculator'!K:K,MATCH('Lorri 401b'!N5671,'Retirement Calculator'!A:A,0),0),0)</f>
        <v>0</v>
      </c>
      <c r="K5671" s="455">
        <f t="shared" ca="1" si="193"/>
        <v>-30456965598675.816</v>
      </c>
      <c r="L5671" s="455">
        <f t="shared" ca="1" si="194"/>
        <v>-7340128709280872</v>
      </c>
      <c r="M5671" s="471">
        <f t="shared" si="196"/>
        <v>0.05</v>
      </c>
      <c r="N5671" s="475">
        <f t="shared" si="197"/>
        <v>223651</v>
      </c>
    </row>
    <row r="5672" spans="7:14" ht="11.25" customHeight="1" x14ac:dyDescent="0.3">
      <c r="G5672" s="470"/>
      <c r="H5672" s="470">
        <v>5665</v>
      </c>
      <c r="I5672" s="455">
        <f t="shared" ca="1" si="195"/>
        <v>-7340128709280872</v>
      </c>
      <c r="J5672" s="455">
        <f t="array" ref="J5672">IFERROR(INDEX('Retirement Calculator'!K:K,MATCH('Lorri 401b'!N5672,'Retirement Calculator'!A:A,0),0),0)</f>
        <v>0</v>
      </c>
      <c r="K5672" s="455">
        <f t="shared" ca="1" si="193"/>
        <v>-30583869622003.629</v>
      </c>
      <c r="L5672" s="455">
        <f t="shared" ca="1" si="194"/>
        <v>-7370712578902876</v>
      </c>
      <c r="M5672" s="471">
        <f t="shared" si="196"/>
        <v>0.05</v>
      </c>
      <c r="N5672" s="475">
        <f t="shared" si="197"/>
        <v>223682</v>
      </c>
    </row>
    <row r="5673" spans="7:14" ht="11.25" customHeight="1" x14ac:dyDescent="0.3">
      <c r="G5673" s="470"/>
      <c r="H5673" s="470">
        <v>5666</v>
      </c>
      <c r="I5673" s="455">
        <f t="shared" ca="1" si="195"/>
        <v>-7370712578902876</v>
      </c>
      <c r="J5673" s="455">
        <f t="array" ref="J5673">IFERROR(INDEX('Retirement Calculator'!K:K,MATCH('Lorri 401b'!N5673,'Retirement Calculator'!A:A,0),0),0)</f>
        <v>0</v>
      </c>
      <c r="K5673" s="455">
        <f t="shared" ca="1" si="193"/>
        <v>-30711302412095.32</v>
      </c>
      <c r="L5673" s="455">
        <f t="shared" ca="1" si="194"/>
        <v>-7401423881314971</v>
      </c>
      <c r="M5673" s="471">
        <f t="shared" si="196"/>
        <v>0.05</v>
      </c>
      <c r="N5673" s="475">
        <f t="shared" si="197"/>
        <v>223712</v>
      </c>
    </row>
    <row r="5674" spans="7:14" ht="11.25" customHeight="1" x14ac:dyDescent="0.3">
      <c r="G5674" s="470"/>
      <c r="H5674" s="470">
        <v>5667</v>
      </c>
      <c r="I5674" s="455">
        <f t="shared" ca="1" si="195"/>
        <v>-7401423881314971</v>
      </c>
      <c r="J5674" s="455">
        <f t="array" ref="J5674">IFERROR(INDEX('Retirement Calculator'!K:K,MATCH('Lorri 401b'!N5674,'Retirement Calculator'!A:A,0),0),0)</f>
        <v>0</v>
      </c>
      <c r="K5674" s="455">
        <f t="shared" ca="1" si="193"/>
        <v>-30839266172145.711</v>
      </c>
      <c r="L5674" s="455">
        <f t="shared" ca="1" si="194"/>
        <v>-7432263147487117</v>
      </c>
      <c r="M5674" s="471">
        <f t="shared" si="196"/>
        <v>0.05</v>
      </c>
      <c r="N5674" s="475">
        <f t="shared" si="197"/>
        <v>223743</v>
      </c>
    </row>
    <row r="5675" spans="7:14" ht="11.25" customHeight="1" x14ac:dyDescent="0.3">
      <c r="G5675" s="470"/>
      <c r="H5675" s="470">
        <v>5668</v>
      </c>
      <c r="I5675" s="455">
        <f t="shared" ca="1" si="195"/>
        <v>-7432263147487117</v>
      </c>
      <c r="J5675" s="455">
        <f t="array" ref="J5675">IFERROR(INDEX('Retirement Calculator'!K:K,MATCH('Lorri 401b'!N5675,'Retirement Calculator'!A:A,0),0),0)</f>
        <v>0</v>
      </c>
      <c r="K5675" s="455">
        <f t="shared" ca="1" si="193"/>
        <v>-30967763114529.656</v>
      </c>
      <c r="L5675" s="455">
        <f t="shared" ca="1" si="194"/>
        <v>-7463230910601647</v>
      </c>
      <c r="M5675" s="471">
        <f t="shared" si="196"/>
        <v>0.05</v>
      </c>
      <c r="N5675" s="475">
        <f t="shared" si="197"/>
        <v>223774</v>
      </c>
    </row>
    <row r="5676" spans="7:14" ht="11.25" customHeight="1" x14ac:dyDescent="0.3">
      <c r="G5676" s="470"/>
      <c r="H5676" s="470">
        <v>5669</v>
      </c>
      <c r="I5676" s="455">
        <f t="shared" ca="1" si="195"/>
        <v>-7463230910601647</v>
      </c>
      <c r="J5676" s="455">
        <f t="array" ref="J5676">IFERROR(INDEX('Retirement Calculator'!K:K,MATCH('Lorri 401b'!N5676,'Retirement Calculator'!A:A,0),0),0)</f>
        <v>0</v>
      </c>
      <c r="K5676" s="455">
        <f t="shared" ca="1" si="193"/>
        <v>-31096795460840.195</v>
      </c>
      <c r="L5676" s="455">
        <f t="shared" ca="1" si="194"/>
        <v>-7494327706062487</v>
      </c>
      <c r="M5676" s="471">
        <f t="shared" si="196"/>
        <v>0.05</v>
      </c>
      <c r="N5676" s="475">
        <f t="shared" si="197"/>
        <v>223804</v>
      </c>
    </row>
    <row r="5677" spans="7:14" ht="11.25" customHeight="1" x14ac:dyDescent="0.3">
      <c r="G5677" s="470"/>
      <c r="H5677" s="470">
        <v>5670</v>
      </c>
      <c r="I5677" s="455">
        <f t="shared" ca="1" si="195"/>
        <v>-7494327706062487</v>
      </c>
      <c r="J5677" s="455">
        <f t="array" ref="J5677">IFERROR(INDEX('Retirement Calculator'!K:K,MATCH('Lorri 401b'!N5677,'Retirement Calculator'!A:A,0),0),0)</f>
        <v>0</v>
      </c>
      <c r="K5677" s="455">
        <f t="shared" ca="1" si="193"/>
        <v>-31226365441927.023</v>
      </c>
      <c r="L5677" s="455">
        <f t="shared" ca="1" si="194"/>
        <v>-7525554071504414</v>
      </c>
      <c r="M5677" s="471">
        <f t="shared" si="196"/>
        <v>0.05</v>
      </c>
      <c r="N5677" s="475">
        <f t="shared" si="197"/>
        <v>223835</v>
      </c>
    </row>
    <row r="5678" spans="7:14" ht="11.25" customHeight="1" x14ac:dyDescent="0.3">
      <c r="G5678" s="470"/>
      <c r="H5678" s="470">
        <v>5671</v>
      </c>
      <c r="I5678" s="455">
        <f t="shared" ca="1" si="195"/>
        <v>-7525554071504414</v>
      </c>
      <c r="J5678" s="455">
        <f t="array" ref="J5678">IFERROR(INDEX('Retirement Calculator'!K:K,MATCH('Lorri 401b'!N5678,'Retirement Calculator'!A:A,0),0),0)</f>
        <v>0</v>
      </c>
      <c r="K5678" s="455">
        <f t="shared" ca="1" si="193"/>
        <v>-31356475297935.059</v>
      </c>
      <c r="L5678" s="455">
        <f t="shared" ca="1" si="194"/>
        <v>-7556910546802349</v>
      </c>
      <c r="M5678" s="471">
        <f t="shared" si="196"/>
        <v>0.05</v>
      </c>
      <c r="N5678" s="475">
        <f t="shared" si="197"/>
        <v>223865</v>
      </c>
    </row>
    <row r="5679" spans="7:14" ht="11.25" customHeight="1" x14ac:dyDescent="0.3">
      <c r="G5679" s="470"/>
      <c r="H5679" s="470">
        <v>5672</v>
      </c>
      <c r="I5679" s="455">
        <f t="shared" ca="1" si="195"/>
        <v>-7556910546802349</v>
      </c>
      <c r="J5679" s="455">
        <f t="array" ref="J5679">IFERROR(INDEX('Retirement Calculator'!K:K,MATCH('Lorri 401b'!N5679,'Retirement Calculator'!A:A,0),0),0)</f>
        <v>0</v>
      </c>
      <c r="K5679" s="455">
        <f t="shared" ca="1" si="193"/>
        <v>-31487127278343.125</v>
      </c>
      <c r="L5679" s="455">
        <f t="shared" ca="1" si="194"/>
        <v>-7588397674080692</v>
      </c>
      <c r="M5679" s="471">
        <f t="shared" si="196"/>
        <v>0.05</v>
      </c>
      <c r="N5679" s="475">
        <f t="shared" si="197"/>
        <v>223896</v>
      </c>
    </row>
    <row r="5680" spans="7:14" ht="11.25" customHeight="1" x14ac:dyDescent="0.3">
      <c r="G5680" s="470"/>
      <c r="H5680" s="470">
        <v>5673</v>
      </c>
      <c r="I5680" s="455">
        <f t="shared" ca="1" si="195"/>
        <v>-7588397674080692</v>
      </c>
      <c r="J5680" s="455">
        <f t="array" ref="J5680">IFERROR(INDEX('Retirement Calculator'!K:K,MATCH('Lorri 401b'!N5680,'Retirement Calculator'!A:A,0),0),0)</f>
        <v>0</v>
      </c>
      <c r="K5680" s="455">
        <f t="shared" ca="1" si="193"/>
        <v>-31618323642002.883</v>
      </c>
      <c r="L5680" s="455">
        <f t="shared" ca="1" si="194"/>
        <v>-7620015997722695</v>
      </c>
      <c r="M5680" s="471">
        <f t="shared" si="196"/>
        <v>0.05</v>
      </c>
      <c r="N5680" s="475">
        <f t="shared" si="197"/>
        <v>223927</v>
      </c>
    </row>
    <row r="5681" spans="7:14" ht="11.25" customHeight="1" x14ac:dyDescent="0.3">
      <c r="G5681" s="470"/>
      <c r="H5681" s="470">
        <v>5674</v>
      </c>
      <c r="I5681" s="455">
        <f t="shared" ca="1" si="195"/>
        <v>-7620015997722695</v>
      </c>
      <c r="J5681" s="455">
        <f t="array" ref="J5681">IFERROR(INDEX('Retirement Calculator'!K:K,MATCH('Lorri 401b'!N5681,'Retirement Calculator'!A:A,0),0),0)</f>
        <v>0</v>
      </c>
      <c r="K5681" s="455">
        <f t="shared" ca="1" si="193"/>
        <v>-31750066657177.891</v>
      </c>
      <c r="L5681" s="455">
        <f t="shared" ca="1" si="194"/>
        <v>-7651766064379873</v>
      </c>
      <c r="M5681" s="471">
        <f t="shared" si="196"/>
        <v>0.05</v>
      </c>
      <c r="N5681" s="475">
        <f t="shared" si="197"/>
        <v>223955</v>
      </c>
    </row>
    <row r="5682" spans="7:14" ht="11.25" customHeight="1" x14ac:dyDescent="0.3">
      <c r="G5682" s="470"/>
      <c r="H5682" s="470">
        <v>5675</v>
      </c>
      <c r="I5682" s="455">
        <f t="shared" ca="1" si="195"/>
        <v>-7651766064379873</v>
      </c>
      <c r="J5682" s="455">
        <f t="array" ref="J5682">IFERROR(INDEX('Retirement Calculator'!K:K,MATCH('Lorri 401b'!N5682,'Retirement Calculator'!A:A,0),0),0)</f>
        <v>0</v>
      </c>
      <c r="K5682" s="455">
        <f t="shared" ca="1" si="193"/>
        <v>-31882358601582.805</v>
      </c>
      <c r="L5682" s="455">
        <f t="shared" ca="1" si="194"/>
        <v>-7683648422981456</v>
      </c>
      <c r="M5682" s="471">
        <f t="shared" si="196"/>
        <v>0.05</v>
      </c>
      <c r="N5682" s="475">
        <f t="shared" si="197"/>
        <v>223986</v>
      </c>
    </row>
    <row r="5683" spans="7:14" ht="11.25" customHeight="1" x14ac:dyDescent="0.3">
      <c r="G5683" s="470"/>
      <c r="H5683" s="470">
        <v>5676</v>
      </c>
      <c r="I5683" s="455">
        <f t="shared" ca="1" si="195"/>
        <v>-7683648422981456</v>
      </c>
      <c r="J5683" s="455">
        <f t="array" ref="J5683">IFERROR(INDEX('Retirement Calculator'!K:K,MATCH('Lorri 401b'!N5683,'Retirement Calculator'!A:A,0),0),0)</f>
        <v>0</v>
      </c>
      <c r="K5683" s="455">
        <f t="shared" ca="1" si="193"/>
        <v>-32015201762422.734</v>
      </c>
      <c r="L5683" s="455">
        <f t="shared" ca="1" si="194"/>
        <v>-7715663624743879</v>
      </c>
      <c r="M5683" s="471">
        <f t="shared" si="196"/>
        <v>0.05</v>
      </c>
      <c r="N5683" s="475">
        <f t="shared" si="197"/>
        <v>224016</v>
      </c>
    </row>
    <row r="5684" spans="7:14" ht="11.25" customHeight="1" x14ac:dyDescent="0.3">
      <c r="G5684" s="470"/>
      <c r="H5684" s="470">
        <v>5677</v>
      </c>
      <c r="I5684" s="455">
        <f t="shared" ca="1" si="195"/>
        <v>-7715663624743879</v>
      </c>
      <c r="J5684" s="455">
        <f t="array" ref="J5684">IFERROR(INDEX('Retirement Calculator'!K:K,MATCH('Lorri 401b'!N5684,'Retirement Calculator'!A:A,0),0),0)</f>
        <v>0</v>
      </c>
      <c r="K5684" s="455">
        <f t="shared" ca="1" si="193"/>
        <v>-32148598436432.828</v>
      </c>
      <c r="L5684" s="455">
        <f t="shared" ca="1" si="194"/>
        <v>-7747812223180312</v>
      </c>
      <c r="M5684" s="471">
        <f t="shared" si="196"/>
        <v>0.05</v>
      </c>
      <c r="N5684" s="475">
        <f t="shared" si="197"/>
        <v>224047</v>
      </c>
    </row>
    <row r="5685" spans="7:14" ht="11.25" customHeight="1" x14ac:dyDescent="0.3">
      <c r="G5685" s="470"/>
      <c r="H5685" s="470">
        <v>5678</v>
      </c>
      <c r="I5685" s="455">
        <f t="shared" ca="1" si="195"/>
        <v>-7747812223180312</v>
      </c>
      <c r="J5685" s="455">
        <f t="array" ref="J5685">IFERROR(INDEX('Retirement Calculator'!K:K,MATCH('Lorri 401b'!N5685,'Retirement Calculator'!A:A,0),0),0)</f>
        <v>0</v>
      </c>
      <c r="K5685" s="455">
        <f t="shared" ca="1" si="193"/>
        <v>-32282550929917.965</v>
      </c>
      <c r="L5685" s="455">
        <f t="shared" ca="1" si="194"/>
        <v>-7780094774110230</v>
      </c>
      <c r="M5685" s="471">
        <f t="shared" si="196"/>
        <v>0.05</v>
      </c>
      <c r="N5685" s="475">
        <f t="shared" si="197"/>
        <v>224077</v>
      </c>
    </row>
    <row r="5686" spans="7:14" ht="11.25" customHeight="1" x14ac:dyDescent="0.3">
      <c r="G5686" s="470"/>
      <c r="H5686" s="470">
        <v>5679</v>
      </c>
      <c r="I5686" s="455">
        <f t="shared" ca="1" si="195"/>
        <v>-7780094774110230</v>
      </c>
      <c r="J5686" s="455">
        <f t="array" ref="J5686">IFERROR(INDEX('Retirement Calculator'!K:K,MATCH('Lorri 401b'!N5686,'Retirement Calculator'!A:A,0),0),0)</f>
        <v>0</v>
      </c>
      <c r="K5686" s="455">
        <f t="shared" ca="1" si="193"/>
        <v>-32417061558792.621</v>
      </c>
      <c r="L5686" s="455">
        <f t="shared" ca="1" si="194"/>
        <v>-7812511835669023</v>
      </c>
      <c r="M5686" s="471">
        <f t="shared" si="196"/>
        <v>0.05</v>
      </c>
      <c r="N5686" s="475">
        <f t="shared" si="197"/>
        <v>224108</v>
      </c>
    </row>
    <row r="5687" spans="7:14" ht="11.25" customHeight="1" x14ac:dyDescent="0.3">
      <c r="G5687" s="470"/>
      <c r="H5687" s="470">
        <v>5680</v>
      </c>
      <c r="I5687" s="455">
        <f t="shared" ca="1" si="195"/>
        <v>-7812511835669023</v>
      </c>
      <c r="J5687" s="455">
        <f t="array" ref="J5687">IFERROR(INDEX('Retirement Calculator'!K:K,MATCH('Lorri 401b'!N5687,'Retirement Calculator'!A:A,0),0),0)</f>
        <v>0</v>
      </c>
      <c r="K5687" s="455">
        <f t="shared" ca="1" si="193"/>
        <v>-32552132648620.926</v>
      </c>
      <c r="L5687" s="455">
        <f t="shared" ca="1" si="194"/>
        <v>-7845063968317644</v>
      </c>
      <c r="M5687" s="471">
        <f t="shared" si="196"/>
        <v>0.05</v>
      </c>
      <c r="N5687" s="475">
        <f t="shared" si="197"/>
        <v>224139</v>
      </c>
    </row>
    <row r="5688" spans="7:14" ht="11.25" customHeight="1" x14ac:dyDescent="0.3">
      <c r="G5688" s="470"/>
      <c r="H5688" s="470">
        <v>5681</v>
      </c>
      <c r="I5688" s="455">
        <f t="shared" ca="1" si="195"/>
        <v>-7845063968317644</v>
      </c>
      <c r="J5688" s="455">
        <f t="array" ref="J5688">IFERROR(INDEX('Retirement Calculator'!K:K,MATCH('Lorri 401b'!N5688,'Retirement Calculator'!A:A,0),0),0)</f>
        <v>0</v>
      </c>
      <c r="K5688" s="455">
        <f t="shared" ca="1" si="193"/>
        <v>-32687766534656.848</v>
      </c>
      <c r="L5688" s="455">
        <f t="shared" ca="1" si="194"/>
        <v>-7877751734852301</v>
      </c>
      <c r="M5688" s="471">
        <f t="shared" si="196"/>
        <v>0.05</v>
      </c>
      <c r="N5688" s="475">
        <f t="shared" si="197"/>
        <v>224169</v>
      </c>
    </row>
    <row r="5689" spans="7:14" ht="11.25" customHeight="1" x14ac:dyDescent="0.3">
      <c r="G5689" s="470"/>
      <c r="H5689" s="470">
        <v>5682</v>
      </c>
      <c r="I5689" s="455">
        <f t="shared" ca="1" si="195"/>
        <v>-7877751734852301</v>
      </c>
      <c r="J5689" s="455">
        <f t="array" ref="J5689">IFERROR(INDEX('Retirement Calculator'!K:K,MATCH('Lorri 401b'!N5689,'Retirement Calculator'!A:A,0),0),0)</f>
        <v>0</v>
      </c>
      <c r="K5689" s="455">
        <f t="shared" ca="1" si="193"/>
        <v>-32823965561884.586</v>
      </c>
      <c r="L5689" s="455">
        <f t="shared" ca="1" si="194"/>
        <v>-7910575700414186</v>
      </c>
      <c r="M5689" s="471">
        <f t="shared" si="196"/>
        <v>0.05</v>
      </c>
      <c r="N5689" s="475">
        <f t="shared" si="197"/>
        <v>224200</v>
      </c>
    </row>
    <row r="5690" spans="7:14" ht="11.25" customHeight="1" x14ac:dyDescent="0.3">
      <c r="G5690" s="470"/>
      <c r="H5690" s="470">
        <v>5683</v>
      </c>
      <c r="I5690" s="455">
        <f t="shared" ca="1" si="195"/>
        <v>-7910575700414186</v>
      </c>
      <c r="J5690" s="455">
        <f t="array" ref="J5690">IFERROR(INDEX('Retirement Calculator'!K:K,MATCH('Lorri 401b'!N5690,'Retirement Calculator'!A:A,0),0),0)</f>
        <v>0</v>
      </c>
      <c r="K5690" s="455">
        <f t="shared" ca="1" si="193"/>
        <v>-32960732085059.109</v>
      </c>
      <c r="L5690" s="455">
        <f t="shared" ca="1" si="194"/>
        <v>-7943536432499245</v>
      </c>
      <c r="M5690" s="471">
        <f t="shared" si="196"/>
        <v>0.05</v>
      </c>
      <c r="N5690" s="475">
        <f t="shared" si="197"/>
        <v>224230</v>
      </c>
    </row>
    <row r="5691" spans="7:14" ht="11.25" customHeight="1" x14ac:dyDescent="0.3">
      <c r="G5691" s="470"/>
      <c r="H5691" s="470">
        <v>5684</v>
      </c>
      <c r="I5691" s="455">
        <f t="shared" ca="1" si="195"/>
        <v>-7943536432499245</v>
      </c>
      <c r="J5691" s="455">
        <f t="array" ref="J5691">IFERROR(INDEX('Retirement Calculator'!K:K,MATCH('Lorri 401b'!N5691,'Retirement Calculator'!A:A,0),0),0)</f>
        <v>0</v>
      </c>
      <c r="K5691" s="455">
        <f t="shared" ca="1" si="193"/>
        <v>-33098068468746.855</v>
      </c>
      <c r="L5691" s="455">
        <f t="shared" ca="1" si="194"/>
        <v>-7976634500967992</v>
      </c>
      <c r="M5691" s="471">
        <f t="shared" si="196"/>
        <v>0.05</v>
      </c>
      <c r="N5691" s="475">
        <f t="shared" si="197"/>
        <v>224261</v>
      </c>
    </row>
    <row r="5692" spans="7:14" ht="11.25" customHeight="1" x14ac:dyDescent="0.3">
      <c r="G5692" s="470"/>
      <c r="H5692" s="470">
        <v>5685</v>
      </c>
      <c r="I5692" s="455">
        <f t="shared" ca="1" si="195"/>
        <v>-7976634500967992</v>
      </c>
      <c r="J5692" s="455">
        <f t="array" ref="J5692">IFERROR(INDEX('Retirement Calculator'!K:K,MATCH('Lorri 401b'!N5692,'Retirement Calculator'!A:A,0),0),0)</f>
        <v>0</v>
      </c>
      <c r="K5692" s="455">
        <f t="shared" ca="1" si="193"/>
        <v>-33235977087366.633</v>
      </c>
      <c r="L5692" s="455">
        <f t="shared" ca="1" si="194"/>
        <v>-8009870478055359</v>
      </c>
      <c r="M5692" s="471">
        <f t="shared" si="196"/>
        <v>0.05</v>
      </c>
      <c r="N5692" s="475">
        <f t="shared" si="197"/>
        <v>224292</v>
      </c>
    </row>
    <row r="5693" spans="7:14" ht="11.25" customHeight="1" x14ac:dyDescent="0.3">
      <c r="G5693" s="470"/>
      <c r="H5693" s="470">
        <v>5686</v>
      </c>
      <c r="I5693" s="455">
        <f t="shared" ca="1" si="195"/>
        <v>-8009870478055359</v>
      </c>
      <c r="J5693" s="455">
        <f t="array" ref="J5693">IFERROR(INDEX('Retirement Calculator'!K:K,MATCH('Lorri 401b'!N5693,'Retirement Calculator'!A:A,0),0),0)</f>
        <v>0</v>
      </c>
      <c r="K5693" s="455">
        <f t="shared" ca="1" si="193"/>
        <v>-33374460325230.66</v>
      </c>
      <c r="L5693" s="455">
        <f t="shared" ca="1" si="194"/>
        <v>-8043244938380590</v>
      </c>
      <c r="M5693" s="471">
        <f t="shared" si="196"/>
        <v>0.05</v>
      </c>
      <c r="N5693" s="475">
        <f t="shared" si="197"/>
        <v>224320</v>
      </c>
    </row>
    <row r="5694" spans="7:14" ht="11.25" customHeight="1" x14ac:dyDescent="0.3">
      <c r="G5694" s="470"/>
      <c r="H5694" s="470">
        <v>5687</v>
      </c>
      <c r="I5694" s="455">
        <f t="shared" ca="1" si="195"/>
        <v>-8043244938380590</v>
      </c>
      <c r="J5694" s="455">
        <f t="array" ref="J5694">IFERROR(INDEX('Retirement Calculator'!K:K,MATCH('Lorri 401b'!N5694,'Retirement Calculator'!A:A,0),0),0)</f>
        <v>0</v>
      </c>
      <c r="K5694" s="455">
        <f t="shared" ca="1" si="193"/>
        <v>-33513520576585.793</v>
      </c>
      <c r="L5694" s="455">
        <f t="shared" ca="1" si="194"/>
        <v>-8076758458957176</v>
      </c>
      <c r="M5694" s="471">
        <f t="shared" si="196"/>
        <v>0.05</v>
      </c>
      <c r="N5694" s="475">
        <f t="shared" si="197"/>
        <v>224351</v>
      </c>
    </row>
    <row r="5695" spans="7:14" ht="11.25" customHeight="1" x14ac:dyDescent="0.3">
      <c r="G5695" s="470"/>
      <c r="H5695" s="470">
        <v>5688</v>
      </c>
      <c r="I5695" s="455">
        <f t="shared" ca="1" si="195"/>
        <v>-8076758458957176</v>
      </c>
      <c r="J5695" s="455">
        <f t="array" ref="J5695">IFERROR(INDEX('Retirement Calculator'!K:K,MATCH('Lorri 401b'!N5695,'Retirement Calculator'!A:A,0),0),0)</f>
        <v>0</v>
      </c>
      <c r="K5695" s="455">
        <f t="shared" ca="1" si="193"/>
        <v>-33653160245654.898</v>
      </c>
      <c r="L5695" s="455">
        <f t="shared" ca="1" si="194"/>
        <v>-8110411619202831</v>
      </c>
      <c r="M5695" s="471">
        <f t="shared" si="196"/>
        <v>0.05</v>
      </c>
      <c r="N5695" s="475">
        <f t="shared" si="197"/>
        <v>224381</v>
      </c>
    </row>
    <row r="5696" spans="7:14" ht="11.25" customHeight="1" x14ac:dyDescent="0.3">
      <c r="G5696" s="470"/>
      <c r="H5696" s="470">
        <v>5689</v>
      </c>
      <c r="I5696" s="455">
        <f t="shared" ca="1" si="195"/>
        <v>-8110411619202831</v>
      </c>
      <c r="J5696" s="455">
        <f t="array" ref="J5696">IFERROR(INDEX('Retirement Calculator'!K:K,MATCH('Lorri 401b'!N5696,'Retirement Calculator'!A:A,0),0),0)</f>
        <v>0</v>
      </c>
      <c r="K5696" s="455">
        <f t="shared" ca="1" si="193"/>
        <v>-33793381746678.461</v>
      </c>
      <c r="L5696" s="455">
        <f t="shared" ca="1" si="194"/>
        <v>-8144205000949509</v>
      </c>
      <c r="M5696" s="471">
        <f t="shared" si="196"/>
        <v>0.05</v>
      </c>
      <c r="N5696" s="475">
        <f t="shared" si="197"/>
        <v>224412</v>
      </c>
    </row>
    <row r="5697" spans="7:14" ht="11.25" customHeight="1" x14ac:dyDescent="0.3">
      <c r="G5697" s="470"/>
      <c r="H5697" s="470">
        <v>5690</v>
      </c>
      <c r="I5697" s="455">
        <f t="shared" ca="1" si="195"/>
        <v>-8144205000949509</v>
      </c>
      <c r="J5697" s="455">
        <f t="array" ref="J5697">IFERROR(INDEX('Retirement Calculator'!K:K,MATCH('Lorri 401b'!N5697,'Retirement Calculator'!A:A,0),0),0)</f>
        <v>0</v>
      </c>
      <c r="K5697" s="455">
        <f t="shared" ca="1" si="193"/>
        <v>-33934187503956.285</v>
      </c>
      <c r="L5697" s="455">
        <f t="shared" ca="1" si="194"/>
        <v>-8178139188453465</v>
      </c>
      <c r="M5697" s="471">
        <f t="shared" si="196"/>
        <v>0.05</v>
      </c>
      <c r="N5697" s="475">
        <f t="shared" si="197"/>
        <v>224442</v>
      </c>
    </row>
    <row r="5698" spans="7:14" ht="11.25" customHeight="1" x14ac:dyDescent="0.3">
      <c r="G5698" s="470"/>
      <c r="H5698" s="470">
        <v>5691</v>
      </c>
      <c r="I5698" s="455">
        <f t="shared" ca="1" si="195"/>
        <v>-8178139188453465</v>
      </c>
      <c r="J5698" s="455">
        <f t="array" ref="J5698">IFERROR(INDEX('Retirement Calculator'!K:K,MATCH('Lorri 401b'!N5698,'Retirement Calculator'!A:A,0),0),0)</f>
        <v>0</v>
      </c>
      <c r="K5698" s="455">
        <f t="shared" ca="1" si="193"/>
        <v>-34075579951889.438</v>
      </c>
      <c r="L5698" s="455">
        <f t="shared" ca="1" si="194"/>
        <v>-8212214768405354</v>
      </c>
      <c r="M5698" s="471">
        <f t="shared" si="196"/>
        <v>0.05</v>
      </c>
      <c r="N5698" s="475">
        <f t="shared" si="197"/>
        <v>224473</v>
      </c>
    </row>
    <row r="5699" spans="7:14" ht="11.25" customHeight="1" x14ac:dyDescent="0.3">
      <c r="G5699" s="470"/>
      <c r="H5699" s="470">
        <v>5692</v>
      </c>
      <c r="I5699" s="455">
        <f t="shared" ca="1" si="195"/>
        <v>-8212214768405354</v>
      </c>
      <c r="J5699" s="455">
        <f t="array" ref="J5699">IFERROR(INDEX('Retirement Calculator'!K:K,MATCH('Lorri 401b'!N5699,'Retirement Calculator'!A:A,0),0),0)</f>
        <v>0</v>
      </c>
      <c r="K5699" s="455">
        <f t="shared" ca="1" si="193"/>
        <v>-34217561535022.309</v>
      </c>
      <c r="L5699" s="455">
        <f t="shared" ca="1" si="194"/>
        <v>-8246432329940376</v>
      </c>
      <c r="M5699" s="471">
        <f t="shared" si="196"/>
        <v>0.05</v>
      </c>
      <c r="N5699" s="475">
        <f t="shared" si="197"/>
        <v>224504</v>
      </c>
    </row>
    <row r="5700" spans="7:14" ht="11.25" customHeight="1" x14ac:dyDescent="0.3">
      <c r="G5700" s="470"/>
      <c r="H5700" s="470">
        <v>5693</v>
      </c>
      <c r="I5700" s="455">
        <f t="shared" ca="1" si="195"/>
        <v>-8246432329940376</v>
      </c>
      <c r="J5700" s="455">
        <f t="array" ref="J5700">IFERROR(INDEX('Retirement Calculator'!K:K,MATCH('Lorri 401b'!N5700,'Retirement Calculator'!A:A,0),0),0)</f>
        <v>0</v>
      </c>
      <c r="K5700" s="455">
        <f t="shared" ca="1" si="193"/>
        <v>-34360134708084.898</v>
      </c>
      <c r="L5700" s="455">
        <f t="shared" ca="1" si="194"/>
        <v>-8280792464648461</v>
      </c>
      <c r="M5700" s="471">
        <f t="shared" si="196"/>
        <v>0.05</v>
      </c>
      <c r="N5700" s="475">
        <f t="shared" si="197"/>
        <v>224534</v>
      </c>
    </row>
    <row r="5701" spans="7:14" ht="11.25" customHeight="1" x14ac:dyDescent="0.3">
      <c r="G5701" s="470"/>
      <c r="H5701" s="470">
        <v>5694</v>
      </c>
      <c r="I5701" s="455">
        <f t="shared" ca="1" si="195"/>
        <v>-8280792464648461</v>
      </c>
      <c r="J5701" s="455">
        <f t="array" ref="J5701">IFERROR(INDEX('Retirement Calculator'!K:K,MATCH('Lorri 401b'!N5701,'Retirement Calculator'!A:A,0),0),0)</f>
        <v>0</v>
      </c>
      <c r="K5701" s="455">
        <f t="shared" ca="1" si="193"/>
        <v>-34503301936035.254</v>
      </c>
      <c r="L5701" s="455">
        <f t="shared" ca="1" si="194"/>
        <v>-8315295766584496</v>
      </c>
      <c r="M5701" s="471">
        <f t="shared" si="196"/>
        <v>0.05</v>
      </c>
      <c r="N5701" s="475">
        <f t="shared" si="197"/>
        <v>224565</v>
      </c>
    </row>
    <row r="5702" spans="7:14" ht="11.25" customHeight="1" x14ac:dyDescent="0.3">
      <c r="G5702" s="470"/>
      <c r="H5702" s="470">
        <v>5695</v>
      </c>
      <c r="I5702" s="455">
        <f t="shared" ca="1" si="195"/>
        <v>-8315295766584496</v>
      </c>
      <c r="J5702" s="455">
        <f t="array" ref="J5702">IFERROR(INDEX('Retirement Calculator'!K:K,MATCH('Lorri 401b'!N5702,'Retirement Calculator'!A:A,0),0),0)</f>
        <v>0</v>
      </c>
      <c r="K5702" s="455">
        <f t="shared" ca="1" si="193"/>
        <v>-34647065694102.063</v>
      </c>
      <c r="L5702" s="455">
        <f t="shared" ca="1" si="194"/>
        <v>-8349942832278598</v>
      </c>
      <c r="M5702" s="471">
        <f t="shared" si="196"/>
        <v>0.05</v>
      </c>
      <c r="N5702" s="475">
        <f t="shared" si="197"/>
        <v>224595</v>
      </c>
    </row>
    <row r="5703" spans="7:14" ht="11.25" customHeight="1" x14ac:dyDescent="0.3">
      <c r="G5703" s="470"/>
      <c r="H5703" s="470">
        <v>5696</v>
      </c>
      <c r="I5703" s="455">
        <f t="shared" ca="1" si="195"/>
        <v>-8349942832278598</v>
      </c>
      <c r="J5703" s="455">
        <f t="array" ref="J5703">IFERROR(INDEX('Retirement Calculator'!K:K,MATCH('Lorri 401b'!N5703,'Retirement Calculator'!A:A,0),0),0)</f>
        <v>0</v>
      </c>
      <c r="K5703" s="455">
        <f t="shared" ca="1" si="193"/>
        <v>-34791428467827.492</v>
      </c>
      <c r="L5703" s="455">
        <f t="shared" ca="1" si="194"/>
        <v>-8384734260746425</v>
      </c>
      <c r="M5703" s="471">
        <f t="shared" si="196"/>
        <v>0.05</v>
      </c>
      <c r="N5703" s="475">
        <f t="shared" si="197"/>
        <v>224626</v>
      </c>
    </row>
    <row r="5704" spans="7:14" ht="11.25" customHeight="1" x14ac:dyDescent="0.3">
      <c r="G5704" s="470"/>
      <c r="H5704" s="470">
        <v>5697</v>
      </c>
      <c r="I5704" s="455">
        <f t="shared" ca="1" si="195"/>
        <v>-8384734260746425</v>
      </c>
      <c r="J5704" s="455">
        <f t="array" ref="J5704">IFERROR(INDEX('Retirement Calculator'!K:K,MATCH('Lorri 401b'!N5704,'Retirement Calculator'!A:A,0),0),0)</f>
        <v>0</v>
      </c>
      <c r="K5704" s="455">
        <f t="shared" ca="1" si="193"/>
        <v>-34936392753110.105</v>
      </c>
      <c r="L5704" s="455">
        <f t="shared" ca="1" si="194"/>
        <v>-8419670653499535</v>
      </c>
      <c r="M5704" s="471">
        <f t="shared" si="196"/>
        <v>0.05</v>
      </c>
      <c r="N5704" s="475">
        <f t="shared" si="197"/>
        <v>224657</v>
      </c>
    </row>
    <row r="5705" spans="7:14" ht="11.25" customHeight="1" x14ac:dyDescent="0.3">
      <c r="G5705" s="470"/>
      <c r="H5705" s="470">
        <v>5698</v>
      </c>
      <c r="I5705" s="455">
        <f t="shared" ca="1" si="195"/>
        <v>-8419670653499535</v>
      </c>
      <c r="J5705" s="455">
        <f t="array" ref="J5705">IFERROR(INDEX('Retirement Calculator'!K:K,MATCH('Lorri 401b'!N5705,'Retirement Calculator'!A:A,0),0),0)</f>
        <v>0</v>
      </c>
      <c r="K5705" s="455">
        <f t="shared" ca="1" si="193"/>
        <v>-35081961056248.059</v>
      </c>
      <c r="L5705" s="455">
        <f t="shared" ca="1" si="194"/>
        <v>-8454752614555783</v>
      </c>
      <c r="M5705" s="471">
        <f t="shared" si="196"/>
        <v>0.05</v>
      </c>
      <c r="N5705" s="475">
        <f t="shared" si="197"/>
        <v>224685</v>
      </c>
    </row>
    <row r="5706" spans="7:14" ht="11.25" customHeight="1" x14ac:dyDescent="0.3">
      <c r="G5706" s="470"/>
      <c r="H5706" s="470">
        <v>5699</v>
      </c>
      <c r="I5706" s="455">
        <f t="shared" ca="1" si="195"/>
        <v>-8454752614555783</v>
      </c>
      <c r="J5706" s="455">
        <f t="array" ref="J5706">IFERROR(INDEX('Retirement Calculator'!K:K,MATCH('Lorri 401b'!N5706,'Retirement Calculator'!A:A,0),0),0)</f>
        <v>0</v>
      </c>
      <c r="K5706" s="455">
        <f t="shared" ca="1" si="193"/>
        <v>-35228135893982.43</v>
      </c>
      <c r="L5706" s="455">
        <f t="shared" ca="1" si="194"/>
        <v>-8489980750449765</v>
      </c>
      <c r="M5706" s="471">
        <f t="shared" si="196"/>
        <v>0.05</v>
      </c>
      <c r="N5706" s="475">
        <f t="shared" si="197"/>
        <v>224716</v>
      </c>
    </row>
    <row r="5707" spans="7:14" ht="11.25" customHeight="1" x14ac:dyDescent="0.3">
      <c r="G5707" s="470"/>
      <c r="H5707" s="470">
        <v>5700</v>
      </c>
      <c r="I5707" s="455">
        <f t="shared" ca="1" si="195"/>
        <v>-8489980750449765</v>
      </c>
      <c r="J5707" s="455">
        <f t="array" ref="J5707">IFERROR(INDEX('Retirement Calculator'!K:K,MATCH('Lorri 401b'!N5707,'Retirement Calculator'!A:A,0),0),0)</f>
        <v>0</v>
      </c>
      <c r="K5707" s="455">
        <f t="shared" ca="1" si="193"/>
        <v>-35374919793540.688</v>
      </c>
      <c r="L5707" s="455">
        <f t="shared" ca="1" si="194"/>
        <v>-8525355670243306</v>
      </c>
      <c r="M5707" s="471">
        <f t="shared" si="196"/>
        <v>0.05</v>
      </c>
      <c r="N5707" s="475">
        <f t="shared" si="197"/>
        <v>224746</v>
      </c>
    </row>
    <row r="5708" spans="7:14" ht="11.25" customHeight="1" x14ac:dyDescent="0.3">
      <c r="G5708" s="470"/>
      <c r="H5708" s="470">
        <v>5701</v>
      </c>
      <c r="I5708" s="455">
        <f t="shared" ca="1" si="195"/>
        <v>-8525355670243306</v>
      </c>
      <c r="J5708" s="455">
        <f t="array" ref="J5708">IFERROR(INDEX('Retirement Calculator'!K:K,MATCH('Lorri 401b'!N5708,'Retirement Calculator'!A:A,0),0),0)</f>
        <v>0</v>
      </c>
      <c r="K5708" s="455">
        <f t="shared" ca="1" si="193"/>
        <v>-35522315292680.438</v>
      </c>
      <c r="L5708" s="455">
        <f t="shared" ca="1" si="194"/>
        <v>-8560877985535986</v>
      </c>
      <c r="M5708" s="471">
        <f t="shared" si="196"/>
        <v>0.05</v>
      </c>
      <c r="N5708" s="475">
        <f t="shared" si="197"/>
        <v>224777</v>
      </c>
    </row>
    <row r="5709" spans="7:14" ht="11.25" customHeight="1" x14ac:dyDescent="0.3">
      <c r="G5709" s="470"/>
      <c r="H5709" s="470">
        <v>5702</v>
      </c>
      <c r="I5709" s="455">
        <f t="shared" ca="1" si="195"/>
        <v>-8560877985535986</v>
      </c>
      <c r="J5709" s="455">
        <f t="array" ref="J5709">IFERROR(INDEX('Retirement Calculator'!K:K,MATCH('Lorri 401b'!N5709,'Retirement Calculator'!A:A,0),0),0)</f>
        <v>0</v>
      </c>
      <c r="K5709" s="455">
        <f t="shared" ca="1" si="193"/>
        <v>-35670324939733.273</v>
      </c>
      <c r="L5709" s="455">
        <f t="shared" ca="1" si="194"/>
        <v>-8596548310475719</v>
      </c>
      <c r="M5709" s="471">
        <f t="shared" si="196"/>
        <v>0.05</v>
      </c>
      <c r="N5709" s="475">
        <f t="shared" si="197"/>
        <v>224807</v>
      </c>
    </row>
    <row r="5710" spans="7:14" ht="11.25" customHeight="1" x14ac:dyDescent="0.3">
      <c r="G5710" s="470"/>
      <c r="H5710" s="470">
        <v>5703</v>
      </c>
      <c r="I5710" s="455">
        <f t="shared" ca="1" si="195"/>
        <v>-8596548310475719</v>
      </c>
      <c r="J5710" s="455">
        <f t="array" ref="J5710">IFERROR(INDEX('Retirement Calculator'!K:K,MATCH('Lorri 401b'!N5710,'Retirement Calculator'!A:A,0),0),0)</f>
        <v>0</v>
      </c>
      <c r="K5710" s="455">
        <f t="shared" ca="1" si="193"/>
        <v>-35818951293648.828</v>
      </c>
      <c r="L5710" s="455">
        <f t="shared" ca="1" si="194"/>
        <v>-8632367261769368</v>
      </c>
      <c r="M5710" s="471">
        <f t="shared" si="196"/>
        <v>0.05</v>
      </c>
      <c r="N5710" s="475">
        <f t="shared" si="197"/>
        <v>224838</v>
      </c>
    </row>
    <row r="5711" spans="7:14" ht="11.25" customHeight="1" x14ac:dyDescent="0.3">
      <c r="G5711" s="470"/>
      <c r="H5711" s="470">
        <v>5704</v>
      </c>
      <c r="I5711" s="455">
        <f t="shared" ca="1" si="195"/>
        <v>-8632367261769368</v>
      </c>
      <c r="J5711" s="455">
        <f t="array" ref="J5711">IFERROR(INDEX('Retirement Calculator'!K:K,MATCH('Lorri 401b'!N5711,'Retirement Calculator'!A:A,0),0),0)</f>
        <v>0</v>
      </c>
      <c r="K5711" s="455">
        <f t="shared" ca="1" si="193"/>
        <v>-35968196924039.031</v>
      </c>
      <c r="L5711" s="455">
        <f t="shared" ca="1" si="194"/>
        <v>-8668335458693407</v>
      </c>
      <c r="M5711" s="471">
        <f t="shared" si="196"/>
        <v>0.05</v>
      </c>
      <c r="N5711" s="475">
        <f t="shared" si="197"/>
        <v>224869</v>
      </c>
    </row>
    <row r="5712" spans="7:14" ht="11.25" customHeight="1" x14ac:dyDescent="0.3">
      <c r="G5712" s="470"/>
      <c r="H5712" s="470">
        <v>5705</v>
      </c>
      <c r="I5712" s="455">
        <f t="shared" ca="1" si="195"/>
        <v>-8668335458693407</v>
      </c>
      <c r="J5712" s="455">
        <f t="array" ref="J5712">IFERROR(INDEX('Retirement Calculator'!K:K,MATCH('Lorri 401b'!N5712,'Retirement Calculator'!A:A,0),0),0)</f>
        <v>0</v>
      </c>
      <c r="K5712" s="455">
        <f t="shared" ca="1" si="193"/>
        <v>-36118064411222.531</v>
      </c>
      <c r="L5712" s="455">
        <f t="shared" ca="1" si="194"/>
        <v>-8704453523104630</v>
      </c>
      <c r="M5712" s="471">
        <f t="shared" si="196"/>
        <v>0.05</v>
      </c>
      <c r="N5712" s="475">
        <f t="shared" si="197"/>
        <v>224899</v>
      </c>
    </row>
    <row r="5713" spans="7:14" ht="11.25" customHeight="1" x14ac:dyDescent="0.3">
      <c r="G5713" s="470"/>
      <c r="H5713" s="470">
        <v>5706</v>
      </c>
      <c r="I5713" s="455">
        <f t="shared" ca="1" si="195"/>
        <v>-8704453523104630</v>
      </c>
      <c r="J5713" s="455">
        <f t="array" ref="J5713">IFERROR(INDEX('Retirement Calculator'!K:K,MATCH('Lorri 401b'!N5713,'Retirement Calculator'!A:A,0),0),0)</f>
        <v>0</v>
      </c>
      <c r="K5713" s="455">
        <f t="shared" ca="1" si="193"/>
        <v>-36268556346269.289</v>
      </c>
      <c r="L5713" s="455">
        <f t="shared" ca="1" si="194"/>
        <v>-8740722079450899</v>
      </c>
      <c r="M5713" s="471">
        <f t="shared" si="196"/>
        <v>0.05</v>
      </c>
      <c r="N5713" s="475">
        <f t="shared" si="197"/>
        <v>224930</v>
      </c>
    </row>
    <row r="5714" spans="7:14" ht="11.25" customHeight="1" x14ac:dyDescent="0.3">
      <c r="G5714" s="470"/>
      <c r="H5714" s="470">
        <v>5707</v>
      </c>
      <c r="I5714" s="455">
        <f t="shared" ca="1" si="195"/>
        <v>-8740722079450899</v>
      </c>
      <c r="J5714" s="455">
        <f t="array" ref="J5714">IFERROR(INDEX('Retirement Calculator'!K:K,MATCH('Lorri 401b'!N5714,'Retirement Calculator'!A:A,0),0),0)</f>
        <v>0</v>
      </c>
      <c r="K5714" s="455">
        <f t="shared" ca="1" si="193"/>
        <v>-36419675331045.414</v>
      </c>
      <c r="L5714" s="455">
        <f t="shared" ca="1" si="194"/>
        <v>-8777141754781944</v>
      </c>
      <c r="M5714" s="471">
        <f t="shared" si="196"/>
        <v>0.05</v>
      </c>
      <c r="N5714" s="475">
        <f t="shared" si="197"/>
        <v>224960</v>
      </c>
    </row>
    <row r="5715" spans="7:14" ht="11.25" customHeight="1" x14ac:dyDescent="0.3">
      <c r="G5715" s="470"/>
      <c r="H5715" s="470">
        <v>5708</v>
      </c>
      <c r="I5715" s="455">
        <f t="shared" ca="1" si="195"/>
        <v>-8777141754781944</v>
      </c>
      <c r="J5715" s="455">
        <f t="array" ref="J5715">IFERROR(INDEX('Retirement Calculator'!K:K,MATCH('Lorri 401b'!N5715,'Retirement Calculator'!A:A,0),0),0)</f>
        <v>0</v>
      </c>
      <c r="K5715" s="455">
        <f t="shared" ca="1" si="193"/>
        <v>-36571423978258.102</v>
      </c>
      <c r="L5715" s="455">
        <f t="shared" ca="1" si="194"/>
        <v>-8813713178760202</v>
      </c>
      <c r="M5715" s="471">
        <f t="shared" si="196"/>
        <v>0.05</v>
      </c>
      <c r="N5715" s="475">
        <f t="shared" si="197"/>
        <v>224991</v>
      </c>
    </row>
    <row r="5716" spans="7:14" ht="11.25" customHeight="1" x14ac:dyDescent="0.3">
      <c r="G5716" s="470"/>
      <c r="H5716" s="470">
        <v>5709</v>
      </c>
      <c r="I5716" s="455">
        <f t="shared" ca="1" si="195"/>
        <v>-8813713178760202</v>
      </c>
      <c r="J5716" s="455">
        <f t="array" ref="J5716">IFERROR(INDEX('Retirement Calculator'!K:K,MATCH('Lorri 401b'!N5716,'Retirement Calculator'!A:A,0),0),0)</f>
        <v>0</v>
      </c>
      <c r="K5716" s="455">
        <f t="shared" ca="1" si="193"/>
        <v>-36723804911500.836</v>
      </c>
      <c r="L5716" s="455">
        <f t="shared" ca="1" si="194"/>
        <v>-8850436983671703</v>
      </c>
      <c r="M5716" s="471">
        <f t="shared" si="196"/>
        <v>0.05</v>
      </c>
      <c r="N5716" s="475">
        <f t="shared" si="197"/>
        <v>225022</v>
      </c>
    </row>
    <row r="5717" spans="7:14" ht="11.25" customHeight="1" x14ac:dyDescent="0.3">
      <c r="G5717" s="470"/>
      <c r="H5717" s="470">
        <v>5710</v>
      </c>
      <c r="I5717" s="455">
        <f t="shared" ca="1" si="195"/>
        <v>-8850436983671703</v>
      </c>
      <c r="J5717" s="455">
        <f t="array" ref="J5717">IFERROR(INDEX('Retirement Calculator'!K:K,MATCH('Lorri 401b'!N5717,'Retirement Calculator'!A:A,0),0),0)</f>
        <v>0</v>
      </c>
      <c r="K5717" s="455">
        <f t="shared" ca="1" si="193"/>
        <v>-36876820765298.766</v>
      </c>
      <c r="L5717" s="455">
        <f t="shared" ca="1" si="194"/>
        <v>-8887313804437002</v>
      </c>
      <c r="M5717" s="471">
        <f t="shared" si="196"/>
        <v>0.05</v>
      </c>
      <c r="N5717" s="475">
        <f t="shared" si="197"/>
        <v>225051</v>
      </c>
    </row>
    <row r="5718" spans="7:14" ht="11.25" customHeight="1" x14ac:dyDescent="0.3">
      <c r="G5718" s="470"/>
      <c r="H5718" s="470">
        <v>5711</v>
      </c>
      <c r="I5718" s="455">
        <f t="shared" ca="1" si="195"/>
        <v>-8887313804437002</v>
      </c>
      <c r="J5718" s="455">
        <f t="array" ref="J5718">IFERROR(INDEX('Retirement Calculator'!K:K,MATCH('Lorri 401b'!N5718,'Retirement Calculator'!A:A,0),0),0)</f>
        <v>0</v>
      </c>
      <c r="K5718" s="455">
        <f t="shared" ca="1" si="193"/>
        <v>-37030474185154.172</v>
      </c>
      <c r="L5718" s="455">
        <f t="shared" ca="1" si="194"/>
        <v>-8924344278622156</v>
      </c>
      <c r="M5718" s="471">
        <f t="shared" si="196"/>
        <v>0.05</v>
      </c>
      <c r="N5718" s="475">
        <f t="shared" si="197"/>
        <v>225082</v>
      </c>
    </row>
    <row r="5719" spans="7:14" ht="11.25" customHeight="1" x14ac:dyDescent="0.3">
      <c r="G5719" s="470"/>
      <c r="H5719" s="470">
        <v>5712</v>
      </c>
      <c r="I5719" s="455">
        <f t="shared" ca="1" si="195"/>
        <v>-8924344278622156</v>
      </c>
      <c r="J5719" s="455">
        <f t="array" ref="J5719">IFERROR(INDEX('Retirement Calculator'!K:K,MATCH('Lorri 401b'!N5719,'Retirement Calculator'!A:A,0),0),0)</f>
        <v>0</v>
      </c>
      <c r="K5719" s="455">
        <f t="shared" ca="1" si="193"/>
        <v>-37184767827592.313</v>
      </c>
      <c r="L5719" s="455">
        <f t="shared" ca="1" si="194"/>
        <v>-8961529046449748</v>
      </c>
      <c r="M5719" s="471">
        <f t="shared" si="196"/>
        <v>0.05</v>
      </c>
      <c r="N5719" s="475">
        <f t="shared" si="197"/>
        <v>225112</v>
      </c>
    </row>
    <row r="5720" spans="7:14" ht="11.25" customHeight="1" x14ac:dyDescent="0.3">
      <c r="G5720" s="470"/>
      <c r="H5720" s="470">
        <v>5713</v>
      </c>
      <c r="I5720" s="455">
        <f t="shared" ca="1" si="195"/>
        <v>-8961529046449748</v>
      </c>
      <c r="J5720" s="455">
        <f t="array" ref="J5720">IFERROR(INDEX('Retirement Calculator'!K:K,MATCH('Lorri 401b'!N5720,'Retirement Calculator'!A:A,0),0),0)</f>
        <v>0</v>
      </c>
      <c r="K5720" s="455">
        <f t="shared" ca="1" si="193"/>
        <v>-37339704360207.281</v>
      </c>
      <c r="L5720" s="455">
        <f t="shared" ca="1" si="194"/>
        <v>-8998868750809955</v>
      </c>
      <c r="M5720" s="471">
        <f t="shared" si="196"/>
        <v>0.05</v>
      </c>
      <c r="N5720" s="475">
        <f t="shared" si="197"/>
        <v>225143</v>
      </c>
    </row>
    <row r="5721" spans="7:14" ht="11.25" customHeight="1" x14ac:dyDescent="0.3">
      <c r="G5721" s="470"/>
      <c r="H5721" s="470">
        <v>5714</v>
      </c>
      <c r="I5721" s="455">
        <f t="shared" ca="1" si="195"/>
        <v>-8998868750809955</v>
      </c>
      <c r="J5721" s="455">
        <f t="array" ref="J5721">IFERROR(INDEX('Retirement Calculator'!K:K,MATCH('Lorri 401b'!N5721,'Retirement Calculator'!A:A,0),0),0)</f>
        <v>0</v>
      </c>
      <c r="K5721" s="455">
        <f t="shared" ca="1" si="193"/>
        <v>-37495286461708.148</v>
      </c>
      <c r="L5721" s="455">
        <f t="shared" ca="1" si="194"/>
        <v>-9036364037271664</v>
      </c>
      <c r="M5721" s="471">
        <f t="shared" si="196"/>
        <v>0.05</v>
      </c>
      <c r="N5721" s="475">
        <f t="shared" si="197"/>
        <v>225173</v>
      </c>
    </row>
    <row r="5722" spans="7:14" ht="11.25" customHeight="1" x14ac:dyDescent="0.3">
      <c r="G5722" s="470"/>
      <c r="H5722" s="470">
        <v>5715</v>
      </c>
      <c r="I5722" s="455">
        <f t="shared" ca="1" si="195"/>
        <v>-9036364037271664</v>
      </c>
      <c r="J5722" s="455">
        <f t="array" ref="J5722">IFERROR(INDEX('Retirement Calculator'!K:K,MATCH('Lorri 401b'!N5722,'Retirement Calculator'!A:A,0),0),0)</f>
        <v>0</v>
      </c>
      <c r="K5722" s="455">
        <f t="shared" ca="1" si="193"/>
        <v>-37651516821965.266</v>
      </c>
      <c r="L5722" s="455">
        <f t="shared" ca="1" si="194"/>
        <v>-9074015554093630</v>
      </c>
      <c r="M5722" s="471">
        <f t="shared" si="196"/>
        <v>0.05</v>
      </c>
      <c r="N5722" s="475">
        <f t="shared" si="197"/>
        <v>225204</v>
      </c>
    </row>
    <row r="5723" spans="7:14" ht="11.25" customHeight="1" x14ac:dyDescent="0.3">
      <c r="G5723" s="470"/>
      <c r="H5723" s="470">
        <v>5716</v>
      </c>
      <c r="I5723" s="455">
        <f t="shared" ca="1" si="195"/>
        <v>-9074015554093630</v>
      </c>
      <c r="J5723" s="455">
        <f t="array" ref="J5723">IFERROR(INDEX('Retirement Calculator'!K:K,MATCH('Lorri 401b'!N5723,'Retirement Calculator'!A:A,0),0),0)</f>
        <v>0</v>
      </c>
      <c r="K5723" s="455">
        <f t="shared" ca="1" si="193"/>
        <v>-37808398142056.789</v>
      </c>
      <c r="L5723" s="455">
        <f t="shared" ca="1" si="194"/>
        <v>-9111823952235686</v>
      </c>
      <c r="M5723" s="471">
        <f t="shared" si="196"/>
        <v>0.05</v>
      </c>
      <c r="N5723" s="475">
        <f t="shared" si="197"/>
        <v>225235</v>
      </c>
    </row>
    <row r="5724" spans="7:14" ht="11.25" customHeight="1" x14ac:dyDescent="0.3">
      <c r="G5724" s="470"/>
      <c r="H5724" s="470">
        <v>5717</v>
      </c>
      <c r="I5724" s="455">
        <f t="shared" ca="1" si="195"/>
        <v>-9111823952235686</v>
      </c>
      <c r="J5724" s="455">
        <f t="array" ref="J5724">IFERROR(INDEX('Retirement Calculator'!K:K,MATCH('Lorri 401b'!N5724,'Retirement Calculator'!A:A,0),0),0)</f>
        <v>0</v>
      </c>
      <c r="K5724" s="455">
        <f t="shared" ca="1" si="193"/>
        <v>-37965933134315.359</v>
      </c>
      <c r="L5724" s="455">
        <f t="shared" ca="1" si="194"/>
        <v>-9149789885370002</v>
      </c>
      <c r="M5724" s="471">
        <f t="shared" si="196"/>
        <v>0.05</v>
      </c>
      <c r="N5724" s="475">
        <f t="shared" si="197"/>
        <v>225265</v>
      </c>
    </row>
    <row r="5725" spans="7:14" ht="11.25" customHeight="1" x14ac:dyDescent="0.3">
      <c r="G5725" s="470"/>
      <c r="H5725" s="470">
        <v>5718</v>
      </c>
      <c r="I5725" s="455">
        <f t="shared" ca="1" si="195"/>
        <v>-9149789885370002</v>
      </c>
      <c r="J5725" s="455">
        <f t="array" ref="J5725">IFERROR(INDEX('Retirement Calculator'!K:K,MATCH('Lorri 401b'!N5725,'Retirement Calculator'!A:A,0),0),0)</f>
        <v>0</v>
      </c>
      <c r="K5725" s="455">
        <f t="shared" ca="1" si="193"/>
        <v>-38124124522375.008</v>
      </c>
      <c r="L5725" s="455">
        <f t="shared" ca="1" si="194"/>
        <v>-9187914009892378</v>
      </c>
      <c r="M5725" s="471">
        <f t="shared" si="196"/>
        <v>0.05</v>
      </c>
      <c r="N5725" s="475">
        <f t="shared" si="197"/>
        <v>225296</v>
      </c>
    </row>
    <row r="5726" spans="7:14" ht="11.25" customHeight="1" x14ac:dyDescent="0.3">
      <c r="G5726" s="470"/>
      <c r="H5726" s="470">
        <v>5719</v>
      </c>
      <c r="I5726" s="455">
        <f t="shared" ca="1" si="195"/>
        <v>-9187914009892378</v>
      </c>
      <c r="J5726" s="455">
        <f t="array" ref="J5726">IFERROR(INDEX('Retirement Calculator'!K:K,MATCH('Lorri 401b'!N5726,'Retirement Calculator'!A:A,0),0),0)</f>
        <v>0</v>
      </c>
      <c r="K5726" s="455">
        <f t="shared" ca="1" si="193"/>
        <v>-38282975041218.242</v>
      </c>
      <c r="L5726" s="455">
        <f t="shared" ca="1" si="194"/>
        <v>-9226196984933596</v>
      </c>
      <c r="M5726" s="471">
        <f t="shared" si="196"/>
        <v>0.05</v>
      </c>
      <c r="N5726" s="475">
        <f t="shared" si="197"/>
        <v>225326</v>
      </c>
    </row>
    <row r="5727" spans="7:14" ht="11.25" customHeight="1" x14ac:dyDescent="0.3">
      <c r="G5727" s="470"/>
      <c r="H5727" s="470">
        <v>5720</v>
      </c>
      <c r="I5727" s="455">
        <f t="shared" ca="1" si="195"/>
        <v>-9226196984933596</v>
      </c>
      <c r="J5727" s="455">
        <f t="array" ref="J5727">IFERROR(INDEX('Retirement Calculator'!K:K,MATCH('Lorri 401b'!N5727,'Retirement Calculator'!A:A,0),0),0)</f>
        <v>0</v>
      </c>
      <c r="K5727" s="455">
        <f t="shared" ca="1" si="193"/>
        <v>-38442487437223.313</v>
      </c>
      <c r="L5727" s="455">
        <f t="shared" ca="1" si="194"/>
        <v>-9264639472370820</v>
      </c>
      <c r="M5727" s="471">
        <f t="shared" si="196"/>
        <v>0.05</v>
      </c>
      <c r="N5727" s="475">
        <f t="shared" si="197"/>
        <v>225357</v>
      </c>
    </row>
    <row r="5728" spans="7:14" ht="11.25" customHeight="1" x14ac:dyDescent="0.3">
      <c r="G5728" s="470"/>
      <c r="H5728" s="470">
        <v>5721</v>
      </c>
      <c r="I5728" s="455">
        <f t="shared" ca="1" si="195"/>
        <v>-9264639472370820</v>
      </c>
      <c r="J5728" s="455">
        <f t="array" ref="J5728">IFERROR(INDEX('Retirement Calculator'!K:K,MATCH('Lorri 401b'!N5728,'Retirement Calculator'!A:A,0),0),0)</f>
        <v>0</v>
      </c>
      <c r="K5728" s="455">
        <f t="shared" ca="1" si="193"/>
        <v>-38602664468211.75</v>
      </c>
      <c r="L5728" s="455">
        <f t="shared" ca="1" si="194"/>
        <v>-9303242136839032</v>
      </c>
      <c r="M5728" s="471">
        <f t="shared" si="196"/>
        <v>0.05</v>
      </c>
      <c r="N5728" s="475">
        <f t="shared" si="197"/>
        <v>225388</v>
      </c>
    </row>
    <row r="5729" spans="7:14" ht="11.25" customHeight="1" x14ac:dyDescent="0.3">
      <c r="G5729" s="470"/>
      <c r="H5729" s="470">
        <v>5722</v>
      </c>
      <c r="I5729" s="455">
        <f t="shared" ca="1" si="195"/>
        <v>-9303242136839032</v>
      </c>
      <c r="J5729" s="455">
        <f t="array" ref="J5729">IFERROR(INDEX('Retirement Calculator'!K:K,MATCH('Lorri 401b'!N5729,'Retirement Calculator'!A:A,0),0),0)</f>
        <v>0</v>
      </c>
      <c r="K5729" s="455">
        <f t="shared" ca="1" si="193"/>
        <v>-38763508903495.969</v>
      </c>
      <c r="L5729" s="455">
        <f t="shared" ca="1" si="194"/>
        <v>-9342005645742528</v>
      </c>
      <c r="M5729" s="471">
        <f t="shared" si="196"/>
        <v>0.05</v>
      </c>
      <c r="N5729" s="475">
        <f t="shared" si="197"/>
        <v>225416</v>
      </c>
    </row>
    <row r="5730" spans="7:14" ht="11.25" customHeight="1" x14ac:dyDescent="0.3">
      <c r="G5730" s="470"/>
      <c r="H5730" s="470">
        <v>5723</v>
      </c>
      <c r="I5730" s="455">
        <f t="shared" ca="1" si="195"/>
        <v>-9342005645742528</v>
      </c>
      <c r="J5730" s="455">
        <f t="array" ref="J5730">IFERROR(INDEX('Retirement Calculator'!K:K,MATCH('Lorri 401b'!N5730,'Retirement Calculator'!A:A,0),0),0)</f>
        <v>0</v>
      </c>
      <c r="K5730" s="455">
        <f t="shared" ca="1" si="193"/>
        <v>-38925023523927.203</v>
      </c>
      <c r="L5730" s="455">
        <f t="shared" ca="1" si="194"/>
        <v>-9380930669266456</v>
      </c>
      <c r="M5730" s="471">
        <f t="shared" si="196"/>
        <v>0.05</v>
      </c>
      <c r="N5730" s="475">
        <f t="shared" si="197"/>
        <v>225447</v>
      </c>
    </row>
    <row r="5731" spans="7:14" ht="11.25" customHeight="1" x14ac:dyDescent="0.3">
      <c r="G5731" s="470"/>
      <c r="H5731" s="470">
        <v>5724</v>
      </c>
      <c r="I5731" s="455">
        <f t="shared" ca="1" si="195"/>
        <v>-9380930669266456</v>
      </c>
      <c r="J5731" s="455">
        <f t="array" ref="J5731">IFERROR(INDEX('Retirement Calculator'!K:K,MATCH('Lorri 401b'!N5731,'Retirement Calculator'!A:A,0),0),0)</f>
        <v>0</v>
      </c>
      <c r="K5731" s="455">
        <f t="shared" ca="1" si="193"/>
        <v>-39087211121943.563</v>
      </c>
      <c r="L5731" s="455">
        <f t="shared" ca="1" si="194"/>
        <v>-9420017880388400</v>
      </c>
      <c r="M5731" s="471">
        <f t="shared" si="196"/>
        <v>0.05</v>
      </c>
      <c r="N5731" s="475">
        <f t="shared" si="197"/>
        <v>225477</v>
      </c>
    </row>
    <row r="5732" spans="7:14" ht="11.25" customHeight="1" x14ac:dyDescent="0.3">
      <c r="G5732" s="470"/>
      <c r="H5732" s="470">
        <v>5725</v>
      </c>
      <c r="I5732" s="455">
        <f t="shared" ca="1" si="195"/>
        <v>-9420017880388400</v>
      </c>
      <c r="J5732" s="455">
        <f t="array" ref="J5732">IFERROR(INDEX('Retirement Calculator'!K:K,MATCH('Lorri 401b'!N5732,'Retirement Calculator'!A:A,0),0),0)</f>
        <v>0</v>
      </c>
      <c r="K5732" s="455">
        <f t="shared" ca="1" si="193"/>
        <v>-39250074501618.336</v>
      </c>
      <c r="L5732" s="455">
        <f t="shared" ca="1" si="194"/>
        <v>-9459267954890018</v>
      </c>
      <c r="M5732" s="471">
        <f t="shared" si="196"/>
        <v>0.05</v>
      </c>
      <c r="N5732" s="475">
        <f t="shared" si="197"/>
        <v>225508</v>
      </c>
    </row>
    <row r="5733" spans="7:14" ht="11.25" customHeight="1" x14ac:dyDescent="0.3">
      <c r="G5733" s="470"/>
      <c r="H5733" s="470">
        <v>5726</v>
      </c>
      <c r="I5733" s="455">
        <f t="shared" ca="1" si="195"/>
        <v>-9459267954890018</v>
      </c>
      <c r="J5733" s="455">
        <f t="array" ref="J5733">IFERROR(INDEX('Retirement Calculator'!K:K,MATCH('Lorri 401b'!N5733,'Retirement Calculator'!A:A,0),0),0)</f>
        <v>0</v>
      </c>
      <c r="K5733" s="455">
        <f t="shared" ca="1" si="193"/>
        <v>-39413616478708.406</v>
      </c>
      <c r="L5733" s="455">
        <f t="shared" ca="1" si="194"/>
        <v>-9498681571368726</v>
      </c>
      <c r="M5733" s="471">
        <f t="shared" si="196"/>
        <v>0.05</v>
      </c>
      <c r="N5733" s="475">
        <f t="shared" si="197"/>
        <v>225538</v>
      </c>
    </row>
    <row r="5734" spans="7:14" ht="11.25" customHeight="1" x14ac:dyDescent="0.3">
      <c r="G5734" s="470"/>
      <c r="H5734" s="470">
        <v>5727</v>
      </c>
      <c r="I5734" s="455">
        <f t="shared" ca="1" si="195"/>
        <v>-9498681571368726</v>
      </c>
      <c r="J5734" s="455">
        <f t="array" ref="J5734">IFERROR(INDEX('Retirement Calculator'!K:K,MATCH('Lorri 401b'!N5734,'Retirement Calculator'!A:A,0),0),0)</f>
        <v>0</v>
      </c>
      <c r="K5734" s="455">
        <f t="shared" ca="1" si="193"/>
        <v>-39577839880703.023</v>
      </c>
      <c r="L5734" s="455">
        <f t="shared" ca="1" si="194"/>
        <v>-9538259411249430</v>
      </c>
      <c r="M5734" s="471">
        <f t="shared" si="196"/>
        <v>0.05</v>
      </c>
      <c r="N5734" s="475">
        <f t="shared" si="197"/>
        <v>225569</v>
      </c>
    </row>
    <row r="5735" spans="7:14" ht="11.25" customHeight="1" x14ac:dyDescent="0.3">
      <c r="G5735" s="470"/>
      <c r="H5735" s="470">
        <v>5728</v>
      </c>
      <c r="I5735" s="455">
        <f t="shared" ca="1" si="195"/>
        <v>-9538259411249430</v>
      </c>
      <c r="J5735" s="455">
        <f t="array" ref="J5735">IFERROR(INDEX('Retirement Calculator'!K:K,MATCH('Lorri 401b'!N5735,'Retirement Calculator'!A:A,0),0),0)</f>
        <v>0</v>
      </c>
      <c r="K5735" s="455">
        <f t="shared" ca="1" si="193"/>
        <v>-39742747546872.625</v>
      </c>
      <c r="L5735" s="455">
        <f t="shared" ca="1" si="194"/>
        <v>-9578002158796302</v>
      </c>
      <c r="M5735" s="471">
        <f t="shared" si="196"/>
        <v>0.05</v>
      </c>
      <c r="N5735" s="475">
        <f t="shared" si="197"/>
        <v>225600</v>
      </c>
    </row>
    <row r="5736" spans="7:14" ht="11.25" customHeight="1" x14ac:dyDescent="0.3">
      <c r="G5736" s="470"/>
      <c r="H5736" s="470">
        <v>5729</v>
      </c>
      <c r="I5736" s="455">
        <f t="shared" ca="1" si="195"/>
        <v>-9578002158796302</v>
      </c>
      <c r="J5736" s="455">
        <f t="array" ref="J5736">IFERROR(INDEX('Retirement Calculator'!K:K,MATCH('Lorri 401b'!N5736,'Retirement Calculator'!A:A,0),0),0)</f>
        <v>0</v>
      </c>
      <c r="K5736" s="455">
        <f t="shared" ca="1" si="193"/>
        <v>-39908342328317.922</v>
      </c>
      <c r="L5736" s="455">
        <f t="shared" ca="1" si="194"/>
        <v>-9617910501124620</v>
      </c>
      <c r="M5736" s="471">
        <f t="shared" si="196"/>
        <v>0.05</v>
      </c>
      <c r="N5736" s="475">
        <f t="shared" si="197"/>
        <v>225630</v>
      </c>
    </row>
    <row r="5737" spans="7:14" ht="11.25" customHeight="1" x14ac:dyDescent="0.3">
      <c r="G5737" s="470"/>
      <c r="H5737" s="470">
        <v>5730</v>
      </c>
      <c r="I5737" s="455">
        <f t="shared" ca="1" si="195"/>
        <v>-9617910501124620</v>
      </c>
      <c r="J5737" s="455">
        <f t="array" ref="J5737">IFERROR(INDEX('Retirement Calculator'!K:K,MATCH('Lorri 401b'!N5737,'Retirement Calculator'!A:A,0),0),0)</f>
        <v>0</v>
      </c>
      <c r="K5737" s="455">
        <f t="shared" ca="1" si="193"/>
        <v>-40074627088019.25</v>
      </c>
      <c r="L5737" s="455">
        <f t="shared" ca="1" si="194"/>
        <v>-9657985128212640</v>
      </c>
      <c r="M5737" s="471">
        <f t="shared" si="196"/>
        <v>0.05</v>
      </c>
      <c r="N5737" s="475">
        <f t="shared" si="197"/>
        <v>225661</v>
      </c>
    </row>
    <row r="5738" spans="7:14" ht="11.25" customHeight="1" x14ac:dyDescent="0.3">
      <c r="G5738" s="470"/>
      <c r="H5738" s="470">
        <v>5731</v>
      </c>
      <c r="I5738" s="455">
        <f t="shared" ca="1" si="195"/>
        <v>-9657985128212640</v>
      </c>
      <c r="J5738" s="455">
        <f t="array" ref="J5738">IFERROR(INDEX('Retirement Calculator'!K:K,MATCH('Lorri 401b'!N5738,'Retirement Calculator'!A:A,0),0),0)</f>
        <v>0</v>
      </c>
      <c r="K5738" s="455">
        <f t="shared" ca="1" si="193"/>
        <v>-40241604700886</v>
      </c>
      <c r="L5738" s="455">
        <f t="shared" ca="1" si="194"/>
        <v>-9698226732913526</v>
      </c>
      <c r="M5738" s="471">
        <f t="shared" si="196"/>
        <v>0.05</v>
      </c>
      <c r="N5738" s="475">
        <f t="shared" si="197"/>
        <v>225691</v>
      </c>
    </row>
    <row r="5739" spans="7:14" ht="11.25" customHeight="1" x14ac:dyDescent="0.3">
      <c r="G5739" s="470"/>
      <c r="H5739" s="470">
        <v>5732</v>
      </c>
      <c r="I5739" s="455">
        <f t="shared" ca="1" si="195"/>
        <v>-9698226732913526</v>
      </c>
      <c r="J5739" s="455">
        <f t="array" ref="J5739">IFERROR(INDEX('Retirement Calculator'!K:K,MATCH('Lorri 401b'!N5739,'Retirement Calculator'!A:A,0),0),0)</f>
        <v>0</v>
      </c>
      <c r="K5739" s="455">
        <f t="shared" ca="1" si="193"/>
        <v>-40409278053806.359</v>
      </c>
      <c r="L5739" s="455">
        <f t="shared" ca="1" si="194"/>
        <v>-9738636010967332</v>
      </c>
      <c r="M5739" s="471">
        <f t="shared" si="196"/>
        <v>0.05</v>
      </c>
      <c r="N5739" s="475">
        <f t="shared" si="197"/>
        <v>225722</v>
      </c>
    </row>
    <row r="5740" spans="7:14" ht="11.25" customHeight="1" x14ac:dyDescent="0.3">
      <c r="G5740" s="470"/>
      <c r="H5740" s="470">
        <v>5733</v>
      </c>
      <c r="I5740" s="455">
        <f t="shared" ca="1" si="195"/>
        <v>-9738636010967332</v>
      </c>
      <c r="J5740" s="455">
        <f t="array" ref="J5740">IFERROR(INDEX('Retirement Calculator'!K:K,MATCH('Lorri 401b'!N5740,'Retirement Calculator'!A:A,0),0),0)</f>
        <v>0</v>
      </c>
      <c r="K5740" s="455">
        <f t="shared" ca="1" si="193"/>
        <v>-40577650045697.219</v>
      </c>
      <c r="L5740" s="455">
        <f t="shared" ca="1" si="194"/>
        <v>-9779213661013030</v>
      </c>
      <c r="M5740" s="471">
        <f t="shared" si="196"/>
        <v>0.05</v>
      </c>
      <c r="N5740" s="475">
        <f t="shared" si="197"/>
        <v>225753</v>
      </c>
    </row>
    <row r="5741" spans="7:14" ht="11.25" customHeight="1" x14ac:dyDescent="0.3">
      <c r="G5741" s="470"/>
      <c r="H5741" s="470">
        <v>5734</v>
      </c>
      <c r="I5741" s="455">
        <f t="shared" ca="1" si="195"/>
        <v>-9779213661013030</v>
      </c>
      <c r="J5741" s="455">
        <f t="array" ref="J5741">IFERROR(INDEX('Retirement Calculator'!K:K,MATCH('Lorri 401b'!N5741,'Retirement Calculator'!A:A,0),0),0)</f>
        <v>0</v>
      </c>
      <c r="K5741" s="455">
        <f t="shared" ca="1" si="193"/>
        <v>-40746723587554.289</v>
      </c>
      <c r="L5741" s="455">
        <f t="shared" ca="1" si="194"/>
        <v>-9819960384600584</v>
      </c>
      <c r="M5741" s="471">
        <f t="shared" si="196"/>
        <v>0.05</v>
      </c>
      <c r="N5741" s="475">
        <f t="shared" si="197"/>
        <v>225781</v>
      </c>
    </row>
    <row r="5742" spans="7:14" ht="11.25" customHeight="1" x14ac:dyDescent="0.3">
      <c r="G5742" s="470"/>
      <c r="H5742" s="470">
        <v>5735</v>
      </c>
      <c r="I5742" s="455">
        <f t="shared" ca="1" si="195"/>
        <v>-9819960384600584</v>
      </c>
      <c r="J5742" s="455">
        <f t="array" ref="J5742">IFERROR(INDEX('Retirement Calculator'!K:K,MATCH('Lorri 401b'!N5742,'Retirement Calculator'!A:A,0),0),0)</f>
        <v>0</v>
      </c>
      <c r="K5742" s="455">
        <f t="shared" ca="1" si="193"/>
        <v>-40916501602502.43</v>
      </c>
      <c r="L5742" s="455">
        <f t="shared" ca="1" si="194"/>
        <v>-9860876886203086</v>
      </c>
      <c r="M5742" s="471">
        <f t="shared" si="196"/>
        <v>0.05</v>
      </c>
      <c r="N5742" s="475">
        <f t="shared" si="197"/>
        <v>225812</v>
      </c>
    </row>
    <row r="5743" spans="7:14" ht="11.25" customHeight="1" x14ac:dyDescent="0.3">
      <c r="G5743" s="470"/>
      <c r="H5743" s="470">
        <v>5736</v>
      </c>
      <c r="I5743" s="455">
        <f t="shared" ca="1" si="195"/>
        <v>-9860876886203086</v>
      </c>
      <c r="J5743" s="455">
        <f t="array" ref="J5743">IFERROR(INDEX('Retirement Calculator'!K:K,MATCH('Lorri 401b'!N5743,'Retirement Calculator'!A:A,0),0),0)</f>
        <v>0</v>
      </c>
      <c r="K5743" s="455">
        <f t="shared" ca="1" si="193"/>
        <v>-41086987025846.188</v>
      </c>
      <c r="L5743" s="455">
        <f t="shared" ca="1" si="194"/>
        <v>-9901963873228932</v>
      </c>
      <c r="M5743" s="471">
        <f t="shared" si="196"/>
        <v>0.05</v>
      </c>
      <c r="N5743" s="475">
        <f t="shared" si="197"/>
        <v>225842</v>
      </c>
    </row>
    <row r="5744" spans="7:14" ht="11.25" customHeight="1" x14ac:dyDescent="0.3">
      <c r="G5744" s="470"/>
      <c r="H5744" s="470">
        <v>5737</v>
      </c>
      <c r="I5744" s="455">
        <f t="shared" ca="1" si="195"/>
        <v>-9901963873228932</v>
      </c>
      <c r="J5744" s="455">
        <f t="array" ref="J5744">IFERROR(INDEX('Retirement Calculator'!K:K,MATCH('Lorri 401b'!N5744,'Retirement Calculator'!A:A,0),0),0)</f>
        <v>0</v>
      </c>
      <c r="K5744" s="455">
        <f t="shared" ca="1" si="193"/>
        <v>-41258182805120.547</v>
      </c>
      <c r="L5744" s="455">
        <f t="shared" ca="1" si="194"/>
        <v>-9943222056034052</v>
      </c>
      <c r="M5744" s="471">
        <f t="shared" si="196"/>
        <v>0.05</v>
      </c>
      <c r="N5744" s="475">
        <f t="shared" si="197"/>
        <v>225873</v>
      </c>
    </row>
    <row r="5745" spans="7:14" ht="11.25" customHeight="1" x14ac:dyDescent="0.3">
      <c r="G5745" s="470"/>
      <c r="H5745" s="470">
        <v>5738</v>
      </c>
      <c r="I5745" s="455">
        <f t="shared" ca="1" si="195"/>
        <v>-9943222056034052</v>
      </c>
      <c r="J5745" s="455">
        <f t="array" ref="J5745">IFERROR(INDEX('Retirement Calculator'!K:K,MATCH('Lorri 401b'!N5745,'Retirement Calculator'!A:A,0),0),0)</f>
        <v>0</v>
      </c>
      <c r="K5745" s="455">
        <f t="shared" ca="1" si="193"/>
        <v>-41430091900141.883</v>
      </c>
      <c r="L5745" s="455">
        <f t="shared" ca="1" si="194"/>
        <v>-9984652147934194</v>
      </c>
      <c r="M5745" s="471">
        <f t="shared" si="196"/>
        <v>0.05</v>
      </c>
      <c r="N5745" s="475">
        <f t="shared" si="197"/>
        <v>225903</v>
      </c>
    </row>
    <row r="5746" spans="7:14" ht="11.25" customHeight="1" x14ac:dyDescent="0.3">
      <c r="G5746" s="470"/>
      <c r="H5746" s="470">
        <v>5739</v>
      </c>
      <c r="I5746" s="455">
        <f t="shared" ca="1" si="195"/>
        <v>-9984652147934194</v>
      </c>
      <c r="J5746" s="455">
        <f t="array" ref="J5746">IFERROR(INDEX('Retirement Calculator'!K:K,MATCH('Lorri 401b'!N5746,'Retirement Calculator'!A:A,0),0),0)</f>
        <v>0</v>
      </c>
      <c r="K5746" s="455">
        <f t="shared" ca="1" si="193"/>
        <v>-41602717283059.141</v>
      </c>
      <c r="L5746" s="455">
        <f t="shared" ca="1" si="194"/>
        <v>-1.0026254865217254E+16</v>
      </c>
      <c r="M5746" s="471">
        <f t="shared" si="196"/>
        <v>0.05</v>
      </c>
      <c r="N5746" s="475">
        <f t="shared" si="197"/>
        <v>225934</v>
      </c>
    </row>
    <row r="5747" spans="7:14" ht="11.25" customHeight="1" x14ac:dyDescent="0.3">
      <c r="G5747" s="470"/>
      <c r="H5747" s="470">
        <v>5740</v>
      </c>
      <c r="I5747" s="455">
        <f t="shared" ca="1" si="195"/>
        <v>-1.0026254865217254E+16</v>
      </c>
      <c r="J5747" s="455">
        <f t="array" ref="J5747">IFERROR(INDEX('Retirement Calculator'!K:K,MATCH('Lorri 401b'!N5747,'Retirement Calculator'!A:A,0),0),0)</f>
        <v>0</v>
      </c>
      <c r="K5747" s="455">
        <f t="shared" ca="1" si="193"/>
        <v>-41776061938405.227</v>
      </c>
      <c r="L5747" s="455">
        <f t="shared" ca="1" si="194"/>
        <v>-1.006803092715566E+16</v>
      </c>
      <c r="M5747" s="471">
        <f t="shared" si="196"/>
        <v>0.05</v>
      </c>
      <c r="N5747" s="475">
        <f t="shared" si="197"/>
        <v>225965</v>
      </c>
    </row>
    <row r="5748" spans="7:14" ht="11.25" customHeight="1" x14ac:dyDescent="0.3">
      <c r="G5748" s="470"/>
      <c r="H5748" s="470">
        <v>5741</v>
      </c>
      <c r="I5748" s="455">
        <f t="shared" ca="1" si="195"/>
        <v>-1.006803092715566E+16</v>
      </c>
      <c r="J5748" s="455">
        <f t="array" ref="J5748">IFERROR(INDEX('Retirement Calculator'!K:K,MATCH('Lorri 401b'!N5748,'Retirement Calculator'!A:A,0),0),0)</f>
        <v>0</v>
      </c>
      <c r="K5748" s="455">
        <f t="shared" ca="1" si="193"/>
        <v>-41950128863148.586</v>
      </c>
      <c r="L5748" s="455">
        <f t="shared" ca="1" si="194"/>
        <v>-1.0109981056018808E+16</v>
      </c>
      <c r="M5748" s="471">
        <f t="shared" si="196"/>
        <v>0.05</v>
      </c>
      <c r="N5748" s="475">
        <f t="shared" si="197"/>
        <v>225995</v>
      </c>
    </row>
    <row r="5749" spans="7:14" ht="11.25" customHeight="1" x14ac:dyDescent="0.3">
      <c r="G5749" s="470"/>
      <c r="H5749" s="470">
        <v>5742</v>
      </c>
      <c r="I5749" s="455">
        <f t="shared" ca="1" si="195"/>
        <v>-1.0109981056018808E+16</v>
      </c>
      <c r="J5749" s="455">
        <f t="array" ref="J5749">IFERROR(INDEX('Retirement Calculator'!K:K,MATCH('Lorri 401b'!N5749,'Retirement Calculator'!A:A,0),0),0)</f>
        <v>0</v>
      </c>
      <c r="K5749" s="455">
        <f t="shared" ca="1" si="193"/>
        <v>-42124921066745.031</v>
      </c>
      <c r="L5749" s="455">
        <f t="shared" ca="1" si="194"/>
        <v>-1.0152105977085554E+16</v>
      </c>
      <c r="M5749" s="471">
        <f t="shared" si="196"/>
        <v>0.05</v>
      </c>
      <c r="N5749" s="475">
        <f t="shared" si="197"/>
        <v>226026</v>
      </c>
    </row>
    <row r="5750" spans="7:14" ht="11.25" customHeight="1" x14ac:dyDescent="0.3">
      <c r="G5750" s="470"/>
      <c r="H5750" s="470">
        <v>5743</v>
      </c>
      <c r="I5750" s="455">
        <f t="shared" ca="1" si="195"/>
        <v>-1.0152105977085554E+16</v>
      </c>
      <c r="J5750" s="455">
        <f t="array" ref="J5750">IFERROR(INDEX('Retirement Calculator'!K:K,MATCH('Lorri 401b'!N5750,'Retirement Calculator'!A:A,0),0),0)</f>
        <v>0</v>
      </c>
      <c r="K5750" s="455">
        <f t="shared" ca="1" si="193"/>
        <v>-42300441571189.805</v>
      </c>
      <c r="L5750" s="455">
        <f t="shared" ca="1" si="194"/>
        <v>-1.0194406418656744E+16</v>
      </c>
      <c r="M5750" s="471">
        <f t="shared" si="196"/>
        <v>0.05</v>
      </c>
      <c r="N5750" s="475">
        <f t="shared" si="197"/>
        <v>226056</v>
      </c>
    </row>
    <row r="5751" spans="7:14" ht="11.25" customHeight="1" x14ac:dyDescent="0.3">
      <c r="G5751" s="470"/>
      <c r="H5751" s="470">
        <v>5744</v>
      </c>
      <c r="I5751" s="455">
        <f t="shared" ca="1" si="195"/>
        <v>-1.0194406418656744E+16</v>
      </c>
      <c r="J5751" s="455">
        <f t="array" ref="J5751">IFERROR(INDEX('Retirement Calculator'!K:K,MATCH('Lorri 401b'!N5751,'Retirement Calculator'!A:A,0),0),0)</f>
        <v>0</v>
      </c>
      <c r="K5751" s="455">
        <f t="shared" ca="1" si="193"/>
        <v>-42476693411069.766</v>
      </c>
      <c r="L5751" s="455">
        <f t="shared" ca="1" si="194"/>
        <v>-1.0236883112067814E+16</v>
      </c>
      <c r="M5751" s="471">
        <f t="shared" si="196"/>
        <v>0.05</v>
      </c>
      <c r="N5751" s="475">
        <f t="shared" si="197"/>
        <v>226087</v>
      </c>
    </row>
    <row r="5752" spans="7:14" ht="11.25" customHeight="1" x14ac:dyDescent="0.3">
      <c r="G5752" s="470"/>
      <c r="H5752" s="470">
        <v>5745</v>
      </c>
      <c r="I5752" s="455">
        <f t="shared" ca="1" si="195"/>
        <v>-1.0236883112067814E+16</v>
      </c>
      <c r="J5752" s="455">
        <f t="array" ref="J5752">IFERROR(INDEX('Retirement Calculator'!K:K,MATCH('Lorri 401b'!N5752,'Retirement Calculator'!A:A,0),0),0)</f>
        <v>0</v>
      </c>
      <c r="K5752" s="455">
        <f t="shared" ca="1" si="193"/>
        <v>-42653679633615.891</v>
      </c>
      <c r="L5752" s="455">
        <f t="shared" ca="1" si="194"/>
        <v>-1.027953679170143E+16</v>
      </c>
      <c r="M5752" s="471">
        <f t="shared" si="196"/>
        <v>0.05</v>
      </c>
      <c r="N5752" s="475">
        <f t="shared" si="197"/>
        <v>226118</v>
      </c>
    </row>
    <row r="5753" spans="7:14" ht="11.25" customHeight="1" x14ac:dyDescent="0.3">
      <c r="G5753" s="470"/>
      <c r="H5753" s="470">
        <v>5746</v>
      </c>
      <c r="I5753" s="455">
        <f t="shared" ca="1" si="195"/>
        <v>-1.027953679170143E+16</v>
      </c>
      <c r="J5753" s="455">
        <f t="array" ref="J5753">IFERROR(INDEX('Retirement Calculator'!K:K,MATCH('Lorri 401b'!N5753,'Retirement Calculator'!A:A,0),0),0)</f>
        <v>0</v>
      </c>
      <c r="K5753" s="455">
        <f t="shared" ca="1" si="193"/>
        <v>-42831403298755.961</v>
      </c>
      <c r="L5753" s="455">
        <f t="shared" ca="1" si="194"/>
        <v>-1.0322368195000186E+16</v>
      </c>
      <c r="M5753" s="471">
        <f t="shared" si="196"/>
        <v>0.05</v>
      </c>
      <c r="N5753" s="475">
        <f t="shared" si="197"/>
        <v>226146</v>
      </c>
    </row>
    <row r="5754" spans="7:14" ht="11.25" customHeight="1" x14ac:dyDescent="0.3">
      <c r="G5754" s="470"/>
      <c r="H5754" s="470">
        <v>5747</v>
      </c>
      <c r="I5754" s="455">
        <f t="shared" ca="1" si="195"/>
        <v>-1.0322368195000186E+16</v>
      </c>
      <c r="J5754" s="455">
        <f t="array" ref="J5754">IFERROR(INDEX('Retirement Calculator'!K:K,MATCH('Lorri 401b'!N5754,'Retirement Calculator'!A:A,0),0),0)</f>
        <v>0</v>
      </c>
      <c r="K5754" s="455">
        <f t="shared" ca="1" si="193"/>
        <v>-43009867479167.438</v>
      </c>
      <c r="L5754" s="455">
        <f t="shared" ca="1" si="194"/>
        <v>-1.0365378062479354E+16</v>
      </c>
      <c r="M5754" s="471">
        <f t="shared" si="196"/>
        <v>0.05</v>
      </c>
      <c r="N5754" s="475">
        <f t="shared" si="197"/>
        <v>226177</v>
      </c>
    </row>
    <row r="5755" spans="7:14" ht="11.25" customHeight="1" x14ac:dyDescent="0.3">
      <c r="G5755" s="470"/>
      <c r="H5755" s="470">
        <v>5748</v>
      </c>
      <c r="I5755" s="455">
        <f t="shared" ca="1" si="195"/>
        <v>-1.0365378062479354E+16</v>
      </c>
      <c r="J5755" s="455">
        <f t="array" ref="J5755">IFERROR(INDEX('Retirement Calculator'!K:K,MATCH('Lorri 401b'!N5755,'Retirement Calculator'!A:A,0),0),0)</f>
        <v>0</v>
      </c>
      <c r="K5755" s="455">
        <f t="shared" ca="1" si="193"/>
        <v>-43189075260330.641</v>
      </c>
      <c r="L5755" s="455">
        <f t="shared" ca="1" si="194"/>
        <v>-1.0408567137739684E+16</v>
      </c>
      <c r="M5755" s="471">
        <f t="shared" si="196"/>
        <v>0.05</v>
      </c>
      <c r="N5755" s="475">
        <f t="shared" si="197"/>
        <v>226207</v>
      </c>
    </row>
    <row r="5756" spans="7:14" ht="11.25" customHeight="1" x14ac:dyDescent="0.3">
      <c r="G5756" s="470"/>
      <c r="H5756" s="470">
        <v>5749</v>
      </c>
      <c r="I5756" s="455">
        <f t="shared" ca="1" si="195"/>
        <v>-1.0408567137739684E+16</v>
      </c>
      <c r="J5756" s="455">
        <f t="array" ref="J5756">IFERROR(INDEX('Retirement Calculator'!K:K,MATCH('Lorri 401b'!N5756,'Retirement Calculator'!A:A,0),0),0)</f>
        <v>0</v>
      </c>
      <c r="K5756" s="455">
        <f t="shared" ca="1" si="193"/>
        <v>-43369029740582.016</v>
      </c>
      <c r="L5756" s="455">
        <f t="shared" ca="1" si="194"/>
        <v>-1.0451936167480266E+16</v>
      </c>
      <c r="M5756" s="471">
        <f t="shared" si="196"/>
        <v>0.05</v>
      </c>
      <c r="N5756" s="475">
        <f t="shared" si="197"/>
        <v>226238</v>
      </c>
    </row>
    <row r="5757" spans="7:14" ht="11.25" customHeight="1" x14ac:dyDescent="0.3">
      <c r="G5757" s="470"/>
      <c r="H5757" s="470">
        <v>5750</v>
      </c>
      <c r="I5757" s="455">
        <f t="shared" ca="1" si="195"/>
        <v>-1.0451936167480266E+16</v>
      </c>
      <c r="J5757" s="455">
        <f t="array" ref="J5757">IFERROR(INDEX('Retirement Calculator'!K:K,MATCH('Lorri 401b'!N5757,'Retirement Calculator'!A:A,0),0),0)</f>
        <v>0</v>
      </c>
      <c r="K5757" s="455">
        <f t="shared" ca="1" si="193"/>
        <v>-43549734031167.773</v>
      </c>
      <c r="L5757" s="455">
        <f t="shared" ca="1" si="194"/>
        <v>-1.0495485901511434E+16</v>
      </c>
      <c r="M5757" s="471">
        <f t="shared" si="196"/>
        <v>0.05</v>
      </c>
      <c r="N5757" s="475">
        <f t="shared" si="197"/>
        <v>226268</v>
      </c>
    </row>
    <row r="5758" spans="7:14" ht="11.25" customHeight="1" x14ac:dyDescent="0.3">
      <c r="G5758" s="470"/>
      <c r="H5758" s="470">
        <v>5751</v>
      </c>
      <c r="I5758" s="455">
        <f t="shared" ca="1" si="195"/>
        <v>-1.0495485901511434E+16</v>
      </c>
      <c r="J5758" s="455">
        <f t="array" ref="J5758">IFERROR(INDEX('Retirement Calculator'!K:K,MATCH('Lorri 401b'!N5758,'Retirement Calculator'!A:A,0),0),0)</f>
        <v>0</v>
      </c>
      <c r="K5758" s="455">
        <f t="shared" ca="1" si="193"/>
        <v>-43731191256297.641</v>
      </c>
      <c r="L5758" s="455">
        <f t="shared" ca="1" si="194"/>
        <v>-1.0539217092767732E+16</v>
      </c>
      <c r="M5758" s="471">
        <f t="shared" si="196"/>
        <v>0.05</v>
      </c>
      <c r="N5758" s="475">
        <f t="shared" si="197"/>
        <v>226299</v>
      </c>
    </row>
    <row r="5759" spans="7:14" ht="11.25" customHeight="1" x14ac:dyDescent="0.3">
      <c r="G5759" s="470"/>
      <c r="H5759" s="470">
        <v>5752</v>
      </c>
      <c r="I5759" s="455">
        <f t="shared" ca="1" si="195"/>
        <v>-1.0539217092767732E+16</v>
      </c>
      <c r="J5759" s="455">
        <f t="array" ref="J5759">IFERROR(INDEX('Retirement Calculator'!K:K,MATCH('Lorri 401b'!N5759,'Retirement Calculator'!A:A,0),0),0)</f>
        <v>0</v>
      </c>
      <c r="K5759" s="455">
        <f t="shared" ca="1" si="193"/>
        <v>-43913404553198.883</v>
      </c>
      <c r="L5759" s="455">
        <f t="shared" ca="1" si="194"/>
        <v>-1.058313049732093E+16</v>
      </c>
      <c r="M5759" s="471">
        <f t="shared" si="196"/>
        <v>0.05</v>
      </c>
      <c r="N5759" s="475">
        <f t="shared" si="197"/>
        <v>226330</v>
      </c>
    </row>
    <row r="5760" spans="7:14" ht="11.25" customHeight="1" x14ac:dyDescent="0.3">
      <c r="G5760" s="470"/>
      <c r="H5760" s="470">
        <v>5753</v>
      </c>
      <c r="I5760" s="455">
        <f t="shared" ca="1" si="195"/>
        <v>-1.058313049732093E+16</v>
      </c>
      <c r="J5760" s="455">
        <f t="array" ref="J5760">IFERROR(INDEX('Retirement Calculator'!K:K,MATCH('Lorri 401b'!N5760,'Retirement Calculator'!A:A,0),0),0)</f>
        <v>0</v>
      </c>
      <c r="K5760" s="455">
        <f t="shared" ca="1" si="193"/>
        <v>-44096377072170.539</v>
      </c>
      <c r="L5760" s="455">
        <f t="shared" ca="1" si="194"/>
        <v>-1.06272268743931E+16</v>
      </c>
      <c r="M5760" s="471">
        <f t="shared" si="196"/>
        <v>0.05</v>
      </c>
      <c r="N5760" s="475">
        <f t="shared" si="197"/>
        <v>226360</v>
      </c>
    </row>
    <row r="5761" spans="7:14" ht="11.25" customHeight="1" x14ac:dyDescent="0.3">
      <c r="G5761" s="470"/>
      <c r="H5761" s="470">
        <v>5754</v>
      </c>
      <c r="I5761" s="455">
        <f t="shared" ca="1" si="195"/>
        <v>-1.06272268743931E+16</v>
      </c>
      <c r="J5761" s="455">
        <f t="array" ref="J5761">IFERROR(INDEX('Retirement Calculator'!K:K,MATCH('Lorri 401b'!N5761,'Retirement Calculator'!A:A,0),0),0)</f>
        <v>0</v>
      </c>
      <c r="K5761" s="455">
        <f t="shared" ca="1" si="193"/>
        <v>-44280111976637.914</v>
      </c>
      <c r="L5761" s="455">
        <f t="shared" ca="1" si="194"/>
        <v>-1.0671506986369738E+16</v>
      </c>
      <c r="M5761" s="471">
        <f t="shared" si="196"/>
        <v>0.05</v>
      </c>
      <c r="N5761" s="475">
        <f t="shared" si="197"/>
        <v>226391</v>
      </c>
    </row>
    <row r="5762" spans="7:14" ht="11.25" customHeight="1" x14ac:dyDescent="0.3">
      <c r="G5762" s="470"/>
      <c r="H5762" s="470">
        <v>5755</v>
      </c>
      <c r="I5762" s="455">
        <f t="shared" ca="1" si="195"/>
        <v>-1.0671506986369738E+16</v>
      </c>
      <c r="J5762" s="455">
        <f t="array" ref="J5762">IFERROR(INDEX('Retirement Calculator'!K:K,MATCH('Lorri 401b'!N5762,'Retirement Calculator'!A:A,0),0),0)</f>
        <v>0</v>
      </c>
      <c r="K5762" s="455">
        <f t="shared" ca="1" si="193"/>
        <v>-44464612443207.242</v>
      </c>
      <c r="L5762" s="455">
        <f t="shared" ca="1" si="194"/>
        <v>-1.0715971598812946E+16</v>
      </c>
      <c r="M5762" s="471">
        <f t="shared" si="196"/>
        <v>0.05</v>
      </c>
      <c r="N5762" s="475">
        <f t="shared" si="197"/>
        <v>226421</v>
      </c>
    </row>
    <row r="5763" spans="7:14" ht="11.25" customHeight="1" x14ac:dyDescent="0.3">
      <c r="G5763" s="470"/>
      <c r="H5763" s="470">
        <v>5756</v>
      </c>
      <c r="I5763" s="455">
        <f t="shared" ca="1" si="195"/>
        <v>-1.0715971598812946E+16</v>
      </c>
      <c r="J5763" s="455">
        <f t="array" ref="J5763">IFERROR(INDEX('Retirement Calculator'!K:K,MATCH('Lorri 401b'!N5763,'Retirement Calculator'!A:A,0),0),0)</f>
        <v>0</v>
      </c>
      <c r="K5763" s="455">
        <f t="shared" ca="1" si="193"/>
        <v>-44649881661720.609</v>
      </c>
      <c r="L5763" s="455">
        <f t="shared" ca="1" si="194"/>
        <v>-1.0760621480474666E+16</v>
      </c>
      <c r="M5763" s="471">
        <f t="shared" si="196"/>
        <v>0.05</v>
      </c>
      <c r="N5763" s="475">
        <f t="shared" si="197"/>
        <v>226452</v>
      </c>
    </row>
    <row r="5764" spans="7:14" ht="11.25" customHeight="1" x14ac:dyDescent="0.3">
      <c r="G5764" s="470"/>
      <c r="H5764" s="470">
        <v>5757</v>
      </c>
      <c r="I5764" s="455">
        <f t="shared" ca="1" si="195"/>
        <v>-1.0760621480474666E+16</v>
      </c>
      <c r="J5764" s="455">
        <f t="array" ref="J5764">IFERROR(INDEX('Retirement Calculator'!K:K,MATCH('Lorri 401b'!N5764,'Retirement Calculator'!A:A,0),0),0)</f>
        <v>0</v>
      </c>
      <c r="K5764" s="455">
        <f t="shared" ca="1" si="193"/>
        <v>-44835922835311.109</v>
      </c>
      <c r="L5764" s="455">
        <f t="shared" ca="1" si="194"/>
        <v>-1.0805457403309978E+16</v>
      </c>
      <c r="M5764" s="471">
        <f t="shared" si="196"/>
        <v>0.05</v>
      </c>
      <c r="N5764" s="475">
        <f t="shared" si="197"/>
        <v>226483</v>
      </c>
    </row>
    <row r="5765" spans="7:14" ht="11.25" customHeight="1" x14ac:dyDescent="0.3">
      <c r="G5765" s="470"/>
      <c r="H5765" s="470">
        <v>5758</v>
      </c>
      <c r="I5765" s="455">
        <f t="shared" ca="1" si="195"/>
        <v>-1.0805457403309978E+16</v>
      </c>
      <c r="J5765" s="455">
        <f t="array" ref="J5765">IFERROR(INDEX('Retirement Calculator'!K:K,MATCH('Lorri 401b'!N5765,'Retirement Calculator'!A:A,0),0),0)</f>
        <v>0</v>
      </c>
      <c r="K5765" s="455">
        <f t="shared" ca="1" si="193"/>
        <v>-45022739180458.242</v>
      </c>
      <c r="L5765" s="455">
        <f t="shared" ca="1" si="194"/>
        <v>-1.0850480142490436E+16</v>
      </c>
      <c r="M5765" s="471">
        <f t="shared" si="196"/>
        <v>0.05</v>
      </c>
      <c r="N5765" s="475">
        <f t="shared" si="197"/>
        <v>226512</v>
      </c>
    </row>
    <row r="5766" spans="7:14" ht="11.25" customHeight="1" x14ac:dyDescent="0.3">
      <c r="G5766" s="470"/>
      <c r="H5766" s="470">
        <v>5759</v>
      </c>
      <c r="I5766" s="455">
        <f t="shared" ca="1" si="195"/>
        <v>-1.0850480142490436E+16</v>
      </c>
      <c r="J5766" s="455">
        <f t="array" ref="J5766">IFERROR(INDEX('Retirement Calculator'!K:K,MATCH('Lorri 401b'!N5766,'Retirement Calculator'!A:A,0),0),0)</f>
        <v>0</v>
      </c>
      <c r="K5766" s="455">
        <f t="shared" ca="1" si="193"/>
        <v>-45210333927043.484</v>
      </c>
      <c r="L5766" s="455">
        <f t="shared" ca="1" si="194"/>
        <v>-1.089569047641748E+16</v>
      </c>
      <c r="M5766" s="471">
        <f t="shared" si="196"/>
        <v>0.05</v>
      </c>
      <c r="N5766" s="475">
        <f t="shared" si="197"/>
        <v>226543</v>
      </c>
    </row>
    <row r="5767" spans="7:14" ht="11.25" customHeight="1" x14ac:dyDescent="0.3">
      <c r="G5767" s="470"/>
      <c r="H5767" s="470">
        <v>5760</v>
      </c>
      <c r="I5767" s="455">
        <f t="shared" ca="1" si="195"/>
        <v>-1.089569047641748E+16</v>
      </c>
      <c r="J5767" s="455">
        <f t="array" ref="J5767">IFERROR(INDEX('Retirement Calculator'!K:K,MATCH('Lorri 401b'!N5767,'Retirement Calculator'!A:A,0),0),0)</f>
        <v>0</v>
      </c>
      <c r="K5767" s="455">
        <f t="shared" ca="1" si="193"/>
        <v>-45398710318406.164</v>
      </c>
      <c r="L5767" s="455">
        <f t="shared" ca="1" si="194"/>
        <v>-1.0941089186735886E+16</v>
      </c>
      <c r="M5767" s="471">
        <f t="shared" si="196"/>
        <v>0.05</v>
      </c>
      <c r="N5767" s="475">
        <f t="shared" si="197"/>
        <v>226573</v>
      </c>
    </row>
    <row r="5768" spans="7:14" ht="11.25" customHeight="1" x14ac:dyDescent="0.3">
      <c r="G5768" s="470"/>
      <c r="H5768" s="470">
        <v>5761</v>
      </c>
      <c r="I5768" s="455">
        <f t="shared" ca="1" si="195"/>
        <v>-1.0941089186735886E+16</v>
      </c>
      <c r="J5768" s="455">
        <f t="array" ref="J5768">IFERROR(INDEX('Retirement Calculator'!K:K,MATCH('Lorri 401b'!N5768,'Retirement Calculator'!A:A,0),0),0)</f>
        <v>0</v>
      </c>
      <c r="K5768" s="455">
        <f t="shared" ca="1" si="193"/>
        <v>-45587871611399.523</v>
      </c>
      <c r="L5768" s="455">
        <f t="shared" ca="1" si="194"/>
        <v>-1.0986677058347286E+16</v>
      </c>
      <c r="M5768" s="471">
        <f t="shared" si="196"/>
        <v>0.05</v>
      </c>
      <c r="N5768" s="475">
        <f t="shared" si="197"/>
        <v>226604</v>
      </c>
    </row>
    <row r="5769" spans="7:14" ht="11.25" customHeight="1" x14ac:dyDescent="0.3">
      <c r="G5769" s="470"/>
      <c r="H5769" s="470">
        <v>5762</v>
      </c>
      <c r="I5769" s="455">
        <f t="shared" ca="1" si="195"/>
        <v>-1.0986677058347286E+16</v>
      </c>
      <c r="J5769" s="455">
        <f t="array" ref="J5769">IFERROR(INDEX('Retirement Calculator'!K:K,MATCH('Lorri 401b'!N5769,'Retirement Calculator'!A:A,0),0),0)</f>
        <v>0</v>
      </c>
      <c r="K5769" s="455">
        <f t="shared" ca="1" si="193"/>
        <v>-45777821076447.023</v>
      </c>
      <c r="L5769" s="455">
        <f t="shared" ca="1" si="194"/>
        <v>-1.1032454879423734E+16</v>
      </c>
      <c r="M5769" s="471">
        <f t="shared" si="196"/>
        <v>0.05</v>
      </c>
      <c r="N5769" s="475">
        <f t="shared" si="197"/>
        <v>226634</v>
      </c>
    </row>
    <row r="5770" spans="7:14" ht="11.25" customHeight="1" x14ac:dyDescent="0.3">
      <c r="G5770" s="470"/>
      <c r="H5770" s="470">
        <v>5763</v>
      </c>
      <c r="I5770" s="455">
        <f t="shared" ca="1" si="195"/>
        <v>-1.1032454879423734E+16</v>
      </c>
      <c r="J5770" s="455">
        <f t="array" ref="J5770">IFERROR(INDEX('Retirement Calculator'!K:K,MATCH('Lorri 401b'!N5770,'Retirement Calculator'!A:A,0),0),0)</f>
        <v>0</v>
      </c>
      <c r="K5770" s="455">
        <f t="shared" ca="1" si="193"/>
        <v>-45968561997598.891</v>
      </c>
      <c r="L5770" s="455">
        <f t="shared" ca="1" si="194"/>
        <v>-1.1078423441421332E+16</v>
      </c>
      <c r="M5770" s="471">
        <f t="shared" si="196"/>
        <v>0.05</v>
      </c>
      <c r="N5770" s="475">
        <f t="shared" si="197"/>
        <v>226665</v>
      </c>
    </row>
    <row r="5771" spans="7:14" ht="11.25" customHeight="1" x14ac:dyDescent="0.3">
      <c r="G5771" s="470"/>
      <c r="H5771" s="470">
        <v>5764</v>
      </c>
      <c r="I5771" s="455">
        <f t="shared" ca="1" si="195"/>
        <v>-1.1078423441421332E+16</v>
      </c>
      <c r="J5771" s="455">
        <f t="array" ref="J5771">IFERROR(INDEX('Retirement Calculator'!K:K,MATCH('Lorri 401b'!N5771,'Retirement Calculator'!A:A,0),0),0)</f>
        <v>0</v>
      </c>
      <c r="K5771" s="455">
        <f t="shared" ca="1" si="193"/>
        <v>-46160097672588.883</v>
      </c>
      <c r="L5771" s="455">
        <f t="shared" ca="1" si="194"/>
        <v>-1.112458353909392E+16</v>
      </c>
      <c r="M5771" s="471">
        <f t="shared" si="196"/>
        <v>0.05</v>
      </c>
      <c r="N5771" s="475">
        <f t="shared" si="197"/>
        <v>226696</v>
      </c>
    </row>
    <row r="5772" spans="7:14" ht="11.25" customHeight="1" x14ac:dyDescent="0.3">
      <c r="G5772" s="470"/>
      <c r="H5772" s="470">
        <v>5765</v>
      </c>
      <c r="I5772" s="455">
        <f t="shared" ca="1" si="195"/>
        <v>-1.112458353909392E+16</v>
      </c>
      <c r="J5772" s="455">
        <f t="array" ref="J5772">IFERROR(INDEX('Retirement Calculator'!K:K,MATCH('Lorri 401b'!N5772,'Retirement Calculator'!A:A,0),0),0)</f>
        <v>0</v>
      </c>
      <c r="K5772" s="455">
        <f t="shared" ca="1" si="193"/>
        <v>-46352431412891.336</v>
      </c>
      <c r="L5772" s="455">
        <f t="shared" ca="1" si="194"/>
        <v>-1.1170935970506812E+16</v>
      </c>
      <c r="M5772" s="471">
        <f t="shared" si="196"/>
        <v>0.05</v>
      </c>
      <c r="N5772" s="475">
        <f t="shared" si="197"/>
        <v>226726</v>
      </c>
    </row>
    <row r="5773" spans="7:14" ht="11.25" customHeight="1" x14ac:dyDescent="0.3">
      <c r="G5773" s="470"/>
      <c r="H5773" s="470">
        <v>5766</v>
      </c>
      <c r="I5773" s="455">
        <f t="shared" ca="1" si="195"/>
        <v>-1.1170935970506812E+16</v>
      </c>
      <c r="J5773" s="455">
        <f t="array" ref="J5773">IFERROR(INDEX('Retirement Calculator'!K:K,MATCH('Lorri 401b'!N5773,'Retirement Calculator'!A:A,0),0),0)</f>
        <v>0</v>
      </c>
      <c r="K5773" s="455">
        <f t="shared" ca="1" si="193"/>
        <v>-46545566543778.383</v>
      </c>
      <c r="L5773" s="455">
        <f t="shared" ca="1" si="194"/>
        <v>-1.121748153705059E+16</v>
      </c>
      <c r="M5773" s="471">
        <f t="shared" si="196"/>
        <v>0.05</v>
      </c>
      <c r="N5773" s="475">
        <f t="shared" si="197"/>
        <v>226757</v>
      </c>
    </row>
    <row r="5774" spans="7:14" ht="11.25" customHeight="1" x14ac:dyDescent="0.3">
      <c r="G5774" s="470"/>
      <c r="H5774" s="470">
        <v>5767</v>
      </c>
      <c r="I5774" s="455">
        <f t="shared" ca="1" si="195"/>
        <v>-1.121748153705059E+16</v>
      </c>
      <c r="J5774" s="455">
        <f t="array" ref="J5774">IFERROR(INDEX('Retirement Calculator'!K:K,MATCH('Lorri 401b'!N5774,'Retirement Calculator'!A:A,0),0),0)</f>
        <v>0</v>
      </c>
      <c r="K5774" s="455">
        <f t="shared" ca="1" si="193"/>
        <v>-46739506404377.461</v>
      </c>
      <c r="L5774" s="455">
        <f t="shared" ca="1" si="194"/>
        <v>-1.1264221043454968E+16</v>
      </c>
      <c r="M5774" s="471">
        <f t="shared" si="196"/>
        <v>0.05</v>
      </c>
      <c r="N5774" s="475">
        <f t="shared" si="197"/>
        <v>226787</v>
      </c>
    </row>
    <row r="5775" spans="7:14" ht="11.25" customHeight="1" x14ac:dyDescent="0.3">
      <c r="G5775" s="470"/>
      <c r="H5775" s="470">
        <v>5768</v>
      </c>
      <c r="I5775" s="455">
        <f t="shared" ca="1" si="195"/>
        <v>-1.1264221043454968E+16</v>
      </c>
      <c r="J5775" s="455">
        <f t="array" ref="J5775">IFERROR(INDEX('Retirement Calculator'!K:K,MATCH('Lorri 401b'!N5775,'Retirement Calculator'!A:A,0),0),0)</f>
        <v>0</v>
      </c>
      <c r="K5775" s="455">
        <f t="shared" ca="1" si="193"/>
        <v>-46934254347729.031</v>
      </c>
      <c r="L5775" s="455">
        <f t="shared" ca="1" si="194"/>
        <v>-1.1311155297802698E+16</v>
      </c>
      <c r="M5775" s="471">
        <f t="shared" si="196"/>
        <v>0.05</v>
      </c>
      <c r="N5775" s="475">
        <f t="shared" si="197"/>
        <v>226818</v>
      </c>
    </row>
    <row r="5776" spans="7:14" ht="11.25" customHeight="1" x14ac:dyDescent="0.3">
      <c r="G5776" s="470"/>
      <c r="H5776" s="470">
        <v>5769</v>
      </c>
      <c r="I5776" s="455">
        <f t="shared" ca="1" si="195"/>
        <v>-1.1311155297802698E+16</v>
      </c>
      <c r="J5776" s="455">
        <f t="array" ref="J5776">IFERROR(INDEX('Retirement Calculator'!K:K,MATCH('Lorri 401b'!N5776,'Retirement Calculator'!A:A,0),0),0)</f>
        <v>0</v>
      </c>
      <c r="K5776" s="455">
        <f t="shared" ca="1" si="193"/>
        <v>-47129813740844.578</v>
      </c>
      <c r="L5776" s="455">
        <f t="shared" ca="1" si="194"/>
        <v>-1.1358285111543542E+16</v>
      </c>
      <c r="M5776" s="471">
        <f t="shared" si="196"/>
        <v>0.05</v>
      </c>
      <c r="N5776" s="475">
        <f t="shared" si="197"/>
        <v>226849</v>
      </c>
    </row>
    <row r="5777" spans="7:14" ht="11.25" customHeight="1" x14ac:dyDescent="0.3">
      <c r="G5777" s="470"/>
      <c r="H5777" s="470">
        <v>5770</v>
      </c>
      <c r="I5777" s="455">
        <f t="shared" ca="1" si="195"/>
        <v>-1.1358285111543542E+16</v>
      </c>
      <c r="J5777" s="455">
        <f t="array" ref="J5777">IFERROR(INDEX('Retirement Calculator'!K:K,MATCH('Lorri 401b'!N5777,'Retirement Calculator'!A:A,0),0),0)</f>
        <v>0</v>
      </c>
      <c r="K5777" s="455">
        <f t="shared" ca="1" si="193"/>
        <v>-47326187964764.758</v>
      </c>
      <c r="L5777" s="455">
        <f t="shared" ca="1" si="194"/>
        <v>-1.1405611299508306E+16</v>
      </c>
      <c r="M5777" s="471">
        <f t="shared" si="196"/>
        <v>0.05</v>
      </c>
      <c r="N5777" s="475">
        <f t="shared" si="197"/>
        <v>226877</v>
      </c>
    </row>
    <row r="5778" spans="7:14" ht="11.25" customHeight="1" x14ac:dyDescent="0.3">
      <c r="G5778" s="470"/>
      <c r="H5778" s="470">
        <v>5771</v>
      </c>
      <c r="I5778" s="455">
        <f t="shared" ca="1" si="195"/>
        <v>-1.1405611299508306E+16</v>
      </c>
      <c r="J5778" s="455">
        <f t="array" ref="J5778">IFERROR(INDEX('Retirement Calculator'!K:K,MATCH('Lorri 401b'!N5778,'Retirement Calculator'!A:A,0),0),0)</f>
        <v>0</v>
      </c>
      <c r="K5778" s="455">
        <f t="shared" ca="1" si="193"/>
        <v>-47523380414617.938</v>
      </c>
      <c r="L5778" s="455">
        <f t="shared" ca="1" si="194"/>
        <v>-1.1453134679922924E+16</v>
      </c>
      <c r="M5778" s="471">
        <f t="shared" si="196"/>
        <v>0.05</v>
      </c>
      <c r="N5778" s="475">
        <f t="shared" si="197"/>
        <v>226908</v>
      </c>
    </row>
    <row r="5779" spans="7:14" ht="11.25" customHeight="1" x14ac:dyDescent="0.3">
      <c r="G5779" s="470"/>
      <c r="H5779" s="470">
        <v>5772</v>
      </c>
      <c r="I5779" s="455">
        <f t="shared" ca="1" si="195"/>
        <v>-1.1453134679922924E+16</v>
      </c>
      <c r="J5779" s="455">
        <f t="array" ref="J5779">IFERROR(INDEX('Retirement Calculator'!K:K,MATCH('Lorri 401b'!N5779,'Retirement Calculator'!A:A,0),0),0)</f>
        <v>0</v>
      </c>
      <c r="K5779" s="455">
        <f t="shared" ca="1" si="193"/>
        <v>-47721394499678.852</v>
      </c>
      <c r="L5779" s="455">
        <f t="shared" ca="1" si="194"/>
        <v>-1.1500856074422602E+16</v>
      </c>
      <c r="M5779" s="471">
        <f t="shared" si="196"/>
        <v>0.05</v>
      </c>
      <c r="N5779" s="475">
        <f t="shared" si="197"/>
        <v>226938</v>
      </c>
    </row>
    <row r="5780" spans="7:14" ht="11.25" customHeight="1" x14ac:dyDescent="0.3">
      <c r="G5780" s="470"/>
      <c r="H5780" s="470">
        <v>5773</v>
      </c>
      <c r="I5780" s="455">
        <f t="shared" ca="1" si="195"/>
        <v>-1.1500856074422602E+16</v>
      </c>
      <c r="J5780" s="455">
        <f t="array" ref="J5780">IFERROR(INDEX('Retirement Calculator'!K:K,MATCH('Lorri 401b'!N5780,'Retirement Calculator'!A:A,0),0),0)</f>
        <v>0</v>
      </c>
      <c r="K5780" s="455">
        <f t="shared" ca="1" si="193"/>
        <v>-47920233643427.508</v>
      </c>
      <c r="L5780" s="455">
        <f t="shared" ca="1" si="194"/>
        <v>-1.154877630806603E+16</v>
      </c>
      <c r="M5780" s="471">
        <f t="shared" si="196"/>
        <v>0.05</v>
      </c>
      <c r="N5780" s="475">
        <f t="shared" si="197"/>
        <v>226969</v>
      </c>
    </row>
    <row r="5781" spans="7:14" ht="11.25" customHeight="1" x14ac:dyDescent="0.3">
      <c r="G5781" s="470"/>
      <c r="H5781" s="470">
        <v>5774</v>
      </c>
      <c r="I5781" s="455">
        <f t="shared" ca="1" si="195"/>
        <v>-1.154877630806603E+16</v>
      </c>
      <c r="J5781" s="455">
        <f t="array" ref="J5781">IFERROR(INDEX('Retirement Calculator'!K:K,MATCH('Lorri 401b'!N5781,'Retirement Calculator'!A:A,0),0),0)</f>
        <v>0</v>
      </c>
      <c r="K5781" s="455">
        <f t="shared" ca="1" si="193"/>
        <v>-48119901283608.461</v>
      </c>
      <c r="L5781" s="455">
        <f t="shared" ca="1" si="194"/>
        <v>-1.1596896209349638E+16</v>
      </c>
      <c r="M5781" s="471">
        <f t="shared" si="196"/>
        <v>0.05</v>
      </c>
      <c r="N5781" s="475">
        <f t="shared" si="197"/>
        <v>226999</v>
      </c>
    </row>
    <row r="5782" spans="7:14" ht="11.25" customHeight="1" x14ac:dyDescent="0.3">
      <c r="G5782" s="470"/>
      <c r="H5782" s="470">
        <v>5775</v>
      </c>
      <c r="I5782" s="455">
        <f t="shared" ca="1" si="195"/>
        <v>-1.1596896209349638E+16</v>
      </c>
      <c r="J5782" s="455">
        <f t="array" ref="J5782">IFERROR(INDEX('Retirement Calculator'!K:K,MATCH('Lorri 401b'!N5782,'Retirement Calculator'!A:A,0),0),0)</f>
        <v>0</v>
      </c>
      <c r="K5782" s="455">
        <f t="shared" ca="1" si="193"/>
        <v>-48320400872290.156</v>
      </c>
      <c r="L5782" s="455">
        <f t="shared" ca="1" si="194"/>
        <v>-1.1645216610221928E+16</v>
      </c>
      <c r="M5782" s="471">
        <f t="shared" si="196"/>
        <v>0.05</v>
      </c>
      <c r="N5782" s="475">
        <f t="shared" si="197"/>
        <v>227030</v>
      </c>
    </row>
    <row r="5783" spans="7:14" ht="11.25" customHeight="1" x14ac:dyDescent="0.3">
      <c r="G5783" s="470"/>
      <c r="H5783" s="470">
        <v>5776</v>
      </c>
      <c r="I5783" s="455">
        <f t="shared" ca="1" si="195"/>
        <v>-1.1645216610221928E+16</v>
      </c>
      <c r="J5783" s="455">
        <f t="array" ref="J5783">IFERROR(INDEX('Retirement Calculator'!K:K,MATCH('Lorri 401b'!N5783,'Retirement Calculator'!A:A,0),0),0)</f>
        <v>0</v>
      </c>
      <c r="K5783" s="455">
        <f t="shared" ca="1" si="193"/>
        <v>-48521735875924.703</v>
      </c>
      <c r="L5783" s="455">
        <f t="shared" ca="1" si="194"/>
        <v>-1.1693738346097852E+16</v>
      </c>
      <c r="M5783" s="471">
        <f t="shared" si="196"/>
        <v>0.05</v>
      </c>
      <c r="N5783" s="475">
        <f t="shared" si="197"/>
        <v>227061</v>
      </c>
    </row>
    <row r="5784" spans="7:14" ht="11.25" customHeight="1" x14ac:dyDescent="0.3">
      <c r="G5784" s="470"/>
      <c r="H5784" s="470">
        <v>5777</v>
      </c>
      <c r="I5784" s="455">
        <f t="shared" ca="1" si="195"/>
        <v>-1.1693738346097852E+16</v>
      </c>
      <c r="J5784" s="455">
        <f t="array" ref="J5784">IFERROR(INDEX('Retirement Calculator'!K:K,MATCH('Lorri 401b'!N5784,'Retirement Calculator'!A:A,0),0),0)</f>
        <v>0</v>
      </c>
      <c r="K5784" s="455">
        <f t="shared" ca="1" si="193"/>
        <v>-48723909775407.719</v>
      </c>
      <c r="L5784" s="455">
        <f t="shared" ca="1" si="194"/>
        <v>-1.174246225587326E+16</v>
      </c>
      <c r="M5784" s="471">
        <f t="shared" si="196"/>
        <v>0.05</v>
      </c>
      <c r="N5784" s="475">
        <f t="shared" si="197"/>
        <v>227091</v>
      </c>
    </row>
    <row r="5785" spans="7:14" ht="11.25" customHeight="1" x14ac:dyDescent="0.3">
      <c r="G5785" s="470"/>
      <c r="H5785" s="470">
        <v>5778</v>
      </c>
      <c r="I5785" s="455">
        <f t="shared" ca="1" si="195"/>
        <v>-1.174246225587326E+16</v>
      </c>
      <c r="J5785" s="455">
        <f t="array" ref="J5785">IFERROR(INDEX('Retirement Calculator'!K:K,MATCH('Lorri 401b'!N5785,'Retirement Calculator'!A:A,0),0),0)</f>
        <v>0</v>
      </c>
      <c r="K5785" s="455">
        <f t="shared" ca="1" si="193"/>
        <v>-48926926066138.586</v>
      </c>
      <c r="L5785" s="455">
        <f t="shared" ca="1" si="194"/>
        <v>-1.1791389181939398E+16</v>
      </c>
      <c r="M5785" s="471">
        <f t="shared" si="196"/>
        <v>0.05</v>
      </c>
      <c r="N5785" s="475">
        <f t="shared" si="197"/>
        <v>227122</v>
      </c>
    </row>
    <row r="5786" spans="7:14" ht="11.25" customHeight="1" x14ac:dyDescent="0.3">
      <c r="G5786" s="470"/>
      <c r="H5786" s="470">
        <v>5779</v>
      </c>
      <c r="I5786" s="455">
        <f t="shared" ca="1" si="195"/>
        <v>-1.1791389181939398E+16</v>
      </c>
      <c r="J5786" s="455">
        <f t="array" ref="J5786">IFERROR(INDEX('Retirement Calculator'!K:K,MATCH('Lorri 401b'!N5786,'Retirement Calculator'!A:A,0),0),0)</f>
        <v>0</v>
      </c>
      <c r="K5786" s="455">
        <f t="shared" ca="1" si="193"/>
        <v>-49130788258080.828</v>
      </c>
      <c r="L5786" s="455">
        <f t="shared" ca="1" si="194"/>
        <v>-1.1840519970197478E+16</v>
      </c>
      <c r="M5786" s="471">
        <f t="shared" si="196"/>
        <v>0.05</v>
      </c>
      <c r="N5786" s="475">
        <f t="shared" si="197"/>
        <v>227152</v>
      </c>
    </row>
    <row r="5787" spans="7:14" ht="11.25" customHeight="1" x14ac:dyDescent="0.3">
      <c r="G5787" s="470"/>
      <c r="H5787" s="470">
        <v>5780</v>
      </c>
      <c r="I5787" s="455">
        <f t="shared" ca="1" si="195"/>
        <v>-1.1840519970197478E+16</v>
      </c>
      <c r="J5787" s="455">
        <f t="array" ref="J5787">IFERROR(INDEX('Retirement Calculator'!K:K,MATCH('Lorri 401b'!N5787,'Retirement Calculator'!A:A,0),0),0)</f>
        <v>0</v>
      </c>
      <c r="K5787" s="455">
        <f t="shared" ca="1" si="193"/>
        <v>-49335499875822.828</v>
      </c>
      <c r="L5787" s="455">
        <f t="shared" ca="1" si="194"/>
        <v>-1.18898554700733E+16</v>
      </c>
      <c r="M5787" s="471">
        <f t="shared" si="196"/>
        <v>0.05</v>
      </c>
      <c r="N5787" s="475">
        <f t="shared" si="197"/>
        <v>227183</v>
      </c>
    </row>
    <row r="5788" spans="7:14" ht="11.25" customHeight="1" x14ac:dyDescent="0.3">
      <c r="G5788" s="470"/>
      <c r="H5788" s="470">
        <v>5781</v>
      </c>
      <c r="I5788" s="455">
        <f t="shared" ca="1" si="195"/>
        <v>-1.18898554700733E+16</v>
      </c>
      <c r="J5788" s="455">
        <f t="array" ref="J5788">IFERROR(INDEX('Retirement Calculator'!K:K,MATCH('Lorri 401b'!N5788,'Retirement Calculator'!A:A,0),0),0)</f>
        <v>0</v>
      </c>
      <c r="K5788" s="455">
        <f t="shared" ca="1" si="193"/>
        <v>-49541064458638.75</v>
      </c>
      <c r="L5788" s="455">
        <f t="shared" ca="1" si="194"/>
        <v>-1.1939396534531938E+16</v>
      </c>
      <c r="M5788" s="471">
        <f t="shared" si="196"/>
        <v>0.05</v>
      </c>
      <c r="N5788" s="475">
        <f t="shared" si="197"/>
        <v>227214</v>
      </c>
    </row>
    <row r="5789" spans="7:14" ht="11.25" customHeight="1" x14ac:dyDescent="0.3">
      <c r="G5789" s="470"/>
      <c r="H5789" s="470">
        <v>5782</v>
      </c>
      <c r="I5789" s="455">
        <f t="shared" ca="1" si="195"/>
        <v>-1.1939396534531938E+16</v>
      </c>
      <c r="J5789" s="455">
        <f t="array" ref="J5789">IFERROR(INDEX('Retirement Calculator'!K:K,MATCH('Lorri 401b'!N5789,'Retirement Calculator'!A:A,0),0),0)</f>
        <v>0</v>
      </c>
      <c r="K5789" s="455">
        <f t="shared" ca="1" si="193"/>
        <v>-49747485560549.742</v>
      </c>
      <c r="L5789" s="455">
        <f t="shared" ca="1" si="194"/>
        <v>-1.1989144020092488E+16</v>
      </c>
      <c r="M5789" s="471">
        <f t="shared" si="196"/>
        <v>0.05</v>
      </c>
      <c r="N5789" s="475">
        <f t="shared" si="197"/>
        <v>227242</v>
      </c>
    </row>
    <row r="5790" spans="7:14" ht="11.25" customHeight="1" x14ac:dyDescent="0.3">
      <c r="G5790" s="470"/>
      <c r="H5790" s="470">
        <v>5783</v>
      </c>
      <c r="I5790" s="455">
        <f t="shared" ca="1" si="195"/>
        <v>-1.1989144020092488E+16</v>
      </c>
      <c r="J5790" s="455">
        <f t="array" ref="J5790">IFERROR(INDEX('Retirement Calculator'!K:K,MATCH('Lorri 401b'!N5790,'Retirement Calculator'!A:A,0),0),0)</f>
        <v>0</v>
      </c>
      <c r="K5790" s="455">
        <f t="shared" ca="1" si="193"/>
        <v>-49954766750385.367</v>
      </c>
      <c r="L5790" s="455">
        <f t="shared" ca="1" si="194"/>
        <v>-1.2039098786842874E+16</v>
      </c>
      <c r="M5790" s="471">
        <f t="shared" si="196"/>
        <v>0.05</v>
      </c>
      <c r="N5790" s="475">
        <f t="shared" si="197"/>
        <v>227273</v>
      </c>
    </row>
    <row r="5791" spans="7:14" ht="11.25" customHeight="1" x14ac:dyDescent="0.3">
      <c r="G5791" s="470"/>
      <c r="H5791" s="470">
        <v>5784</v>
      </c>
      <c r="I5791" s="455">
        <f t="shared" ca="1" si="195"/>
        <v>-1.2039098786842874E+16</v>
      </c>
      <c r="J5791" s="455">
        <f t="array" ref="J5791">IFERROR(INDEX('Retirement Calculator'!K:K,MATCH('Lorri 401b'!N5791,'Retirement Calculator'!A:A,0),0),0)</f>
        <v>0</v>
      </c>
      <c r="K5791" s="455">
        <f t="shared" ca="1" si="193"/>
        <v>-50162911611845.305</v>
      </c>
      <c r="L5791" s="455">
        <f t="shared" ca="1" si="194"/>
        <v>-1.208926169845472E+16</v>
      </c>
      <c r="M5791" s="471">
        <f t="shared" si="196"/>
        <v>0.05</v>
      </c>
      <c r="N5791" s="475">
        <f t="shared" si="197"/>
        <v>227303</v>
      </c>
    </row>
    <row r="5792" spans="7:14" ht="11.25" customHeight="1" x14ac:dyDescent="0.3">
      <c r="G5792" s="470"/>
      <c r="H5792" s="470">
        <v>5785</v>
      </c>
      <c r="I5792" s="455">
        <f t="shared" ca="1" si="195"/>
        <v>-1.208926169845472E+16</v>
      </c>
      <c r="J5792" s="455">
        <f t="array" ref="J5792">IFERROR(INDEX('Retirement Calculator'!K:K,MATCH('Lorri 401b'!N5792,'Retirement Calculator'!A:A,0),0),0)</f>
        <v>0</v>
      </c>
      <c r="K5792" s="455">
        <f t="shared" ca="1" si="193"/>
        <v>-50371923743561.336</v>
      </c>
      <c r="L5792" s="455">
        <f t="shared" ca="1" si="194"/>
        <v>-1.2139633622198282E+16</v>
      </c>
      <c r="M5792" s="471">
        <f t="shared" si="196"/>
        <v>0.05</v>
      </c>
      <c r="N5792" s="475">
        <f t="shared" si="197"/>
        <v>227334</v>
      </c>
    </row>
    <row r="5793" spans="7:14" ht="11.25" customHeight="1" x14ac:dyDescent="0.3">
      <c r="G5793" s="470"/>
      <c r="H5793" s="470">
        <v>5786</v>
      </c>
      <c r="I5793" s="455">
        <f t="shared" ca="1" si="195"/>
        <v>-1.2139633622198282E+16</v>
      </c>
      <c r="J5793" s="455">
        <f t="array" ref="J5793">IFERROR(INDEX('Retirement Calculator'!K:K,MATCH('Lorri 401b'!N5793,'Retirement Calculator'!A:A,0),0),0)</f>
        <v>0</v>
      </c>
      <c r="K5793" s="455">
        <f t="shared" ca="1" si="193"/>
        <v>-50581806759159.508</v>
      </c>
      <c r="L5793" s="455">
        <f t="shared" ca="1" si="194"/>
        <v>-1.2190215428957442E+16</v>
      </c>
      <c r="M5793" s="471">
        <f t="shared" si="196"/>
        <v>0.05</v>
      </c>
      <c r="N5793" s="475">
        <f t="shared" si="197"/>
        <v>227364</v>
      </c>
    </row>
    <row r="5794" spans="7:14" ht="11.25" customHeight="1" x14ac:dyDescent="0.3">
      <c r="G5794" s="470"/>
      <c r="H5794" s="470">
        <v>5787</v>
      </c>
      <c r="I5794" s="455">
        <f t="shared" ca="1" si="195"/>
        <v>-1.2190215428957442E+16</v>
      </c>
      <c r="J5794" s="455">
        <f t="array" ref="J5794">IFERROR(INDEX('Retirement Calculator'!K:K,MATCH('Lorri 401b'!N5794,'Retirement Calculator'!A:A,0),0),0)</f>
        <v>0</v>
      </c>
      <c r="K5794" s="455">
        <f t="shared" ca="1" si="193"/>
        <v>-50792564287322.672</v>
      </c>
      <c r="L5794" s="455">
        <f t="shared" ca="1" si="194"/>
        <v>-1.2241007993244764E+16</v>
      </c>
      <c r="M5794" s="471">
        <f t="shared" si="196"/>
        <v>0.05</v>
      </c>
      <c r="N5794" s="475">
        <f t="shared" si="197"/>
        <v>227395</v>
      </c>
    </row>
    <row r="5795" spans="7:14" ht="11.25" customHeight="1" x14ac:dyDescent="0.3">
      <c r="G5795" s="470"/>
      <c r="H5795" s="470">
        <v>5788</v>
      </c>
      <c r="I5795" s="455">
        <f t="shared" ca="1" si="195"/>
        <v>-1.2241007993244764E+16</v>
      </c>
      <c r="J5795" s="455">
        <f t="array" ref="J5795">IFERROR(INDEX('Retirement Calculator'!K:K,MATCH('Lorri 401b'!N5795,'Retirement Calculator'!A:A,0),0),0)</f>
        <v>0</v>
      </c>
      <c r="K5795" s="455">
        <f t="shared" ca="1" si="193"/>
        <v>-51004199971853.18</v>
      </c>
      <c r="L5795" s="455">
        <f t="shared" ca="1" si="194"/>
        <v>-1.2292012193216618E+16</v>
      </c>
      <c r="M5795" s="471">
        <f t="shared" si="196"/>
        <v>0.05</v>
      </c>
      <c r="N5795" s="475">
        <f t="shared" si="197"/>
        <v>227426</v>
      </c>
    </row>
    <row r="5796" spans="7:14" ht="11.25" customHeight="1" x14ac:dyDescent="0.3">
      <c r="G5796" s="470"/>
      <c r="H5796" s="470">
        <v>5789</v>
      </c>
      <c r="I5796" s="455">
        <f t="shared" ca="1" si="195"/>
        <v>-1.2292012193216618E+16</v>
      </c>
      <c r="J5796" s="455">
        <f t="array" ref="J5796">IFERROR(INDEX('Retirement Calculator'!K:K,MATCH('Lorri 401b'!N5796,'Retirement Calculator'!A:A,0),0),0)</f>
        <v>0</v>
      </c>
      <c r="K5796" s="455">
        <f t="shared" ca="1" si="193"/>
        <v>-51216717471735.906</v>
      </c>
      <c r="L5796" s="455">
        <f t="shared" ca="1" si="194"/>
        <v>-1.2343228910688354E+16</v>
      </c>
      <c r="M5796" s="471">
        <f t="shared" si="196"/>
        <v>0.05</v>
      </c>
      <c r="N5796" s="475">
        <f t="shared" si="197"/>
        <v>227456</v>
      </c>
    </row>
    <row r="5797" spans="7:14" ht="11.25" customHeight="1" x14ac:dyDescent="0.3">
      <c r="G5797" s="470"/>
      <c r="H5797" s="470">
        <v>5790</v>
      </c>
      <c r="I5797" s="455">
        <f t="shared" ca="1" si="195"/>
        <v>-1.2343228910688354E+16</v>
      </c>
      <c r="J5797" s="455">
        <f t="array" ref="J5797">IFERROR(INDEX('Retirement Calculator'!K:K,MATCH('Lorri 401b'!N5797,'Retirement Calculator'!A:A,0),0),0)</f>
        <v>0</v>
      </c>
      <c r="K5797" s="455">
        <f t="shared" ca="1" si="193"/>
        <v>-51430120461201.477</v>
      </c>
      <c r="L5797" s="455">
        <f t="shared" ca="1" si="194"/>
        <v>-1.2394659031149556E+16</v>
      </c>
      <c r="M5797" s="471">
        <f t="shared" si="196"/>
        <v>0.05</v>
      </c>
      <c r="N5797" s="475">
        <f t="shared" si="197"/>
        <v>227487</v>
      </c>
    </row>
    <row r="5798" spans="7:14" ht="11.25" customHeight="1" x14ac:dyDescent="0.3">
      <c r="G5798" s="470"/>
      <c r="H5798" s="470">
        <v>5791</v>
      </c>
      <c r="I5798" s="455">
        <f t="shared" ca="1" si="195"/>
        <v>-1.2394659031149556E+16</v>
      </c>
      <c r="J5798" s="455">
        <f t="array" ref="J5798">IFERROR(INDEX('Retirement Calculator'!K:K,MATCH('Lorri 401b'!N5798,'Retirement Calculator'!A:A,0),0),0)</f>
        <v>0</v>
      </c>
      <c r="K5798" s="455">
        <f t="shared" ca="1" si="193"/>
        <v>-51644412629789.813</v>
      </c>
      <c r="L5798" s="455">
        <f t="shared" ca="1" si="194"/>
        <v>-1.2446303443779346E+16</v>
      </c>
      <c r="M5798" s="471">
        <f t="shared" si="196"/>
        <v>0.05</v>
      </c>
      <c r="N5798" s="475">
        <f t="shared" si="197"/>
        <v>227517</v>
      </c>
    </row>
    <row r="5799" spans="7:14" ht="11.25" customHeight="1" x14ac:dyDescent="0.3">
      <c r="G5799" s="470"/>
      <c r="H5799" s="470">
        <v>5792</v>
      </c>
      <c r="I5799" s="455">
        <f t="shared" ca="1" si="195"/>
        <v>-1.2446303443779346E+16</v>
      </c>
      <c r="J5799" s="455">
        <f t="array" ref="J5799">IFERROR(INDEX('Retirement Calculator'!K:K,MATCH('Lorri 401b'!N5799,'Retirement Calculator'!A:A,0),0),0)</f>
        <v>0</v>
      </c>
      <c r="K5799" s="455">
        <f t="shared" ca="1" si="193"/>
        <v>-51859597682413.938</v>
      </c>
      <c r="L5799" s="455">
        <f t="shared" ca="1" si="194"/>
        <v>-1.249816304146176E+16</v>
      </c>
      <c r="M5799" s="471">
        <f t="shared" si="196"/>
        <v>0.05</v>
      </c>
      <c r="N5799" s="475">
        <f t="shared" si="197"/>
        <v>227548</v>
      </c>
    </row>
    <row r="5800" spans="7:14" ht="11.25" customHeight="1" x14ac:dyDescent="0.3">
      <c r="G5800" s="470"/>
      <c r="H5800" s="470">
        <v>5793</v>
      </c>
      <c r="I5800" s="455">
        <f t="shared" ca="1" si="195"/>
        <v>-1.249816304146176E+16</v>
      </c>
      <c r="J5800" s="455">
        <f t="array" ref="J5800">IFERROR(INDEX('Retirement Calculator'!K:K,MATCH('Lorri 401b'!N5800,'Retirement Calculator'!A:A,0),0),0)</f>
        <v>0</v>
      </c>
      <c r="K5800" s="455">
        <f t="shared" ca="1" si="193"/>
        <v>-52075679339424</v>
      </c>
      <c r="L5800" s="455">
        <f t="shared" ca="1" si="194"/>
        <v>-1.2550238720801184E+16</v>
      </c>
      <c r="M5800" s="471">
        <f t="shared" si="196"/>
        <v>0.05</v>
      </c>
      <c r="N5800" s="475">
        <f t="shared" si="197"/>
        <v>227579</v>
      </c>
    </row>
    <row r="5801" spans="7:14" ht="11.25" customHeight="1" x14ac:dyDescent="0.3">
      <c r="G5801" s="470"/>
      <c r="H5801" s="470">
        <v>5794</v>
      </c>
      <c r="I5801" s="455">
        <f t="shared" ca="1" si="195"/>
        <v>-1.2550238720801184E+16</v>
      </c>
      <c r="J5801" s="455">
        <f t="array" ref="J5801">IFERROR(INDEX('Retirement Calculator'!K:K,MATCH('Lorri 401b'!N5801,'Retirement Calculator'!A:A,0),0),0)</f>
        <v>0</v>
      </c>
      <c r="K5801" s="455">
        <f t="shared" ca="1" si="193"/>
        <v>-52292661336671.602</v>
      </c>
      <c r="L5801" s="455">
        <f t="shared" ca="1" si="194"/>
        <v>-1.2602531382137856E+16</v>
      </c>
      <c r="M5801" s="471">
        <f t="shared" si="196"/>
        <v>0.05</v>
      </c>
      <c r="N5801" s="475">
        <f t="shared" si="197"/>
        <v>227607</v>
      </c>
    </row>
    <row r="5802" spans="7:14" ht="11.25" customHeight="1" x14ac:dyDescent="0.3">
      <c r="G5802" s="470"/>
      <c r="H5802" s="470">
        <v>5795</v>
      </c>
      <c r="I5802" s="455">
        <f t="shared" ca="1" si="195"/>
        <v>-1.2602531382137856E+16</v>
      </c>
      <c r="J5802" s="455">
        <f t="array" ref="J5802">IFERROR(INDEX('Retirement Calculator'!K:K,MATCH('Lorri 401b'!N5802,'Retirement Calculator'!A:A,0),0),0)</f>
        <v>0</v>
      </c>
      <c r="K5802" s="455">
        <f t="shared" ca="1" si="193"/>
        <v>-52510547425574.398</v>
      </c>
      <c r="L5802" s="455">
        <f t="shared" ca="1" si="194"/>
        <v>-1.265504192956343E+16</v>
      </c>
      <c r="M5802" s="471">
        <f t="shared" si="196"/>
        <v>0.05</v>
      </c>
      <c r="N5802" s="475">
        <f t="shared" si="197"/>
        <v>227638</v>
      </c>
    </row>
    <row r="5803" spans="7:14" ht="11.25" customHeight="1" x14ac:dyDescent="0.3">
      <c r="G5803" s="470"/>
      <c r="H5803" s="470">
        <v>5796</v>
      </c>
      <c r="I5803" s="455">
        <f t="shared" ca="1" si="195"/>
        <v>-1.265504192956343E+16</v>
      </c>
      <c r="J5803" s="455">
        <f t="array" ref="J5803">IFERROR(INDEX('Retirement Calculator'!K:K,MATCH('Lorri 401b'!N5803,'Retirement Calculator'!A:A,0),0),0)</f>
        <v>0</v>
      </c>
      <c r="K5803" s="455">
        <f t="shared" ca="1" si="193"/>
        <v>-52729341373180.961</v>
      </c>
      <c r="L5803" s="455">
        <f t="shared" ca="1" si="194"/>
        <v>-1.270777127093661E+16</v>
      </c>
      <c r="M5803" s="471">
        <f t="shared" si="196"/>
        <v>0.05</v>
      </c>
      <c r="N5803" s="475">
        <f t="shared" si="197"/>
        <v>227668</v>
      </c>
    </row>
    <row r="5804" spans="7:14" ht="11.25" customHeight="1" x14ac:dyDescent="0.3">
      <c r="G5804" s="470"/>
      <c r="H5804" s="470">
        <v>5797</v>
      </c>
      <c r="I5804" s="455">
        <f t="shared" ca="1" si="195"/>
        <v>-1.270777127093661E+16</v>
      </c>
      <c r="J5804" s="455">
        <f t="array" ref="J5804">IFERROR(INDEX('Retirement Calculator'!K:K,MATCH('Lorri 401b'!N5804,'Retirement Calculator'!A:A,0),0),0)</f>
        <v>0</v>
      </c>
      <c r="K5804" s="455">
        <f t="shared" ca="1" si="193"/>
        <v>-52949046962235.875</v>
      </c>
      <c r="L5804" s="455">
        <f t="shared" ca="1" si="194"/>
        <v>-1.2760720317898846E+16</v>
      </c>
      <c r="M5804" s="471">
        <f t="shared" si="196"/>
        <v>0.05</v>
      </c>
      <c r="N5804" s="475">
        <f t="shared" si="197"/>
        <v>227699</v>
      </c>
    </row>
    <row r="5805" spans="7:14" ht="11.25" customHeight="1" x14ac:dyDescent="0.3">
      <c r="G5805" s="470"/>
      <c r="H5805" s="470">
        <v>5798</v>
      </c>
      <c r="I5805" s="455">
        <f t="shared" ca="1" si="195"/>
        <v>-1.2760720317898846E+16</v>
      </c>
      <c r="J5805" s="455">
        <f t="array" ref="J5805">IFERROR(INDEX('Retirement Calculator'!K:K,MATCH('Lorri 401b'!N5805,'Retirement Calculator'!A:A,0),0),0)</f>
        <v>0</v>
      </c>
      <c r="K5805" s="455">
        <f t="shared" ca="1" si="193"/>
        <v>-53169667991245.188</v>
      </c>
      <c r="L5805" s="455">
        <f t="shared" ca="1" si="194"/>
        <v>-1.2813889985890092E+16</v>
      </c>
      <c r="M5805" s="471">
        <f t="shared" si="196"/>
        <v>0.05</v>
      </c>
      <c r="N5805" s="475">
        <f t="shared" si="197"/>
        <v>227729</v>
      </c>
    </row>
    <row r="5806" spans="7:14" ht="11.25" customHeight="1" x14ac:dyDescent="0.3">
      <c r="G5806" s="470"/>
      <c r="H5806" s="470">
        <v>5799</v>
      </c>
      <c r="I5806" s="455">
        <f t="shared" ca="1" si="195"/>
        <v>-1.2813889985890092E+16</v>
      </c>
      <c r="J5806" s="455">
        <f t="array" ref="J5806">IFERROR(INDEX('Retirement Calculator'!K:K,MATCH('Lorri 401b'!N5806,'Retirement Calculator'!A:A,0),0),0)</f>
        <v>0</v>
      </c>
      <c r="K5806" s="455">
        <f t="shared" ca="1" si="193"/>
        <v>-53391208274542.047</v>
      </c>
      <c r="L5806" s="455">
        <f t="shared" ca="1" si="194"/>
        <v>-1.2867281194164634E+16</v>
      </c>
      <c r="M5806" s="471">
        <f t="shared" si="196"/>
        <v>0.05</v>
      </c>
      <c r="N5806" s="475">
        <f t="shared" si="197"/>
        <v>227760</v>
      </c>
    </row>
    <row r="5807" spans="7:14" ht="11.25" customHeight="1" x14ac:dyDescent="0.3">
      <c r="G5807" s="470"/>
      <c r="H5807" s="470">
        <v>5800</v>
      </c>
      <c r="I5807" s="455">
        <f t="shared" ca="1" si="195"/>
        <v>-1.2867281194164634E+16</v>
      </c>
      <c r="J5807" s="455">
        <f t="array" ref="J5807">IFERROR(INDEX('Retirement Calculator'!K:K,MATCH('Lorri 401b'!N5807,'Retirement Calculator'!A:A,0),0),0)</f>
        <v>0</v>
      </c>
      <c r="K5807" s="455">
        <f t="shared" ca="1" si="193"/>
        <v>-53613671642352.641</v>
      </c>
      <c r="L5807" s="455">
        <f t="shared" ca="1" si="194"/>
        <v>-1.2920894865806986E+16</v>
      </c>
      <c r="M5807" s="471">
        <f t="shared" si="196"/>
        <v>0.05</v>
      </c>
      <c r="N5807" s="475">
        <f t="shared" si="197"/>
        <v>227791</v>
      </c>
    </row>
    <row r="5808" spans="7:14" ht="11.25" customHeight="1" x14ac:dyDescent="0.3">
      <c r="G5808" s="470"/>
      <c r="H5808" s="470">
        <v>5801</v>
      </c>
      <c r="I5808" s="455">
        <f t="shared" ca="1" si="195"/>
        <v>-1.2920894865806986E+16</v>
      </c>
      <c r="J5808" s="455">
        <f t="array" ref="J5808">IFERROR(INDEX('Retirement Calculator'!K:K,MATCH('Lorri 401b'!N5808,'Retirement Calculator'!A:A,0),0),0)</f>
        <v>0</v>
      </c>
      <c r="K5808" s="455">
        <f t="shared" ca="1" si="193"/>
        <v>-53837061940862.438</v>
      </c>
      <c r="L5808" s="455">
        <f t="shared" ca="1" si="194"/>
        <v>-1.2974731927747848E+16</v>
      </c>
      <c r="M5808" s="471">
        <f t="shared" si="196"/>
        <v>0.05</v>
      </c>
      <c r="N5808" s="475">
        <f t="shared" si="197"/>
        <v>227821</v>
      </c>
    </row>
    <row r="5809" spans="7:14" ht="11.25" customHeight="1" x14ac:dyDescent="0.3">
      <c r="G5809" s="470"/>
      <c r="H5809" s="470">
        <v>5802</v>
      </c>
      <c r="I5809" s="455">
        <f t="shared" ca="1" si="195"/>
        <v>-1.2974731927747848E+16</v>
      </c>
      <c r="J5809" s="455">
        <f t="array" ref="J5809">IFERROR(INDEX('Retirement Calculator'!K:K,MATCH('Lorri 401b'!N5809,'Retirement Calculator'!A:A,0),0),0)</f>
        <v>0</v>
      </c>
      <c r="K5809" s="455">
        <f t="shared" ca="1" si="193"/>
        <v>-54061383032282.703</v>
      </c>
      <c r="L5809" s="455">
        <f t="shared" ca="1" si="194"/>
        <v>-1.302879331078013E+16</v>
      </c>
      <c r="M5809" s="471">
        <f t="shared" si="196"/>
        <v>0.05</v>
      </c>
      <c r="N5809" s="475">
        <f t="shared" si="197"/>
        <v>227852</v>
      </c>
    </row>
    <row r="5810" spans="7:14" ht="11.25" customHeight="1" x14ac:dyDescent="0.3">
      <c r="G5810" s="470"/>
      <c r="H5810" s="470">
        <v>5803</v>
      </c>
      <c r="I5810" s="455">
        <f t="shared" ca="1" si="195"/>
        <v>-1.302879331078013E+16</v>
      </c>
      <c r="J5810" s="455">
        <f t="array" ref="J5810">IFERROR(INDEX('Retirement Calculator'!K:K,MATCH('Lorri 401b'!N5810,'Retirement Calculator'!A:A,0),0),0)</f>
        <v>0</v>
      </c>
      <c r="K5810" s="455">
        <f t="shared" ca="1" si="193"/>
        <v>-54286638794917.211</v>
      </c>
      <c r="L5810" s="455">
        <f t="shared" ca="1" si="194"/>
        <v>-1.3083079949575048E+16</v>
      </c>
      <c r="M5810" s="471">
        <f t="shared" si="196"/>
        <v>0.05</v>
      </c>
      <c r="N5810" s="475">
        <f t="shared" si="197"/>
        <v>227882</v>
      </c>
    </row>
    <row r="5811" spans="7:14" ht="11.25" customHeight="1" x14ac:dyDescent="0.3">
      <c r="G5811" s="470"/>
      <c r="H5811" s="470">
        <v>5804</v>
      </c>
      <c r="I5811" s="455">
        <f t="shared" ca="1" si="195"/>
        <v>-1.3083079949575048E+16</v>
      </c>
      <c r="J5811" s="455">
        <f t="array" ref="J5811">IFERROR(INDEX('Retirement Calculator'!K:K,MATCH('Lorri 401b'!N5811,'Retirement Calculator'!A:A,0),0),0)</f>
        <v>0</v>
      </c>
      <c r="K5811" s="455">
        <f t="shared" ca="1" si="193"/>
        <v>-54512833123229.367</v>
      </c>
      <c r="L5811" s="455">
        <f t="shared" ca="1" si="194"/>
        <v>-1.3137592782698278E+16</v>
      </c>
      <c r="M5811" s="471">
        <f t="shared" si="196"/>
        <v>0.05</v>
      </c>
      <c r="N5811" s="475">
        <f t="shared" si="197"/>
        <v>227913</v>
      </c>
    </row>
    <row r="5812" spans="7:14" ht="11.25" customHeight="1" x14ac:dyDescent="0.3">
      <c r="G5812" s="470"/>
      <c r="H5812" s="470">
        <v>5805</v>
      </c>
      <c r="I5812" s="455">
        <f t="shared" ca="1" si="195"/>
        <v>-1.3137592782698278E+16</v>
      </c>
      <c r="J5812" s="455">
        <f t="array" ref="J5812">IFERROR(INDEX('Retirement Calculator'!K:K,MATCH('Lorri 401b'!N5812,'Retirement Calculator'!A:A,0),0),0)</f>
        <v>0</v>
      </c>
      <c r="K5812" s="455">
        <f t="shared" ca="1" si="193"/>
        <v>-54739969927909.492</v>
      </c>
      <c r="L5812" s="455">
        <f t="shared" ca="1" si="194"/>
        <v>-1.3192332752626188E+16</v>
      </c>
      <c r="M5812" s="471">
        <f t="shared" si="196"/>
        <v>0.05</v>
      </c>
      <c r="N5812" s="475">
        <f t="shared" si="197"/>
        <v>227944</v>
      </c>
    </row>
    <row r="5813" spans="7:14" ht="11.25" customHeight="1" x14ac:dyDescent="0.3">
      <c r="G5813" s="470"/>
      <c r="H5813" s="470">
        <v>5806</v>
      </c>
      <c r="I5813" s="455">
        <f t="shared" ca="1" si="195"/>
        <v>-1.3192332752626188E+16</v>
      </c>
      <c r="J5813" s="455">
        <f t="array" ref="J5813">IFERROR(INDEX('Retirement Calculator'!K:K,MATCH('Lorri 401b'!N5813,'Retirement Calculator'!A:A,0),0),0)</f>
        <v>0</v>
      </c>
      <c r="K5813" s="455">
        <f t="shared" ca="1" si="193"/>
        <v>-54968053135942.453</v>
      </c>
      <c r="L5813" s="455">
        <f t="shared" ca="1" si="194"/>
        <v>-1.324730080576213E+16</v>
      </c>
      <c r="M5813" s="471">
        <f t="shared" si="196"/>
        <v>0.05</v>
      </c>
      <c r="N5813" s="475">
        <f t="shared" si="197"/>
        <v>227973</v>
      </c>
    </row>
    <row r="5814" spans="7:14" ht="11.25" customHeight="1" x14ac:dyDescent="0.3">
      <c r="G5814" s="470"/>
      <c r="H5814" s="470">
        <v>5807</v>
      </c>
      <c r="I5814" s="455">
        <f t="shared" ca="1" si="195"/>
        <v>-1.324730080576213E+16</v>
      </c>
      <c r="J5814" s="455">
        <f t="array" ref="J5814">IFERROR(INDEX('Retirement Calculator'!K:K,MATCH('Lorri 401b'!N5814,'Retirement Calculator'!A:A,0),0),0)</f>
        <v>0</v>
      </c>
      <c r="K5814" s="455">
        <f t="shared" ca="1" si="193"/>
        <v>-55197086690675.539</v>
      </c>
      <c r="L5814" s="455">
        <f t="shared" ca="1" si="194"/>
        <v>-1.3302497892452806E+16</v>
      </c>
      <c r="M5814" s="471">
        <f t="shared" si="196"/>
        <v>0.05</v>
      </c>
      <c r="N5814" s="475">
        <f t="shared" si="197"/>
        <v>228004</v>
      </c>
    </row>
    <row r="5815" spans="7:14" ht="11.25" customHeight="1" x14ac:dyDescent="0.3">
      <c r="G5815" s="470"/>
      <c r="H5815" s="470">
        <v>5808</v>
      </c>
      <c r="I5815" s="455">
        <f t="shared" ca="1" si="195"/>
        <v>-1.3302497892452806E+16</v>
      </c>
      <c r="J5815" s="455">
        <f t="array" ref="J5815">IFERROR(INDEX('Retirement Calculator'!K:K,MATCH('Lorri 401b'!N5815,'Retirement Calculator'!A:A,0),0),0)</f>
        <v>0</v>
      </c>
      <c r="K5815" s="455">
        <f t="shared" ca="1" si="193"/>
        <v>-55427074551886.688</v>
      </c>
      <c r="L5815" s="455">
        <f t="shared" ca="1" si="194"/>
        <v>-1.3357924967004692E+16</v>
      </c>
      <c r="M5815" s="471">
        <f t="shared" si="196"/>
        <v>0.05</v>
      </c>
      <c r="N5815" s="475">
        <f t="shared" si="197"/>
        <v>228034</v>
      </c>
    </row>
    <row r="5816" spans="7:14" ht="11.25" customHeight="1" x14ac:dyDescent="0.3">
      <c r="G5816" s="470"/>
      <c r="H5816" s="470">
        <v>5809</v>
      </c>
      <c r="I5816" s="455">
        <f t="shared" ca="1" si="195"/>
        <v>-1.3357924967004692E+16</v>
      </c>
      <c r="J5816" s="455">
        <f t="array" ref="J5816">IFERROR(INDEX('Retirement Calculator'!K:K,MATCH('Lorri 401b'!N5816,'Retirement Calculator'!A:A,0),0),0)</f>
        <v>0</v>
      </c>
      <c r="K5816" s="455">
        <f t="shared" ca="1" si="193"/>
        <v>-55658020695852.883</v>
      </c>
      <c r="L5816" s="455">
        <f t="shared" ca="1" si="194"/>
        <v>-1.3413582987700544E+16</v>
      </c>
      <c r="M5816" s="471">
        <f t="shared" si="196"/>
        <v>0.05</v>
      </c>
      <c r="N5816" s="475">
        <f t="shared" si="197"/>
        <v>228065</v>
      </c>
    </row>
    <row r="5817" spans="7:14" ht="11.25" customHeight="1" x14ac:dyDescent="0.3">
      <c r="G5817" s="470"/>
      <c r="H5817" s="470">
        <v>5810</v>
      </c>
      <c r="I5817" s="455">
        <f t="shared" ca="1" si="195"/>
        <v>-1.3413582987700544E+16</v>
      </c>
      <c r="J5817" s="455">
        <f t="array" ref="J5817">IFERROR(INDEX('Retirement Calculator'!K:K,MATCH('Lorri 401b'!N5817,'Retirement Calculator'!A:A,0),0),0)</f>
        <v>0</v>
      </c>
      <c r="K5817" s="455">
        <f t="shared" ca="1" si="193"/>
        <v>-55889929115418.93</v>
      </c>
      <c r="L5817" s="455">
        <f t="shared" ca="1" si="194"/>
        <v>-1.3469472916815962E+16</v>
      </c>
      <c r="M5817" s="471">
        <f t="shared" si="196"/>
        <v>0.05</v>
      </c>
      <c r="N5817" s="475">
        <f t="shared" si="197"/>
        <v>228095</v>
      </c>
    </row>
    <row r="5818" spans="7:14" ht="11.25" customHeight="1" x14ac:dyDescent="0.3">
      <c r="G5818" s="470"/>
      <c r="H5818" s="470">
        <v>5811</v>
      </c>
      <c r="I5818" s="455">
        <f t="shared" ca="1" si="195"/>
        <v>-1.3469472916815962E+16</v>
      </c>
      <c r="J5818" s="455">
        <f t="array" ref="J5818">IFERROR(INDEX('Retirement Calculator'!K:K,MATCH('Lorri 401b'!N5818,'Retirement Calculator'!A:A,0),0),0)</f>
        <v>0</v>
      </c>
      <c r="K5818" s="455">
        <f t="shared" ca="1" si="193"/>
        <v>-56122803820066.508</v>
      </c>
      <c r="L5818" s="455">
        <f t="shared" ca="1" si="194"/>
        <v>-1.3525595720636028E+16</v>
      </c>
      <c r="M5818" s="471">
        <f t="shared" si="196"/>
        <v>0.05</v>
      </c>
      <c r="N5818" s="475">
        <f t="shared" si="197"/>
        <v>228126</v>
      </c>
    </row>
    <row r="5819" spans="7:14" ht="11.25" customHeight="1" x14ac:dyDescent="0.3">
      <c r="G5819" s="470"/>
      <c r="H5819" s="470">
        <v>5812</v>
      </c>
      <c r="I5819" s="455">
        <f t="shared" ca="1" si="195"/>
        <v>-1.3525595720636028E+16</v>
      </c>
      <c r="J5819" s="455">
        <f t="array" ref="J5819">IFERROR(INDEX('Retirement Calculator'!K:K,MATCH('Lorri 401b'!N5819,'Retirement Calculator'!A:A,0),0),0)</f>
        <v>0</v>
      </c>
      <c r="K5819" s="455">
        <f t="shared" ca="1" si="193"/>
        <v>-56356648835983.453</v>
      </c>
      <c r="L5819" s="455">
        <f t="shared" ca="1" si="194"/>
        <v>-1.3581952369472012E+16</v>
      </c>
      <c r="M5819" s="471">
        <f t="shared" si="196"/>
        <v>0.05</v>
      </c>
      <c r="N5819" s="475">
        <f t="shared" si="197"/>
        <v>228157</v>
      </c>
    </row>
    <row r="5820" spans="7:14" ht="11.25" customHeight="1" x14ac:dyDescent="0.3">
      <c r="G5820" s="470"/>
      <c r="H5820" s="470">
        <v>5813</v>
      </c>
      <c r="I5820" s="455">
        <f t="shared" ca="1" si="195"/>
        <v>-1.3581952369472012E+16</v>
      </c>
      <c r="J5820" s="455">
        <f t="array" ref="J5820">IFERROR(INDEX('Retirement Calculator'!K:K,MATCH('Lorri 401b'!N5820,'Retirement Calculator'!A:A,0),0),0)</f>
        <v>0</v>
      </c>
      <c r="K5820" s="455">
        <f t="shared" ca="1" si="193"/>
        <v>-56591468206133.383</v>
      </c>
      <c r="L5820" s="455">
        <f t="shared" ca="1" si="194"/>
        <v>-1.3638543837678146E+16</v>
      </c>
      <c r="M5820" s="471">
        <f t="shared" si="196"/>
        <v>0.05</v>
      </c>
      <c r="N5820" s="475">
        <f t="shared" si="197"/>
        <v>228187</v>
      </c>
    </row>
    <row r="5821" spans="7:14" ht="11.25" customHeight="1" x14ac:dyDescent="0.3">
      <c r="G5821" s="470"/>
      <c r="H5821" s="470">
        <v>5814</v>
      </c>
      <c r="I5821" s="455">
        <f t="shared" ca="1" si="195"/>
        <v>-1.3638543837678146E+16</v>
      </c>
      <c r="J5821" s="455">
        <f t="array" ref="J5821">IFERROR(INDEX('Retirement Calculator'!K:K,MATCH('Lorri 401b'!N5821,'Retirement Calculator'!A:A,0),0),0)</f>
        <v>0</v>
      </c>
      <c r="K5821" s="455">
        <f t="shared" ca="1" si="193"/>
        <v>-56827265990325.609</v>
      </c>
      <c r="L5821" s="455">
        <f t="shared" ca="1" si="194"/>
        <v>-1.3695371103668472E+16</v>
      </c>
      <c r="M5821" s="471">
        <f t="shared" si="196"/>
        <v>0.05</v>
      </c>
      <c r="N5821" s="475">
        <f t="shared" si="197"/>
        <v>228218</v>
      </c>
    </row>
    <row r="5822" spans="7:14" ht="11.25" customHeight="1" x14ac:dyDescent="0.3">
      <c r="G5822" s="470"/>
      <c r="H5822" s="470">
        <v>5815</v>
      </c>
      <c r="I5822" s="455">
        <f t="shared" ca="1" si="195"/>
        <v>-1.3695371103668472E+16</v>
      </c>
      <c r="J5822" s="455">
        <f t="array" ref="J5822">IFERROR(INDEX('Retirement Calculator'!K:K,MATCH('Lorri 401b'!N5822,'Retirement Calculator'!A:A,0),0),0)</f>
        <v>0</v>
      </c>
      <c r="K5822" s="455">
        <f t="shared" ca="1" si="193"/>
        <v>-57064046265285.297</v>
      </c>
      <c r="L5822" s="455">
        <f t="shared" ca="1" si="194"/>
        <v>-1.3752435149933758E+16</v>
      </c>
      <c r="M5822" s="471">
        <f t="shared" si="196"/>
        <v>0.05</v>
      </c>
      <c r="N5822" s="475">
        <f t="shared" si="197"/>
        <v>228248</v>
      </c>
    </row>
    <row r="5823" spans="7:14" ht="11.25" customHeight="1" x14ac:dyDescent="0.3">
      <c r="G5823" s="470"/>
      <c r="H5823" s="470">
        <v>5816</v>
      </c>
      <c r="I5823" s="455">
        <f t="shared" ca="1" si="195"/>
        <v>-1.3752435149933758E+16</v>
      </c>
      <c r="J5823" s="455">
        <f t="array" ref="J5823">IFERROR(INDEX('Retirement Calculator'!K:K,MATCH('Lorri 401b'!N5823,'Retirement Calculator'!A:A,0),0),0)</f>
        <v>0</v>
      </c>
      <c r="K5823" s="455">
        <f t="shared" ca="1" si="193"/>
        <v>-57301813124723.992</v>
      </c>
      <c r="L5823" s="455">
        <f t="shared" ca="1" si="194"/>
        <v>-1.3809736963058482E+16</v>
      </c>
      <c r="M5823" s="471">
        <f t="shared" si="196"/>
        <v>0.05</v>
      </c>
      <c r="N5823" s="475">
        <f t="shared" si="197"/>
        <v>228279</v>
      </c>
    </row>
    <row r="5824" spans="7:14" ht="11.25" customHeight="1" x14ac:dyDescent="0.3">
      <c r="G5824" s="470"/>
      <c r="H5824" s="470">
        <v>5817</v>
      </c>
      <c r="I5824" s="455">
        <f t="shared" ca="1" si="195"/>
        <v>-1.3809736963058482E+16</v>
      </c>
      <c r="J5824" s="455">
        <f t="array" ref="J5824">IFERROR(INDEX('Retirement Calculator'!K:K,MATCH('Lorri 401b'!N5824,'Retirement Calculator'!A:A,0),0),0)</f>
        <v>0</v>
      </c>
      <c r="K5824" s="455">
        <f t="shared" ca="1" si="193"/>
        <v>-57540570679410.344</v>
      </c>
      <c r="L5824" s="455">
        <f t="shared" ca="1" si="194"/>
        <v>-1.3867277533737892E+16</v>
      </c>
      <c r="M5824" s="471">
        <f t="shared" si="196"/>
        <v>0.05</v>
      </c>
      <c r="N5824" s="475">
        <f t="shared" si="197"/>
        <v>228310</v>
      </c>
    </row>
    <row r="5825" spans="7:14" ht="11.25" customHeight="1" x14ac:dyDescent="0.3">
      <c r="G5825" s="470"/>
      <c r="H5825" s="470">
        <v>5818</v>
      </c>
      <c r="I5825" s="455">
        <f t="shared" ca="1" si="195"/>
        <v>-1.3867277533737892E+16</v>
      </c>
      <c r="J5825" s="455">
        <f t="array" ref="J5825">IFERROR(INDEX('Retirement Calculator'!K:K,MATCH('Lorri 401b'!N5825,'Retirement Calculator'!A:A,0),0),0)</f>
        <v>0</v>
      </c>
      <c r="K5825" s="455">
        <f t="shared" ca="1" si="193"/>
        <v>-57780323057241.219</v>
      </c>
      <c r="L5825" s="455">
        <f t="shared" ca="1" si="194"/>
        <v>-1.3925057856795134E+16</v>
      </c>
      <c r="M5825" s="471">
        <f t="shared" si="196"/>
        <v>0.05</v>
      </c>
      <c r="N5825" s="475">
        <f t="shared" si="197"/>
        <v>228338</v>
      </c>
    </row>
    <row r="5826" spans="7:14" ht="11.25" customHeight="1" x14ac:dyDescent="0.3">
      <c r="G5826" s="470"/>
      <c r="H5826" s="470">
        <v>5819</v>
      </c>
      <c r="I5826" s="455">
        <f t="shared" ca="1" si="195"/>
        <v>-1.3925057856795134E+16</v>
      </c>
      <c r="J5826" s="455">
        <f t="array" ref="J5826">IFERROR(INDEX('Retirement Calculator'!K:K,MATCH('Lorri 401b'!N5826,'Retirement Calculator'!A:A,0),0),0)</f>
        <v>0</v>
      </c>
      <c r="K5826" s="455">
        <f t="shared" ca="1" si="193"/>
        <v>-58021074403313.055</v>
      </c>
      <c r="L5826" s="455">
        <f t="shared" ca="1" si="194"/>
        <v>-1.3983078931198448E+16</v>
      </c>
      <c r="M5826" s="471">
        <f t="shared" si="196"/>
        <v>0.05</v>
      </c>
      <c r="N5826" s="475">
        <f t="shared" si="197"/>
        <v>228369</v>
      </c>
    </row>
    <row r="5827" spans="7:14" ht="11.25" customHeight="1" x14ac:dyDescent="0.3">
      <c r="G5827" s="470"/>
      <c r="H5827" s="470">
        <v>5820</v>
      </c>
      <c r="I5827" s="455">
        <f t="shared" ca="1" si="195"/>
        <v>-1.3983078931198448E+16</v>
      </c>
      <c r="J5827" s="455">
        <f t="array" ref="J5827">IFERROR(INDEX('Retirement Calculator'!K:K,MATCH('Lorri 401b'!N5827,'Retirement Calculator'!A:A,0),0),0)</f>
        <v>0</v>
      </c>
      <c r="K5827" s="455">
        <f t="shared" ca="1" si="193"/>
        <v>-58262828879993.531</v>
      </c>
      <c r="L5827" s="455">
        <f t="shared" ca="1" si="194"/>
        <v>-1.4041341760078442E+16</v>
      </c>
      <c r="M5827" s="471">
        <f t="shared" si="196"/>
        <v>0.05</v>
      </c>
      <c r="N5827" s="475">
        <f t="shared" si="197"/>
        <v>228399</v>
      </c>
    </row>
    <row r="5828" spans="7:14" ht="11.25" customHeight="1" x14ac:dyDescent="0.3">
      <c r="G5828" s="470"/>
      <c r="H5828" s="470">
        <v>5821</v>
      </c>
      <c r="I5828" s="455">
        <f t="shared" ca="1" si="195"/>
        <v>-1.4041341760078442E+16</v>
      </c>
      <c r="J5828" s="455">
        <f t="array" ref="J5828">IFERROR(INDEX('Retirement Calculator'!K:K,MATCH('Lorri 401b'!N5828,'Retirement Calculator'!A:A,0),0),0)</f>
        <v>0</v>
      </c>
      <c r="K5828" s="455">
        <f t="shared" ca="1" si="193"/>
        <v>-58505590666993.508</v>
      </c>
      <c r="L5828" s="455">
        <f t="shared" ca="1" si="194"/>
        <v>-1.4099847350745436E+16</v>
      </c>
      <c r="M5828" s="471">
        <f t="shared" si="196"/>
        <v>0.05</v>
      </c>
      <c r="N5828" s="475">
        <f t="shared" si="197"/>
        <v>228430</v>
      </c>
    </row>
    <row r="5829" spans="7:14" ht="11.25" customHeight="1" x14ac:dyDescent="0.3">
      <c r="G5829" s="470"/>
      <c r="H5829" s="470">
        <v>5822</v>
      </c>
      <c r="I5829" s="455">
        <f t="shared" ca="1" si="195"/>
        <v>-1.4099847350745436E+16</v>
      </c>
      <c r="J5829" s="455">
        <f t="array" ref="J5829">IFERROR(INDEX('Retirement Calculator'!K:K,MATCH('Lorri 401b'!N5829,'Retirement Calculator'!A:A,0),0),0)</f>
        <v>0</v>
      </c>
      <c r="K5829" s="455">
        <f t="shared" ca="1" si="193"/>
        <v>-58749363961439.313</v>
      </c>
      <c r="L5829" s="455">
        <f t="shared" ca="1" si="194"/>
        <v>-1.4158596714706876E+16</v>
      </c>
      <c r="M5829" s="471">
        <f t="shared" si="196"/>
        <v>0.05</v>
      </c>
      <c r="N5829" s="475">
        <f t="shared" si="197"/>
        <v>228460</v>
      </c>
    </row>
    <row r="5830" spans="7:14" ht="11.25" customHeight="1" x14ac:dyDescent="0.3">
      <c r="G5830" s="470"/>
      <c r="H5830" s="470">
        <v>5823</v>
      </c>
      <c r="I5830" s="455">
        <f t="shared" ca="1" si="195"/>
        <v>-1.4158596714706876E+16</v>
      </c>
      <c r="J5830" s="455">
        <f t="array" ref="J5830">IFERROR(INDEX('Retirement Calculator'!K:K,MATCH('Lorri 401b'!N5830,'Retirement Calculator'!A:A,0),0),0)</f>
        <v>0</v>
      </c>
      <c r="K5830" s="455">
        <f t="shared" ca="1" si="193"/>
        <v>-58994152977945.313</v>
      </c>
      <c r="L5830" s="455">
        <f t="shared" ca="1" si="194"/>
        <v>-1.4217590867684822E+16</v>
      </c>
      <c r="M5830" s="471">
        <f t="shared" si="196"/>
        <v>0.05</v>
      </c>
      <c r="N5830" s="475">
        <f t="shared" si="197"/>
        <v>228491</v>
      </c>
    </row>
    <row r="5831" spans="7:14" ht="11.25" customHeight="1" x14ac:dyDescent="0.3">
      <c r="G5831" s="470"/>
      <c r="H5831" s="470">
        <v>5824</v>
      </c>
      <c r="I5831" s="455">
        <f t="shared" ca="1" si="195"/>
        <v>-1.4217590867684822E+16</v>
      </c>
      <c r="J5831" s="455">
        <f t="array" ref="J5831">IFERROR(INDEX('Retirement Calculator'!K:K,MATCH('Lorri 401b'!N5831,'Retirement Calculator'!A:A,0),0),0)</f>
        <v>0</v>
      </c>
      <c r="K5831" s="455">
        <f t="shared" ca="1" si="193"/>
        <v>-59239961948686.766</v>
      </c>
      <c r="L5831" s="455">
        <f t="shared" ca="1" si="194"/>
        <v>-1.4276830829633508E+16</v>
      </c>
      <c r="M5831" s="471">
        <f t="shared" si="196"/>
        <v>0.05</v>
      </c>
      <c r="N5831" s="475">
        <f t="shared" si="197"/>
        <v>228522</v>
      </c>
    </row>
    <row r="5832" spans="7:14" ht="11.25" customHeight="1" x14ac:dyDescent="0.3">
      <c r="G5832" s="470"/>
      <c r="H5832" s="470">
        <v>5825</v>
      </c>
      <c r="I5832" s="455">
        <f t="shared" ca="1" si="195"/>
        <v>-1.4276830829633508E+16</v>
      </c>
      <c r="J5832" s="455">
        <f t="array" ref="J5832">IFERROR(INDEX('Retirement Calculator'!K:K,MATCH('Lorri 401b'!N5832,'Retirement Calculator'!A:A,0),0),0)</f>
        <v>0</v>
      </c>
      <c r="K5832" s="455">
        <f t="shared" ca="1" si="193"/>
        <v>-59486795123472.945</v>
      </c>
      <c r="L5832" s="455">
        <f t="shared" ca="1" si="194"/>
        <v>-1.433631762475698E+16</v>
      </c>
      <c r="M5832" s="471">
        <f t="shared" si="196"/>
        <v>0.05</v>
      </c>
      <c r="N5832" s="475">
        <f t="shared" si="197"/>
        <v>228552</v>
      </c>
    </row>
    <row r="5833" spans="7:14" ht="11.25" customHeight="1" x14ac:dyDescent="0.3">
      <c r="G5833" s="470"/>
      <c r="H5833" s="470">
        <v>5826</v>
      </c>
      <c r="I5833" s="455">
        <f t="shared" ca="1" si="195"/>
        <v>-1.433631762475698E+16</v>
      </c>
      <c r="J5833" s="455">
        <f t="array" ref="J5833">IFERROR(INDEX('Retirement Calculator'!K:K,MATCH('Lorri 401b'!N5833,'Retirement Calculator'!A:A,0),0),0)</f>
        <v>0</v>
      </c>
      <c r="K5833" s="455">
        <f t="shared" ca="1" si="193"/>
        <v>-59734656769820.75</v>
      </c>
      <c r="L5833" s="455">
        <f t="shared" ca="1" si="194"/>
        <v>-1.43960522815268E+16</v>
      </c>
      <c r="M5833" s="471">
        <f t="shared" si="196"/>
        <v>0.05</v>
      </c>
      <c r="N5833" s="475">
        <f t="shared" si="197"/>
        <v>228583</v>
      </c>
    </row>
    <row r="5834" spans="7:14" ht="11.25" customHeight="1" x14ac:dyDescent="0.3">
      <c r="G5834" s="470"/>
      <c r="H5834" s="470">
        <v>5827</v>
      </c>
      <c r="I5834" s="455">
        <f t="shared" ca="1" si="195"/>
        <v>-1.43960522815268E+16</v>
      </c>
      <c r="J5834" s="455">
        <f t="array" ref="J5834">IFERROR(INDEX('Retirement Calculator'!K:K,MATCH('Lorri 401b'!N5834,'Retirement Calculator'!A:A,0),0),0)</f>
        <v>0</v>
      </c>
      <c r="K5834" s="455">
        <f t="shared" ca="1" si="193"/>
        <v>-59983551173028.336</v>
      </c>
      <c r="L5834" s="455">
        <f t="shared" ca="1" si="194"/>
        <v>-1.4456035832699828E+16</v>
      </c>
      <c r="M5834" s="471">
        <f t="shared" si="196"/>
        <v>0.05</v>
      </c>
      <c r="N5834" s="475">
        <f t="shared" si="197"/>
        <v>228613</v>
      </c>
    </row>
    <row r="5835" spans="7:14" ht="11.25" customHeight="1" x14ac:dyDescent="0.3">
      <c r="G5835" s="470"/>
      <c r="H5835" s="470">
        <v>5828</v>
      </c>
      <c r="I5835" s="455">
        <f t="shared" ca="1" si="195"/>
        <v>-1.4456035832699828E+16</v>
      </c>
      <c r="J5835" s="455">
        <f t="array" ref="J5835">IFERROR(INDEX('Retirement Calculator'!K:K,MATCH('Lorri 401b'!N5835,'Retirement Calculator'!A:A,0),0),0)</f>
        <v>0</v>
      </c>
      <c r="K5835" s="455">
        <f t="shared" ca="1" si="193"/>
        <v>-60233482636249.273</v>
      </c>
      <c r="L5835" s="455">
        <f t="shared" ca="1" si="194"/>
        <v>-1.4516269315336078E+16</v>
      </c>
      <c r="M5835" s="471">
        <f t="shared" si="196"/>
        <v>0.05</v>
      </c>
      <c r="N5835" s="475">
        <f t="shared" si="197"/>
        <v>228644</v>
      </c>
    </row>
    <row r="5836" spans="7:14" ht="11.25" customHeight="1" x14ac:dyDescent="0.3">
      <c r="G5836" s="470"/>
      <c r="H5836" s="470">
        <v>5829</v>
      </c>
      <c r="I5836" s="455">
        <f t="shared" ca="1" si="195"/>
        <v>-1.4516269315336078E+16</v>
      </c>
      <c r="J5836" s="455">
        <f t="array" ref="J5836">IFERROR(INDEX('Retirement Calculator'!K:K,MATCH('Lorri 401b'!N5836,'Retirement Calculator'!A:A,0),0),0)</f>
        <v>0</v>
      </c>
      <c r="K5836" s="455">
        <f t="shared" ca="1" si="193"/>
        <v>-60484455480567</v>
      </c>
      <c r="L5836" s="455">
        <f t="shared" ca="1" si="194"/>
        <v>-1.4576753770816644E+16</v>
      </c>
      <c r="M5836" s="471">
        <f t="shared" si="196"/>
        <v>0.05</v>
      </c>
      <c r="N5836" s="475">
        <f t="shared" si="197"/>
        <v>228675</v>
      </c>
    </row>
    <row r="5837" spans="7:14" ht="11.25" customHeight="1" x14ac:dyDescent="0.3">
      <c r="G5837" s="470"/>
      <c r="H5837" s="470">
        <v>5830</v>
      </c>
      <c r="I5837" s="455">
        <f t="shared" ca="1" si="195"/>
        <v>-1.4576753770816644E+16</v>
      </c>
      <c r="J5837" s="455">
        <f t="array" ref="J5837">IFERROR(INDEX('Retirement Calculator'!K:K,MATCH('Lorri 401b'!N5837,'Retirement Calculator'!A:A,0),0),0)</f>
        <v>0</v>
      </c>
      <c r="K5837" s="455">
        <f t="shared" ca="1" si="193"/>
        <v>-60736474045069.352</v>
      </c>
      <c r="L5837" s="455">
        <f t="shared" ca="1" si="194"/>
        <v>-1.4637490244861714E+16</v>
      </c>
      <c r="M5837" s="471">
        <f t="shared" si="196"/>
        <v>0.05</v>
      </c>
      <c r="N5837" s="475">
        <f t="shared" si="197"/>
        <v>228703</v>
      </c>
    </row>
    <row r="5838" spans="7:14" ht="11.25" customHeight="1" x14ac:dyDescent="0.3">
      <c r="G5838" s="470"/>
      <c r="H5838" s="470">
        <v>5831</v>
      </c>
      <c r="I5838" s="455">
        <f t="shared" ca="1" si="195"/>
        <v>-1.4637490244861714E+16</v>
      </c>
      <c r="J5838" s="455">
        <f t="array" ref="J5838">IFERROR(INDEX('Retirement Calculator'!K:K,MATCH('Lorri 401b'!N5838,'Retirement Calculator'!A:A,0),0),0)</f>
        <v>0</v>
      </c>
      <c r="K5838" s="455">
        <f t="shared" ca="1" si="193"/>
        <v>-60989542686923.813</v>
      </c>
      <c r="L5838" s="455">
        <f t="shared" ca="1" si="194"/>
        <v>-1.4698479787548638E+16</v>
      </c>
      <c r="M5838" s="471">
        <f t="shared" si="196"/>
        <v>0.05</v>
      </c>
      <c r="N5838" s="475">
        <f t="shared" si="197"/>
        <v>228734</v>
      </c>
    </row>
    <row r="5839" spans="7:14" ht="11.25" customHeight="1" x14ac:dyDescent="0.3">
      <c r="G5839" s="470"/>
      <c r="H5839" s="470">
        <v>5832</v>
      </c>
      <c r="I5839" s="455">
        <f t="shared" ca="1" si="195"/>
        <v>-1.4698479787548638E+16</v>
      </c>
      <c r="J5839" s="455">
        <f t="array" ref="J5839">IFERROR(INDEX('Retirement Calculator'!K:K,MATCH('Lorri 401b'!N5839,'Retirement Calculator'!A:A,0),0),0)</f>
        <v>0</v>
      </c>
      <c r="K5839" s="455">
        <f t="shared" ca="1" si="193"/>
        <v>-61243665781452.648</v>
      </c>
      <c r="L5839" s="455">
        <f t="shared" ca="1" si="194"/>
        <v>-1.475972345333009E+16</v>
      </c>
      <c r="M5839" s="471">
        <f t="shared" si="196"/>
        <v>0.05</v>
      </c>
      <c r="N5839" s="475">
        <f t="shared" si="197"/>
        <v>228764</v>
      </c>
    </row>
    <row r="5840" spans="7:14" ht="11.25" customHeight="1" x14ac:dyDescent="0.3">
      <c r="G5840" s="470"/>
      <c r="H5840" s="470">
        <v>5833</v>
      </c>
      <c r="I5840" s="455">
        <f t="shared" ca="1" si="195"/>
        <v>-1.475972345333009E+16</v>
      </c>
      <c r="J5840" s="455">
        <f t="array" ref="J5840">IFERROR(INDEX('Retirement Calculator'!K:K,MATCH('Lorri 401b'!N5840,'Retirement Calculator'!A:A,0),0),0)</f>
        <v>0</v>
      </c>
      <c r="K5840" s="455">
        <f t="shared" ca="1" si="193"/>
        <v>-61498847722208.711</v>
      </c>
      <c r="L5840" s="455">
        <f t="shared" ca="1" si="194"/>
        <v>-1.4821222301052298E+16</v>
      </c>
      <c r="M5840" s="471">
        <f t="shared" si="196"/>
        <v>0.05</v>
      </c>
      <c r="N5840" s="475">
        <f t="shared" si="197"/>
        <v>228795</v>
      </c>
    </row>
    <row r="5841" spans="7:14" ht="11.25" customHeight="1" x14ac:dyDescent="0.3">
      <c r="G5841" s="470"/>
      <c r="H5841" s="470">
        <v>5834</v>
      </c>
      <c r="I5841" s="455">
        <f t="shared" ca="1" si="195"/>
        <v>-1.4821222301052298E+16</v>
      </c>
      <c r="J5841" s="455">
        <f t="array" ref="J5841">IFERROR(INDEX('Retirement Calculator'!K:K,MATCH('Lorri 401b'!N5841,'Retirement Calculator'!A:A,0),0),0)</f>
        <v>0</v>
      </c>
      <c r="K5841" s="455">
        <f t="shared" ca="1" si="193"/>
        <v>-61755092921051.25</v>
      </c>
      <c r="L5841" s="455">
        <f t="shared" ca="1" si="194"/>
        <v>-1.488297739397335E+16</v>
      </c>
      <c r="M5841" s="471">
        <f t="shared" si="196"/>
        <v>0.05</v>
      </c>
      <c r="N5841" s="475">
        <f t="shared" si="197"/>
        <v>228825</v>
      </c>
    </row>
    <row r="5842" spans="7:14" ht="11.25" customHeight="1" x14ac:dyDescent="0.3">
      <c r="G5842" s="470"/>
      <c r="H5842" s="470">
        <v>5835</v>
      </c>
      <c r="I5842" s="455">
        <f t="shared" ca="1" si="195"/>
        <v>-1.488297739397335E+16</v>
      </c>
      <c r="J5842" s="455">
        <f t="array" ref="J5842">IFERROR(INDEX('Retirement Calculator'!K:K,MATCH('Lorri 401b'!N5842,'Retirement Calculator'!A:A,0),0),0)</f>
        <v>0</v>
      </c>
      <c r="K5842" s="455">
        <f t="shared" ca="1" si="193"/>
        <v>-62012405808222.289</v>
      </c>
      <c r="L5842" s="455">
        <f t="shared" ca="1" si="194"/>
        <v>-1.4944989799781572E+16</v>
      </c>
      <c r="M5842" s="471">
        <f t="shared" si="196"/>
        <v>0.05</v>
      </c>
      <c r="N5842" s="475">
        <f t="shared" si="197"/>
        <v>228856</v>
      </c>
    </row>
    <row r="5843" spans="7:14" ht="11.25" customHeight="1" x14ac:dyDescent="0.3">
      <c r="G5843" s="470"/>
      <c r="H5843" s="470">
        <v>5836</v>
      </c>
      <c r="I5843" s="455">
        <f t="shared" ca="1" si="195"/>
        <v>-1.4944989799781572E+16</v>
      </c>
      <c r="J5843" s="455">
        <f t="array" ref="J5843">IFERROR(INDEX('Retirement Calculator'!K:K,MATCH('Lorri 401b'!N5843,'Retirement Calculator'!A:A,0),0),0)</f>
        <v>0</v>
      </c>
      <c r="K5843" s="455">
        <f t="shared" ca="1" si="193"/>
        <v>-62270790832423.219</v>
      </c>
      <c r="L5843" s="455">
        <f t="shared" ca="1" si="194"/>
        <v>-1.5007260590613996E+16</v>
      </c>
      <c r="M5843" s="471">
        <f t="shared" si="196"/>
        <v>0.05</v>
      </c>
      <c r="N5843" s="475">
        <f t="shared" si="197"/>
        <v>228887</v>
      </c>
    </row>
    <row r="5844" spans="7:14" ht="11.25" customHeight="1" x14ac:dyDescent="0.3">
      <c r="G5844" s="470"/>
      <c r="H5844" s="470">
        <v>5837</v>
      </c>
      <c r="I5844" s="455">
        <f t="shared" ca="1" si="195"/>
        <v>-1.5007260590613996E+16</v>
      </c>
      <c r="J5844" s="455">
        <f t="array" ref="J5844">IFERROR(INDEX('Retirement Calculator'!K:K,MATCH('Lorri 401b'!N5844,'Retirement Calculator'!A:A,0),0),0)</f>
        <v>0</v>
      </c>
      <c r="K5844" s="455">
        <f t="shared" ca="1" si="193"/>
        <v>-62530252460891.641</v>
      </c>
      <c r="L5844" s="455">
        <f t="shared" ca="1" si="194"/>
        <v>-1.5069790843074888E+16</v>
      </c>
      <c r="M5844" s="471">
        <f t="shared" si="196"/>
        <v>0.05</v>
      </c>
      <c r="N5844" s="475">
        <f t="shared" si="197"/>
        <v>228917</v>
      </c>
    </row>
    <row r="5845" spans="7:14" ht="11.25" customHeight="1" x14ac:dyDescent="0.3">
      <c r="G5845" s="470"/>
      <c r="H5845" s="470">
        <v>5838</v>
      </c>
      <c r="I5845" s="455">
        <f t="shared" ca="1" si="195"/>
        <v>-1.5069790843074888E+16</v>
      </c>
      <c r="J5845" s="455">
        <f t="array" ref="J5845">IFERROR(INDEX('Retirement Calculator'!K:K,MATCH('Lorri 401b'!N5845,'Retirement Calculator'!A:A,0),0),0)</f>
        <v>0</v>
      </c>
      <c r="K5845" s="455">
        <f t="shared" ca="1" si="193"/>
        <v>-62790795179478.695</v>
      </c>
      <c r="L5845" s="455">
        <f t="shared" ca="1" si="194"/>
        <v>-1.5132581638254366E+16</v>
      </c>
      <c r="M5845" s="471">
        <f t="shared" si="196"/>
        <v>0.05</v>
      </c>
      <c r="N5845" s="475">
        <f t="shared" si="197"/>
        <v>228948</v>
      </c>
    </row>
    <row r="5846" spans="7:14" ht="11.25" customHeight="1" x14ac:dyDescent="0.3">
      <c r="G5846" s="470"/>
      <c r="H5846" s="470">
        <v>5839</v>
      </c>
      <c r="I5846" s="455">
        <f t="shared" ca="1" si="195"/>
        <v>-1.5132581638254366E+16</v>
      </c>
      <c r="J5846" s="455">
        <f t="array" ref="J5846">IFERROR(INDEX('Retirement Calculator'!K:K,MATCH('Lorri 401b'!N5846,'Retirement Calculator'!A:A,0),0),0)</f>
        <v>0</v>
      </c>
      <c r="K5846" s="455">
        <f t="shared" ca="1" si="193"/>
        <v>-63052423492726.523</v>
      </c>
      <c r="L5846" s="455">
        <f t="shared" ca="1" si="194"/>
        <v>-1.5195634061747092E+16</v>
      </c>
      <c r="M5846" s="471">
        <f t="shared" si="196"/>
        <v>0.05</v>
      </c>
      <c r="N5846" s="475">
        <f t="shared" si="197"/>
        <v>228978</v>
      </c>
    </row>
    <row r="5847" spans="7:14" ht="11.25" customHeight="1" x14ac:dyDescent="0.3">
      <c r="G5847" s="470"/>
      <c r="H5847" s="470">
        <v>5840</v>
      </c>
      <c r="I5847" s="455">
        <f t="shared" ca="1" si="195"/>
        <v>-1.5195634061747092E+16</v>
      </c>
      <c r="J5847" s="455">
        <f t="array" ref="J5847">IFERROR(INDEX('Retirement Calculator'!K:K,MATCH('Lorri 401b'!N5847,'Retirement Calculator'!A:A,0),0),0)</f>
        <v>0</v>
      </c>
      <c r="K5847" s="455">
        <f t="shared" ca="1" si="193"/>
        <v>-63315141923946.227</v>
      </c>
      <c r="L5847" s="455">
        <f t="shared" ca="1" si="194"/>
        <v>-1.5258949203671038E+16</v>
      </c>
      <c r="M5847" s="471">
        <f t="shared" si="196"/>
        <v>0.05</v>
      </c>
      <c r="N5847" s="475">
        <f t="shared" si="197"/>
        <v>229009</v>
      </c>
    </row>
    <row r="5848" spans="7:14" ht="11.25" customHeight="1" x14ac:dyDescent="0.3">
      <c r="G5848" s="470"/>
      <c r="H5848" s="470">
        <v>5841</v>
      </c>
      <c r="I5848" s="455">
        <f t="shared" ca="1" si="195"/>
        <v>-1.5258949203671038E+16</v>
      </c>
      <c r="J5848" s="455">
        <f t="array" ref="J5848">IFERROR(INDEX('Retirement Calculator'!K:K,MATCH('Lorri 401b'!N5848,'Retirement Calculator'!A:A,0),0),0)</f>
        <v>0</v>
      </c>
      <c r="K5848" s="455">
        <f t="shared" ca="1" si="193"/>
        <v>-63578955015295.992</v>
      </c>
      <c r="L5848" s="455">
        <f t="shared" ca="1" si="194"/>
        <v>-1.5322528158686334E+16</v>
      </c>
      <c r="M5848" s="471">
        <f t="shared" si="196"/>
        <v>0.05</v>
      </c>
      <c r="N5848" s="475">
        <f t="shared" si="197"/>
        <v>229040</v>
      </c>
    </row>
    <row r="5849" spans="7:14" ht="11.25" customHeight="1" x14ac:dyDescent="0.3">
      <c r="G5849" s="470"/>
      <c r="H5849" s="470">
        <v>5842</v>
      </c>
      <c r="I5849" s="455">
        <f t="shared" ca="1" si="195"/>
        <v>-1.5322528158686334E+16</v>
      </c>
      <c r="J5849" s="455">
        <f t="array" ref="J5849">IFERROR(INDEX('Retirement Calculator'!K:K,MATCH('Lorri 401b'!N5849,'Retirement Calculator'!A:A,0),0),0)</f>
        <v>0</v>
      </c>
      <c r="K5849" s="455">
        <f t="shared" ca="1" si="193"/>
        <v>-63843867327859.727</v>
      </c>
      <c r="L5849" s="455">
        <f t="shared" ca="1" si="194"/>
        <v>-1.5386372026014194E+16</v>
      </c>
      <c r="M5849" s="471">
        <f t="shared" si="196"/>
        <v>0.05</v>
      </c>
      <c r="N5849" s="475">
        <f t="shared" si="197"/>
        <v>229068</v>
      </c>
    </row>
    <row r="5850" spans="7:14" ht="11.25" customHeight="1" x14ac:dyDescent="0.3">
      <c r="G5850" s="470"/>
      <c r="H5850" s="470">
        <v>5843</v>
      </c>
      <c r="I5850" s="455">
        <f t="shared" ca="1" si="195"/>
        <v>-1.5386372026014194E+16</v>
      </c>
      <c r="J5850" s="455">
        <f t="array" ref="J5850">IFERROR(INDEX('Retirement Calculator'!K:K,MATCH('Lorri 401b'!N5850,'Retirement Calculator'!A:A,0),0),0)</f>
        <v>0</v>
      </c>
      <c r="K5850" s="455">
        <f t="shared" ca="1" si="193"/>
        <v>-64109883441725.805</v>
      </c>
      <c r="L5850" s="455">
        <f t="shared" ca="1" si="194"/>
        <v>-1.545048190945592E+16</v>
      </c>
      <c r="M5850" s="471">
        <f t="shared" si="196"/>
        <v>0.05</v>
      </c>
      <c r="N5850" s="475">
        <f t="shared" si="197"/>
        <v>229099</v>
      </c>
    </row>
    <row r="5851" spans="7:14" ht="11.25" customHeight="1" x14ac:dyDescent="0.3">
      <c r="G5851" s="470"/>
      <c r="H5851" s="470">
        <v>5844</v>
      </c>
      <c r="I5851" s="455">
        <f t="shared" ca="1" si="195"/>
        <v>-1.545048190945592E+16</v>
      </c>
      <c r="J5851" s="455">
        <f t="array" ref="J5851">IFERROR(INDEX('Retirement Calculator'!K:K,MATCH('Lorri 401b'!N5851,'Retirement Calculator'!A:A,0),0),0)</f>
        <v>0</v>
      </c>
      <c r="K5851" s="455">
        <f t="shared" ca="1" si="193"/>
        <v>-64377007956066.336</v>
      </c>
      <c r="L5851" s="455">
        <f t="shared" ca="1" si="194"/>
        <v>-1.5514858917411986E+16</v>
      </c>
      <c r="M5851" s="471">
        <f t="shared" si="196"/>
        <v>0.05</v>
      </c>
      <c r="N5851" s="475">
        <f t="shared" si="197"/>
        <v>229129</v>
      </c>
    </row>
    <row r="5852" spans="7:14" ht="11.25" customHeight="1" x14ac:dyDescent="0.3">
      <c r="G5852" s="470"/>
      <c r="H5852" s="470">
        <v>5845</v>
      </c>
      <c r="I5852" s="455">
        <f t="shared" ca="1" si="195"/>
        <v>-1.5514858917411986E+16</v>
      </c>
      <c r="J5852" s="455">
        <f t="array" ref="J5852">IFERROR(INDEX('Retirement Calculator'!K:K,MATCH('Lorri 401b'!N5852,'Retirement Calculator'!A:A,0),0),0)</f>
        <v>0</v>
      </c>
      <c r="K5852" s="455">
        <f t="shared" ca="1" si="193"/>
        <v>-64645245489216.609</v>
      </c>
      <c r="L5852" s="455">
        <f t="shared" ca="1" si="194"/>
        <v>-1.5579504162901202E+16</v>
      </c>
      <c r="M5852" s="471">
        <f t="shared" si="196"/>
        <v>0.05</v>
      </c>
      <c r="N5852" s="475">
        <f t="shared" si="197"/>
        <v>229160</v>
      </c>
    </row>
    <row r="5853" spans="7:14" ht="11.25" customHeight="1" x14ac:dyDescent="0.3">
      <c r="G5853" s="470"/>
      <c r="H5853" s="470">
        <v>5846</v>
      </c>
      <c r="I5853" s="455">
        <f t="shared" ca="1" si="195"/>
        <v>-1.5579504162901202E+16</v>
      </c>
      <c r="J5853" s="455">
        <f t="array" ref="J5853">IFERROR(INDEX('Retirement Calculator'!K:K,MATCH('Lorri 401b'!N5853,'Retirement Calculator'!A:A,0),0),0)</f>
        <v>0</v>
      </c>
      <c r="K5853" s="455">
        <f t="shared" ca="1" si="193"/>
        <v>-64914600678755.008</v>
      </c>
      <c r="L5853" s="455">
        <f t="shared" ca="1" si="194"/>
        <v>-1.5644418763579958E+16</v>
      </c>
      <c r="M5853" s="471">
        <f t="shared" si="196"/>
        <v>0.05</v>
      </c>
      <c r="N5853" s="475">
        <f t="shared" si="197"/>
        <v>229190</v>
      </c>
    </row>
    <row r="5854" spans="7:14" ht="11.25" customHeight="1" x14ac:dyDescent="0.3">
      <c r="G5854" s="470"/>
      <c r="H5854" s="470">
        <v>5847</v>
      </c>
      <c r="I5854" s="455">
        <f t="shared" ca="1" si="195"/>
        <v>-1.5644418763579958E+16</v>
      </c>
      <c r="J5854" s="455">
        <f t="array" ref="J5854">IFERROR(INDEX('Retirement Calculator'!K:K,MATCH('Lorri 401b'!N5854,'Retirement Calculator'!A:A,0),0),0)</f>
        <v>0</v>
      </c>
      <c r="K5854" s="455">
        <f t="shared" ca="1" si="193"/>
        <v>-65185078181583.164</v>
      </c>
      <c r="L5854" s="455">
        <f t="shared" ca="1" si="194"/>
        <v>-1.5709603841761542E+16</v>
      </c>
      <c r="M5854" s="471">
        <f t="shared" si="196"/>
        <v>0.05</v>
      </c>
      <c r="N5854" s="475">
        <f t="shared" si="197"/>
        <v>229221</v>
      </c>
    </row>
    <row r="5855" spans="7:14" ht="11.25" customHeight="1" x14ac:dyDescent="0.3">
      <c r="G5855" s="470"/>
      <c r="H5855" s="470">
        <v>5848</v>
      </c>
      <c r="I5855" s="455">
        <f t="shared" ca="1" si="195"/>
        <v>-1.5709603841761542E+16</v>
      </c>
      <c r="J5855" s="455">
        <f t="array" ref="J5855">IFERROR(INDEX('Retirement Calculator'!K:K,MATCH('Lorri 401b'!N5855,'Retirement Calculator'!A:A,0),0),0)</f>
        <v>0</v>
      </c>
      <c r="K5855" s="455">
        <f t="shared" ca="1" si="193"/>
        <v>-65456682674006.422</v>
      </c>
      <c r="L5855" s="455">
        <f t="shared" ca="1" si="194"/>
        <v>-1.5775060524435548E+16</v>
      </c>
      <c r="M5855" s="471">
        <f t="shared" si="196"/>
        <v>0.05</v>
      </c>
      <c r="N5855" s="475">
        <f t="shared" si="197"/>
        <v>229252</v>
      </c>
    </row>
    <row r="5856" spans="7:14" ht="11.25" customHeight="1" x14ac:dyDescent="0.3">
      <c r="G5856" s="470"/>
      <c r="H5856" s="470">
        <v>5849</v>
      </c>
      <c r="I5856" s="455">
        <f t="shared" ca="1" si="195"/>
        <v>-1.5775060524435548E+16</v>
      </c>
      <c r="J5856" s="455">
        <f t="array" ref="J5856">IFERROR(INDEX('Retirement Calculator'!K:K,MATCH('Lorri 401b'!N5856,'Retirement Calculator'!A:A,0),0),0)</f>
        <v>0</v>
      </c>
      <c r="K5856" s="455">
        <f t="shared" ca="1" si="193"/>
        <v>-65729418851814.781</v>
      </c>
      <c r="L5856" s="455">
        <f t="shared" ca="1" si="194"/>
        <v>-1.5840789943287362E+16</v>
      </c>
      <c r="M5856" s="471">
        <f t="shared" si="196"/>
        <v>0.05</v>
      </c>
      <c r="N5856" s="475">
        <f t="shared" si="197"/>
        <v>229282</v>
      </c>
    </row>
    <row r="5857" spans="7:14" ht="11.25" customHeight="1" x14ac:dyDescent="0.3">
      <c r="G5857" s="470"/>
      <c r="H5857" s="470">
        <v>5850</v>
      </c>
      <c r="I5857" s="455">
        <f t="shared" ca="1" si="195"/>
        <v>-1.5840789943287362E+16</v>
      </c>
      <c r="J5857" s="455">
        <f t="array" ref="J5857">IFERROR(INDEX('Retirement Calculator'!K:K,MATCH('Lorri 401b'!N5857,'Retirement Calculator'!A:A,0),0),0)</f>
        <v>0</v>
      </c>
      <c r="K5857" s="455">
        <f t="shared" ca="1" si="193"/>
        <v>-66003291430364.008</v>
      </c>
      <c r="L5857" s="455">
        <f t="shared" ca="1" si="194"/>
        <v>-1.5906793234717726E+16</v>
      </c>
      <c r="M5857" s="471">
        <f t="shared" si="196"/>
        <v>0.05</v>
      </c>
      <c r="N5857" s="475">
        <f t="shared" si="197"/>
        <v>229313</v>
      </c>
    </row>
    <row r="5858" spans="7:14" ht="11.25" customHeight="1" x14ac:dyDescent="0.3">
      <c r="G5858" s="470"/>
      <c r="H5858" s="470">
        <v>5851</v>
      </c>
      <c r="I5858" s="455">
        <f t="shared" ca="1" si="195"/>
        <v>-1.5906793234717726E+16</v>
      </c>
      <c r="J5858" s="455">
        <f t="array" ref="J5858">IFERROR(INDEX('Retirement Calculator'!K:K,MATCH('Lorri 401b'!N5858,'Retirement Calculator'!A:A,0),0),0)</f>
        <v>0</v>
      </c>
      <c r="K5858" s="455">
        <f t="shared" ca="1" si="193"/>
        <v>-66278305144657.188</v>
      </c>
      <c r="L5858" s="455">
        <f t="shared" ca="1" si="194"/>
        <v>-1.5973071539862384E+16</v>
      </c>
      <c r="M5858" s="471">
        <f t="shared" si="196"/>
        <v>0.05</v>
      </c>
      <c r="N5858" s="475">
        <f t="shared" si="197"/>
        <v>229343</v>
      </c>
    </row>
    <row r="5859" spans="7:14" ht="11.25" customHeight="1" x14ac:dyDescent="0.3">
      <c r="G5859" s="470"/>
      <c r="H5859" s="470">
        <v>5852</v>
      </c>
      <c r="I5859" s="455">
        <f t="shared" ca="1" si="195"/>
        <v>-1.5973071539862384E+16</v>
      </c>
      <c r="J5859" s="455">
        <f t="array" ref="J5859">IFERROR(INDEX('Retirement Calculator'!K:K,MATCH('Lorri 401b'!N5859,'Retirement Calculator'!A:A,0),0),0)</f>
        <v>0</v>
      </c>
      <c r="K5859" s="455">
        <f t="shared" ca="1" si="193"/>
        <v>-66554464749426.609</v>
      </c>
      <c r="L5859" s="455">
        <f t="shared" ca="1" si="194"/>
        <v>-1.603962600461181E+16</v>
      </c>
      <c r="M5859" s="471">
        <f t="shared" si="196"/>
        <v>0.05</v>
      </c>
      <c r="N5859" s="475">
        <f t="shared" si="197"/>
        <v>229374</v>
      </c>
    </row>
    <row r="5860" spans="7:14" ht="11.25" customHeight="1" x14ac:dyDescent="0.3">
      <c r="G5860" s="470"/>
      <c r="H5860" s="470">
        <v>5853</v>
      </c>
      <c r="I5860" s="455">
        <f t="shared" ca="1" si="195"/>
        <v>-1.603962600461181E+16</v>
      </c>
      <c r="J5860" s="455">
        <f t="array" ref="J5860">IFERROR(INDEX('Retirement Calculator'!K:K,MATCH('Lorri 401b'!N5860,'Retirement Calculator'!A:A,0),0),0)</f>
        <v>0</v>
      </c>
      <c r="K5860" s="455">
        <f t="shared" ca="1" si="193"/>
        <v>-66831775019215.875</v>
      </c>
      <c r="L5860" s="455">
        <f t="shared" ca="1" si="194"/>
        <v>-1.6106457779631026E+16</v>
      </c>
      <c r="M5860" s="471">
        <f t="shared" si="196"/>
        <v>0.05</v>
      </c>
      <c r="N5860" s="475">
        <f t="shared" si="197"/>
        <v>229405</v>
      </c>
    </row>
    <row r="5861" spans="7:14" ht="11.25" customHeight="1" x14ac:dyDescent="0.3">
      <c r="G5861" s="470"/>
      <c r="H5861" s="470">
        <v>5854</v>
      </c>
      <c r="I5861" s="455">
        <f t="shared" ca="1" si="195"/>
        <v>-1.6106457779631026E+16</v>
      </c>
      <c r="J5861" s="455">
        <f t="array" ref="J5861">IFERROR(INDEX('Retirement Calculator'!K:K,MATCH('Lorri 401b'!N5861,'Retirement Calculator'!A:A,0),0),0)</f>
        <v>0</v>
      </c>
      <c r="K5861" s="455">
        <f t="shared" ca="1" si="193"/>
        <v>-67110240748462.617</v>
      </c>
      <c r="L5861" s="455">
        <f t="shared" ca="1" si="194"/>
        <v>-1.6173568020379488E+16</v>
      </c>
      <c r="M5861" s="471">
        <f t="shared" si="196"/>
        <v>0.05</v>
      </c>
      <c r="N5861" s="475">
        <f t="shared" si="197"/>
        <v>229434</v>
      </c>
    </row>
    <row r="5862" spans="7:14" ht="11.25" customHeight="1" x14ac:dyDescent="0.3">
      <c r="G5862" s="470"/>
      <c r="H5862" s="470">
        <v>5855</v>
      </c>
      <c r="I5862" s="455">
        <f t="shared" ca="1" si="195"/>
        <v>-1.6173568020379488E+16</v>
      </c>
      <c r="J5862" s="455">
        <f t="array" ref="J5862">IFERROR(INDEX('Retirement Calculator'!K:K,MATCH('Lorri 401b'!N5862,'Retirement Calculator'!A:A,0),0),0)</f>
        <v>0</v>
      </c>
      <c r="K5862" s="455">
        <f t="shared" ca="1" si="193"/>
        <v>-67389866751581.195</v>
      </c>
      <c r="L5862" s="455">
        <f t="shared" ca="1" si="194"/>
        <v>-1.624095788713107E+16</v>
      </c>
      <c r="M5862" s="471">
        <f t="shared" si="196"/>
        <v>0.05</v>
      </c>
      <c r="N5862" s="475">
        <f t="shared" si="197"/>
        <v>229465</v>
      </c>
    </row>
    <row r="5863" spans="7:14" ht="11.25" customHeight="1" x14ac:dyDescent="0.3">
      <c r="G5863" s="470"/>
      <c r="H5863" s="470">
        <v>5856</v>
      </c>
      <c r="I5863" s="455">
        <f t="shared" ca="1" si="195"/>
        <v>-1.624095788713107E+16</v>
      </c>
      <c r="J5863" s="455">
        <f t="array" ref="J5863">IFERROR(INDEX('Retirement Calculator'!K:K,MATCH('Lorri 401b'!N5863,'Retirement Calculator'!A:A,0),0),0)</f>
        <v>0</v>
      </c>
      <c r="K5863" s="455">
        <f t="shared" ca="1" si="193"/>
        <v>-67670657863046.125</v>
      </c>
      <c r="L5863" s="455">
        <f t="shared" ca="1" si="194"/>
        <v>-1.6308628544994116E+16</v>
      </c>
      <c r="M5863" s="471">
        <f t="shared" si="196"/>
        <v>0.05</v>
      </c>
      <c r="N5863" s="475">
        <f t="shared" si="197"/>
        <v>229495</v>
      </c>
    </row>
    <row r="5864" spans="7:14" ht="11.25" customHeight="1" x14ac:dyDescent="0.3">
      <c r="G5864" s="470"/>
      <c r="H5864" s="470">
        <v>5857</v>
      </c>
      <c r="I5864" s="455">
        <f t="shared" ca="1" si="195"/>
        <v>-1.6308628544994116E+16</v>
      </c>
      <c r="J5864" s="455">
        <f t="array" ref="J5864">IFERROR(INDEX('Retirement Calculator'!K:K,MATCH('Lorri 401b'!N5864,'Retirement Calculator'!A:A,0),0),0)</f>
        <v>0</v>
      </c>
      <c r="K5864" s="455">
        <f t="shared" ca="1" si="193"/>
        <v>-67952618937475.484</v>
      </c>
      <c r="L5864" s="455">
        <f t="shared" ca="1" si="194"/>
        <v>-1.6376581163931592E+16</v>
      </c>
      <c r="M5864" s="471">
        <f t="shared" si="196"/>
        <v>0.05</v>
      </c>
      <c r="N5864" s="475">
        <f t="shared" si="197"/>
        <v>229526</v>
      </c>
    </row>
    <row r="5865" spans="7:14" ht="11.25" customHeight="1" x14ac:dyDescent="0.3">
      <c r="G5865" s="470"/>
      <c r="H5865" s="470">
        <v>5858</v>
      </c>
      <c r="I5865" s="455">
        <f t="shared" ca="1" si="195"/>
        <v>-1.6376581163931592E+16</v>
      </c>
      <c r="J5865" s="455">
        <f t="array" ref="J5865">IFERROR(INDEX('Retirement Calculator'!K:K,MATCH('Lorri 401b'!N5865,'Retirement Calculator'!A:A,0),0),0)</f>
        <v>0</v>
      </c>
      <c r="K5865" s="455">
        <f t="shared" ca="1" si="193"/>
        <v>-68235754849714.961</v>
      </c>
      <c r="L5865" s="455">
        <f t="shared" ca="1" si="194"/>
        <v>-1.6444816918781306E+16</v>
      </c>
      <c r="M5865" s="471">
        <f t="shared" si="196"/>
        <v>0.05</v>
      </c>
      <c r="N5865" s="475">
        <f t="shared" si="197"/>
        <v>229556</v>
      </c>
    </row>
    <row r="5866" spans="7:14" ht="11.25" customHeight="1" x14ac:dyDescent="0.3">
      <c r="G5866" s="470"/>
      <c r="H5866" s="470">
        <v>5859</v>
      </c>
      <c r="I5866" s="455">
        <f t="shared" ca="1" si="195"/>
        <v>-1.6444816918781306E+16</v>
      </c>
      <c r="J5866" s="455">
        <f t="array" ref="J5866">IFERROR(INDEX('Retirement Calculator'!K:K,MATCH('Lorri 401b'!N5866,'Retirement Calculator'!A:A,0),0),0)</f>
        <v>0</v>
      </c>
      <c r="K5866" s="455">
        <f t="shared" ca="1" si="193"/>
        <v>-68520070494922.102</v>
      </c>
      <c r="L5866" s="455">
        <f t="shared" ca="1" si="194"/>
        <v>-1.6513336989276228E+16</v>
      </c>
      <c r="M5866" s="471">
        <f t="shared" si="196"/>
        <v>0.05</v>
      </c>
      <c r="N5866" s="475">
        <f t="shared" si="197"/>
        <v>229587</v>
      </c>
    </row>
    <row r="5867" spans="7:14" ht="11.25" customHeight="1" x14ac:dyDescent="0.3">
      <c r="G5867" s="470"/>
      <c r="H5867" s="470">
        <v>5860</v>
      </c>
      <c r="I5867" s="455">
        <f t="shared" ca="1" si="195"/>
        <v>-1.6513336989276228E+16</v>
      </c>
      <c r="J5867" s="455">
        <f t="array" ref="J5867">IFERROR(INDEX('Retirement Calculator'!K:K,MATCH('Lorri 401b'!N5867,'Retirement Calculator'!A:A,0),0),0)</f>
        <v>0</v>
      </c>
      <c r="K5867" s="455">
        <f t="shared" ca="1" si="193"/>
        <v>-68805570788650.945</v>
      </c>
      <c r="L5867" s="455">
        <f t="shared" ca="1" si="194"/>
        <v>-1.6582142560064878E+16</v>
      </c>
      <c r="M5867" s="471">
        <f t="shared" si="196"/>
        <v>0.05</v>
      </c>
      <c r="N5867" s="475">
        <f t="shared" si="197"/>
        <v>229618</v>
      </c>
    </row>
    <row r="5868" spans="7:14" ht="11.25" customHeight="1" x14ac:dyDescent="0.3">
      <c r="G5868" s="470"/>
      <c r="H5868" s="470">
        <v>5861</v>
      </c>
      <c r="I5868" s="455">
        <f t="shared" ca="1" si="195"/>
        <v>-1.6582142560064878E+16</v>
      </c>
      <c r="J5868" s="455">
        <f t="array" ref="J5868">IFERROR(INDEX('Retirement Calculator'!K:K,MATCH('Lorri 401b'!N5868,'Retirement Calculator'!A:A,0),0),0)</f>
        <v>0</v>
      </c>
      <c r="K5868" s="455">
        <f t="shared" ca="1" si="193"/>
        <v>-69092260666936.992</v>
      </c>
      <c r="L5868" s="455">
        <f t="shared" ca="1" si="194"/>
        <v>-1.6651234820731814E+16</v>
      </c>
      <c r="M5868" s="471">
        <f t="shared" si="196"/>
        <v>0.05</v>
      </c>
      <c r="N5868" s="475">
        <f t="shared" si="197"/>
        <v>229648</v>
      </c>
    </row>
    <row r="5869" spans="7:14" ht="11.25" customHeight="1" x14ac:dyDescent="0.3">
      <c r="G5869" s="470"/>
      <c r="H5869" s="470">
        <v>5862</v>
      </c>
      <c r="I5869" s="455">
        <f t="shared" ca="1" si="195"/>
        <v>-1.6651234820731814E+16</v>
      </c>
      <c r="J5869" s="455">
        <f t="array" ref="J5869">IFERROR(INDEX('Retirement Calculator'!K:K,MATCH('Lorri 401b'!N5869,'Retirement Calculator'!A:A,0),0),0)</f>
        <v>0</v>
      </c>
      <c r="K5869" s="455">
        <f t="shared" ca="1" si="193"/>
        <v>-69380145086382.555</v>
      </c>
      <c r="L5869" s="455">
        <f t="shared" ca="1" si="194"/>
        <v>-1.6720614965818196E+16</v>
      </c>
      <c r="M5869" s="471">
        <f t="shared" si="196"/>
        <v>0.05</v>
      </c>
      <c r="N5869" s="475">
        <f t="shared" si="197"/>
        <v>229679</v>
      </c>
    </row>
    <row r="5870" spans="7:14" ht="11.25" customHeight="1" x14ac:dyDescent="0.3">
      <c r="G5870" s="470"/>
      <c r="H5870" s="470">
        <v>5863</v>
      </c>
      <c r="I5870" s="455">
        <f t="shared" ca="1" si="195"/>
        <v>-1.6720614965818196E+16</v>
      </c>
      <c r="J5870" s="455">
        <f t="array" ref="J5870">IFERROR(INDEX('Retirement Calculator'!K:K,MATCH('Lorri 401b'!N5870,'Retirement Calculator'!A:A,0),0),0)</f>
        <v>0</v>
      </c>
      <c r="K5870" s="455">
        <f t="shared" ca="1" si="193"/>
        <v>-69669229024242.492</v>
      </c>
      <c r="L5870" s="455">
        <f t="shared" ca="1" si="194"/>
        <v>-1.6790284194842438E+16</v>
      </c>
      <c r="M5870" s="471">
        <f t="shared" si="196"/>
        <v>0.05</v>
      </c>
      <c r="N5870" s="475">
        <f t="shared" si="197"/>
        <v>229709</v>
      </c>
    </row>
    <row r="5871" spans="7:14" ht="11.25" customHeight="1" x14ac:dyDescent="0.3">
      <c r="G5871" s="470"/>
      <c r="H5871" s="470">
        <v>5864</v>
      </c>
      <c r="I5871" s="455">
        <f t="shared" ca="1" si="195"/>
        <v>-1.6790284194842438E+16</v>
      </c>
      <c r="J5871" s="455">
        <f t="array" ref="J5871">IFERROR(INDEX('Retirement Calculator'!K:K,MATCH('Lorri 401b'!N5871,'Retirement Calculator'!A:A,0),0),0)</f>
        <v>0</v>
      </c>
      <c r="K5871" s="455">
        <f t="shared" ca="1" si="193"/>
        <v>-69959517478510.164</v>
      </c>
      <c r="L5871" s="455">
        <f t="shared" ca="1" si="194"/>
        <v>-1.6860243712320948E+16</v>
      </c>
      <c r="M5871" s="471">
        <f t="shared" si="196"/>
        <v>0.05</v>
      </c>
      <c r="N5871" s="475">
        <f t="shared" si="197"/>
        <v>229740</v>
      </c>
    </row>
    <row r="5872" spans="7:14" ht="11.25" customHeight="1" x14ac:dyDescent="0.3">
      <c r="G5872" s="470"/>
      <c r="H5872" s="470">
        <v>5865</v>
      </c>
      <c r="I5872" s="455">
        <f t="shared" ca="1" si="195"/>
        <v>-1.6860243712320948E+16</v>
      </c>
      <c r="J5872" s="455">
        <f t="array" ref="J5872">IFERROR(INDEX('Retirement Calculator'!K:K,MATCH('Lorri 401b'!N5872,'Retirement Calculator'!A:A,0),0),0)</f>
        <v>0</v>
      </c>
      <c r="K5872" s="455">
        <f t="shared" ca="1" si="193"/>
        <v>-70251015468003.945</v>
      </c>
      <c r="L5872" s="455">
        <f t="shared" ca="1" si="194"/>
        <v>-1.6930494727788952E+16</v>
      </c>
      <c r="M5872" s="471">
        <f t="shared" si="196"/>
        <v>0.05</v>
      </c>
      <c r="N5872" s="475">
        <f t="shared" si="197"/>
        <v>229771</v>
      </c>
    </row>
    <row r="5873" spans="7:14" ht="11.25" customHeight="1" x14ac:dyDescent="0.3">
      <c r="G5873" s="470"/>
      <c r="H5873" s="470">
        <v>5866</v>
      </c>
      <c r="I5873" s="455">
        <f t="shared" ca="1" si="195"/>
        <v>-1.6930494727788952E+16</v>
      </c>
      <c r="J5873" s="455">
        <f t="array" ref="J5873">IFERROR(INDEX('Retirement Calculator'!K:K,MATCH('Lorri 401b'!N5873,'Retirement Calculator'!A:A,0),0),0)</f>
        <v>0</v>
      </c>
      <c r="K5873" s="455">
        <f t="shared" ref="K5873:K6127" ca="1" si="198">IPMT(M5873/12,1,12,-I5873+J5873,,0)</f>
        <v>-70543728032453.969</v>
      </c>
      <c r="L5873" s="455">
        <f t="shared" ref="L5873:L6127" ca="1" si="199">I5873-J5873+K5873</f>
        <v>-1.7001038455821406E+16</v>
      </c>
      <c r="M5873" s="471">
        <f t="shared" si="196"/>
        <v>0.05</v>
      </c>
      <c r="N5873" s="475">
        <f t="shared" si="197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00">L5873</f>
        <v>-1.7001038455821406E+16</v>
      </c>
      <c r="J5874" s="455">
        <f t="array" ref="J5874">IFERROR(INDEX('Retirement Calculator'!K:K,MATCH('Lorri 401b'!N5874,'Retirement Calculator'!A:A,0),0),0)</f>
        <v>0</v>
      </c>
      <c r="K5874" s="455">
        <f t="shared" ca="1" si="198"/>
        <v>-70837660232589.188</v>
      </c>
      <c r="L5874" s="455">
        <f t="shared" ca="1" si="199"/>
        <v>-1.7071876116053996E+16</v>
      </c>
      <c r="M5874" s="471">
        <f t="shared" ref="M5874:M6128" si="201">M5873</f>
        <v>0.05</v>
      </c>
      <c r="N5874" s="475">
        <f t="shared" ref="N5874:N6128" si="202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00"/>
        <v>-1.7071876116053996E+16</v>
      </c>
      <c r="J5875" s="455">
        <f t="array" ref="J5875">IFERROR(INDEX('Retirement Calculator'!K:K,MATCH('Lorri 401b'!N5875,'Retirement Calculator'!A:A,0),0),0)</f>
        <v>0</v>
      </c>
      <c r="K5875" s="455">
        <f t="shared" ca="1" si="198"/>
        <v>-71132817150224.984</v>
      </c>
      <c r="L5875" s="455">
        <f t="shared" ca="1" si="199"/>
        <v>-1.714300893320422E+16</v>
      </c>
      <c r="M5875" s="471">
        <f t="shared" si="201"/>
        <v>0.05</v>
      </c>
      <c r="N5875" s="475">
        <f t="shared" si="202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00"/>
        <v>-1.714300893320422E+16</v>
      </c>
      <c r="J5876" s="455">
        <f t="array" ref="J5876">IFERROR(INDEX('Retirement Calculator'!K:K,MATCH('Lorri 401b'!N5876,'Retirement Calculator'!A:A,0),0),0)</f>
        <v>0</v>
      </c>
      <c r="K5876" s="455">
        <f t="shared" ca="1" si="198"/>
        <v>-71429203888350.922</v>
      </c>
      <c r="L5876" s="455">
        <f t="shared" ca="1" si="199"/>
        <v>-1.721443813709257E+16</v>
      </c>
      <c r="M5876" s="471">
        <f t="shared" si="201"/>
        <v>0.05</v>
      </c>
      <c r="N5876" s="475">
        <f t="shared" si="202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00"/>
        <v>-1.721443813709257E+16</v>
      </c>
      <c r="J5877" s="455">
        <f t="array" ref="J5877">IFERROR(INDEX('Retirement Calculator'!K:K,MATCH('Lorri 401b'!N5877,'Retirement Calculator'!A:A,0),0),0)</f>
        <v>0</v>
      </c>
      <c r="K5877" s="455">
        <f t="shared" ca="1" si="198"/>
        <v>-71726825571219.047</v>
      </c>
      <c r="L5877" s="455">
        <f t="shared" ca="1" si="199"/>
        <v>-1.728616496266379E+16</v>
      </c>
      <c r="M5877" s="471">
        <f t="shared" si="201"/>
        <v>0.05</v>
      </c>
      <c r="N5877" s="475">
        <f t="shared" si="202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00"/>
        <v>-1.728616496266379E+16</v>
      </c>
      <c r="J5878" s="455">
        <f t="array" ref="J5878">IFERROR(INDEX('Retirement Calculator'!K:K,MATCH('Lorri 401b'!N5878,'Retirement Calculator'!A:A,0),0),0)</f>
        <v>0</v>
      </c>
      <c r="K5878" s="455">
        <f t="shared" ca="1" si="198"/>
        <v>-72025687344432.453</v>
      </c>
      <c r="L5878" s="455">
        <f t="shared" ca="1" si="199"/>
        <v>-1.7358190650008222E+16</v>
      </c>
      <c r="M5878" s="471">
        <f t="shared" si="201"/>
        <v>0.05</v>
      </c>
      <c r="N5878" s="475">
        <f t="shared" si="202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00"/>
        <v>-1.7358190650008222E+16</v>
      </c>
      <c r="J5879" s="455">
        <f t="array" ref="J5879">IFERROR(INDEX('Retirement Calculator'!K:K,MATCH('Lorri 401b'!N5879,'Retirement Calculator'!A:A,0),0),0)</f>
        <v>0</v>
      </c>
      <c r="K5879" s="455">
        <f t="shared" ca="1" si="198"/>
        <v>-72325794375034.25</v>
      </c>
      <c r="L5879" s="455">
        <f t="shared" ca="1" si="199"/>
        <v>-1.7430516444383256E+16</v>
      </c>
      <c r="M5879" s="471">
        <f t="shared" si="201"/>
        <v>0.05</v>
      </c>
      <c r="N5879" s="475">
        <f t="shared" si="202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00"/>
        <v>-1.7430516444383256E+16</v>
      </c>
      <c r="J5880" s="455">
        <f t="array" ref="J5880">IFERROR(INDEX('Retirement Calculator'!K:K,MATCH('Lorri 401b'!N5880,'Retirement Calculator'!A:A,0),0),0)</f>
        <v>0</v>
      </c>
      <c r="K5880" s="455">
        <f t="shared" ca="1" si="198"/>
        <v>-72627151851596.906</v>
      </c>
      <c r="L5880" s="455">
        <f t="shared" ca="1" si="199"/>
        <v>-1.7503143596234852E+16</v>
      </c>
      <c r="M5880" s="471">
        <f t="shared" si="201"/>
        <v>0.05</v>
      </c>
      <c r="N5880" s="475">
        <f t="shared" si="202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00"/>
        <v>-1.7503143596234852E+16</v>
      </c>
      <c r="J5881" s="455">
        <f t="array" ref="J5881">IFERROR(INDEX('Retirement Calculator'!K:K,MATCH('Lorri 401b'!N5881,'Retirement Calculator'!A:A,0),0),0)</f>
        <v>0</v>
      </c>
      <c r="K5881" s="455">
        <f t="shared" ca="1" si="198"/>
        <v>-72929764984311.891</v>
      </c>
      <c r="L5881" s="455">
        <f t="shared" ca="1" si="199"/>
        <v>-1.7576073361219164E+16</v>
      </c>
      <c r="M5881" s="471">
        <f t="shared" si="201"/>
        <v>0.05</v>
      </c>
      <c r="N5881" s="475">
        <f t="shared" si="202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00"/>
        <v>-1.7576073361219164E+16</v>
      </c>
      <c r="J5882" s="455">
        <f t="array" ref="J5882">IFERROR(INDEX('Retirement Calculator'!K:K,MATCH('Lorri 401b'!N5882,'Retirement Calculator'!A:A,0),0),0)</f>
        <v>0</v>
      </c>
      <c r="K5882" s="455">
        <f t="shared" ca="1" si="198"/>
        <v>-73233639005079.844</v>
      </c>
      <c r="L5882" s="455">
        <f t="shared" ca="1" si="199"/>
        <v>-1.7649307000224244E+16</v>
      </c>
      <c r="M5882" s="471">
        <f t="shared" si="201"/>
        <v>0.05</v>
      </c>
      <c r="N5882" s="475">
        <f t="shared" si="202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00"/>
        <v>-1.7649307000224244E+16</v>
      </c>
      <c r="J5883" s="455">
        <f t="array" ref="J5883">IFERROR(INDEX('Retirement Calculator'!K:K,MATCH('Lorri 401b'!N5883,'Retirement Calculator'!A:A,0),0),0)</f>
        <v>0</v>
      </c>
      <c r="K5883" s="455">
        <f t="shared" ca="1" si="198"/>
        <v>-73538779167601.016</v>
      </c>
      <c r="L5883" s="455">
        <f t="shared" ca="1" si="199"/>
        <v>-1.7722845779391846E+16</v>
      </c>
      <c r="M5883" s="471">
        <f t="shared" si="201"/>
        <v>0.05</v>
      </c>
      <c r="N5883" s="475">
        <f t="shared" si="202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00"/>
        <v>-1.7722845779391846E+16</v>
      </c>
      <c r="J5884" s="455">
        <f t="array" ref="J5884">IFERROR(INDEX('Retirement Calculator'!K:K,MATCH('Lorri 401b'!N5884,'Retirement Calculator'!A:A,0),0),0)</f>
        <v>0</v>
      </c>
      <c r="K5884" s="455">
        <f t="shared" ca="1" si="198"/>
        <v>-73845190747466.031</v>
      </c>
      <c r="L5884" s="455">
        <f t="shared" ca="1" si="199"/>
        <v>-1.7796690970139312E+16</v>
      </c>
      <c r="M5884" s="471">
        <f t="shared" si="201"/>
        <v>0.05</v>
      </c>
      <c r="N5884" s="475">
        <f t="shared" si="202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00"/>
        <v>-1.7796690970139312E+16</v>
      </c>
      <c r="J5885" s="455">
        <f t="array" ref="J5885">IFERROR(INDEX('Retirement Calculator'!K:K,MATCH('Lorri 401b'!N5885,'Retirement Calculator'!A:A,0),0),0)</f>
        <v>0</v>
      </c>
      <c r="K5885" s="455">
        <f t="shared" ca="1" si="198"/>
        <v>-74152879042247.141</v>
      </c>
      <c r="L5885" s="455">
        <f t="shared" ca="1" si="199"/>
        <v>-1.787084384918156E+16</v>
      </c>
      <c r="M5885" s="471">
        <f t="shared" si="201"/>
        <v>0.05</v>
      </c>
      <c r="N5885" s="475">
        <f t="shared" si="202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00"/>
        <v>-1.787084384918156E+16</v>
      </c>
      <c r="J5886" s="455">
        <f t="array" ref="J5886">IFERROR(INDEX('Retirement Calculator'!K:K,MATCH('Lorri 401b'!N5886,'Retirement Calculator'!A:A,0),0),0)</f>
        <v>0</v>
      </c>
      <c r="K5886" s="455">
        <f t="shared" ca="1" si="198"/>
        <v>-74461849371589.828</v>
      </c>
      <c r="L5886" s="455">
        <f t="shared" ca="1" si="199"/>
        <v>-1.794530569855315E+16</v>
      </c>
      <c r="M5886" s="471">
        <f t="shared" si="201"/>
        <v>0.05</v>
      </c>
      <c r="N5886" s="475">
        <f t="shared" si="202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00"/>
        <v>-1.794530569855315E+16</v>
      </c>
      <c r="J5887" s="455">
        <f t="array" ref="J5887">IFERROR(INDEX('Retirement Calculator'!K:K,MATCH('Lorri 401b'!N5887,'Retirement Calculator'!A:A,0),0),0)</f>
        <v>0</v>
      </c>
      <c r="K5887" s="455">
        <f t="shared" ca="1" si="198"/>
        <v>-74772107077304.797</v>
      </c>
      <c r="L5887" s="455">
        <f t="shared" ca="1" si="199"/>
        <v>-1.8020077805630456E+16</v>
      </c>
      <c r="M5887" s="471">
        <f t="shared" si="201"/>
        <v>0.05</v>
      </c>
      <c r="N5887" s="475">
        <f t="shared" si="202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00"/>
        <v>-1.8020077805630456E+16</v>
      </c>
      <c r="J5888" s="455">
        <f t="array" ref="J5888">IFERROR(INDEX('Retirement Calculator'!K:K,MATCH('Lorri 401b'!N5888,'Retirement Calculator'!A:A,0),0),0)</f>
        <v>0</v>
      </c>
      <c r="K5888" s="455">
        <f t="shared" ca="1" si="198"/>
        <v>-75083657523460.234</v>
      </c>
      <c r="L5888" s="455">
        <f t="shared" ca="1" si="199"/>
        <v>-1.8095161463153916E+16</v>
      </c>
      <c r="M5888" s="471">
        <f t="shared" si="201"/>
        <v>0.05</v>
      </c>
      <c r="N5888" s="475">
        <f t="shared" si="202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00"/>
        <v>-1.8095161463153916E+16</v>
      </c>
      <c r="J5889" s="455">
        <f t="array" ref="J5889">IFERROR(INDEX('Retirement Calculator'!K:K,MATCH('Lorri 401b'!N5889,'Retirement Calculator'!A:A,0),0),0)</f>
        <v>0</v>
      </c>
      <c r="K5889" s="455">
        <f t="shared" ca="1" si="198"/>
        <v>-75396506096474.656</v>
      </c>
      <c r="L5889" s="455">
        <f t="shared" ca="1" si="199"/>
        <v>-1.8170557969250392E+16</v>
      </c>
      <c r="M5889" s="471">
        <f t="shared" si="201"/>
        <v>0.05</v>
      </c>
      <c r="N5889" s="475">
        <f t="shared" si="202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00"/>
        <v>-1.8170557969250392E+16</v>
      </c>
      <c r="J5890" s="455">
        <f t="array" ref="J5890">IFERROR(INDEX('Retirement Calculator'!K:K,MATCH('Lorri 401b'!N5890,'Retirement Calculator'!A:A,0),0),0)</f>
        <v>0</v>
      </c>
      <c r="K5890" s="455">
        <f t="shared" ca="1" si="198"/>
        <v>-75710658205209.969</v>
      </c>
      <c r="L5890" s="455">
        <f t="shared" ca="1" si="199"/>
        <v>-1.82462686274556E+16</v>
      </c>
      <c r="M5890" s="471">
        <f t="shared" si="201"/>
        <v>0.05</v>
      </c>
      <c r="N5890" s="475">
        <f t="shared" si="202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00"/>
        <v>-1.82462686274556E+16</v>
      </c>
      <c r="J5891" s="455">
        <f t="array" ref="J5891">IFERROR(INDEX('Retirement Calculator'!K:K,MATCH('Lorri 401b'!N5891,'Retirement Calculator'!A:A,0),0),0)</f>
        <v>0</v>
      </c>
      <c r="K5891" s="455">
        <f t="shared" ca="1" si="198"/>
        <v>-76026119281065</v>
      </c>
      <c r="L5891" s="455">
        <f t="shared" ca="1" si="199"/>
        <v>-1.8322294746736664E+16</v>
      </c>
      <c r="M5891" s="471">
        <f t="shared" si="201"/>
        <v>0.05</v>
      </c>
      <c r="N5891" s="475">
        <f t="shared" si="202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00"/>
        <v>-1.8322294746736664E+16</v>
      </c>
      <c r="J5892" s="455">
        <f t="array" ref="J5892">IFERROR(INDEX('Retirement Calculator'!K:K,MATCH('Lorri 401b'!N5892,'Retirement Calculator'!A:A,0),0),0)</f>
        <v>0</v>
      </c>
      <c r="K5892" s="455">
        <f t="shared" ca="1" si="198"/>
        <v>-76342894778069.438</v>
      </c>
      <c r="L5892" s="455">
        <f t="shared" ca="1" si="199"/>
        <v>-1.8398637641514732E+16</v>
      </c>
      <c r="M5892" s="471">
        <f t="shared" si="201"/>
        <v>0.05</v>
      </c>
      <c r="N5892" s="475">
        <f t="shared" si="202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00"/>
        <v>-1.8398637641514732E+16</v>
      </c>
      <c r="J5893" s="455">
        <f t="array" ref="J5893">IFERROR(INDEX('Retirement Calculator'!K:K,MATCH('Lorri 401b'!N5893,'Retirement Calculator'!A:A,0),0),0)</f>
        <v>0</v>
      </c>
      <c r="K5893" s="455">
        <f t="shared" ca="1" si="198"/>
        <v>-76660990172978.047</v>
      </c>
      <c r="L5893" s="455">
        <f t="shared" ca="1" si="199"/>
        <v>-1.8475298631687712E+16</v>
      </c>
      <c r="M5893" s="471">
        <f t="shared" si="201"/>
        <v>0.05</v>
      </c>
      <c r="N5893" s="475">
        <f t="shared" si="202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00"/>
        <v>-1.8475298631687712E+16</v>
      </c>
      <c r="J5894" s="455">
        <f t="array" ref="J5894">IFERROR(INDEX('Retirement Calculator'!K:K,MATCH('Lorri 401b'!N5894,'Retirement Calculator'!A:A,0),0),0)</f>
        <v>0</v>
      </c>
      <c r="K5894" s="455">
        <f t="shared" ca="1" si="198"/>
        <v>-76980410965365.469</v>
      </c>
      <c r="L5894" s="455">
        <f t="shared" ca="1" si="199"/>
        <v>-1.8552279042653076E+16</v>
      </c>
      <c r="M5894" s="471">
        <f t="shared" si="201"/>
        <v>0.05</v>
      </c>
      <c r="N5894" s="475">
        <f t="shared" si="202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00"/>
        <v>-1.8552279042653076E+16</v>
      </c>
      <c r="J5895" s="455">
        <f t="array" ref="J5895">IFERROR(INDEX('Retirement Calculator'!K:K,MATCH('Lorri 401b'!N5895,'Retirement Calculator'!A:A,0),0),0)</f>
        <v>0</v>
      </c>
      <c r="K5895" s="455">
        <f t="shared" ca="1" si="198"/>
        <v>-77301162677721.156</v>
      </c>
      <c r="L5895" s="455">
        <f t="shared" ca="1" si="199"/>
        <v>-1.8629580205330796E+16</v>
      </c>
      <c r="M5895" s="471">
        <f t="shared" si="201"/>
        <v>0.05</v>
      </c>
      <c r="N5895" s="475">
        <f t="shared" si="202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00"/>
        <v>-1.8629580205330796E+16</v>
      </c>
      <c r="J5896" s="455">
        <f t="array" ref="J5896">IFERROR(INDEX('Retirement Calculator'!K:K,MATCH('Lorri 401b'!N5896,'Retirement Calculator'!A:A,0),0),0)</f>
        <v>0</v>
      </c>
      <c r="K5896" s="455">
        <f t="shared" ca="1" si="198"/>
        <v>-77623250855544.984</v>
      </c>
      <c r="L5896" s="455">
        <f t="shared" ca="1" si="199"/>
        <v>-1.870720345618634E+16</v>
      </c>
      <c r="M5896" s="471">
        <f t="shared" si="201"/>
        <v>0.05</v>
      </c>
      <c r="N5896" s="475">
        <f t="shared" si="202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00"/>
        <v>-1.870720345618634E+16</v>
      </c>
      <c r="J5897" s="455">
        <f t="array" ref="J5897">IFERROR(INDEX('Retirement Calculator'!K:K,MATCH('Lorri 401b'!N5897,'Retirement Calculator'!A:A,0),0),0)</f>
        <v>0</v>
      </c>
      <c r="K5897" s="455">
        <f t="shared" ca="1" si="198"/>
        <v>-77946681067443.078</v>
      </c>
      <c r="L5897" s="455">
        <f t="shared" ca="1" si="199"/>
        <v>-1.8785150137253784E+16</v>
      </c>
      <c r="M5897" s="471">
        <f t="shared" si="201"/>
        <v>0.05</v>
      </c>
      <c r="N5897" s="475">
        <f t="shared" si="202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00"/>
        <v>-1.8785150137253784E+16</v>
      </c>
      <c r="J5898" s="455">
        <f t="array" ref="J5898">IFERROR(INDEX('Retirement Calculator'!K:K,MATCH('Lorri 401b'!N5898,'Retirement Calculator'!A:A,0),0),0)</f>
        <v>0</v>
      </c>
      <c r="K5898" s="455">
        <f t="shared" ca="1" si="198"/>
        <v>-78271458905224.094</v>
      </c>
      <c r="L5898" s="455">
        <f t="shared" ca="1" si="199"/>
        <v>-1.8863421596159008E+16</v>
      </c>
      <c r="M5898" s="471">
        <f t="shared" si="201"/>
        <v>0.05</v>
      </c>
      <c r="N5898" s="475">
        <f t="shared" si="202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00"/>
        <v>-1.8863421596159008E+16</v>
      </c>
      <c r="J5899" s="455">
        <f t="array" ref="J5899">IFERROR(INDEX('Retirement Calculator'!K:K,MATCH('Lorri 401b'!N5899,'Retirement Calculator'!A:A,0),0),0)</f>
        <v>0</v>
      </c>
      <c r="K5899" s="455">
        <f t="shared" ca="1" si="198"/>
        <v>-78597589983995.859</v>
      </c>
      <c r="L5899" s="455">
        <f t="shared" ca="1" si="199"/>
        <v>-1.8942019186143004E+16</v>
      </c>
      <c r="M5899" s="471">
        <f t="shared" si="201"/>
        <v>0.05</v>
      </c>
      <c r="N5899" s="475">
        <f t="shared" si="202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00"/>
        <v>-1.8942019186143004E+16</v>
      </c>
      <c r="J5900" s="455">
        <f t="array" ref="J5900">IFERROR(INDEX('Retirement Calculator'!K:K,MATCH('Lorri 401b'!N5900,'Retirement Calculator'!A:A,0),0),0)</f>
        <v>0</v>
      </c>
      <c r="K5900" s="455">
        <f t="shared" ca="1" si="198"/>
        <v>-78925079942262.516</v>
      </c>
      <c r="L5900" s="455">
        <f t="shared" ca="1" si="199"/>
        <v>-1.9020944266085268E+16</v>
      </c>
      <c r="M5900" s="471">
        <f t="shared" si="201"/>
        <v>0.05</v>
      </c>
      <c r="N5900" s="475">
        <f t="shared" si="202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00"/>
        <v>-1.9020944266085268E+16</v>
      </c>
      <c r="J5901" s="455">
        <f t="array" ref="J5901">IFERROR(INDEX('Retirement Calculator'!K:K,MATCH('Lorri 401b'!N5901,'Retirement Calculator'!A:A,0),0),0)</f>
        <v>0</v>
      </c>
      <c r="K5901" s="455">
        <f t="shared" ca="1" si="198"/>
        <v>-79253934442021.953</v>
      </c>
      <c r="L5901" s="455">
        <f t="shared" ca="1" si="199"/>
        <v>-1.9100198200527288E+16</v>
      </c>
      <c r="M5901" s="471">
        <f t="shared" si="201"/>
        <v>0.05</v>
      </c>
      <c r="N5901" s="475">
        <f t="shared" si="202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00"/>
        <v>-1.9100198200527288E+16</v>
      </c>
      <c r="J5902" s="455">
        <f t="array" ref="J5902">IFERROR(INDEX('Retirement Calculator'!K:K,MATCH('Lorri 401b'!N5902,'Retirement Calculator'!A:A,0),0),0)</f>
        <v>0</v>
      </c>
      <c r="K5902" s="455">
        <f t="shared" ca="1" si="198"/>
        <v>-79584159168863.703</v>
      </c>
      <c r="L5902" s="455">
        <f t="shared" ca="1" si="199"/>
        <v>-1.9179782359696152E+16</v>
      </c>
      <c r="M5902" s="471">
        <f t="shared" si="201"/>
        <v>0.05</v>
      </c>
      <c r="N5902" s="475">
        <f t="shared" si="202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00"/>
        <v>-1.9179782359696152E+16</v>
      </c>
      <c r="J5903" s="455">
        <f t="array" ref="J5903">IFERROR(INDEX('Retirement Calculator'!K:K,MATCH('Lorri 401b'!N5903,'Retirement Calculator'!A:A,0),0),0)</f>
        <v>0</v>
      </c>
      <c r="K5903" s="455">
        <f t="shared" ca="1" si="198"/>
        <v>-79915759832067.297</v>
      </c>
      <c r="L5903" s="455">
        <f t="shared" ca="1" si="199"/>
        <v>-1.925969811952822E+16</v>
      </c>
      <c r="M5903" s="471">
        <f t="shared" si="201"/>
        <v>0.05</v>
      </c>
      <c r="N5903" s="475">
        <f t="shared" si="202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00"/>
        <v>-1.925969811952822E+16</v>
      </c>
      <c r="J5904" s="455">
        <f t="array" ref="J5904">IFERROR(INDEX('Retirement Calculator'!K:K,MATCH('Lorri 401b'!N5904,'Retirement Calculator'!A:A,0),0),0)</f>
        <v>0</v>
      </c>
      <c r="K5904" s="455">
        <f t="shared" ca="1" si="198"/>
        <v>-80248742164700.922</v>
      </c>
      <c r="L5904" s="455">
        <f t="shared" ca="1" si="199"/>
        <v>-1.933994686169292E+16</v>
      </c>
      <c r="M5904" s="471">
        <f t="shared" si="201"/>
        <v>0.05</v>
      </c>
      <c r="N5904" s="475">
        <f t="shared" si="202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00"/>
        <v>-1.933994686169292E+16</v>
      </c>
      <c r="J5905" s="455">
        <f t="array" ref="J5905">IFERROR(INDEX('Retirement Calculator'!K:K,MATCH('Lorri 401b'!N5905,'Retirement Calculator'!A:A,0),0),0)</f>
        <v>0</v>
      </c>
      <c r="K5905" s="455">
        <f t="shared" ca="1" si="198"/>
        <v>-80583111923720.5</v>
      </c>
      <c r="L5905" s="455">
        <f t="shared" ca="1" si="199"/>
        <v>-1.942052997361664E+16</v>
      </c>
      <c r="M5905" s="471">
        <f t="shared" si="201"/>
        <v>0.05</v>
      </c>
      <c r="N5905" s="475">
        <f t="shared" si="202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00"/>
        <v>-1.942052997361664E+16</v>
      </c>
      <c r="J5906" s="455">
        <f t="array" ref="J5906">IFERROR(INDEX('Retirement Calculator'!K:K,MATCH('Lorri 401b'!N5906,'Retirement Calculator'!A:A,0),0),0)</f>
        <v>0</v>
      </c>
      <c r="K5906" s="455">
        <f t="shared" ca="1" si="198"/>
        <v>-80918874890069.328</v>
      </c>
      <c r="L5906" s="455">
        <f t="shared" ca="1" si="199"/>
        <v>-1.9501448848506708E+16</v>
      </c>
      <c r="M5906" s="471">
        <f t="shared" si="201"/>
        <v>0.05</v>
      </c>
      <c r="N5906" s="475">
        <f t="shared" si="202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00"/>
        <v>-1.9501448848506708E+16</v>
      </c>
      <c r="J5907" s="455">
        <f t="array" ref="J5907">IFERROR(INDEX('Retirement Calculator'!K:K,MATCH('Lorri 401b'!N5907,'Retirement Calculator'!A:A,0),0),0)</f>
        <v>0</v>
      </c>
      <c r="K5907" s="455">
        <f t="shared" ca="1" si="198"/>
        <v>-81256036868777.953</v>
      </c>
      <c r="L5907" s="455">
        <f t="shared" ca="1" si="199"/>
        <v>-1.9582704885375484E+16</v>
      </c>
      <c r="M5907" s="471">
        <f t="shared" si="201"/>
        <v>0.05</v>
      </c>
      <c r="N5907" s="475">
        <f t="shared" si="202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00"/>
        <v>-1.9582704885375484E+16</v>
      </c>
      <c r="J5908" s="455">
        <f t="array" ref="J5908">IFERROR(INDEX('Retirement Calculator'!K:K,MATCH('Lorri 401b'!N5908,'Retirement Calculator'!A:A,0),0),0)</f>
        <v>0</v>
      </c>
      <c r="K5908" s="455">
        <f t="shared" ca="1" si="198"/>
        <v>-81594603689064.516</v>
      </c>
      <c r="L5908" s="455">
        <f t="shared" ca="1" si="199"/>
        <v>-1.9664299489064548E+16</v>
      </c>
      <c r="M5908" s="471">
        <f t="shared" si="201"/>
        <v>0.05</v>
      </c>
      <c r="N5908" s="475">
        <f t="shared" si="202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00"/>
        <v>-1.9664299489064548E+16</v>
      </c>
      <c r="J5909" s="455">
        <f t="array" ref="J5909">IFERROR(INDEX('Retirement Calculator'!K:K,MATCH('Lorri 401b'!N5909,'Retirement Calculator'!A:A,0),0),0)</f>
        <v>0</v>
      </c>
      <c r="K5909" s="455">
        <f t="shared" ca="1" si="198"/>
        <v>-81934581204435.609</v>
      </c>
      <c r="L5909" s="455">
        <f t="shared" ca="1" si="199"/>
        <v>-1.9746234070268984E+16</v>
      </c>
      <c r="M5909" s="471">
        <f t="shared" si="201"/>
        <v>0.05</v>
      </c>
      <c r="N5909" s="475">
        <f t="shared" si="202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00"/>
        <v>-1.9746234070268984E+16</v>
      </c>
      <c r="J5910" s="455">
        <f t="array" ref="J5910">IFERROR(INDEX('Retirement Calculator'!K:K,MATCH('Lorri 401b'!N5910,'Retirement Calculator'!A:A,0),0),0)</f>
        <v>0</v>
      </c>
      <c r="K5910" s="455">
        <f t="shared" ca="1" si="198"/>
        <v>-82275975292787.438</v>
      </c>
      <c r="L5910" s="455">
        <f t="shared" ca="1" si="199"/>
        <v>-1.9828510045561772E+16</v>
      </c>
      <c r="M5910" s="471">
        <f t="shared" si="201"/>
        <v>0.05</v>
      </c>
      <c r="N5910" s="475">
        <f t="shared" si="202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00"/>
        <v>-1.9828510045561772E+16</v>
      </c>
      <c r="J5911" s="455">
        <f t="array" ref="J5911">IFERROR(INDEX('Retirement Calculator'!K:K,MATCH('Lorri 401b'!N5911,'Retirement Calculator'!A:A,0),0),0)</f>
        <v>0</v>
      </c>
      <c r="K5911" s="455">
        <f t="shared" ca="1" si="198"/>
        <v>-82618791856507.375</v>
      </c>
      <c r="L5911" s="455">
        <f t="shared" ca="1" si="199"/>
        <v>-1.991112883741828E+16</v>
      </c>
      <c r="M5911" s="471">
        <f t="shared" si="201"/>
        <v>0.05</v>
      </c>
      <c r="N5911" s="475">
        <f t="shared" si="202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00"/>
        <v>-1.991112883741828E+16</v>
      </c>
      <c r="J5912" s="455">
        <f t="array" ref="J5912">IFERROR(INDEX('Retirement Calculator'!K:K,MATCH('Lorri 401b'!N5912,'Retirement Calculator'!A:A,0),0),0)</f>
        <v>0</v>
      </c>
      <c r="K5912" s="455">
        <f t="shared" ca="1" si="198"/>
        <v>-82963036822576.172</v>
      </c>
      <c r="L5912" s="455">
        <f t="shared" ca="1" si="199"/>
        <v>-1.9994091874240856E+16</v>
      </c>
      <c r="M5912" s="471">
        <f t="shared" si="201"/>
        <v>0.05</v>
      </c>
      <c r="N5912" s="475">
        <f t="shared" si="202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00"/>
        <v>-1.9994091874240856E+16</v>
      </c>
      <c r="J5913" s="455">
        <f t="array" ref="J5913">IFERROR(INDEX('Retirement Calculator'!K:K,MATCH('Lorri 401b'!N5913,'Retirement Calculator'!A:A,0),0),0)</f>
        <v>0</v>
      </c>
      <c r="K5913" s="455">
        <f t="shared" ca="1" si="198"/>
        <v>-83308716142670.234</v>
      </c>
      <c r="L5913" s="455">
        <f t="shared" ca="1" si="199"/>
        <v>-2.0077400590383528E+16</v>
      </c>
      <c r="M5913" s="471">
        <f t="shared" si="201"/>
        <v>0.05</v>
      </c>
      <c r="N5913" s="475">
        <f t="shared" si="202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00"/>
        <v>-2.0077400590383528E+16</v>
      </c>
      <c r="J5914" s="455">
        <f t="array" ref="J5914">IFERROR(INDEX('Retirement Calculator'!K:K,MATCH('Lorri 401b'!N5914,'Retirement Calculator'!A:A,0),0),0)</f>
        <v>0</v>
      </c>
      <c r="K5914" s="455">
        <f t="shared" ca="1" si="198"/>
        <v>-83655835793264.703</v>
      </c>
      <c r="L5914" s="455">
        <f t="shared" ca="1" si="199"/>
        <v>-2.0161056426176792E+16</v>
      </c>
      <c r="M5914" s="471">
        <f t="shared" si="201"/>
        <v>0.05</v>
      </c>
      <c r="N5914" s="475">
        <f t="shared" si="202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00"/>
        <v>-2.0161056426176792E+16</v>
      </c>
      <c r="J5915" s="455">
        <f t="array" ref="J5915">IFERROR(INDEX('Retirement Calculator'!K:K,MATCH('Lorri 401b'!N5915,'Retirement Calculator'!A:A,0),0),0)</f>
        <v>0</v>
      </c>
      <c r="K5915" s="455">
        <f t="shared" ca="1" si="198"/>
        <v>-84004401775736.625</v>
      </c>
      <c r="L5915" s="455">
        <f t="shared" ca="1" si="199"/>
        <v>-2.0245060827952528E+16</v>
      </c>
      <c r="M5915" s="471">
        <f t="shared" si="201"/>
        <v>0.05</v>
      </c>
      <c r="N5915" s="475">
        <f t="shared" si="202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00"/>
        <v>-2.0245060827952528E+16</v>
      </c>
      <c r="J5916" s="455">
        <f t="array" ref="J5916">IFERROR(INDEX('Retirement Calculator'!K:K,MATCH('Lorri 401b'!N5916,'Retirement Calculator'!A:A,0),0),0)</f>
        <v>0</v>
      </c>
      <c r="K5916" s="455">
        <f t="shared" ca="1" si="198"/>
        <v>-84354420116468.859</v>
      </c>
      <c r="L5916" s="455">
        <f t="shared" ca="1" si="199"/>
        <v>-2.0329415248068996E+16</v>
      </c>
      <c r="M5916" s="471">
        <f t="shared" si="201"/>
        <v>0.05</v>
      </c>
      <c r="N5916" s="475">
        <f t="shared" si="202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00"/>
        <v>-2.0329415248068996E+16</v>
      </c>
      <c r="J5917" s="455">
        <f t="array" ref="J5917">IFERROR(INDEX('Retirement Calculator'!K:K,MATCH('Lorri 401b'!N5917,'Retirement Calculator'!A:A,0),0),0)</f>
        <v>0</v>
      </c>
      <c r="K5917" s="455">
        <f t="shared" ca="1" si="198"/>
        <v>-84705896866954.156</v>
      </c>
      <c r="L5917" s="455">
        <f t="shared" ca="1" si="199"/>
        <v>-2.0414121144935952E+16</v>
      </c>
      <c r="M5917" s="471">
        <f t="shared" si="201"/>
        <v>0.05</v>
      </c>
      <c r="N5917" s="475">
        <f t="shared" si="202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00"/>
        <v>-2.0414121144935952E+16</v>
      </c>
      <c r="J5918" s="455">
        <f t="array" ref="J5918">IFERROR(INDEX('Retirement Calculator'!K:K,MATCH('Lorri 401b'!N5918,'Retirement Calculator'!A:A,0),0),0)</f>
        <v>0</v>
      </c>
      <c r="K5918" s="455">
        <f t="shared" ca="1" si="198"/>
        <v>-85058838103899.797</v>
      </c>
      <c r="L5918" s="455">
        <f t="shared" ca="1" si="199"/>
        <v>-2.0499179983039852E+16</v>
      </c>
      <c r="M5918" s="471">
        <f t="shared" si="201"/>
        <v>0.05</v>
      </c>
      <c r="N5918" s="475">
        <f t="shared" si="202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00"/>
        <v>-2.0499179983039852E+16</v>
      </c>
      <c r="J5919" s="455">
        <f t="array" ref="J5919">IFERROR(INDEX('Retirement Calculator'!K:K,MATCH('Lorri 401b'!N5919,'Retirement Calculator'!A:A,0),0),0)</f>
        <v>0</v>
      </c>
      <c r="K5919" s="455">
        <f t="shared" ca="1" si="198"/>
        <v>-85413249929332.719</v>
      </c>
      <c r="L5919" s="455">
        <f t="shared" ca="1" si="199"/>
        <v>-2.0584593232969184E+16</v>
      </c>
      <c r="M5919" s="471">
        <f t="shared" si="201"/>
        <v>0.05</v>
      </c>
      <c r="N5919" s="475">
        <f t="shared" si="202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00"/>
        <v>-2.0584593232969184E+16</v>
      </c>
      <c r="J5920" s="455">
        <f t="array" ref="J5920">IFERROR(INDEX('Retirement Calculator'!K:K,MATCH('Lorri 401b'!N5920,'Retirement Calculator'!A:A,0),0),0)</f>
        <v>0</v>
      </c>
      <c r="K5920" s="455">
        <f t="shared" ca="1" si="198"/>
        <v>-85769138470704.938</v>
      </c>
      <c r="L5920" s="455">
        <f t="shared" ca="1" si="199"/>
        <v>-2.0670362371439888E+16</v>
      </c>
      <c r="M5920" s="471">
        <f t="shared" si="201"/>
        <v>0.05</v>
      </c>
      <c r="N5920" s="475">
        <f t="shared" si="202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00"/>
        <v>-2.0670362371439888E+16</v>
      </c>
      <c r="J5921" s="455">
        <f t="array" ref="J5921">IFERROR(INDEX('Retirement Calculator'!K:K,MATCH('Lorri 401b'!N5921,'Retirement Calculator'!A:A,0),0),0)</f>
        <v>0</v>
      </c>
      <c r="K5921" s="455">
        <f t="shared" ca="1" si="198"/>
        <v>-86126509880999.531</v>
      </c>
      <c r="L5921" s="455">
        <f t="shared" ca="1" si="199"/>
        <v>-2.0756488881320888E+16</v>
      </c>
      <c r="M5921" s="471">
        <f t="shared" si="201"/>
        <v>0.05</v>
      </c>
      <c r="N5921" s="475">
        <f t="shared" si="202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00"/>
        <v>-2.0756488881320888E+16</v>
      </c>
      <c r="J5922" s="455">
        <f t="array" ref="J5922">IFERROR(INDEX('Retirement Calculator'!K:K,MATCH('Lorri 401b'!N5922,'Retirement Calculator'!A:A,0),0),0)</f>
        <v>0</v>
      </c>
      <c r="K5922" s="455">
        <f t="shared" ca="1" si="198"/>
        <v>-86485370338837.031</v>
      </c>
      <c r="L5922" s="455">
        <f t="shared" ca="1" si="199"/>
        <v>-2.0842974251659724E+16</v>
      </c>
      <c r="M5922" s="471">
        <f t="shared" si="201"/>
        <v>0.05</v>
      </c>
      <c r="N5922" s="475">
        <f t="shared" si="202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00"/>
        <v>-2.0842974251659724E+16</v>
      </c>
      <c r="J5923" s="455">
        <f t="array" ref="J5923">IFERROR(INDEX('Retirement Calculator'!K:K,MATCH('Lorri 401b'!N5923,'Retirement Calculator'!A:A,0),0),0)</f>
        <v>0</v>
      </c>
      <c r="K5923" s="455">
        <f t="shared" ca="1" si="198"/>
        <v>-86845726048582.188</v>
      </c>
      <c r="L5923" s="455">
        <f t="shared" ca="1" si="199"/>
        <v>-2.0929819977708308E+16</v>
      </c>
      <c r="M5923" s="471">
        <f t="shared" si="201"/>
        <v>0.05</v>
      </c>
      <c r="N5923" s="475">
        <f t="shared" si="202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00"/>
        <v>-2.0929819977708308E+16</v>
      </c>
      <c r="J5924" s="455">
        <f t="array" ref="J5924">IFERROR(INDEX('Retirement Calculator'!K:K,MATCH('Lorri 401b'!N5924,'Retirement Calculator'!A:A,0),0),0)</f>
        <v>0</v>
      </c>
      <c r="K5924" s="455">
        <f t="shared" ca="1" si="198"/>
        <v>-87207583240451.281</v>
      </c>
      <c r="L5924" s="455">
        <f t="shared" ca="1" si="199"/>
        <v>-2.101702756094876E+16</v>
      </c>
      <c r="M5924" s="471">
        <f t="shared" si="201"/>
        <v>0.05</v>
      </c>
      <c r="N5924" s="475">
        <f t="shared" si="202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00"/>
        <v>-2.101702756094876E+16</v>
      </c>
      <c r="J5925" s="455">
        <f t="array" ref="J5925">IFERROR(INDEX('Retirement Calculator'!K:K,MATCH('Lorri 401b'!N5925,'Retirement Calculator'!A:A,0),0),0)</f>
        <v>0</v>
      </c>
      <c r="K5925" s="455">
        <f t="shared" ca="1" si="198"/>
        <v>-87570948170619.828</v>
      </c>
      <c r="L5925" s="455">
        <f t="shared" ca="1" si="199"/>
        <v>-2.110459850911938E+16</v>
      </c>
      <c r="M5925" s="471">
        <f t="shared" si="201"/>
        <v>0.05</v>
      </c>
      <c r="N5925" s="475">
        <f t="shared" si="202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00"/>
        <v>-2.110459850911938E+16</v>
      </c>
      <c r="J5926" s="455">
        <f t="array" ref="J5926">IFERROR(INDEX('Retirement Calculator'!K:K,MATCH('Lorri 401b'!N5926,'Retirement Calculator'!A:A,0),0),0)</f>
        <v>0</v>
      </c>
      <c r="K5926" s="455">
        <f t="shared" ca="1" si="198"/>
        <v>-87935827121330.75</v>
      </c>
      <c r="L5926" s="455">
        <f t="shared" ca="1" si="199"/>
        <v>-2.1192534336240712E+16</v>
      </c>
      <c r="M5926" s="471">
        <f t="shared" si="201"/>
        <v>0.05</v>
      </c>
      <c r="N5926" s="475">
        <f t="shared" si="202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00"/>
        <v>-2.1192534336240712E+16</v>
      </c>
      <c r="J5927" s="455">
        <f t="array" ref="J5927">IFERROR(INDEX('Retirement Calculator'!K:K,MATCH('Lorri 401b'!N5927,'Retirement Calculator'!A:A,0),0),0)</f>
        <v>0</v>
      </c>
      <c r="K5927" s="455">
        <f t="shared" ca="1" si="198"/>
        <v>-88302226401002.969</v>
      </c>
      <c r="L5927" s="455">
        <f t="shared" ca="1" si="199"/>
        <v>-2.1280836562641716E+16</v>
      </c>
      <c r="M5927" s="471">
        <f t="shared" si="201"/>
        <v>0.05</v>
      </c>
      <c r="N5927" s="475">
        <f t="shared" si="202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00"/>
        <v>-2.1280836562641716E+16</v>
      </c>
      <c r="J5928" s="455">
        <f t="array" ref="J5928">IFERROR(INDEX('Retirement Calculator'!K:K,MATCH('Lorri 401b'!N5928,'Retirement Calculator'!A:A,0),0),0)</f>
        <v>0</v>
      </c>
      <c r="K5928" s="455">
        <f t="shared" ca="1" si="198"/>
        <v>-88670152344340.484</v>
      </c>
      <c r="L5928" s="455">
        <f t="shared" ca="1" si="199"/>
        <v>-2.1369506714986056E+16</v>
      </c>
      <c r="M5928" s="471">
        <f t="shared" si="201"/>
        <v>0.05</v>
      </c>
      <c r="N5928" s="475">
        <f t="shared" si="202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00"/>
        <v>-2.1369506714986056E+16</v>
      </c>
      <c r="J5929" s="455">
        <f t="array" ref="J5929">IFERROR(INDEX('Retirement Calculator'!K:K,MATCH('Lorri 401b'!N5929,'Retirement Calculator'!A:A,0),0),0)</f>
        <v>0</v>
      </c>
      <c r="K5929" s="455">
        <f t="shared" ca="1" si="198"/>
        <v>-89039611312441.906</v>
      </c>
      <c r="L5929" s="455">
        <f t="shared" ca="1" si="199"/>
        <v>-2.1458546326298496E+16</v>
      </c>
      <c r="M5929" s="471">
        <f t="shared" si="201"/>
        <v>0.05</v>
      </c>
      <c r="N5929" s="475">
        <f t="shared" si="202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00"/>
        <v>-2.1458546326298496E+16</v>
      </c>
      <c r="J5930" s="455">
        <f t="array" ref="J5930">IFERROR(INDEX('Retirement Calculator'!K:K,MATCH('Lorri 401b'!N5930,'Retirement Calculator'!A:A,0),0),0)</f>
        <v>0</v>
      </c>
      <c r="K5930" s="455">
        <f t="shared" ca="1" si="198"/>
        <v>-89410609692910.406</v>
      </c>
      <c r="L5930" s="455">
        <f t="shared" ca="1" si="199"/>
        <v>-2.1547956935991408E+16</v>
      </c>
      <c r="M5930" s="471">
        <f t="shared" si="201"/>
        <v>0.05</v>
      </c>
      <c r="N5930" s="475">
        <f t="shared" si="202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00"/>
        <v>-2.1547956935991408E+16</v>
      </c>
      <c r="J5931" s="455">
        <f t="array" ref="J5931">IFERROR(INDEX('Retirement Calculator'!K:K,MATCH('Lorri 401b'!N5931,'Retirement Calculator'!A:A,0),0),0)</f>
        <v>0</v>
      </c>
      <c r="K5931" s="455">
        <f t="shared" ca="1" si="198"/>
        <v>-89783153899964.203</v>
      </c>
      <c r="L5931" s="455">
        <f t="shared" ca="1" si="199"/>
        <v>-2.1637740089891372E+16</v>
      </c>
      <c r="M5931" s="471">
        <f t="shared" si="201"/>
        <v>0.05</v>
      </c>
      <c r="N5931" s="475">
        <f t="shared" si="202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00"/>
        <v>-2.1637740089891372E+16</v>
      </c>
      <c r="J5932" s="455">
        <f t="array" ref="J5932">IFERROR(INDEX('Retirement Calculator'!K:K,MATCH('Lorri 401b'!N5932,'Retirement Calculator'!A:A,0),0),0)</f>
        <v>0</v>
      </c>
      <c r="K5932" s="455">
        <f t="shared" ca="1" si="198"/>
        <v>-90157250374547.375</v>
      </c>
      <c r="L5932" s="455">
        <f t="shared" ca="1" si="199"/>
        <v>-2.172789734026592E+16</v>
      </c>
      <c r="M5932" s="471">
        <f t="shared" si="201"/>
        <v>0.05</v>
      </c>
      <c r="N5932" s="475">
        <f t="shared" si="202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00"/>
        <v>-2.172789734026592E+16</v>
      </c>
      <c r="J5933" s="455">
        <f t="array" ref="J5933">IFERROR(INDEX('Retirement Calculator'!K:K,MATCH('Lorri 401b'!N5933,'Retirement Calculator'!A:A,0),0),0)</f>
        <v>0</v>
      </c>
      <c r="K5933" s="455">
        <f t="shared" ca="1" si="198"/>
        <v>-90532905584441.328</v>
      </c>
      <c r="L5933" s="455">
        <f t="shared" ca="1" si="199"/>
        <v>-2.181843024585036E+16</v>
      </c>
      <c r="M5933" s="471">
        <f t="shared" si="201"/>
        <v>0.05</v>
      </c>
      <c r="N5933" s="475">
        <f t="shared" si="202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00"/>
        <v>-2.181843024585036E+16</v>
      </c>
      <c r="J5934" s="455">
        <f t="array" ref="J5934">IFERROR(INDEX('Retirement Calculator'!K:K,MATCH('Lorri 401b'!N5934,'Retirement Calculator'!A:A,0),0),0)</f>
        <v>0</v>
      </c>
      <c r="K5934" s="455">
        <f t="shared" ca="1" si="198"/>
        <v>-90910126024376.5</v>
      </c>
      <c r="L5934" s="455">
        <f t="shared" ca="1" si="199"/>
        <v>-2.1909340371874736E+16</v>
      </c>
      <c r="M5934" s="471">
        <f t="shared" si="201"/>
        <v>0.05</v>
      </c>
      <c r="N5934" s="475">
        <f t="shared" si="202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00"/>
        <v>-2.1909340371874736E+16</v>
      </c>
      <c r="J5935" s="455">
        <f t="array" ref="J5935">IFERROR(INDEX('Retirement Calculator'!K:K,MATCH('Lorri 401b'!N5935,'Retirement Calculator'!A:A,0),0),0)</f>
        <v>0</v>
      </c>
      <c r="K5935" s="455">
        <f t="shared" ca="1" si="198"/>
        <v>-91288918216144.734</v>
      </c>
      <c r="L5935" s="455">
        <f t="shared" ca="1" si="199"/>
        <v>-2.200062929009088E+16</v>
      </c>
      <c r="M5935" s="471">
        <f t="shared" si="201"/>
        <v>0.05</v>
      </c>
      <c r="N5935" s="475">
        <f t="shared" si="202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00"/>
        <v>-2.200062929009088E+16</v>
      </c>
      <c r="J5936" s="455">
        <f t="array" ref="J5936">IFERROR(INDEX('Retirement Calculator'!K:K,MATCH('Lorri 401b'!N5936,'Retirement Calculator'!A:A,0),0),0)</f>
        <v>0</v>
      </c>
      <c r="K5936" s="455">
        <f t="shared" ca="1" si="198"/>
        <v>-91669288708712</v>
      </c>
      <c r="L5936" s="455">
        <f t="shared" ca="1" si="199"/>
        <v>-2.2092298578799592E+16</v>
      </c>
      <c r="M5936" s="471">
        <f t="shared" si="201"/>
        <v>0.05</v>
      </c>
      <c r="N5936" s="475">
        <f t="shared" si="202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00"/>
        <v>-2.2092298578799592E+16</v>
      </c>
      <c r="J5937" s="455">
        <f t="array" ref="J5937">IFERROR(INDEX('Retirement Calculator'!K:K,MATCH('Lorri 401b'!N5937,'Retirement Calculator'!A:A,0),0),0)</f>
        <v>0</v>
      </c>
      <c r="K5937" s="455">
        <f t="shared" ca="1" si="198"/>
        <v>-92051244078331.625</v>
      </c>
      <c r="L5937" s="455">
        <f t="shared" ca="1" si="199"/>
        <v>-2.2184349822877924E+16</v>
      </c>
      <c r="M5937" s="471">
        <f t="shared" si="201"/>
        <v>0.05</v>
      </c>
      <c r="N5937" s="475">
        <f t="shared" si="202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00"/>
        <v>-2.2184349822877924E+16</v>
      </c>
      <c r="J5938" s="455">
        <f t="array" ref="J5938">IFERROR(INDEX('Retirement Calculator'!K:K,MATCH('Lorri 401b'!N5938,'Retirement Calculator'!A:A,0),0),0)</f>
        <v>0</v>
      </c>
      <c r="K5938" s="455">
        <f t="shared" ca="1" si="198"/>
        <v>-92434790928658.016</v>
      </c>
      <c r="L5938" s="455">
        <f t="shared" ca="1" si="199"/>
        <v>-2.2276784613806584E+16</v>
      </c>
      <c r="M5938" s="471">
        <f t="shared" si="201"/>
        <v>0.05</v>
      </c>
      <c r="N5938" s="475">
        <f t="shared" si="202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00"/>
        <v>-2.2276784613806584E+16</v>
      </c>
      <c r="J5939" s="455">
        <f t="array" ref="J5939">IFERROR(INDEX('Retirement Calculator'!K:K,MATCH('Lorri 401b'!N5939,'Retirement Calculator'!A:A,0),0),0)</f>
        <v>0</v>
      </c>
      <c r="K5939" s="455">
        <f t="shared" ca="1" si="198"/>
        <v>-92819935890860.766</v>
      </c>
      <c r="L5939" s="455">
        <f t="shared" ca="1" si="199"/>
        <v>-2.2369604549697444E+16</v>
      </c>
      <c r="M5939" s="471">
        <f t="shared" si="201"/>
        <v>0.05</v>
      </c>
      <c r="N5939" s="475">
        <f t="shared" si="202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00"/>
        <v>-2.2369604549697444E+16</v>
      </c>
      <c r="J5940" s="455">
        <f t="array" ref="J5940">IFERROR(INDEX('Retirement Calculator'!K:K,MATCH('Lorri 401b'!N5940,'Retirement Calculator'!A:A,0),0),0)</f>
        <v>0</v>
      </c>
      <c r="K5940" s="455">
        <f t="shared" ca="1" si="198"/>
        <v>-93206685623739.344</v>
      </c>
      <c r="L5940" s="455">
        <f t="shared" ca="1" si="199"/>
        <v>-2.2462811235321184E+16</v>
      </c>
      <c r="M5940" s="471">
        <f t="shared" si="201"/>
        <v>0.05</v>
      </c>
      <c r="N5940" s="475">
        <f t="shared" si="202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00"/>
        <v>-2.2462811235321184E+16</v>
      </c>
      <c r="J5941" s="455">
        <f t="array" ref="J5941">IFERROR(INDEX('Retirement Calculator'!K:K,MATCH('Lorri 401b'!N5941,'Retirement Calculator'!A:A,0),0),0)</f>
        <v>0</v>
      </c>
      <c r="K5941" s="455">
        <f t="shared" ca="1" si="198"/>
        <v>-93595046813838.266</v>
      </c>
      <c r="L5941" s="455">
        <f t="shared" ca="1" si="199"/>
        <v>-2.2556406282135024E+16</v>
      </c>
      <c r="M5941" s="471">
        <f t="shared" si="201"/>
        <v>0.05</v>
      </c>
      <c r="N5941" s="475">
        <f t="shared" si="202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00"/>
        <v>-2.2556406282135024E+16</v>
      </c>
      <c r="J5942" s="455">
        <f t="array" ref="J5942">IFERROR(INDEX('Retirement Calculator'!K:K,MATCH('Lorri 401b'!N5942,'Retirement Calculator'!A:A,0),0),0)</f>
        <v>0</v>
      </c>
      <c r="K5942" s="455">
        <f t="shared" ca="1" si="198"/>
        <v>-93985026175562.594</v>
      </c>
      <c r="L5942" s="455">
        <f t="shared" ca="1" si="199"/>
        <v>-2.2650391308310588E+16</v>
      </c>
      <c r="M5942" s="471">
        <f t="shared" si="201"/>
        <v>0.05</v>
      </c>
      <c r="N5942" s="475">
        <f t="shared" si="202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00"/>
        <v>-2.2650391308310588E+16</v>
      </c>
      <c r="J5943" s="455">
        <f t="array" ref="J5943">IFERROR(INDEX('Retirement Calculator'!K:K,MATCH('Lorri 401b'!N5943,'Retirement Calculator'!A:A,0),0),0)</f>
        <v>0</v>
      </c>
      <c r="K5943" s="455">
        <f t="shared" ca="1" si="198"/>
        <v>-94376630451294.109</v>
      </c>
      <c r="L5943" s="455">
        <f t="shared" ca="1" si="199"/>
        <v>-2.2744767938761884E+16</v>
      </c>
      <c r="M5943" s="471">
        <f t="shared" si="201"/>
        <v>0.05</v>
      </c>
      <c r="N5943" s="475">
        <f t="shared" si="202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00"/>
        <v>-2.2744767938761884E+16</v>
      </c>
      <c r="J5944" s="455">
        <f t="array" ref="J5944">IFERROR(INDEX('Retirement Calculator'!K:K,MATCH('Lorri 401b'!N5944,'Retirement Calculator'!A:A,0),0),0)</f>
        <v>0</v>
      </c>
      <c r="K5944" s="455">
        <f t="shared" ca="1" si="198"/>
        <v>-94769866411507.844</v>
      </c>
      <c r="L5944" s="455">
        <f t="shared" ca="1" si="199"/>
        <v>-2.2839537805173392E+16</v>
      </c>
      <c r="M5944" s="471">
        <f t="shared" si="201"/>
        <v>0.05</v>
      </c>
      <c r="N5944" s="475">
        <f t="shared" si="202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00"/>
        <v>-2.2839537805173392E+16</v>
      </c>
      <c r="J5945" s="455">
        <f t="array" ref="J5945">IFERROR(INDEX('Retirement Calculator'!K:K,MATCH('Lorri 401b'!N5945,'Retirement Calculator'!A:A,0),0),0)</f>
        <v>0</v>
      </c>
      <c r="K5945" s="455">
        <f t="shared" ca="1" si="198"/>
        <v>-95164740854889.125</v>
      </c>
      <c r="L5945" s="455">
        <f t="shared" ca="1" si="199"/>
        <v>-2.293470254602828E+16</v>
      </c>
      <c r="M5945" s="471">
        <f t="shared" si="201"/>
        <v>0.05</v>
      </c>
      <c r="N5945" s="475">
        <f t="shared" si="202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00"/>
        <v>-2.293470254602828E+16</v>
      </c>
      <c r="J5946" s="455">
        <f t="array" ref="J5946">IFERROR(INDEX('Retirement Calculator'!K:K,MATCH('Lorri 401b'!N5946,'Retirement Calculator'!A:A,0),0),0)</f>
        <v>0</v>
      </c>
      <c r="K5946" s="455">
        <f t="shared" ca="1" si="198"/>
        <v>-95561260608451.172</v>
      </c>
      <c r="L5946" s="455">
        <f t="shared" ca="1" si="199"/>
        <v>-2.3030263806636732E+16</v>
      </c>
      <c r="M5946" s="471">
        <f t="shared" si="201"/>
        <v>0.05</v>
      </c>
      <c r="N5946" s="475">
        <f t="shared" si="202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00"/>
        <v>-2.3030263806636732E+16</v>
      </c>
      <c r="J5947" s="455">
        <f t="array" ref="J5947">IFERROR(INDEX('Retirement Calculator'!K:K,MATCH('Lorri 401b'!N5947,'Retirement Calculator'!A:A,0),0),0)</f>
        <v>0</v>
      </c>
      <c r="K5947" s="455">
        <f t="shared" ca="1" si="198"/>
        <v>-95959432527653.047</v>
      </c>
      <c r="L5947" s="455">
        <f t="shared" ca="1" si="199"/>
        <v>-2.3126223239164384E+16</v>
      </c>
      <c r="M5947" s="471">
        <f t="shared" si="201"/>
        <v>0.05</v>
      </c>
      <c r="N5947" s="475">
        <f t="shared" si="202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00"/>
        <v>-2.3126223239164384E+16</v>
      </c>
      <c r="J5948" s="455">
        <f t="array" ref="J5948">IFERROR(INDEX('Retirement Calculator'!K:K,MATCH('Lorri 401b'!N5948,'Retirement Calculator'!A:A,0),0),0)</f>
        <v>0</v>
      </c>
      <c r="K5948" s="455">
        <f t="shared" ca="1" si="198"/>
        <v>-96359263496518.266</v>
      </c>
      <c r="L5948" s="455">
        <f t="shared" ca="1" si="199"/>
        <v>-2.3222582502660904E+16</v>
      </c>
      <c r="M5948" s="471">
        <f t="shared" si="201"/>
        <v>0.05</v>
      </c>
      <c r="N5948" s="475">
        <f t="shared" si="202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00"/>
        <v>-2.3222582502660904E+16</v>
      </c>
      <c r="J5949" s="455">
        <f t="array" ref="J5949">IFERROR(INDEX('Retirement Calculator'!K:K,MATCH('Lorri 401b'!N5949,'Retirement Calculator'!A:A,0),0),0)</f>
        <v>0</v>
      </c>
      <c r="K5949" s="455">
        <f t="shared" ca="1" si="198"/>
        <v>-96760760427753.766</v>
      </c>
      <c r="L5949" s="455">
        <f t="shared" ca="1" si="199"/>
        <v>-2.3319343263088656E+16</v>
      </c>
      <c r="M5949" s="471">
        <f t="shared" si="201"/>
        <v>0.05</v>
      </c>
      <c r="N5949" s="475">
        <f t="shared" si="202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00"/>
        <v>-2.3319343263088656E+16</v>
      </c>
      <c r="J5950" s="455">
        <f t="array" ref="J5950">IFERROR(INDEX('Retirement Calculator'!K:K,MATCH('Lorri 401b'!N5950,'Retirement Calculator'!A:A,0),0),0)</f>
        <v>0</v>
      </c>
      <c r="K5950" s="455">
        <f t="shared" ca="1" si="198"/>
        <v>-97163930262869.406</v>
      </c>
      <c r="L5950" s="455">
        <f t="shared" ca="1" si="199"/>
        <v>-2.3416507193351524E+16</v>
      </c>
      <c r="M5950" s="471">
        <f t="shared" si="201"/>
        <v>0.05</v>
      </c>
      <c r="N5950" s="475">
        <f t="shared" si="202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00"/>
        <v>-2.3416507193351524E+16</v>
      </c>
      <c r="J5951" s="455">
        <f t="array" ref="J5951">IFERROR(INDEX('Retirement Calculator'!K:K,MATCH('Lorri 401b'!N5951,'Retirement Calculator'!A:A,0),0),0)</f>
        <v>0</v>
      </c>
      <c r="K5951" s="455">
        <f t="shared" ca="1" si="198"/>
        <v>-97568779972298.016</v>
      </c>
      <c r="L5951" s="455">
        <f t="shared" ca="1" si="199"/>
        <v>-2.3514075973323824E+16</v>
      </c>
      <c r="M5951" s="471">
        <f t="shared" si="201"/>
        <v>0.05</v>
      </c>
      <c r="N5951" s="475">
        <f t="shared" si="202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00"/>
        <v>-2.3514075973323824E+16</v>
      </c>
      <c r="J5952" s="455">
        <f t="array" ref="J5952">IFERROR(INDEX('Retirement Calculator'!K:K,MATCH('Lorri 401b'!N5952,'Retirement Calculator'!A:A,0),0),0)</f>
        <v>0</v>
      </c>
      <c r="K5952" s="455">
        <f t="shared" ca="1" si="198"/>
        <v>-97975316555515.938</v>
      </c>
      <c r="L5952" s="455">
        <f t="shared" ca="1" si="199"/>
        <v>-2.361205128987934E+16</v>
      </c>
      <c r="M5952" s="471">
        <f t="shared" si="201"/>
        <v>0.05</v>
      </c>
      <c r="N5952" s="475">
        <f t="shared" si="202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00"/>
        <v>-2.361205128987934E+16</v>
      </c>
      <c r="J5953" s="455">
        <f t="array" ref="J5953">IFERROR(INDEX('Retirement Calculator'!K:K,MATCH('Lorri 401b'!N5953,'Retirement Calculator'!A:A,0),0),0)</f>
        <v>0</v>
      </c>
      <c r="K5953" s="455">
        <f t="shared" ca="1" si="198"/>
        <v>-98383547041163.922</v>
      </c>
      <c r="L5953" s="455">
        <f t="shared" ca="1" si="199"/>
        <v>-2.3710434836920504E+16</v>
      </c>
      <c r="M5953" s="471">
        <f t="shared" si="201"/>
        <v>0.05</v>
      </c>
      <c r="N5953" s="475">
        <f t="shared" si="202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00"/>
        <v>-2.3710434836920504E+16</v>
      </c>
      <c r="J5954" s="455">
        <f t="array" ref="J5954">IFERROR(INDEX('Retirement Calculator'!K:K,MATCH('Lorri 401b'!N5954,'Retirement Calculator'!A:A,0),0),0)</f>
        <v>0</v>
      </c>
      <c r="K5954" s="455">
        <f t="shared" ca="1" si="198"/>
        <v>-98793478487168.766</v>
      </c>
      <c r="L5954" s="455">
        <f t="shared" ca="1" si="199"/>
        <v>-2.3809228315407672E+16</v>
      </c>
      <c r="M5954" s="471">
        <f t="shared" si="201"/>
        <v>0.05</v>
      </c>
      <c r="N5954" s="475">
        <f t="shared" si="202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00"/>
        <v>-2.3809228315407672E+16</v>
      </c>
      <c r="J5955" s="455">
        <f t="array" ref="J5955">IFERROR(INDEX('Retirement Calculator'!K:K,MATCH('Lorri 401b'!N5955,'Retirement Calculator'!A:A,0),0),0)</f>
        <v>0</v>
      </c>
      <c r="K5955" s="455">
        <f t="shared" ca="1" si="198"/>
        <v>-99205117980865.297</v>
      </c>
      <c r="L5955" s="455">
        <f t="shared" ca="1" si="199"/>
        <v>-2.3908433433388536E+16</v>
      </c>
      <c r="M5955" s="471">
        <f t="shared" si="201"/>
        <v>0.05</v>
      </c>
      <c r="N5955" s="475">
        <f t="shared" si="202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00"/>
        <v>-2.3908433433388536E+16</v>
      </c>
      <c r="J5956" s="455">
        <f t="array" ref="J5956">IFERROR(INDEX('Retirement Calculator'!K:K,MATCH('Lorri 401b'!N5956,'Retirement Calculator'!A:A,0),0),0)</f>
        <v>0</v>
      </c>
      <c r="K5956" s="455">
        <f t="shared" ca="1" si="198"/>
        <v>-99618472639118.906</v>
      </c>
      <c r="L5956" s="455">
        <f t="shared" ca="1" si="199"/>
        <v>-2.4008051906027656E+16</v>
      </c>
      <c r="M5956" s="471">
        <f t="shared" si="201"/>
        <v>0.05</v>
      </c>
      <c r="N5956" s="475">
        <f t="shared" si="202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00"/>
        <v>-2.4008051906027656E+16</v>
      </c>
      <c r="J5957" s="455">
        <f t="array" ref="J5957">IFERROR(INDEX('Retirement Calculator'!K:K,MATCH('Lorri 401b'!N5957,'Retirement Calculator'!A:A,0),0),0)</f>
        <v>0</v>
      </c>
      <c r="K5957" s="455">
        <f t="shared" ca="1" si="198"/>
        <v>-100033549608448.56</v>
      </c>
      <c r="L5957" s="455">
        <f t="shared" ca="1" si="199"/>
        <v>-2.4108085455636104E+16</v>
      </c>
      <c r="M5957" s="471">
        <f t="shared" si="201"/>
        <v>0.05</v>
      </c>
      <c r="N5957" s="475">
        <f t="shared" si="202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00"/>
        <v>-2.4108085455636104E+16</v>
      </c>
      <c r="J5958" s="455">
        <f t="array" ref="J5958">IFERROR(INDEX('Retirement Calculator'!K:K,MATCH('Lorri 401b'!N5958,'Retirement Calculator'!A:A,0),0),0)</f>
        <v>0</v>
      </c>
      <c r="K5958" s="455">
        <f t="shared" ca="1" si="198"/>
        <v>-100450356065150.44</v>
      </c>
      <c r="L5958" s="455">
        <f t="shared" ca="1" si="199"/>
        <v>-2.4208535811701256E+16</v>
      </c>
      <c r="M5958" s="471">
        <f t="shared" si="201"/>
        <v>0.05</v>
      </c>
      <c r="N5958" s="475">
        <f t="shared" si="202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00"/>
        <v>-2.4208535811701256E+16</v>
      </c>
      <c r="J5959" s="455">
        <f t="array" ref="J5959">IFERROR(INDEX('Retirement Calculator'!K:K,MATCH('Lorri 401b'!N5959,'Retirement Calculator'!A:A,0),0),0)</f>
        <v>0</v>
      </c>
      <c r="K5959" s="455">
        <f t="shared" ca="1" si="198"/>
        <v>-100868899215421.91</v>
      </c>
      <c r="L5959" s="455">
        <f t="shared" ca="1" si="199"/>
        <v>-2.4309404710916676E+16</v>
      </c>
      <c r="M5959" s="471">
        <f t="shared" si="201"/>
        <v>0.05</v>
      </c>
      <c r="N5959" s="475">
        <f t="shared" si="202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00"/>
        <v>-2.4309404710916676E+16</v>
      </c>
      <c r="J5960" s="455">
        <f t="array" ref="J5960">IFERROR(INDEX('Retirement Calculator'!K:K,MATCH('Lorri 401b'!N5960,'Retirement Calculator'!A:A,0),0),0)</f>
        <v>0</v>
      </c>
      <c r="K5960" s="455">
        <f t="shared" ca="1" si="198"/>
        <v>-101289186295486.16</v>
      </c>
      <c r="L5960" s="455">
        <f t="shared" ca="1" si="199"/>
        <v>-2.4410693897212164E+16</v>
      </c>
      <c r="M5960" s="471">
        <f t="shared" si="201"/>
        <v>0.05</v>
      </c>
      <c r="N5960" s="475">
        <f t="shared" si="202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00"/>
        <v>-2.4410693897212164E+16</v>
      </c>
      <c r="J5961" s="455">
        <f t="array" ref="J5961">IFERROR(INDEX('Retirement Calculator'!K:K,MATCH('Lorri 401b'!N5961,'Retirement Calculator'!A:A,0),0),0)</f>
        <v>0</v>
      </c>
      <c r="K5961" s="455">
        <f t="shared" ca="1" si="198"/>
        <v>-101711224571717.34</v>
      </c>
      <c r="L5961" s="455">
        <f t="shared" ca="1" si="199"/>
        <v>-2.451240512178388E+16</v>
      </c>
      <c r="M5961" s="471">
        <f t="shared" si="201"/>
        <v>0.05</v>
      </c>
      <c r="N5961" s="475">
        <f t="shared" si="202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00"/>
        <v>-2.451240512178388E+16</v>
      </c>
      <c r="J5962" s="455">
        <f t="array" ref="J5962">IFERROR(INDEX('Retirement Calculator'!K:K,MATCH('Lorri 401b'!N5962,'Retirement Calculator'!A:A,0),0),0)</f>
        <v>0</v>
      </c>
      <c r="K5962" s="455">
        <f t="shared" ca="1" si="198"/>
        <v>-102135021340766.17</v>
      </c>
      <c r="L5962" s="455">
        <f t="shared" ca="1" si="199"/>
        <v>-2.4614540143124648E+16</v>
      </c>
      <c r="M5962" s="471">
        <f t="shared" si="201"/>
        <v>0.05</v>
      </c>
      <c r="N5962" s="475">
        <f t="shared" si="202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00"/>
        <v>-2.4614540143124648E+16</v>
      </c>
      <c r="J5963" s="455">
        <f t="array" ref="J5963">IFERROR(INDEX('Retirement Calculator'!K:K,MATCH('Lorri 401b'!N5963,'Retirement Calculator'!A:A,0),0),0)</f>
        <v>0</v>
      </c>
      <c r="K5963" s="455">
        <f t="shared" ca="1" si="198"/>
        <v>-102560583929686.03</v>
      </c>
      <c r="L5963" s="455">
        <f t="shared" ca="1" si="199"/>
        <v>-2.4717100727054336E+16</v>
      </c>
      <c r="M5963" s="471">
        <f t="shared" si="201"/>
        <v>0.05</v>
      </c>
      <c r="N5963" s="475">
        <f t="shared" si="202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00"/>
        <v>-2.4717100727054336E+16</v>
      </c>
      <c r="J5964" s="455">
        <f t="array" ref="J5964">IFERROR(INDEX('Retirement Calculator'!K:K,MATCH('Lorri 401b'!N5964,'Retirement Calculator'!A:A,0),0),0)</f>
        <v>0</v>
      </c>
      <c r="K5964" s="455">
        <f t="shared" ca="1" si="198"/>
        <v>-102987919696059.73</v>
      </c>
      <c r="L5964" s="455">
        <f t="shared" ca="1" si="199"/>
        <v>-2.4820088646750396E+16</v>
      </c>
      <c r="M5964" s="471">
        <f t="shared" si="201"/>
        <v>0.05</v>
      </c>
      <c r="N5964" s="475">
        <f t="shared" si="202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00"/>
        <v>-2.4820088646750396E+16</v>
      </c>
      <c r="J5965" s="455">
        <f t="array" ref="J5965">IFERROR(INDEX('Retirement Calculator'!K:K,MATCH('Lorri 401b'!N5965,'Retirement Calculator'!A:A,0),0),0)</f>
        <v>0</v>
      </c>
      <c r="K5965" s="455">
        <f t="shared" ca="1" si="198"/>
        <v>-103417036028126.66</v>
      </c>
      <c r="L5965" s="455">
        <f t="shared" ca="1" si="199"/>
        <v>-2.4923505682778524E+16</v>
      </c>
      <c r="M5965" s="471">
        <f t="shared" si="201"/>
        <v>0.05</v>
      </c>
      <c r="N5965" s="475">
        <f t="shared" si="202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00"/>
        <v>-2.4923505682778524E+16</v>
      </c>
      <c r="J5966" s="455">
        <f t="array" ref="J5966">IFERROR(INDEX('Retirement Calculator'!K:K,MATCH('Lorri 401b'!N5966,'Retirement Calculator'!A:A,0),0),0)</f>
        <v>0</v>
      </c>
      <c r="K5966" s="455">
        <f t="shared" ca="1" si="198"/>
        <v>-103847940344910.52</v>
      </c>
      <c r="L5966" s="455">
        <f t="shared" ca="1" si="199"/>
        <v>-2.5027353623123436E+16</v>
      </c>
      <c r="M5966" s="471">
        <f t="shared" si="201"/>
        <v>0.05</v>
      </c>
      <c r="N5966" s="475">
        <f t="shared" si="202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00"/>
        <v>-2.5027353623123436E+16</v>
      </c>
      <c r="J5967" s="455">
        <f t="array" ref="J5967">IFERROR(INDEX('Retirement Calculator'!K:K,MATCH('Lorri 401b'!N5967,'Retirement Calculator'!A:A,0),0),0)</f>
        <v>0</v>
      </c>
      <c r="K5967" s="455">
        <f t="shared" ca="1" si="198"/>
        <v>-104280640096347.66</v>
      </c>
      <c r="L5967" s="455">
        <f t="shared" ca="1" si="199"/>
        <v>-2.5131634263219784E+16</v>
      </c>
      <c r="M5967" s="471">
        <f t="shared" si="201"/>
        <v>0.05</v>
      </c>
      <c r="N5967" s="475">
        <f t="shared" si="202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00"/>
        <v>-2.5131634263219784E+16</v>
      </c>
      <c r="J5968" s="455">
        <f t="array" ref="J5968">IFERROR(INDEX('Retirement Calculator'!K:K,MATCH('Lorri 401b'!N5968,'Retirement Calculator'!A:A,0),0),0)</f>
        <v>0</v>
      </c>
      <c r="K5968" s="455">
        <f t="shared" ca="1" si="198"/>
        <v>-104715142763415.77</v>
      </c>
      <c r="L5968" s="455">
        <f t="shared" ca="1" si="199"/>
        <v>-2.52363494059832E+16</v>
      </c>
      <c r="M5968" s="471">
        <f t="shared" si="201"/>
        <v>0.05</v>
      </c>
      <c r="N5968" s="475">
        <f t="shared" si="202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00"/>
        <v>-2.52363494059832E+16</v>
      </c>
      <c r="J5969" s="455">
        <f t="array" ref="J5969">IFERROR(INDEX('Retirement Calculator'!K:K,MATCH('Lorri 401b'!N5969,'Retirement Calculator'!A:A,0),0),0)</f>
        <v>0</v>
      </c>
      <c r="K5969" s="455">
        <f t="shared" ca="1" si="198"/>
        <v>-105151455858263.33</v>
      </c>
      <c r="L5969" s="455">
        <f t="shared" ca="1" si="199"/>
        <v>-2.5341500861841464E+16</v>
      </c>
      <c r="M5969" s="471">
        <f t="shared" si="201"/>
        <v>0.05</v>
      </c>
      <c r="N5969" s="475">
        <f t="shared" si="202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00"/>
        <v>-2.5341500861841464E+16</v>
      </c>
      <c r="J5970" s="455">
        <f t="array" ref="J5970">IFERROR(INDEX('Retirement Calculator'!K:K,MATCH('Lorri 401b'!N5970,'Retirement Calculator'!A:A,0),0),0)</f>
        <v>0</v>
      </c>
      <c r="K5970" s="455">
        <f t="shared" ca="1" si="198"/>
        <v>-105589586924339.44</v>
      </c>
      <c r="L5970" s="455">
        <f t="shared" ca="1" si="199"/>
        <v>-2.5447090448765804E+16</v>
      </c>
      <c r="M5970" s="471">
        <f t="shared" si="201"/>
        <v>0.05</v>
      </c>
      <c r="N5970" s="475">
        <f t="shared" si="202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00"/>
        <v>-2.5447090448765804E+16</v>
      </c>
      <c r="J5971" s="455">
        <f t="array" ref="J5971">IFERROR(INDEX('Retirement Calculator'!K:K,MATCH('Lorri 401b'!N5971,'Retirement Calculator'!A:A,0),0),0)</f>
        <v>0</v>
      </c>
      <c r="K5971" s="455">
        <f t="shared" ca="1" si="198"/>
        <v>-106029543536524.19</v>
      </c>
      <c r="L5971" s="455">
        <f t="shared" ca="1" si="199"/>
        <v>-2.5553119992302328E+16</v>
      </c>
      <c r="M5971" s="471">
        <f t="shared" si="201"/>
        <v>0.05</v>
      </c>
      <c r="N5971" s="475">
        <f t="shared" si="202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00"/>
        <v>-2.5553119992302328E+16</v>
      </c>
      <c r="J5972" s="455">
        <f t="array" ref="J5972">IFERROR(INDEX('Retirement Calculator'!K:K,MATCH('Lorri 401b'!N5972,'Retirement Calculator'!A:A,0),0),0)</f>
        <v>0</v>
      </c>
      <c r="K5972" s="455">
        <f t="shared" ca="1" si="198"/>
        <v>-106471333301259.7</v>
      </c>
      <c r="L5972" s="455">
        <f t="shared" ca="1" si="199"/>
        <v>-2.5659591325603588E+16</v>
      </c>
      <c r="M5972" s="471">
        <f t="shared" si="201"/>
        <v>0.05</v>
      </c>
      <c r="N5972" s="475">
        <f t="shared" si="202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00"/>
        <v>-2.5659591325603588E+16</v>
      </c>
      <c r="J5973" s="455">
        <f t="array" ref="J5973">IFERROR(INDEX('Retirement Calculator'!K:K,MATCH('Lorri 401b'!N5973,'Retirement Calculator'!A:A,0),0),0)</f>
        <v>0</v>
      </c>
      <c r="K5973" s="455">
        <f t="shared" ca="1" si="198"/>
        <v>-106914963856681.61</v>
      </c>
      <c r="L5973" s="455">
        <f t="shared" ca="1" si="199"/>
        <v>-2.5766506289460268E+16</v>
      </c>
      <c r="M5973" s="471">
        <f t="shared" si="201"/>
        <v>0.05</v>
      </c>
      <c r="N5973" s="475">
        <f t="shared" si="202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00"/>
        <v>-2.5766506289460268E+16</v>
      </c>
      <c r="J5974" s="455">
        <f t="array" ref="J5974">IFERROR(INDEX('Retirement Calculator'!K:K,MATCH('Lorri 401b'!N5974,'Retirement Calculator'!A:A,0),0),0)</f>
        <v>0</v>
      </c>
      <c r="K5974" s="455">
        <f t="shared" ca="1" si="198"/>
        <v>-107360442872751.11</v>
      </c>
      <c r="L5974" s="455">
        <f t="shared" ca="1" si="199"/>
        <v>-2.587386673233302E+16</v>
      </c>
      <c r="M5974" s="471">
        <f t="shared" si="201"/>
        <v>0.05</v>
      </c>
      <c r="N5974" s="475">
        <f t="shared" si="202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00"/>
        <v>-2.587386673233302E+16</v>
      </c>
      <c r="J5975" s="455">
        <f t="array" ref="J5975">IFERROR(INDEX('Retirement Calculator'!K:K,MATCH('Lorri 401b'!N5975,'Retirement Calculator'!A:A,0),0),0)</f>
        <v>0</v>
      </c>
      <c r="K5975" s="455">
        <f t="shared" ca="1" si="198"/>
        <v>-107807778051387.58</v>
      </c>
      <c r="L5975" s="455">
        <f t="shared" ca="1" si="199"/>
        <v>-2.5981674510384408E+16</v>
      </c>
      <c r="M5975" s="471">
        <f t="shared" si="201"/>
        <v>0.05</v>
      </c>
      <c r="N5975" s="475">
        <f t="shared" si="202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00"/>
        <v>-2.5981674510384408E+16</v>
      </c>
      <c r="J5976" s="455">
        <f t="array" ref="J5976">IFERROR(INDEX('Retirement Calculator'!K:K,MATCH('Lorri 401b'!N5976,'Retirement Calculator'!A:A,0),0),0)</f>
        <v>0</v>
      </c>
      <c r="K5976" s="455">
        <f t="shared" ca="1" si="198"/>
        <v>-108256977126601.7</v>
      </c>
      <c r="L5976" s="455">
        <f t="shared" ca="1" si="199"/>
        <v>-2.6089931487511008E+16</v>
      </c>
      <c r="M5976" s="471">
        <f t="shared" si="201"/>
        <v>0.05</v>
      </c>
      <c r="N5976" s="475">
        <f t="shared" si="202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00"/>
        <v>-2.6089931487511008E+16</v>
      </c>
      <c r="J5977" s="455">
        <f t="array" ref="J5977">IFERROR(INDEX('Retirement Calculator'!K:K,MATCH('Lorri 401b'!N5977,'Retirement Calculator'!A:A,0),0),0)</f>
        <v>0</v>
      </c>
      <c r="K5977" s="455">
        <f t="shared" ca="1" si="198"/>
        <v>-108708047864629.2</v>
      </c>
      <c r="L5977" s="455">
        <f t="shared" ca="1" si="199"/>
        <v>-2.6198639535375636E+16</v>
      </c>
      <c r="M5977" s="471">
        <f t="shared" si="201"/>
        <v>0.05</v>
      </c>
      <c r="N5977" s="475">
        <f t="shared" si="202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00"/>
        <v>-2.6198639535375636E+16</v>
      </c>
      <c r="J5978" s="455">
        <f t="array" ref="J5978">IFERROR(INDEX('Retirement Calculator'!K:K,MATCH('Lorri 401b'!N5978,'Retirement Calculator'!A:A,0),0),0)</f>
        <v>0</v>
      </c>
      <c r="K5978" s="455">
        <f t="shared" ca="1" si="198"/>
        <v>-109160998064065.16</v>
      </c>
      <c r="L5978" s="455">
        <f t="shared" ca="1" si="199"/>
        <v>-2.63078005334397E+16</v>
      </c>
      <c r="M5978" s="471">
        <f t="shared" si="201"/>
        <v>0.05</v>
      </c>
      <c r="N5978" s="475">
        <f t="shared" si="202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00"/>
        <v>-2.63078005334397E+16</v>
      </c>
      <c r="J5979" s="455">
        <f t="array" ref="J5979">IFERROR(INDEX('Retirement Calculator'!K:K,MATCH('Lorri 401b'!N5979,'Retirement Calculator'!A:A,0),0),0)</f>
        <v>0</v>
      </c>
      <c r="K5979" s="455">
        <f t="shared" ca="1" si="198"/>
        <v>-109615835555998.75</v>
      </c>
      <c r="L5979" s="455">
        <f t="shared" ca="1" si="199"/>
        <v>-2.64174163689957E+16</v>
      </c>
      <c r="M5979" s="471">
        <f t="shared" si="201"/>
        <v>0.05</v>
      </c>
      <c r="N5979" s="475">
        <f t="shared" si="202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00"/>
        <v>-2.64174163689957E+16</v>
      </c>
      <c r="J5980" s="455">
        <f t="array" ref="J5980">IFERROR(INDEX('Retirement Calculator'!K:K,MATCH('Lorri 401b'!N5980,'Retirement Calculator'!A:A,0),0),0)</f>
        <v>0</v>
      </c>
      <c r="K5980" s="455">
        <f t="shared" ca="1" si="198"/>
        <v>-110072568204148.75</v>
      </c>
      <c r="L5980" s="455">
        <f t="shared" ca="1" si="199"/>
        <v>-2.6527488937199848E+16</v>
      </c>
      <c r="M5980" s="471">
        <f t="shared" si="201"/>
        <v>0.05</v>
      </c>
      <c r="N5980" s="475">
        <f t="shared" si="202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00"/>
        <v>-2.6527488937199848E+16</v>
      </c>
      <c r="J5981" s="455">
        <f t="array" ref="J5981">IFERROR(INDEX('Retirement Calculator'!K:K,MATCH('Lorri 401b'!N5981,'Retirement Calculator'!A:A,0),0),0)</f>
        <v>0</v>
      </c>
      <c r="K5981" s="455">
        <f t="shared" ca="1" si="198"/>
        <v>-110531203904999.36</v>
      </c>
      <c r="L5981" s="455">
        <f t="shared" ca="1" si="199"/>
        <v>-2.6638020141104848E+16</v>
      </c>
      <c r="M5981" s="471">
        <f t="shared" si="201"/>
        <v>0.05</v>
      </c>
      <c r="N5981" s="475">
        <f t="shared" si="202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00"/>
        <v>-2.6638020141104848E+16</v>
      </c>
      <c r="J5982" s="455">
        <f t="array" ref="J5982">IFERROR(INDEX('Retirement Calculator'!K:K,MATCH('Lorri 401b'!N5982,'Retirement Calculator'!A:A,0),0),0)</f>
        <v>0</v>
      </c>
      <c r="K5982" s="455">
        <f t="shared" ca="1" si="198"/>
        <v>-110991750587936.86</v>
      </c>
      <c r="L5982" s="455">
        <f t="shared" ca="1" si="199"/>
        <v>-2.6749011891692784E+16</v>
      </c>
      <c r="M5982" s="471">
        <f t="shared" si="201"/>
        <v>0.05</v>
      </c>
      <c r="N5982" s="475">
        <f t="shared" si="202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00"/>
        <v>-2.6749011891692784E+16</v>
      </c>
      <c r="J5983" s="455">
        <f t="array" ref="J5983">IFERROR(INDEX('Retirement Calculator'!K:K,MATCH('Lorri 401b'!N5983,'Retirement Calculator'!A:A,0),0),0)</f>
        <v>0</v>
      </c>
      <c r="K5983" s="455">
        <f t="shared" ca="1" si="198"/>
        <v>-111454216215386.59</v>
      </c>
      <c r="L5983" s="455">
        <f t="shared" ca="1" si="199"/>
        <v>-2.6860466107908172E+16</v>
      </c>
      <c r="M5983" s="471">
        <f t="shared" si="201"/>
        <v>0.05</v>
      </c>
      <c r="N5983" s="475">
        <f t="shared" si="202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00"/>
        <v>-2.6860466107908172E+16</v>
      </c>
      <c r="J5984" s="455">
        <f t="array" ref="J5984">IFERROR(INDEX('Retirement Calculator'!K:K,MATCH('Lorri 401b'!N5984,'Retirement Calculator'!A:A,0),0),0)</f>
        <v>0</v>
      </c>
      <c r="K5984" s="455">
        <f t="shared" ca="1" si="198"/>
        <v>-111918608782950.72</v>
      </c>
      <c r="L5984" s="455">
        <f t="shared" ca="1" si="199"/>
        <v>-2.6972384716691124E+16</v>
      </c>
      <c r="M5984" s="471">
        <f t="shared" si="201"/>
        <v>0.05</v>
      </c>
      <c r="N5984" s="475">
        <f t="shared" si="202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00"/>
        <v>-2.6972384716691124E+16</v>
      </c>
      <c r="J5985" s="455">
        <f t="array" ref="J5985">IFERROR(INDEX('Retirement Calculator'!K:K,MATCH('Lorri 401b'!N5985,'Retirement Calculator'!A:A,0),0),0)</f>
        <v>0</v>
      </c>
      <c r="K5985" s="455">
        <f t="shared" ca="1" si="198"/>
        <v>-112384936319546.34</v>
      </c>
      <c r="L5985" s="455">
        <f t="shared" ca="1" si="199"/>
        <v>-2.7084769653010672E+16</v>
      </c>
      <c r="M5985" s="471">
        <f t="shared" si="201"/>
        <v>0.05</v>
      </c>
      <c r="N5985" s="475">
        <f t="shared" si="202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00"/>
        <v>-2.7084769653010672E+16</v>
      </c>
      <c r="J5986" s="455">
        <f t="array" ref="J5986">IFERROR(INDEX('Retirement Calculator'!K:K,MATCH('Lorri 401b'!N5986,'Retirement Calculator'!A:A,0),0),0)</f>
        <v>0</v>
      </c>
      <c r="K5986" s="455">
        <f t="shared" ca="1" si="198"/>
        <v>-112853206887544.47</v>
      </c>
      <c r="L5986" s="455">
        <f t="shared" ca="1" si="199"/>
        <v>-2.7197622859898216E+16</v>
      </c>
      <c r="M5986" s="471">
        <f t="shared" si="201"/>
        <v>0.05</v>
      </c>
      <c r="N5986" s="475">
        <f t="shared" si="202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00"/>
        <v>-2.7197622859898216E+16</v>
      </c>
      <c r="J5987" s="455">
        <f t="array" ref="J5987">IFERROR(INDEX('Retirement Calculator'!K:K,MATCH('Lorri 401b'!N5987,'Retirement Calculator'!A:A,0),0),0)</f>
        <v>0</v>
      </c>
      <c r="K5987" s="455">
        <f t="shared" ca="1" si="198"/>
        <v>-113323428582909.23</v>
      </c>
      <c r="L5987" s="455">
        <f t="shared" ca="1" si="199"/>
        <v>-2.7310946288481124E+16</v>
      </c>
      <c r="M5987" s="471">
        <f t="shared" si="201"/>
        <v>0.05</v>
      </c>
      <c r="N5987" s="475">
        <f t="shared" si="202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00"/>
        <v>-2.7310946288481124E+16</v>
      </c>
      <c r="J5988" s="455">
        <f t="array" ref="J5988">IFERROR(INDEX('Retirement Calculator'!K:K,MATCH('Lorri 401b'!N5988,'Retirement Calculator'!A:A,0),0),0)</f>
        <v>0</v>
      </c>
      <c r="K5988" s="455">
        <f t="shared" ca="1" si="198"/>
        <v>-113795609535338.02</v>
      </c>
      <c r="L5988" s="455">
        <f t="shared" ca="1" si="199"/>
        <v>-2.7424741898016464E+16</v>
      </c>
      <c r="M5988" s="471">
        <f t="shared" si="201"/>
        <v>0.05</v>
      </c>
      <c r="N5988" s="475">
        <f t="shared" si="202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00"/>
        <v>-2.7424741898016464E+16</v>
      </c>
      <c r="J5989" s="455">
        <f t="array" ref="J5989">IFERROR(INDEX('Retirement Calculator'!K:K,MATCH('Lorri 401b'!N5989,'Retirement Calculator'!A:A,0),0),0)</f>
        <v>0</v>
      </c>
      <c r="K5989" s="455">
        <f t="shared" ca="1" si="198"/>
        <v>-114269757908401.94</v>
      </c>
      <c r="L5989" s="455">
        <f t="shared" ca="1" si="199"/>
        <v>-2.7539011655924864E+16</v>
      </c>
      <c r="M5989" s="471">
        <f t="shared" si="201"/>
        <v>0.05</v>
      </c>
      <c r="N5989" s="475">
        <f t="shared" si="202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00"/>
        <v>-2.7539011655924864E+16</v>
      </c>
      <c r="J5990" s="455">
        <f t="array" ref="J5990">IFERROR(INDEX('Retirement Calculator'!K:K,MATCH('Lorri 401b'!N5990,'Retirement Calculator'!A:A,0),0),0)</f>
        <v>0</v>
      </c>
      <c r="K5990" s="455">
        <f t="shared" ca="1" si="198"/>
        <v>-114745881899686.94</v>
      </c>
      <c r="L5990" s="455">
        <f t="shared" ca="1" si="199"/>
        <v>-2.7653757537824552E+16</v>
      </c>
      <c r="M5990" s="471">
        <f t="shared" si="201"/>
        <v>0.05</v>
      </c>
      <c r="N5990" s="475">
        <f t="shared" si="202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00"/>
        <v>-2.7653757537824552E+16</v>
      </c>
      <c r="J5991" s="455">
        <f t="array" ref="J5991">IFERROR(INDEX('Retirement Calculator'!K:K,MATCH('Lorri 401b'!N5991,'Retirement Calculator'!A:A,0),0),0)</f>
        <v>0</v>
      </c>
      <c r="K5991" s="455">
        <f t="shared" ca="1" si="198"/>
        <v>-115223989740935.63</v>
      </c>
      <c r="L5991" s="455">
        <f t="shared" ca="1" si="199"/>
        <v>-2.7768981527565488E+16</v>
      </c>
      <c r="M5991" s="471">
        <f t="shared" si="201"/>
        <v>0.05</v>
      </c>
      <c r="N5991" s="475">
        <f t="shared" si="202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00"/>
        <v>-2.7768981527565488E+16</v>
      </c>
      <c r="J5992" s="455">
        <f t="array" ref="J5992">IFERROR(INDEX('Retirement Calculator'!K:K,MATCH('Lorri 401b'!N5992,'Retirement Calculator'!A:A,0),0),0)</f>
        <v>0</v>
      </c>
      <c r="K5992" s="455">
        <f t="shared" ca="1" si="198"/>
        <v>-115704089698189.53</v>
      </c>
      <c r="L5992" s="455">
        <f t="shared" ca="1" si="199"/>
        <v>-2.7884685617263676E+16</v>
      </c>
      <c r="M5992" s="471">
        <f t="shared" si="201"/>
        <v>0.05</v>
      </c>
      <c r="N5992" s="475">
        <f t="shared" si="202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00"/>
        <v>-2.7884685617263676E+16</v>
      </c>
      <c r="J5993" s="455">
        <f t="array" ref="J5993">IFERROR(INDEX('Retirement Calculator'!K:K,MATCH('Lorri 401b'!N5993,'Retirement Calculator'!A:A,0),0),0)</f>
        <v>0</v>
      </c>
      <c r="K5993" s="455">
        <f t="shared" ca="1" si="198"/>
        <v>-116186190071931.98</v>
      </c>
      <c r="L5993" s="455">
        <f t="shared" ca="1" si="199"/>
        <v>-2.8000871807335608E+16</v>
      </c>
      <c r="M5993" s="471">
        <f t="shared" si="201"/>
        <v>0.05</v>
      </c>
      <c r="N5993" s="475">
        <f t="shared" si="202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00"/>
        <v>-2.8000871807335608E+16</v>
      </c>
      <c r="J5994" s="455">
        <f t="array" ref="J5994">IFERROR(INDEX('Retirement Calculator'!K:K,MATCH('Lorri 401b'!N5994,'Retirement Calculator'!A:A,0),0),0)</f>
        <v>0</v>
      </c>
      <c r="K5994" s="455">
        <f t="shared" ca="1" si="198"/>
        <v>-116670299197231.7</v>
      </c>
      <c r="L5994" s="455">
        <f t="shared" ca="1" si="199"/>
        <v>-2.811754210653284E+16</v>
      </c>
      <c r="M5994" s="471">
        <f t="shared" si="201"/>
        <v>0.05</v>
      </c>
      <c r="N5994" s="475">
        <f t="shared" si="202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00"/>
        <v>-2.811754210653284E+16</v>
      </c>
      <c r="J5995" s="455">
        <f t="array" ref="J5995">IFERROR(INDEX('Retirement Calculator'!K:K,MATCH('Lorri 401b'!N5995,'Retirement Calculator'!A:A,0),0),0)</f>
        <v>0</v>
      </c>
      <c r="K5995" s="455">
        <f t="shared" ca="1" si="198"/>
        <v>-117156425443886.83</v>
      </c>
      <c r="L5995" s="455">
        <f t="shared" ca="1" si="199"/>
        <v>-2.8234698531976728E+16</v>
      </c>
      <c r="M5995" s="471">
        <f t="shared" si="201"/>
        <v>0.05</v>
      </c>
      <c r="N5995" s="475">
        <f t="shared" si="202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00"/>
        <v>-2.8234698531976728E+16</v>
      </c>
      <c r="J5996" s="455">
        <f t="array" ref="J5996">IFERROR(INDEX('Retirement Calculator'!K:K,MATCH('Lorri 401b'!N5996,'Retirement Calculator'!A:A,0),0),0)</f>
        <v>0</v>
      </c>
      <c r="K5996" s="455">
        <f t="shared" ca="1" si="198"/>
        <v>-117644577216569.72</v>
      </c>
      <c r="L5996" s="455">
        <f t="shared" ca="1" si="199"/>
        <v>-2.8352343109193296E+16</v>
      </c>
      <c r="M5996" s="471">
        <f t="shared" si="201"/>
        <v>0.05</v>
      </c>
      <c r="N5996" s="475">
        <f t="shared" si="202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00"/>
        <v>-2.8352343109193296E+16</v>
      </c>
      <c r="J5997" s="455">
        <f t="array" ref="J5997">IFERROR(INDEX('Retirement Calculator'!K:K,MATCH('Lorri 401b'!N5997,'Retirement Calculator'!A:A,0),0),0)</f>
        <v>0</v>
      </c>
      <c r="K5997" s="455">
        <f t="shared" ca="1" si="198"/>
        <v>-118134762954972.08</v>
      </c>
      <c r="L5997" s="455">
        <f t="shared" ca="1" si="199"/>
        <v>-2.8470477872148268E+16</v>
      </c>
      <c r="M5997" s="471">
        <f t="shared" si="201"/>
        <v>0.05</v>
      </c>
      <c r="N5997" s="475">
        <f t="shared" si="202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00"/>
        <v>-2.8470477872148268E+16</v>
      </c>
      <c r="J5998" s="455">
        <f t="array" ref="J5998">IFERROR(INDEX('Retirement Calculator'!K:K,MATCH('Lorri 401b'!N5998,'Retirement Calculator'!A:A,0),0),0)</f>
        <v>0</v>
      </c>
      <c r="K5998" s="455">
        <f t="shared" ca="1" si="198"/>
        <v>-118626991133951.09</v>
      </c>
      <c r="L5998" s="455">
        <f t="shared" ca="1" si="199"/>
        <v>-2.858910486328222E+16</v>
      </c>
      <c r="M5998" s="471">
        <f t="shared" si="201"/>
        <v>0.05</v>
      </c>
      <c r="N5998" s="475">
        <f t="shared" si="202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00"/>
        <v>-2.858910486328222E+16</v>
      </c>
      <c r="J5999" s="455">
        <f t="array" ref="J5999">IFERROR(INDEX('Retirement Calculator'!K:K,MATCH('Lorri 401b'!N5999,'Retirement Calculator'!A:A,0),0),0)</f>
        <v>0</v>
      </c>
      <c r="K5999" s="455">
        <f t="shared" ca="1" si="198"/>
        <v>-119121270263675.92</v>
      </c>
      <c r="L5999" s="455">
        <f t="shared" ca="1" si="199"/>
        <v>-2.8708226133545896E+16</v>
      </c>
      <c r="M5999" s="471">
        <f t="shared" si="201"/>
        <v>0.05</v>
      </c>
      <c r="N5999" s="475">
        <f t="shared" si="202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00"/>
        <v>-2.8708226133545896E+16</v>
      </c>
      <c r="J6000" s="455">
        <f t="array" ref="J6000">IFERROR(INDEX('Retirement Calculator'!K:K,MATCH('Lorri 401b'!N6000,'Retirement Calculator'!A:A,0),0),0)</f>
        <v>0</v>
      </c>
      <c r="K6000" s="455">
        <f t="shared" ca="1" si="198"/>
        <v>-119617608889774.56</v>
      </c>
      <c r="L6000" s="455">
        <f t="shared" ca="1" si="199"/>
        <v>-2.8827843742435672E+16</v>
      </c>
      <c r="M6000" s="471">
        <f t="shared" si="201"/>
        <v>0.05</v>
      </c>
      <c r="N6000" s="475">
        <f t="shared" si="202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00"/>
        <v>-2.8827843742435672E+16</v>
      </c>
      <c r="J6001" s="455">
        <f t="array" ref="J6001">IFERROR(INDEX('Retirement Calculator'!K:K,MATCH('Lorri 401b'!N6001,'Retirement Calculator'!A:A,0),0),0)</f>
        <v>0</v>
      </c>
      <c r="K6001" s="455">
        <f t="shared" ca="1" si="198"/>
        <v>-120116015593481.98</v>
      </c>
      <c r="L6001" s="455">
        <f t="shared" ca="1" si="199"/>
        <v>-2.8947959758029152E+16</v>
      </c>
      <c r="M6001" s="471">
        <f t="shared" si="201"/>
        <v>0.05</v>
      </c>
      <c r="N6001" s="475">
        <f t="shared" si="202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00"/>
        <v>-2.8947959758029152E+16</v>
      </c>
      <c r="J6002" s="455">
        <f t="array" ref="J6002">IFERROR(INDEX('Retirement Calculator'!K:K,MATCH('Lorri 401b'!N6002,'Retirement Calculator'!A:A,0),0),0)</f>
        <v>0</v>
      </c>
      <c r="K6002" s="455">
        <f t="shared" ca="1" si="198"/>
        <v>-120616498991788.13</v>
      </c>
      <c r="L6002" s="455">
        <f t="shared" ca="1" si="199"/>
        <v>-2.906857625702094E+16</v>
      </c>
      <c r="M6002" s="471">
        <f t="shared" si="201"/>
        <v>0.05</v>
      </c>
      <c r="N6002" s="475">
        <f t="shared" si="202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00"/>
        <v>-2.906857625702094E+16</v>
      </c>
      <c r="J6003" s="455">
        <f t="array" ref="J6003">IFERROR(INDEX('Retirement Calculator'!K:K,MATCH('Lorri 401b'!N6003,'Retirement Calculator'!A:A,0),0),0)</f>
        <v>0</v>
      </c>
      <c r="K6003" s="455">
        <f t="shared" ca="1" si="198"/>
        <v>-121119067737587.25</v>
      </c>
      <c r="L6003" s="455">
        <f t="shared" ca="1" si="199"/>
        <v>-2.9189695324758528E+16</v>
      </c>
      <c r="M6003" s="471">
        <f t="shared" si="201"/>
        <v>0.05</v>
      </c>
      <c r="N6003" s="475">
        <f t="shared" si="202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00"/>
        <v>-2.9189695324758528E+16</v>
      </c>
      <c r="J6004" s="455">
        <f t="array" ref="J6004">IFERROR(INDEX('Retirement Calculator'!K:K,MATCH('Lorri 401b'!N6004,'Retirement Calculator'!A:A,0),0),0)</f>
        <v>0</v>
      </c>
      <c r="K6004" s="455">
        <f t="shared" ca="1" si="198"/>
        <v>-121623730519827.19</v>
      </c>
      <c r="L6004" s="455">
        <f t="shared" ca="1" si="199"/>
        <v>-2.9311319055278356E+16</v>
      </c>
      <c r="M6004" s="471">
        <f t="shared" si="201"/>
        <v>0.05</v>
      </c>
      <c r="N6004" s="475">
        <f t="shared" si="202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00"/>
        <v>-2.9311319055278356E+16</v>
      </c>
      <c r="J6005" s="455">
        <f t="array" ref="J6005">IFERROR(INDEX('Retirement Calculator'!K:K,MATCH('Lorri 401b'!N6005,'Retirement Calculator'!A:A,0),0),0)</f>
        <v>0</v>
      </c>
      <c r="K6005" s="455">
        <f t="shared" ca="1" si="198"/>
        <v>-122130496063659.8</v>
      </c>
      <c r="L6005" s="455">
        <f t="shared" ca="1" si="199"/>
        <v>-2.9433449551342016E+16</v>
      </c>
      <c r="M6005" s="471">
        <f t="shared" si="201"/>
        <v>0.05</v>
      </c>
      <c r="N6005" s="475">
        <f t="shared" si="202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00"/>
        <v>-2.9433449551342016E+16</v>
      </c>
      <c r="J6006" s="455">
        <f t="array" ref="J6006">IFERROR(INDEX('Retirement Calculator'!K:K,MATCH('Lorri 401b'!N6006,'Retirement Calculator'!A:A,0),0),0)</f>
        <v>0</v>
      </c>
      <c r="K6006" s="455">
        <f t="shared" ca="1" si="198"/>
        <v>-122639373130591.75</v>
      </c>
      <c r="L6006" s="455">
        <f t="shared" ca="1" si="199"/>
        <v>-2.9556088924472608E+16</v>
      </c>
      <c r="M6006" s="471">
        <f t="shared" si="201"/>
        <v>0.05</v>
      </c>
      <c r="N6006" s="475">
        <f t="shared" si="202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00"/>
        <v>-2.9556088924472608E+16</v>
      </c>
      <c r="J6007" s="455">
        <f t="array" ref="J6007">IFERROR(INDEX('Retirement Calculator'!K:K,MATCH('Lorri 401b'!N6007,'Retirement Calculator'!A:A,0),0),0)</f>
        <v>0</v>
      </c>
      <c r="K6007" s="455">
        <f t="shared" ca="1" si="198"/>
        <v>-123150370518635.88</v>
      </c>
      <c r="L6007" s="455">
        <f t="shared" ca="1" si="199"/>
        <v>-2.9679239294991244E+16</v>
      </c>
      <c r="M6007" s="471">
        <f t="shared" si="201"/>
        <v>0.05</v>
      </c>
      <c r="N6007" s="475">
        <f t="shared" si="202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00"/>
        <v>-2.9679239294991244E+16</v>
      </c>
      <c r="J6008" s="455">
        <f t="array" ref="J6008">IFERROR(INDEX('Retirement Calculator'!K:K,MATCH('Lorri 401b'!N6008,'Retirement Calculator'!A:A,0),0),0)</f>
        <v>0</v>
      </c>
      <c r="K6008" s="455">
        <f t="shared" ca="1" si="198"/>
        <v>-123663497062463.52</v>
      </c>
      <c r="L6008" s="455">
        <f t="shared" ca="1" si="199"/>
        <v>-2.9802902792053708E+16</v>
      </c>
      <c r="M6008" s="471">
        <f t="shared" si="201"/>
        <v>0.05</v>
      </c>
      <c r="N6008" s="475">
        <f t="shared" si="202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00"/>
        <v>-2.9802902792053708E+16</v>
      </c>
      <c r="J6009" s="455">
        <f t="array" ref="J6009">IFERROR(INDEX('Retirement Calculator'!K:K,MATCH('Lorri 401b'!N6009,'Retirement Calculator'!A:A,0),0),0)</f>
        <v>0</v>
      </c>
      <c r="K6009" s="455">
        <f t="shared" ca="1" si="198"/>
        <v>-124178761633557.11</v>
      </c>
      <c r="L6009" s="455">
        <f t="shared" ca="1" si="199"/>
        <v>-2.9927081553687264E+16</v>
      </c>
      <c r="M6009" s="471">
        <f t="shared" si="201"/>
        <v>0.05</v>
      </c>
      <c r="N6009" s="475">
        <f t="shared" si="202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00"/>
        <v>-2.9927081553687264E+16</v>
      </c>
      <c r="J6010" s="455">
        <f t="array" ref="J6010">IFERROR(INDEX('Retirement Calculator'!K:K,MATCH('Lorri 401b'!N6010,'Retirement Calculator'!A:A,0),0),0)</f>
        <v>0</v>
      </c>
      <c r="K6010" s="455">
        <f t="shared" ca="1" si="198"/>
        <v>-124696173140363.58</v>
      </c>
      <c r="L6010" s="455">
        <f t="shared" ca="1" si="199"/>
        <v>-3.0051777726827628E+16</v>
      </c>
      <c r="M6010" s="471">
        <f t="shared" si="201"/>
        <v>0.05</v>
      </c>
      <c r="N6010" s="475">
        <f t="shared" si="202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00"/>
        <v>-3.0051777726827628E+16</v>
      </c>
      <c r="J6011" s="455">
        <f t="array" ref="J6011">IFERROR(INDEX('Retirement Calculator'!K:K,MATCH('Lorri 401b'!N6011,'Retirement Calculator'!A:A,0),0),0)</f>
        <v>0</v>
      </c>
      <c r="K6011" s="455">
        <f t="shared" ca="1" si="198"/>
        <v>-125215740528448.45</v>
      </c>
      <c r="L6011" s="455">
        <f t="shared" ca="1" si="199"/>
        <v>-3.0176993467356076E+16</v>
      </c>
      <c r="M6011" s="471">
        <f t="shared" si="201"/>
        <v>0.05</v>
      </c>
      <c r="N6011" s="475">
        <f t="shared" si="202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00"/>
        <v>-3.0176993467356076E+16</v>
      </c>
      <c r="J6012" s="455">
        <f t="array" ref="J6012">IFERROR(INDEX('Retirement Calculator'!K:K,MATCH('Lorri 401b'!N6012,'Retirement Calculator'!A:A,0),0),0)</f>
        <v>0</v>
      </c>
      <c r="K6012" s="455">
        <f t="shared" ca="1" si="198"/>
        <v>-125737472780650.33</v>
      </c>
      <c r="L6012" s="455">
        <f t="shared" ca="1" si="199"/>
        <v>-3.0302730940136728E+16</v>
      </c>
      <c r="M6012" s="471">
        <f t="shared" si="201"/>
        <v>0.05</v>
      </c>
      <c r="N6012" s="475">
        <f t="shared" si="202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00"/>
        <v>-3.0302730940136728E+16</v>
      </c>
      <c r="J6013" s="455">
        <f t="array" ref="J6013">IFERROR(INDEX('Retirement Calculator'!K:K,MATCH('Lorri 401b'!N6013,'Retirement Calculator'!A:A,0),0),0)</f>
        <v>0</v>
      </c>
      <c r="K6013" s="455">
        <f t="shared" ca="1" si="198"/>
        <v>-126261378917236.36</v>
      </c>
      <c r="L6013" s="455">
        <f t="shared" ca="1" si="199"/>
        <v>-3.0428992319053964E+16</v>
      </c>
      <c r="M6013" s="471">
        <f t="shared" si="201"/>
        <v>0.05</v>
      </c>
      <c r="N6013" s="475">
        <f t="shared" si="202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00"/>
        <v>-3.0428992319053964E+16</v>
      </c>
      <c r="J6014" s="455">
        <f t="array" ref="J6014">IFERROR(INDEX('Retirement Calculator'!K:K,MATCH('Lorri 401b'!N6014,'Retirement Calculator'!A:A,0),0),0)</f>
        <v>0</v>
      </c>
      <c r="K6014" s="455">
        <f t="shared" ca="1" si="198"/>
        <v>-126787467996058.17</v>
      </c>
      <c r="L6014" s="455">
        <f t="shared" ca="1" si="199"/>
        <v>-3.0555779787050024E+16</v>
      </c>
      <c r="M6014" s="471">
        <f t="shared" si="201"/>
        <v>0.05</v>
      </c>
      <c r="N6014" s="475">
        <f t="shared" si="202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00"/>
        <v>-3.0555779787050024E+16</v>
      </c>
      <c r="J6015" s="455">
        <f t="array" ref="J6015">IFERROR(INDEX('Retirement Calculator'!K:K,MATCH('Lorri 401b'!N6015,'Retirement Calculator'!A:A,0),0),0)</f>
        <v>0</v>
      </c>
      <c r="K6015" s="455">
        <f t="shared" ca="1" si="198"/>
        <v>-127315749112708.44</v>
      </c>
      <c r="L6015" s="455">
        <f t="shared" ca="1" si="199"/>
        <v>-3.0683095536162732E+16</v>
      </c>
      <c r="M6015" s="471">
        <f t="shared" si="201"/>
        <v>0.05</v>
      </c>
      <c r="N6015" s="475">
        <f t="shared" si="202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00"/>
        <v>-3.0683095536162732E+16</v>
      </c>
      <c r="J6016" s="455">
        <f t="array" ref="J6016">IFERROR(INDEX('Retirement Calculator'!K:K,MATCH('Lorri 401b'!N6016,'Retirement Calculator'!A:A,0),0),0)</f>
        <v>0</v>
      </c>
      <c r="K6016" s="455">
        <f t="shared" ca="1" si="198"/>
        <v>-127846231400678.05</v>
      </c>
      <c r="L6016" s="455">
        <f t="shared" ca="1" si="199"/>
        <v>-3.0810941767563412E+16</v>
      </c>
      <c r="M6016" s="471">
        <f t="shared" si="201"/>
        <v>0.05</v>
      </c>
      <c r="N6016" s="475">
        <f t="shared" si="202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00"/>
        <v>-3.0810941767563412E+16</v>
      </c>
      <c r="J6017" s="455">
        <f t="array" ref="J6017">IFERROR(INDEX('Retirement Calculator'!K:K,MATCH('Lorri 401b'!N6017,'Retirement Calculator'!A:A,0),0),0)</f>
        <v>0</v>
      </c>
      <c r="K6017" s="455">
        <f t="shared" ca="1" si="198"/>
        <v>-128378924031514.22</v>
      </c>
      <c r="L6017" s="455">
        <f t="shared" ca="1" si="199"/>
        <v>-3.0939320691594928E+16</v>
      </c>
      <c r="M6017" s="471">
        <f t="shared" si="201"/>
        <v>0.05</v>
      </c>
      <c r="N6017" s="475">
        <f t="shared" si="202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00"/>
        <v>-3.0939320691594928E+16</v>
      </c>
      <c r="J6018" s="455">
        <f t="array" ref="J6018">IFERROR(INDEX('Retirement Calculator'!K:K,MATCH('Lorri 401b'!N6018,'Retirement Calculator'!A:A,0),0),0)</f>
        <v>0</v>
      </c>
      <c r="K6018" s="455">
        <f t="shared" ca="1" si="198"/>
        <v>-128913836214978.86</v>
      </c>
      <c r="L6018" s="455">
        <f t="shared" ca="1" si="199"/>
        <v>-3.1068234527809908E+16</v>
      </c>
      <c r="M6018" s="471">
        <f t="shared" si="201"/>
        <v>0.05</v>
      </c>
      <c r="N6018" s="475">
        <f t="shared" si="202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00"/>
        <v>-3.1068234527809908E+16</v>
      </c>
      <c r="J6019" s="455">
        <f t="array" ref="J6019">IFERROR(INDEX('Retirement Calculator'!K:K,MATCH('Lorri 401b'!N6019,'Retirement Calculator'!A:A,0),0),0)</f>
        <v>0</v>
      </c>
      <c r="K6019" s="455">
        <f t="shared" ca="1" si="198"/>
        <v>-129450977199207.95</v>
      </c>
      <c r="L6019" s="455">
        <f t="shared" ca="1" si="199"/>
        <v>-3.1197685505009116E+16</v>
      </c>
      <c r="M6019" s="471">
        <f t="shared" si="201"/>
        <v>0.05</v>
      </c>
      <c r="N6019" s="475">
        <f t="shared" si="202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00"/>
        <v>-3.1197685505009116E+16</v>
      </c>
      <c r="J6020" s="455">
        <f t="array" ref="J6020">IFERROR(INDEX('Retirement Calculator'!K:K,MATCH('Lorri 401b'!N6020,'Retirement Calculator'!A:A,0),0),0)</f>
        <v>0</v>
      </c>
      <c r="K6020" s="455">
        <f t="shared" ca="1" si="198"/>
        <v>-129990356270871.33</v>
      </c>
      <c r="L6020" s="455">
        <f t="shared" ca="1" si="199"/>
        <v>-3.1327675861279988E+16</v>
      </c>
      <c r="M6020" s="471">
        <f t="shared" si="201"/>
        <v>0.05</v>
      </c>
      <c r="N6020" s="475">
        <f t="shared" si="202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00"/>
        <v>-3.1327675861279988E+16</v>
      </c>
      <c r="J6021" s="455">
        <f t="array" ref="J6021">IFERROR(INDEX('Retirement Calculator'!K:K,MATCH('Lorri 401b'!N6021,'Retirement Calculator'!A:A,0),0),0)</f>
        <v>0</v>
      </c>
      <c r="K6021" s="455">
        <f t="shared" ca="1" si="198"/>
        <v>-130531982755333.28</v>
      </c>
      <c r="L6021" s="455">
        <f t="shared" ca="1" si="199"/>
        <v>-3.145820784403532E+16</v>
      </c>
      <c r="M6021" s="471">
        <f t="shared" si="201"/>
        <v>0.05</v>
      </c>
      <c r="N6021" s="475">
        <f t="shared" si="202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00"/>
        <v>-3.145820784403532E+16</v>
      </c>
      <c r="J6022" s="455">
        <f t="array" ref="J6022">IFERROR(INDEX('Retirement Calculator'!K:K,MATCH('Lorri 401b'!N6022,'Retirement Calculator'!A:A,0),0),0)</f>
        <v>0</v>
      </c>
      <c r="K6022" s="455">
        <f t="shared" ca="1" si="198"/>
        <v>-131075866016813.81</v>
      </c>
      <c r="L6022" s="455">
        <f t="shared" ca="1" si="199"/>
        <v>-3.1589283710052132E+16</v>
      </c>
      <c r="M6022" s="471">
        <f t="shared" si="201"/>
        <v>0.05</v>
      </c>
      <c r="N6022" s="475">
        <f t="shared" si="202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00"/>
        <v>-3.1589283710052132E+16</v>
      </c>
      <c r="J6023" s="455">
        <f t="array" ref="J6023">IFERROR(INDEX('Retirement Calculator'!K:K,MATCH('Lorri 401b'!N6023,'Retirement Calculator'!A:A,0),0),0)</f>
        <v>0</v>
      </c>
      <c r="K6023" s="455">
        <f t="shared" ca="1" si="198"/>
        <v>-131622015458550.53</v>
      </c>
      <c r="L6023" s="455">
        <f t="shared" ca="1" si="199"/>
        <v>-3.1720905725510684E+16</v>
      </c>
      <c r="M6023" s="471">
        <f t="shared" si="201"/>
        <v>0.05</v>
      </c>
      <c r="N6023" s="475">
        <f t="shared" si="202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00"/>
        <v>-3.1720905725510684E+16</v>
      </c>
      <c r="J6024" s="455">
        <f t="array" ref="J6024">IFERROR(INDEX('Retirement Calculator'!K:K,MATCH('Lorri 401b'!N6024,'Retirement Calculator'!A:A,0),0),0)</f>
        <v>0</v>
      </c>
      <c r="K6024" s="455">
        <f t="shared" ca="1" si="198"/>
        <v>-132170440522961.19</v>
      </c>
      <c r="L6024" s="455">
        <f t="shared" ca="1" si="199"/>
        <v>-3.1853076166033644E+16</v>
      </c>
      <c r="M6024" s="471">
        <f t="shared" si="201"/>
        <v>0.05</v>
      </c>
      <c r="N6024" s="475">
        <f t="shared" si="202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00"/>
        <v>-3.1853076166033644E+16</v>
      </c>
      <c r="J6025" s="455">
        <f t="array" ref="J6025">IFERROR(INDEX('Retirement Calculator'!K:K,MATCH('Lorri 401b'!N6025,'Retirement Calculator'!A:A,0),0),0)</f>
        <v>0</v>
      </c>
      <c r="K6025" s="455">
        <f t="shared" ca="1" si="198"/>
        <v>-132721150691806.83</v>
      </c>
      <c r="L6025" s="455">
        <f t="shared" ca="1" si="199"/>
        <v>-3.1985797316725452E+16</v>
      </c>
      <c r="M6025" s="471">
        <f t="shared" si="201"/>
        <v>0.05</v>
      </c>
      <c r="N6025" s="475">
        <f t="shared" si="202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00"/>
        <v>-3.1985797316725452E+16</v>
      </c>
      <c r="J6026" s="455">
        <f t="array" ref="J6026">IFERROR(INDEX('Retirement Calculator'!K:K,MATCH('Lorri 401b'!N6026,'Retirement Calculator'!A:A,0),0),0)</f>
        <v>0</v>
      </c>
      <c r="K6026" s="455">
        <f t="shared" ca="1" si="198"/>
        <v>-133274155486356.05</v>
      </c>
      <c r="L6026" s="455">
        <f t="shared" ca="1" si="199"/>
        <v>-3.2119071472211808E+16</v>
      </c>
      <c r="M6026" s="471">
        <f t="shared" si="201"/>
        <v>0.05</v>
      </c>
      <c r="N6026" s="475">
        <f t="shared" si="202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00"/>
        <v>-3.2119071472211808E+16</v>
      </c>
      <c r="J6027" s="455">
        <f t="array" ref="J6027">IFERROR(INDEX('Retirement Calculator'!K:K,MATCH('Lorri 401b'!N6027,'Retirement Calculator'!A:A,0),0),0)</f>
        <v>0</v>
      </c>
      <c r="K6027" s="455">
        <f t="shared" ca="1" si="198"/>
        <v>-133829464467549.2</v>
      </c>
      <c r="L6027" s="455">
        <f t="shared" ca="1" si="199"/>
        <v>-3.2252900936679356E+16</v>
      </c>
      <c r="M6027" s="471">
        <f t="shared" si="201"/>
        <v>0.05</v>
      </c>
      <c r="N6027" s="475">
        <f t="shared" si="202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00"/>
        <v>-3.2252900936679356E+16</v>
      </c>
      <c r="J6028" s="455">
        <f t="array" ref="J6028">IFERROR(INDEX('Retirement Calculator'!K:K,MATCH('Lorri 401b'!N6028,'Retirement Calculator'!A:A,0),0),0)</f>
        <v>0</v>
      </c>
      <c r="K6028" s="455">
        <f t="shared" ca="1" si="198"/>
        <v>-134387087236163.98</v>
      </c>
      <c r="L6028" s="455">
        <f t="shared" ca="1" si="199"/>
        <v>-3.238728802391552E+16</v>
      </c>
      <c r="M6028" s="471">
        <f t="shared" si="201"/>
        <v>0.05</v>
      </c>
      <c r="N6028" s="475">
        <f t="shared" si="202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00"/>
        <v>-3.238728802391552E+16</v>
      </c>
      <c r="J6029" s="455">
        <f t="array" ref="J6029">IFERROR(INDEX('Retirement Calculator'!K:K,MATCH('Lorri 401b'!N6029,'Retirement Calculator'!A:A,0),0),0)</f>
        <v>0</v>
      </c>
      <c r="K6029" s="455">
        <f t="shared" ca="1" si="198"/>
        <v>-134947033432981.31</v>
      </c>
      <c r="L6029" s="455">
        <f t="shared" ca="1" si="199"/>
        <v>-3.25222350573485E+16</v>
      </c>
      <c r="M6029" s="471">
        <f t="shared" si="201"/>
        <v>0.05</v>
      </c>
      <c r="N6029" s="475">
        <f t="shared" si="202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00"/>
        <v>-3.25222350573485E+16</v>
      </c>
      <c r="J6030" s="455">
        <f t="array" ref="J6030">IFERROR(INDEX('Retirement Calculator'!K:K,MATCH('Lorri 401b'!N6030,'Retirement Calculator'!A:A,0),0),0)</f>
        <v>0</v>
      </c>
      <c r="K6030" s="455">
        <f t="shared" ca="1" si="198"/>
        <v>-135509312738952.08</v>
      </c>
      <c r="L6030" s="455">
        <f t="shared" ca="1" si="199"/>
        <v>-3.2657744370087452E+16</v>
      </c>
      <c r="M6030" s="471">
        <f t="shared" si="201"/>
        <v>0.05</v>
      </c>
      <c r="N6030" s="475">
        <f t="shared" si="202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00"/>
        <v>-3.2657744370087452E+16</v>
      </c>
      <c r="J6031" s="455">
        <f t="array" ref="J6031">IFERROR(INDEX('Retirement Calculator'!K:K,MATCH('Lorri 401b'!N6031,'Retirement Calculator'!A:A,0),0),0)</f>
        <v>0</v>
      </c>
      <c r="K6031" s="455">
        <f t="shared" ca="1" si="198"/>
        <v>-136073934875364.36</v>
      </c>
      <c r="L6031" s="455">
        <f t="shared" ca="1" si="199"/>
        <v>-3.2793818304962816E+16</v>
      </c>
      <c r="M6031" s="471">
        <f t="shared" si="201"/>
        <v>0.05</v>
      </c>
      <c r="N6031" s="475">
        <f t="shared" si="202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00"/>
        <v>-3.2793818304962816E+16</v>
      </c>
      <c r="J6032" s="455">
        <f t="array" ref="J6032">IFERROR(INDEX('Retirement Calculator'!K:K,MATCH('Lorri 401b'!N6032,'Retirement Calculator'!A:A,0),0),0)</f>
        <v>0</v>
      </c>
      <c r="K6032" s="455">
        <f t="shared" ca="1" si="198"/>
        <v>-136640909604011.73</v>
      </c>
      <c r="L6032" s="455">
        <f t="shared" ca="1" si="199"/>
        <v>-3.2930459214566828E+16</v>
      </c>
      <c r="M6032" s="471">
        <f t="shared" si="201"/>
        <v>0.05</v>
      </c>
      <c r="N6032" s="475">
        <f t="shared" si="202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00"/>
        <v>-3.2930459214566828E+16</v>
      </c>
      <c r="J6033" s="455">
        <f t="array" ref="J6033">IFERROR(INDEX('Retirement Calculator'!K:K,MATCH('Lorri 401b'!N6033,'Retirement Calculator'!A:A,0),0),0)</f>
        <v>0</v>
      </c>
      <c r="K6033" s="455">
        <f t="shared" ca="1" si="198"/>
        <v>-137210246727361.77</v>
      </c>
      <c r="L6033" s="455">
        <f t="shared" ca="1" si="199"/>
        <v>-3.3067669461294188E+16</v>
      </c>
      <c r="M6033" s="471">
        <f t="shared" si="201"/>
        <v>0.05</v>
      </c>
      <c r="N6033" s="475">
        <f t="shared" si="202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00"/>
        <v>-3.3067669461294188E+16</v>
      </c>
      <c r="J6034" s="455">
        <f t="array" ref="J6034">IFERROR(INDEX('Retirement Calculator'!K:K,MATCH('Lorri 401b'!N6034,'Retirement Calculator'!A:A,0),0),0)</f>
        <v>0</v>
      </c>
      <c r="K6034" s="455">
        <f t="shared" ca="1" si="198"/>
        <v>-137781956088725.8</v>
      </c>
      <c r="L6034" s="455">
        <f t="shared" ca="1" si="199"/>
        <v>-3.3205451417382912E+16</v>
      </c>
      <c r="M6034" s="471">
        <f t="shared" si="201"/>
        <v>0.05</v>
      </c>
      <c r="N6034" s="475">
        <f t="shared" si="202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00"/>
        <v>-3.3205451417382912E+16</v>
      </c>
      <c r="J6035" s="455">
        <f t="array" ref="J6035">IFERROR(INDEX('Retirement Calculator'!K:K,MATCH('Lorri 401b'!N6035,'Retirement Calculator'!A:A,0),0),0)</f>
        <v>0</v>
      </c>
      <c r="K6035" s="455">
        <f t="shared" ca="1" si="198"/>
        <v>-138356047572428.81</v>
      </c>
      <c r="L6035" s="455">
        <f t="shared" ca="1" si="199"/>
        <v>-3.334380746495534E+16</v>
      </c>
      <c r="M6035" s="471">
        <f t="shared" si="201"/>
        <v>0.05</v>
      </c>
      <c r="N6035" s="475">
        <f t="shared" si="202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00"/>
        <v>-3.334380746495534E+16</v>
      </c>
      <c r="J6036" s="455">
        <f t="array" ref="J6036">IFERROR(INDEX('Retirement Calculator'!K:K,MATCH('Lorri 401b'!N6036,'Retirement Calculator'!A:A,0),0),0)</f>
        <v>0</v>
      </c>
      <c r="K6036" s="455">
        <f t="shared" ca="1" si="198"/>
        <v>-138932531103980.56</v>
      </c>
      <c r="L6036" s="455">
        <f t="shared" ca="1" si="199"/>
        <v>-3.348273999605932E+16</v>
      </c>
      <c r="M6036" s="471">
        <f t="shared" si="201"/>
        <v>0.05</v>
      </c>
      <c r="N6036" s="475">
        <f t="shared" si="202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00"/>
        <v>-3.348273999605932E+16</v>
      </c>
      <c r="J6037" s="455">
        <f t="array" ref="J6037">IFERROR(INDEX('Retirement Calculator'!K:K,MATCH('Lorri 401b'!N6037,'Retirement Calculator'!A:A,0),0),0)</f>
        <v>0</v>
      </c>
      <c r="K6037" s="455">
        <f t="shared" ca="1" si="198"/>
        <v>-139511416650247.17</v>
      </c>
      <c r="L6037" s="455">
        <f t="shared" ca="1" si="199"/>
        <v>-3.3622251412709568E+16</v>
      </c>
      <c r="M6037" s="471">
        <f t="shared" si="201"/>
        <v>0.05</v>
      </c>
      <c r="N6037" s="475">
        <f t="shared" si="202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00"/>
        <v>-3.3622251412709568E+16</v>
      </c>
      <c r="J6038" s="455">
        <f t="array" ref="J6038">IFERROR(INDEX('Retirement Calculator'!K:K,MATCH('Lorri 401b'!N6038,'Retirement Calculator'!A:A,0),0),0)</f>
        <v>0</v>
      </c>
      <c r="K6038" s="455">
        <f t="shared" ca="1" si="198"/>
        <v>-140092714219623.19</v>
      </c>
      <c r="L6038" s="455">
        <f t="shared" ca="1" si="199"/>
        <v>-3.3762344126929192E+16</v>
      </c>
      <c r="M6038" s="471">
        <f t="shared" si="201"/>
        <v>0.05</v>
      </c>
      <c r="N6038" s="475">
        <f t="shared" si="202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00"/>
        <v>-3.3762344126929192E+16</v>
      </c>
      <c r="J6039" s="455">
        <f t="array" ref="J6039">IFERROR(INDEX('Retirement Calculator'!K:K,MATCH('Lorri 401b'!N6039,'Retirement Calculator'!A:A,0),0),0)</f>
        <v>0</v>
      </c>
      <c r="K6039" s="455">
        <f t="shared" ca="1" si="198"/>
        <v>-140676433862204.98</v>
      </c>
      <c r="L6039" s="455">
        <f t="shared" ca="1" si="199"/>
        <v>-3.3903020560791396E+16</v>
      </c>
      <c r="M6039" s="471">
        <f t="shared" si="201"/>
        <v>0.05</v>
      </c>
      <c r="N6039" s="475">
        <f t="shared" si="202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00"/>
        <v>-3.3903020560791396E+16</v>
      </c>
      <c r="J6040" s="455">
        <f t="array" ref="J6040">IFERROR(INDEX('Retirement Calculator'!K:K,MATCH('Lorri 401b'!N6040,'Retirement Calculator'!A:A,0),0),0)</f>
        <v>0</v>
      </c>
      <c r="K6040" s="455">
        <f t="shared" ca="1" si="198"/>
        <v>-141262585669964.16</v>
      </c>
      <c r="L6040" s="455">
        <f t="shared" ca="1" si="199"/>
        <v>-3.404428314646136E+16</v>
      </c>
      <c r="M6040" s="471">
        <f t="shared" si="201"/>
        <v>0.05</v>
      </c>
      <c r="N6040" s="475">
        <f t="shared" si="202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00"/>
        <v>-3.404428314646136E+16</v>
      </c>
      <c r="J6041" s="455">
        <f t="array" ref="J6041">IFERROR(INDEX('Retirement Calculator'!K:K,MATCH('Lorri 401b'!N6041,'Retirement Calculator'!A:A,0),0),0)</f>
        <v>0</v>
      </c>
      <c r="K6041" s="455">
        <f t="shared" ca="1" si="198"/>
        <v>-141851179776922.34</v>
      </c>
      <c r="L6041" s="455">
        <f t="shared" ca="1" si="199"/>
        <v>-3.4186134326238284E+16</v>
      </c>
      <c r="M6041" s="471">
        <f t="shared" si="201"/>
        <v>0.05</v>
      </c>
      <c r="N6041" s="475">
        <f t="shared" si="202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00"/>
        <v>-3.4186134326238284E+16</v>
      </c>
      <c r="J6042" s="455">
        <f t="array" ref="J6042">IFERROR(INDEX('Retirement Calculator'!K:K,MATCH('Lorri 401b'!N6042,'Retirement Calculator'!A:A,0),0),0)</f>
        <v>0</v>
      </c>
      <c r="K6042" s="455">
        <f t="shared" ca="1" si="198"/>
        <v>-142442226359326.19</v>
      </c>
      <c r="L6042" s="455">
        <f t="shared" ca="1" si="199"/>
        <v>-3.4328576552597612E+16</v>
      </c>
      <c r="M6042" s="471">
        <f t="shared" si="201"/>
        <v>0.05</v>
      </c>
      <c r="N6042" s="475">
        <f t="shared" si="202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00"/>
        <v>-3.4328576552597612E+16</v>
      </c>
      <c r="J6043" s="455">
        <f t="array" ref="J6043">IFERROR(INDEX('Retirement Calculator'!K:K,MATCH('Lorri 401b'!N6043,'Retirement Calculator'!A:A,0),0),0)</f>
        <v>0</v>
      </c>
      <c r="K6043" s="455">
        <f t="shared" ca="1" si="198"/>
        <v>-143035735635823.38</v>
      </c>
      <c r="L6043" s="455">
        <f t="shared" ca="1" si="199"/>
        <v>-3.4471612288233436E+16</v>
      </c>
      <c r="M6043" s="471">
        <f t="shared" si="201"/>
        <v>0.05</v>
      </c>
      <c r="N6043" s="475">
        <f t="shared" si="202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00"/>
        <v>-3.4471612288233436E+16</v>
      </c>
      <c r="J6044" s="455">
        <f t="array" ref="J6044">IFERROR(INDEX('Retirement Calculator'!K:K,MATCH('Lorri 401b'!N6044,'Retirement Calculator'!A:A,0),0),0)</f>
        <v>0</v>
      </c>
      <c r="K6044" s="455">
        <f t="shared" ca="1" si="198"/>
        <v>-143631717867639.31</v>
      </c>
      <c r="L6044" s="455">
        <f t="shared" ca="1" si="199"/>
        <v>-3.4615244006101076E+16</v>
      </c>
      <c r="M6044" s="471">
        <f t="shared" si="201"/>
        <v>0.05</v>
      </c>
      <c r="N6044" s="475">
        <f t="shared" si="202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00"/>
        <v>-3.4615244006101076E+16</v>
      </c>
      <c r="J6045" s="455">
        <f t="array" ref="J6045">IFERROR(INDEX('Retirement Calculator'!K:K,MATCH('Lorri 401b'!N6045,'Retirement Calculator'!A:A,0),0),0)</f>
        <v>0</v>
      </c>
      <c r="K6045" s="455">
        <f t="shared" ca="1" si="198"/>
        <v>-144230183358754.47</v>
      </c>
      <c r="L6045" s="455">
        <f t="shared" ca="1" si="199"/>
        <v>-3.4759474189459832E+16</v>
      </c>
      <c r="M6045" s="471">
        <f t="shared" si="201"/>
        <v>0.05</v>
      </c>
      <c r="N6045" s="475">
        <f t="shared" si="202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00"/>
        <v>-3.4759474189459832E+16</v>
      </c>
      <c r="J6046" s="455">
        <f t="array" ref="J6046">IFERROR(INDEX('Retirement Calculator'!K:K,MATCH('Lorri 401b'!N6046,'Retirement Calculator'!A:A,0),0),0)</f>
        <v>0</v>
      </c>
      <c r="K6046" s="455">
        <f t="shared" ca="1" si="198"/>
        <v>-144831142456082.63</v>
      </c>
      <c r="L6046" s="455">
        <f t="shared" ca="1" si="199"/>
        <v>-3.4904305331915916E+16</v>
      </c>
      <c r="M6046" s="471">
        <f t="shared" si="201"/>
        <v>0.05</v>
      </c>
      <c r="N6046" s="475">
        <f t="shared" si="202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00"/>
        <v>-3.4904305331915916E+16</v>
      </c>
      <c r="J6047" s="455">
        <f t="array" ref="J6047">IFERROR(INDEX('Retirement Calculator'!K:K,MATCH('Lorri 401b'!N6047,'Retirement Calculator'!A:A,0),0),0)</f>
        <v>0</v>
      </c>
      <c r="K6047" s="455">
        <f t="shared" ca="1" si="198"/>
        <v>-145434605549649.66</v>
      </c>
      <c r="L6047" s="455">
        <f t="shared" ca="1" si="199"/>
        <v>-3.5049739937465564E+16</v>
      </c>
      <c r="M6047" s="471">
        <f t="shared" si="201"/>
        <v>0.05</v>
      </c>
      <c r="N6047" s="475">
        <f t="shared" si="202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00"/>
        <v>-3.5049739937465564E+16</v>
      </c>
      <c r="J6048" s="455">
        <f t="array" ref="J6048">IFERROR(INDEX('Retirement Calculator'!K:K,MATCH('Lorri 401b'!N6048,'Retirement Calculator'!A:A,0),0),0)</f>
        <v>0</v>
      </c>
      <c r="K6048" s="455">
        <f t="shared" ca="1" si="198"/>
        <v>-146040583072773.19</v>
      </c>
      <c r="L6048" s="455">
        <f t="shared" ca="1" si="199"/>
        <v>-3.5195780520538336E+16</v>
      </c>
      <c r="M6048" s="471">
        <f t="shared" si="201"/>
        <v>0.05</v>
      </c>
      <c r="N6048" s="475">
        <f t="shared" si="202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00"/>
        <v>-3.5195780520538336E+16</v>
      </c>
      <c r="J6049" s="455">
        <f t="array" ref="J6049">IFERROR(INDEX('Retirement Calculator'!K:K,MATCH('Lorri 401b'!N6049,'Retirement Calculator'!A:A,0),0),0)</f>
        <v>0</v>
      </c>
      <c r="K6049" s="455">
        <f t="shared" ca="1" si="198"/>
        <v>-146649085502243.09</v>
      </c>
      <c r="L6049" s="455">
        <f t="shared" ca="1" si="199"/>
        <v>-3.534242960604058E+16</v>
      </c>
      <c r="M6049" s="471">
        <f t="shared" si="201"/>
        <v>0.05</v>
      </c>
      <c r="N6049" s="475">
        <f t="shared" si="202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00"/>
        <v>-3.534242960604058E+16</v>
      </c>
      <c r="J6050" s="455">
        <f t="array" ref="J6050">IFERROR(INDEX('Retirement Calculator'!K:K,MATCH('Lorri 401b'!N6050,'Retirement Calculator'!A:A,0),0),0)</f>
        <v>0</v>
      </c>
      <c r="K6050" s="455">
        <f t="shared" ca="1" si="198"/>
        <v>-147260123358502.41</v>
      </c>
      <c r="L6050" s="455">
        <f t="shared" ca="1" si="199"/>
        <v>-3.5489689729399084E+16</v>
      </c>
      <c r="M6050" s="471">
        <f t="shared" si="201"/>
        <v>0.05</v>
      </c>
      <c r="N6050" s="475">
        <f t="shared" si="202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00"/>
        <v>-3.5489689729399084E+16</v>
      </c>
      <c r="J6051" s="455">
        <f t="array" ref="J6051">IFERROR(INDEX('Retirement Calculator'!K:K,MATCH('Lorri 401b'!N6051,'Retirement Calculator'!A:A,0),0),0)</f>
        <v>0</v>
      </c>
      <c r="K6051" s="455">
        <f t="shared" ca="1" si="198"/>
        <v>-147873707205829.5</v>
      </c>
      <c r="L6051" s="455">
        <f t="shared" ca="1" si="199"/>
        <v>-3.5637563436604912E+16</v>
      </c>
      <c r="M6051" s="471">
        <f t="shared" si="201"/>
        <v>0.05</v>
      </c>
      <c r="N6051" s="475">
        <f t="shared" si="202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00"/>
        <v>-3.5637563436604912E+16</v>
      </c>
      <c r="J6052" s="455">
        <f t="array" ref="J6052">IFERROR(INDEX('Retirement Calculator'!K:K,MATCH('Lorri 401b'!N6052,'Retirement Calculator'!A:A,0),0),0)</f>
        <v>0</v>
      </c>
      <c r="K6052" s="455">
        <f t="shared" ca="1" si="198"/>
        <v>-148489847652520.47</v>
      </c>
      <c r="L6052" s="455">
        <f t="shared" ca="1" si="199"/>
        <v>-3.5786053284257432E+16</v>
      </c>
      <c r="M6052" s="471">
        <f t="shared" si="201"/>
        <v>0.05</v>
      </c>
      <c r="N6052" s="475">
        <f t="shared" si="202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00"/>
        <v>-3.5786053284257432E+16</v>
      </c>
      <c r="J6053" s="455">
        <f t="array" ref="J6053">IFERROR(INDEX('Retirement Calculator'!K:K,MATCH('Lorri 401b'!N6053,'Retirement Calculator'!A:A,0),0),0)</f>
        <v>0</v>
      </c>
      <c r="K6053" s="455">
        <f t="shared" ca="1" si="198"/>
        <v>-149108555351072.63</v>
      </c>
      <c r="L6053" s="455">
        <f t="shared" ca="1" si="199"/>
        <v>-3.5935161839608504E+16</v>
      </c>
      <c r="M6053" s="471">
        <f t="shared" si="201"/>
        <v>0.05</v>
      </c>
      <c r="N6053" s="475">
        <f t="shared" si="202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00"/>
        <v>-3.5935161839608504E+16</v>
      </c>
      <c r="J6054" s="455">
        <f t="array" ref="J6054">IFERROR(INDEX('Retirement Calculator'!K:K,MATCH('Lorri 401b'!N6054,'Retirement Calculator'!A:A,0),0),0)</f>
        <v>0</v>
      </c>
      <c r="K6054" s="455">
        <f t="shared" ca="1" si="198"/>
        <v>-149729840998368.75</v>
      </c>
      <c r="L6054" s="455">
        <f t="shared" ca="1" si="199"/>
        <v>-3.6084891680606872E+16</v>
      </c>
      <c r="M6054" s="471">
        <f t="shared" si="201"/>
        <v>0.05</v>
      </c>
      <c r="N6054" s="475">
        <f t="shared" si="202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00"/>
        <v>-3.6084891680606872E+16</v>
      </c>
      <c r="J6055" s="455">
        <f t="array" ref="J6055">IFERROR(INDEX('Retirement Calculator'!K:K,MATCH('Lorri 401b'!N6055,'Retirement Calculator'!A:A,0),0),0)</f>
        <v>0</v>
      </c>
      <c r="K6055" s="455">
        <f t="shared" ca="1" si="198"/>
        <v>-150353715335861.97</v>
      </c>
      <c r="L6055" s="455">
        <f t="shared" ca="1" si="199"/>
        <v>-3.6235245395942736E+16</v>
      </c>
      <c r="M6055" s="471">
        <f t="shared" si="201"/>
        <v>0.05</v>
      </c>
      <c r="N6055" s="475">
        <f t="shared" si="202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00"/>
        <v>-3.6235245395942736E+16</v>
      </c>
      <c r="J6056" s="455">
        <f t="array" ref="J6056">IFERROR(INDEX('Retirement Calculator'!K:K,MATCH('Lorri 401b'!N6056,'Retirement Calculator'!A:A,0),0),0)</f>
        <v>0</v>
      </c>
      <c r="K6056" s="455">
        <f t="shared" ca="1" si="198"/>
        <v>-150980189149761.41</v>
      </c>
      <c r="L6056" s="455">
        <f t="shared" ca="1" si="199"/>
        <v>-3.6386225585092496E+16</v>
      </c>
      <c r="M6056" s="471">
        <f t="shared" si="201"/>
        <v>0.05</v>
      </c>
      <c r="N6056" s="475">
        <f t="shared" si="202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00"/>
        <v>-3.6386225585092496E+16</v>
      </c>
      <c r="J6057" s="455">
        <f t="array" ref="J6057">IFERROR(INDEX('Retirement Calculator'!K:K,MATCH('Lorri 401b'!N6057,'Retirement Calculator'!A:A,0),0),0)</f>
        <v>0</v>
      </c>
      <c r="K6057" s="455">
        <f t="shared" ca="1" si="198"/>
        <v>-151609273271218.72</v>
      </c>
      <c r="L6057" s="455">
        <f t="shared" ca="1" si="199"/>
        <v>-3.6537834858363712E+16</v>
      </c>
      <c r="M6057" s="471">
        <f t="shared" si="201"/>
        <v>0.05</v>
      </c>
      <c r="N6057" s="475">
        <f t="shared" si="202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00"/>
        <v>-3.6537834858363712E+16</v>
      </c>
      <c r="J6058" s="455">
        <f t="array" ref="J6058">IFERROR(INDEX('Retirement Calculator'!K:K,MATCH('Lorri 401b'!N6058,'Retirement Calculator'!A:A,0),0),0)</f>
        <v>0</v>
      </c>
      <c r="K6058" s="455">
        <f t="shared" ca="1" si="198"/>
        <v>-152240978576515.47</v>
      </c>
      <c r="L6058" s="455">
        <f t="shared" ca="1" si="199"/>
        <v>-3.6690075836940224E+16</v>
      </c>
      <c r="M6058" s="471">
        <f t="shared" si="201"/>
        <v>0.05</v>
      </c>
      <c r="N6058" s="475">
        <f t="shared" si="202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00"/>
        <v>-3.6690075836940224E+16</v>
      </c>
      <c r="J6059" s="455">
        <f t="array" ref="J6059">IFERROR(INDEX('Retirement Calculator'!K:K,MATCH('Lorri 401b'!N6059,'Retirement Calculator'!A:A,0),0),0)</f>
        <v>0</v>
      </c>
      <c r="K6059" s="455">
        <f t="shared" ca="1" si="198"/>
        <v>-152875315987250.94</v>
      </c>
      <c r="L6059" s="455">
        <f t="shared" ca="1" si="199"/>
        <v>-3.6842951152927472E+16</v>
      </c>
      <c r="M6059" s="471">
        <f t="shared" si="201"/>
        <v>0.05</v>
      </c>
      <c r="N6059" s="475">
        <f t="shared" si="202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00"/>
        <v>-3.6842951152927472E+16</v>
      </c>
      <c r="J6060" s="455">
        <f t="array" ref="J6060">IFERROR(INDEX('Retirement Calculator'!K:K,MATCH('Lorri 401b'!N6060,'Retirement Calculator'!A:A,0),0),0)</f>
        <v>0</v>
      </c>
      <c r="K6060" s="455">
        <f t="shared" ca="1" si="198"/>
        <v>-153512296470531.13</v>
      </c>
      <c r="L6060" s="455">
        <f t="shared" ca="1" si="199"/>
        <v>-3.6996463449398E+16</v>
      </c>
      <c r="M6060" s="471">
        <f t="shared" si="201"/>
        <v>0.05</v>
      </c>
      <c r="N6060" s="475">
        <f t="shared" si="202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00"/>
        <v>-3.6996463449398E+16</v>
      </c>
      <c r="J6061" s="455">
        <f t="array" ref="J6061">IFERROR(INDEX('Retirement Calculator'!K:K,MATCH('Lorri 401b'!N6061,'Retirement Calculator'!A:A,0),0),0)</f>
        <v>0</v>
      </c>
      <c r="K6061" s="455">
        <f t="shared" ca="1" si="198"/>
        <v>-154151931039158.34</v>
      </c>
      <c r="L6061" s="455">
        <f t="shared" ca="1" si="199"/>
        <v>-3.715061538043716E+16</v>
      </c>
      <c r="M6061" s="471">
        <f t="shared" si="201"/>
        <v>0.05</v>
      </c>
      <c r="N6061" s="475">
        <f t="shared" si="202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00"/>
        <v>-3.715061538043716E+16</v>
      </c>
      <c r="J6062" s="455">
        <f t="array" ref="J6062">IFERROR(INDEX('Retirement Calculator'!K:K,MATCH('Lorri 401b'!N6062,'Retirement Calculator'!A:A,0),0),0)</f>
        <v>0</v>
      </c>
      <c r="K6062" s="455">
        <f t="shared" ca="1" si="198"/>
        <v>-154794230751821.5</v>
      </c>
      <c r="L6062" s="455">
        <f t="shared" ca="1" si="199"/>
        <v>-3.7305409611188984E+16</v>
      </c>
      <c r="M6062" s="471">
        <f t="shared" si="201"/>
        <v>0.05</v>
      </c>
      <c r="N6062" s="475">
        <f t="shared" si="202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00"/>
        <v>-3.7305409611188984E+16</v>
      </c>
      <c r="J6063" s="455">
        <f t="array" ref="J6063">IFERROR(INDEX('Retirement Calculator'!K:K,MATCH('Lorri 401b'!N6063,'Retirement Calculator'!A:A,0),0),0)</f>
        <v>0</v>
      </c>
      <c r="K6063" s="455">
        <f t="shared" ca="1" si="198"/>
        <v>-155439206713287.44</v>
      </c>
      <c r="L6063" s="455">
        <f t="shared" ca="1" si="199"/>
        <v>-3.7460848817902272E+16</v>
      </c>
      <c r="M6063" s="471">
        <f t="shared" si="201"/>
        <v>0.05</v>
      </c>
      <c r="N6063" s="475">
        <f t="shared" si="202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00"/>
        <v>-3.7460848817902272E+16</v>
      </c>
      <c r="J6064" s="455">
        <f t="array" ref="J6064">IFERROR(INDEX('Retirement Calculator'!K:K,MATCH('Lorri 401b'!N6064,'Retirement Calculator'!A:A,0),0),0)</f>
        <v>0</v>
      </c>
      <c r="K6064" s="455">
        <f t="shared" ca="1" si="198"/>
        <v>-156086870074592.81</v>
      </c>
      <c r="L6064" s="455">
        <f t="shared" ca="1" si="199"/>
        <v>-3.7616935687976864E+16</v>
      </c>
      <c r="M6064" s="471">
        <f t="shared" si="201"/>
        <v>0.05</v>
      </c>
      <c r="N6064" s="475">
        <f t="shared" si="202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00"/>
        <v>-3.7616935687976864E+16</v>
      </c>
      <c r="J6065" s="455">
        <f t="array" ref="J6065">IFERROR(INDEX('Retirement Calculator'!K:K,MATCH('Lorri 401b'!N6065,'Retirement Calculator'!A:A,0),0),0)</f>
        <v>0</v>
      </c>
      <c r="K6065" s="455">
        <f t="shared" ca="1" si="198"/>
        <v>-156737232033236.94</v>
      </c>
      <c r="L6065" s="455">
        <f t="shared" ca="1" si="199"/>
        <v>-3.7773672920010104E+16</v>
      </c>
      <c r="M6065" s="471">
        <f t="shared" si="201"/>
        <v>0.05</v>
      </c>
      <c r="N6065" s="475">
        <f t="shared" si="202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00"/>
        <v>-3.7773672920010104E+16</v>
      </c>
      <c r="J6066" s="455">
        <f t="array" ref="J6066">IFERROR(INDEX('Retirement Calculator'!K:K,MATCH('Lorri 401b'!N6066,'Retirement Calculator'!A:A,0),0),0)</f>
        <v>0</v>
      </c>
      <c r="K6066" s="455">
        <f t="shared" ca="1" si="198"/>
        <v>-157390303833375.44</v>
      </c>
      <c r="L6066" s="455">
        <f t="shared" ca="1" si="199"/>
        <v>-3.793106322384348E+16</v>
      </c>
      <c r="M6066" s="471">
        <f t="shared" si="201"/>
        <v>0.05</v>
      </c>
      <c r="N6066" s="475">
        <f t="shared" si="202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00"/>
        <v>-3.793106322384348E+16</v>
      </c>
      <c r="J6067" s="455">
        <f t="array" ref="J6067">IFERROR(INDEX('Retirement Calculator'!K:K,MATCH('Lorri 401b'!N6067,'Retirement Calculator'!A:A,0),0),0)</f>
        <v>0</v>
      </c>
      <c r="K6067" s="455">
        <f t="shared" ca="1" si="198"/>
        <v>-158046096766014.5</v>
      </c>
      <c r="L6067" s="455">
        <f t="shared" ca="1" si="199"/>
        <v>-3.8089109320609496E+16</v>
      </c>
      <c r="M6067" s="471">
        <f t="shared" si="201"/>
        <v>0.05</v>
      </c>
      <c r="N6067" s="475">
        <f t="shared" si="202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00"/>
        <v>-3.8089109320609496E+16</v>
      </c>
      <c r="J6068" s="455">
        <f t="array" ref="J6068">IFERROR(INDEX('Retirement Calculator'!K:K,MATCH('Lorri 401b'!N6068,'Retirement Calculator'!A:A,0),0),0)</f>
        <v>0</v>
      </c>
      <c r="K6068" s="455">
        <f t="shared" ca="1" si="198"/>
        <v>-158704622169206.22</v>
      </c>
      <c r="L6068" s="455">
        <f t="shared" ca="1" si="199"/>
        <v>-3.8247813942778704E+16</v>
      </c>
      <c r="M6068" s="471">
        <f t="shared" si="201"/>
        <v>0.05</v>
      </c>
      <c r="N6068" s="475">
        <f t="shared" si="202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00"/>
        <v>-3.8247813942778704E+16</v>
      </c>
      <c r="J6069" s="455">
        <f t="array" ref="J6069">IFERROR(INDEX('Retirement Calculator'!K:K,MATCH('Lorri 401b'!N6069,'Retirement Calculator'!A:A,0),0),0)</f>
        <v>0</v>
      </c>
      <c r="K6069" s="455">
        <f t="shared" ca="1" si="198"/>
        <v>-159365891428244.59</v>
      </c>
      <c r="L6069" s="455">
        <f t="shared" ca="1" si="199"/>
        <v>-3.8407179834206952E+16</v>
      </c>
      <c r="M6069" s="471">
        <f t="shared" si="201"/>
        <v>0.05</v>
      </c>
      <c r="N6069" s="475">
        <f t="shared" si="202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00"/>
        <v>-3.8407179834206952E+16</v>
      </c>
      <c r="J6070" s="455">
        <f t="array" ref="J6070">IFERROR(INDEX('Retirement Calculator'!K:K,MATCH('Lorri 401b'!N6070,'Retirement Calculator'!A:A,0),0),0)</f>
        <v>0</v>
      </c>
      <c r="K6070" s="455">
        <f t="shared" ca="1" si="198"/>
        <v>-160029915975862.31</v>
      </c>
      <c r="L6070" s="455">
        <f t="shared" ca="1" si="199"/>
        <v>-3.8567209750182816E+16</v>
      </c>
      <c r="M6070" s="471">
        <f t="shared" si="201"/>
        <v>0.05</v>
      </c>
      <c r="N6070" s="475">
        <f t="shared" si="202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00"/>
        <v>-3.8567209750182816E+16</v>
      </c>
      <c r="J6071" s="455">
        <f t="array" ref="J6071">IFERROR(INDEX('Retirement Calculator'!K:K,MATCH('Lorri 401b'!N6071,'Retirement Calculator'!A:A,0),0),0)</f>
        <v>0</v>
      </c>
      <c r="K6071" s="455">
        <f t="shared" ca="1" si="198"/>
        <v>-160696707292428.41</v>
      </c>
      <c r="L6071" s="455">
        <f t="shared" ca="1" si="199"/>
        <v>-3.8727906457475248E+16</v>
      </c>
      <c r="M6071" s="471">
        <f t="shared" si="201"/>
        <v>0.05</v>
      </c>
      <c r="N6071" s="475">
        <f t="shared" si="202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00"/>
        <v>-3.8727906457475248E+16</v>
      </c>
      <c r="J6072" s="455">
        <f t="array" ref="J6072">IFERROR(INDEX('Retirement Calculator'!K:K,MATCH('Lorri 401b'!N6072,'Retirement Calculator'!A:A,0),0),0)</f>
        <v>0</v>
      </c>
      <c r="K6072" s="455">
        <f t="shared" ca="1" si="198"/>
        <v>-161366276906146.88</v>
      </c>
      <c r="L6072" s="455">
        <f t="shared" ca="1" si="199"/>
        <v>-3.8889272734381392E+16</v>
      </c>
      <c r="M6072" s="471">
        <f t="shared" si="201"/>
        <v>0.05</v>
      </c>
      <c r="N6072" s="475">
        <f t="shared" si="202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00"/>
        <v>-3.8889272734381392E+16</v>
      </c>
      <c r="J6073" s="455">
        <f t="array" ref="J6073">IFERROR(INDEX('Retirement Calculator'!K:K,MATCH('Lorri 401b'!N6073,'Retirement Calculator'!A:A,0),0),0)</f>
        <v>0</v>
      </c>
      <c r="K6073" s="455">
        <f t="shared" ca="1" si="198"/>
        <v>-162038636393255.81</v>
      </c>
      <c r="L6073" s="455">
        <f t="shared" ca="1" si="199"/>
        <v>-3.9051311370774648E+16</v>
      </c>
      <c r="M6073" s="471">
        <f t="shared" si="201"/>
        <v>0.05</v>
      </c>
      <c r="N6073" s="475">
        <f t="shared" si="202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00"/>
        <v>-3.9051311370774648E+16</v>
      </c>
      <c r="J6074" s="455">
        <f t="array" ref="J6074">IFERROR(INDEX('Retirement Calculator'!K:K,MATCH('Lorri 401b'!N6074,'Retirement Calculator'!A:A,0),0),0)</f>
        <v>0</v>
      </c>
      <c r="K6074" s="455">
        <f t="shared" ca="1" si="198"/>
        <v>-162713797378227.69</v>
      </c>
      <c r="L6074" s="455">
        <f t="shared" ca="1" si="199"/>
        <v>-3.9214025168152872E+16</v>
      </c>
      <c r="M6074" s="471">
        <f t="shared" si="201"/>
        <v>0.05</v>
      </c>
      <c r="N6074" s="475">
        <f t="shared" si="202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00"/>
        <v>-3.9214025168152872E+16</v>
      </c>
      <c r="J6075" s="455">
        <f t="array" ref="J6075">IFERROR(INDEX('Retirement Calculator'!K:K,MATCH('Lorri 401b'!N6075,'Retirement Calculator'!A:A,0),0),0)</f>
        <v>0</v>
      </c>
      <c r="K6075" s="455">
        <f t="shared" ca="1" si="198"/>
        <v>-163391771533970.31</v>
      </c>
      <c r="L6075" s="455">
        <f t="shared" ca="1" si="199"/>
        <v>-3.937741693968684E+16</v>
      </c>
      <c r="M6075" s="471">
        <f t="shared" si="201"/>
        <v>0.05</v>
      </c>
      <c r="N6075" s="475">
        <f t="shared" si="202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00"/>
        <v>-3.937741693968684E+16</v>
      </c>
      <c r="J6076" s="455">
        <f t="array" ref="J6076">IFERROR(INDEX('Retirement Calculator'!K:K,MATCH('Lorri 401b'!N6076,'Retirement Calculator'!A:A,0),0),0)</f>
        <v>0</v>
      </c>
      <c r="K6076" s="455">
        <f t="shared" ca="1" si="198"/>
        <v>-164072570582028.5</v>
      </c>
      <c r="L6076" s="455">
        <f t="shared" ca="1" si="199"/>
        <v>-3.9541489510268872E+16</v>
      </c>
      <c r="M6076" s="471">
        <f t="shared" si="201"/>
        <v>0.05</v>
      </c>
      <c r="N6076" s="475">
        <f t="shared" si="202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00"/>
        <v>-3.9541489510268872E+16</v>
      </c>
      <c r="J6077" s="455">
        <f t="array" ref="J6077">IFERROR(INDEX('Retirement Calculator'!K:K,MATCH('Lorri 401b'!N6077,'Retirement Calculator'!A:A,0),0),0)</f>
        <v>0</v>
      </c>
      <c r="K6077" s="455">
        <f t="shared" ca="1" si="198"/>
        <v>-164756206292786.97</v>
      </c>
      <c r="L6077" s="455">
        <f t="shared" ca="1" si="199"/>
        <v>-3.9706245716561656E+16</v>
      </c>
      <c r="M6077" s="471">
        <f t="shared" si="201"/>
        <v>0.05</v>
      </c>
      <c r="N6077" s="475">
        <f t="shared" si="202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00"/>
        <v>-3.9706245716561656E+16</v>
      </c>
      <c r="J6078" s="455">
        <f t="array" ref="J6078">IFERROR(INDEX('Retirement Calculator'!K:K,MATCH('Lorri 401b'!N6078,'Retirement Calculator'!A:A,0),0),0)</f>
        <v>0</v>
      </c>
      <c r="K6078" s="455">
        <f t="shared" ca="1" si="198"/>
        <v>-165442690485673.56</v>
      </c>
      <c r="L6078" s="455">
        <f t="shared" ca="1" si="199"/>
        <v>-3.9871688407047328E+16</v>
      </c>
      <c r="M6078" s="471">
        <f t="shared" si="201"/>
        <v>0.05</v>
      </c>
      <c r="N6078" s="475">
        <f t="shared" si="202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00"/>
        <v>-3.9871688407047328E+16</v>
      </c>
      <c r="J6079" s="455">
        <f t="array" ref="J6079">IFERROR(INDEX('Retirement Calculator'!K:K,MATCH('Lorri 401b'!N6079,'Retirement Calculator'!A:A,0),0),0)</f>
        <v>0</v>
      </c>
      <c r="K6079" s="455">
        <f t="shared" ca="1" si="198"/>
        <v>-166132035029363.88</v>
      </c>
      <c r="L6079" s="455">
        <f t="shared" ca="1" si="199"/>
        <v>-4.0037820442076688E+16</v>
      </c>
      <c r="M6079" s="471">
        <f t="shared" si="201"/>
        <v>0.05</v>
      </c>
      <c r="N6079" s="475">
        <f t="shared" si="202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00"/>
        <v>-4.0037820442076688E+16</v>
      </c>
      <c r="J6080" s="455">
        <f t="array" ref="J6080">IFERROR(INDEX('Retirement Calculator'!K:K,MATCH('Lorri 401b'!N6080,'Retirement Calculator'!A:A,0),0),0)</f>
        <v>0</v>
      </c>
      <c r="K6080" s="455">
        <f t="shared" ca="1" si="198"/>
        <v>-166824251841986.19</v>
      </c>
      <c r="L6080" s="455">
        <f t="shared" ca="1" si="199"/>
        <v>-4.0204644693918672E+16</v>
      </c>
      <c r="M6080" s="471">
        <f t="shared" si="201"/>
        <v>0.05</v>
      </c>
      <c r="N6080" s="475">
        <f t="shared" si="202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00"/>
        <v>-4.0204644693918672E+16</v>
      </c>
      <c r="J6081" s="455">
        <f t="array" ref="J6081">IFERROR(INDEX('Retirement Calculator'!K:K,MATCH('Lorri 401b'!N6081,'Retirement Calculator'!A:A,0),0),0)</f>
        <v>0</v>
      </c>
      <c r="K6081" s="455">
        <f t="shared" ca="1" si="198"/>
        <v>-167519352891327.81</v>
      </c>
      <c r="L6081" s="455">
        <f t="shared" ca="1" si="199"/>
        <v>-4.037216404681E+16</v>
      </c>
      <c r="M6081" s="471">
        <f t="shared" si="201"/>
        <v>0.05</v>
      </c>
      <c r="N6081" s="475">
        <f t="shared" si="202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00"/>
        <v>-4.037216404681E+16</v>
      </c>
      <c r="J6082" s="455">
        <f t="array" ref="J6082">IFERROR(INDEX('Retirement Calculator'!K:K,MATCH('Lorri 401b'!N6082,'Retirement Calculator'!A:A,0),0),0)</f>
        <v>0</v>
      </c>
      <c r="K6082" s="455">
        <f t="shared" ca="1" si="198"/>
        <v>-168217350195041.66</v>
      </c>
      <c r="L6082" s="455">
        <f t="shared" ca="1" si="199"/>
        <v>-4.054038139700504E+16</v>
      </c>
      <c r="M6082" s="471">
        <f t="shared" si="201"/>
        <v>0.05</v>
      </c>
      <c r="N6082" s="475">
        <f t="shared" si="202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00"/>
        <v>-4.054038139700504E+16</v>
      </c>
      <c r="J6083" s="455">
        <f t="array" ref="J6083">IFERROR(INDEX('Retirement Calculator'!K:K,MATCH('Lorri 401b'!N6083,'Retirement Calculator'!A:A,0),0),0)</f>
        <v>0</v>
      </c>
      <c r="K6083" s="455">
        <f t="shared" ca="1" si="198"/>
        <v>-168918255820854.34</v>
      </c>
      <c r="L6083" s="455">
        <f t="shared" ca="1" si="199"/>
        <v>-4.0709299652825896E+16</v>
      </c>
      <c r="M6083" s="471">
        <f t="shared" si="201"/>
        <v>0.05</v>
      </c>
      <c r="N6083" s="475">
        <f t="shared" si="202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00"/>
        <v>-4.0709299652825896E+16</v>
      </c>
      <c r="J6084" s="455">
        <f t="array" ref="J6084">IFERROR(INDEX('Retirement Calculator'!K:K,MATCH('Lorri 401b'!N6084,'Retirement Calculator'!A:A,0),0),0)</f>
        <v>0</v>
      </c>
      <c r="K6084" s="455">
        <f t="shared" ca="1" si="198"/>
        <v>-169622081886774.56</v>
      </c>
      <c r="L6084" s="455">
        <f t="shared" ca="1" si="199"/>
        <v>-4.0878921734712672E+16</v>
      </c>
      <c r="M6084" s="471">
        <f t="shared" si="201"/>
        <v>0.05</v>
      </c>
      <c r="N6084" s="475">
        <f t="shared" si="202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00"/>
        <v>-4.0878921734712672E+16</v>
      </c>
      <c r="J6085" s="455">
        <f t="array" ref="J6085">IFERROR(INDEX('Retirement Calculator'!K:K,MATCH('Lorri 401b'!N6085,'Retirement Calculator'!A:A,0),0),0)</f>
        <v>0</v>
      </c>
      <c r="K6085" s="455">
        <f t="shared" ca="1" si="198"/>
        <v>-170328840561302.81</v>
      </c>
      <c r="L6085" s="455">
        <f t="shared" ca="1" si="199"/>
        <v>-4.1049250575273976E+16</v>
      </c>
      <c r="M6085" s="471">
        <f t="shared" si="201"/>
        <v>0.05</v>
      </c>
      <c r="N6085" s="475">
        <f t="shared" si="202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00"/>
        <v>-4.1049250575273976E+16</v>
      </c>
      <c r="J6086" s="455">
        <f t="array" ref="J6086">IFERROR(INDEX('Retirement Calculator'!K:K,MATCH('Lorri 401b'!N6086,'Retirement Calculator'!A:A,0),0),0)</f>
        <v>0</v>
      </c>
      <c r="K6086" s="455">
        <f t="shared" ca="1" si="198"/>
        <v>-171038544063641.56</v>
      </c>
      <c r="L6086" s="455">
        <f t="shared" ca="1" si="199"/>
        <v>-4.1220289119337616E+16</v>
      </c>
      <c r="M6086" s="471">
        <f t="shared" si="201"/>
        <v>0.05</v>
      </c>
      <c r="N6086" s="475">
        <f t="shared" si="202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00"/>
        <v>-4.1220289119337616E+16</v>
      </c>
      <c r="J6087" s="455">
        <f t="array" ref="J6087">IFERROR(INDEX('Retirement Calculator'!K:K,MATCH('Lorri 401b'!N6087,'Retirement Calculator'!A:A,0),0),0)</f>
        <v>0</v>
      </c>
      <c r="K6087" s="455">
        <f t="shared" ca="1" si="198"/>
        <v>-171751204663906.72</v>
      </c>
      <c r="L6087" s="455">
        <f t="shared" ca="1" si="199"/>
        <v>-4.139204032400152E+16</v>
      </c>
      <c r="M6087" s="471">
        <f t="shared" si="201"/>
        <v>0.05</v>
      </c>
      <c r="N6087" s="475">
        <f t="shared" si="202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00"/>
        <v>-4.139204032400152E+16</v>
      </c>
      <c r="J6088" s="455">
        <f t="array" ref="J6088">IFERROR(INDEX('Retirement Calculator'!K:K,MATCH('Lorri 401b'!N6088,'Retirement Calculator'!A:A,0),0),0)</f>
        <v>0</v>
      </c>
      <c r="K6088" s="455">
        <f t="shared" ca="1" si="198"/>
        <v>-172466834683339.66</v>
      </c>
      <c r="L6088" s="455">
        <f t="shared" ca="1" si="199"/>
        <v>-4.1564507158684856E+16</v>
      </c>
      <c r="M6088" s="471">
        <f t="shared" si="201"/>
        <v>0.05</v>
      </c>
      <c r="N6088" s="475">
        <f t="shared" si="202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00"/>
        <v>-4.1564507158684856E+16</v>
      </c>
      <c r="J6089" s="455">
        <f t="array" ref="J6089">IFERROR(INDEX('Retirement Calculator'!K:K,MATCH('Lorri 401b'!N6089,'Retirement Calculator'!A:A,0),0),0)</f>
        <v>0</v>
      </c>
      <c r="K6089" s="455">
        <f t="shared" ca="1" si="198"/>
        <v>-173185446494520.22</v>
      </c>
      <c r="L6089" s="455">
        <f t="shared" ca="1" si="199"/>
        <v>-4.1737692605179376E+16</v>
      </c>
      <c r="M6089" s="471">
        <f t="shared" si="201"/>
        <v>0.05</v>
      </c>
      <c r="N6089" s="475">
        <f t="shared" si="202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00"/>
        <v>-4.1737692605179376E+16</v>
      </c>
      <c r="J6090" s="455">
        <f t="array" ref="J6090">IFERROR(INDEX('Retirement Calculator'!K:K,MATCH('Lorri 401b'!N6090,'Retirement Calculator'!A:A,0),0),0)</f>
        <v>0</v>
      </c>
      <c r="K6090" s="455">
        <f t="shared" ca="1" si="198"/>
        <v>-173907052521580.72</v>
      </c>
      <c r="L6090" s="455">
        <f t="shared" ca="1" si="199"/>
        <v>-4.191159965770096E+16</v>
      </c>
      <c r="M6090" s="471">
        <f t="shared" si="201"/>
        <v>0.05</v>
      </c>
      <c r="N6090" s="475">
        <f t="shared" si="202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00"/>
        <v>-4.191159965770096E+16</v>
      </c>
      <c r="J6091" s="455">
        <f t="array" ref="J6091">IFERROR(INDEX('Retirement Calculator'!K:K,MATCH('Lorri 401b'!N6091,'Retirement Calculator'!A:A,0),0),0)</f>
        <v>0</v>
      </c>
      <c r="K6091" s="455">
        <f t="shared" ca="1" si="198"/>
        <v>-174631665240420.66</v>
      </c>
      <c r="L6091" s="455">
        <f t="shared" ca="1" si="199"/>
        <v>-4.2086231322941384E+16</v>
      </c>
      <c r="M6091" s="471">
        <f t="shared" si="201"/>
        <v>0.05</v>
      </c>
      <c r="N6091" s="475">
        <f t="shared" si="202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00"/>
        <v>-4.2086231322941384E+16</v>
      </c>
      <c r="J6092" s="455">
        <f t="array" ref="J6092">IFERROR(INDEX('Retirement Calculator'!K:K,MATCH('Lorri 401b'!N6092,'Retirement Calculator'!A:A,0),0),0)</f>
        <v>0</v>
      </c>
      <c r="K6092" s="455">
        <f t="shared" ca="1" si="198"/>
        <v>-175359297178922.44</v>
      </c>
      <c r="L6092" s="455">
        <f t="shared" ca="1" si="199"/>
        <v>-4.2261590620120304E+16</v>
      </c>
      <c r="M6092" s="471">
        <f t="shared" si="201"/>
        <v>0.05</v>
      </c>
      <c r="N6092" s="475">
        <f t="shared" si="202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00"/>
        <v>-4.2261590620120304E+16</v>
      </c>
      <c r="J6093" s="455">
        <f t="array" ref="J6093">IFERROR(INDEX('Retirement Calculator'!K:K,MATCH('Lorri 401b'!N6093,'Retirement Calculator'!A:A,0),0),0)</f>
        <v>0</v>
      </c>
      <c r="K6093" s="455">
        <f t="shared" ca="1" si="198"/>
        <v>-176089960917167.94</v>
      </c>
      <c r="L6093" s="455">
        <f t="shared" ca="1" si="199"/>
        <v>-4.2437680581037472E+16</v>
      </c>
      <c r="M6093" s="471">
        <f t="shared" si="201"/>
        <v>0.05</v>
      </c>
      <c r="N6093" s="475">
        <f t="shared" si="202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00"/>
        <v>-4.2437680581037472E+16</v>
      </c>
      <c r="J6094" s="455">
        <f t="array" ref="J6094">IFERROR(INDEX('Retirement Calculator'!K:K,MATCH('Lorri 401b'!N6094,'Retirement Calculator'!A:A,0),0),0)</f>
        <v>0</v>
      </c>
      <c r="K6094" s="455">
        <f t="shared" ca="1" si="198"/>
        <v>-176823669087656.13</v>
      </c>
      <c r="L6094" s="455">
        <f t="shared" ca="1" si="199"/>
        <v>-4.2614504250125128E+16</v>
      </c>
      <c r="M6094" s="471">
        <f t="shared" si="201"/>
        <v>0.05</v>
      </c>
      <c r="N6094" s="475">
        <f t="shared" si="202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00"/>
        <v>-4.2614504250125128E+16</v>
      </c>
      <c r="J6095" s="455">
        <f t="array" ref="J6095">IFERROR(INDEX('Retirement Calculator'!K:K,MATCH('Lorri 401b'!N6095,'Retirement Calculator'!A:A,0),0),0)</f>
        <v>0</v>
      </c>
      <c r="K6095" s="455">
        <f t="shared" ca="1" si="198"/>
        <v>-177560434375521.38</v>
      </c>
      <c r="L6095" s="455">
        <f t="shared" ca="1" si="199"/>
        <v>-4.2792064684500648E+16</v>
      </c>
      <c r="M6095" s="471">
        <f t="shared" si="201"/>
        <v>0.05</v>
      </c>
      <c r="N6095" s="475">
        <f t="shared" si="202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00"/>
        <v>-4.2792064684500648E+16</v>
      </c>
      <c r="J6096" s="455">
        <f t="array" ref="J6096">IFERROR(INDEX('Retirement Calculator'!K:K,MATCH('Lorri 401b'!N6096,'Retirement Calculator'!A:A,0),0),0)</f>
        <v>0</v>
      </c>
      <c r="K6096" s="455">
        <f t="shared" ca="1" si="198"/>
        <v>-178300269518752.69</v>
      </c>
      <c r="L6096" s="455">
        <f t="shared" ca="1" si="199"/>
        <v>-4.29703649540194E+16</v>
      </c>
      <c r="M6096" s="471">
        <f t="shared" si="201"/>
        <v>0.05</v>
      </c>
      <c r="N6096" s="475">
        <f t="shared" si="202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00"/>
        <v>-4.29703649540194E+16</v>
      </c>
      <c r="J6097" s="455">
        <f t="array" ref="J6097">IFERROR(INDEX('Retirement Calculator'!K:K,MATCH('Lorri 401b'!N6097,'Retirement Calculator'!A:A,0),0),0)</f>
        <v>0</v>
      </c>
      <c r="K6097" s="455">
        <f t="shared" ca="1" si="198"/>
        <v>-179043187308414.16</v>
      </c>
      <c r="L6097" s="455">
        <f t="shared" ca="1" si="199"/>
        <v>-4.3149408141327816E+16</v>
      </c>
      <c r="M6097" s="471">
        <f t="shared" si="201"/>
        <v>0.05</v>
      </c>
      <c r="N6097" s="475">
        <f t="shared" si="202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00"/>
        <v>-4.3149408141327816E+16</v>
      </c>
      <c r="J6098" s="455">
        <f t="array" ref="J6098">IFERROR(INDEX('Retirement Calculator'!K:K,MATCH('Lorri 401b'!N6098,'Retirement Calculator'!A:A,0),0),0)</f>
        <v>0</v>
      </c>
      <c r="K6098" s="455">
        <f t="shared" ca="1" si="198"/>
        <v>-179789200588865.91</v>
      </c>
      <c r="L6098" s="455">
        <f t="shared" ca="1" si="199"/>
        <v>-4.332919734191668E+16</v>
      </c>
      <c r="M6098" s="471">
        <f t="shared" si="201"/>
        <v>0.05</v>
      </c>
      <c r="N6098" s="475">
        <f t="shared" si="202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00"/>
        <v>-4.332919734191668E+16</v>
      </c>
      <c r="J6099" s="455">
        <f t="array" ref="J6099">IFERROR(INDEX('Retirement Calculator'!K:K,MATCH('Lorri 401b'!N6099,'Retirement Calculator'!A:A,0),0),0)</f>
        <v>0</v>
      </c>
      <c r="K6099" s="455">
        <f t="shared" ca="1" si="198"/>
        <v>-180538322257986.16</v>
      </c>
      <c r="L6099" s="455">
        <f t="shared" ca="1" si="199"/>
        <v>-4.3509735664174664E+16</v>
      </c>
      <c r="M6099" s="471">
        <f t="shared" si="201"/>
        <v>0.05</v>
      </c>
      <c r="N6099" s="475">
        <f t="shared" si="202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00"/>
        <v>-4.3509735664174664E+16</v>
      </c>
      <c r="J6100" s="455">
        <f t="array" ref="J6100">IFERROR(INDEX('Retirement Calculator'!K:K,MATCH('Lorri 401b'!N6100,'Retirement Calculator'!A:A,0),0),0)</f>
        <v>0</v>
      </c>
      <c r="K6100" s="455">
        <f t="shared" ca="1" si="198"/>
        <v>-181290565267394.44</v>
      </c>
      <c r="L6100" s="455">
        <f t="shared" ca="1" si="199"/>
        <v>-4.3691026229442056E+16</v>
      </c>
      <c r="M6100" s="471">
        <f t="shared" si="201"/>
        <v>0.05</v>
      </c>
      <c r="N6100" s="475">
        <f t="shared" si="202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00"/>
        <v>-4.3691026229442056E+16</v>
      </c>
      <c r="J6101" s="455">
        <f t="array" ref="J6101">IFERROR(INDEX('Retirement Calculator'!K:K,MATCH('Lorri 401b'!N6101,'Retirement Calculator'!A:A,0),0),0)</f>
        <v>0</v>
      </c>
      <c r="K6101" s="455">
        <f t="shared" ca="1" si="198"/>
        <v>-182045942622675.22</v>
      </c>
      <c r="L6101" s="455">
        <f t="shared" ca="1" si="199"/>
        <v>-4.3873072172064728E+16</v>
      </c>
      <c r="M6101" s="471">
        <f t="shared" si="201"/>
        <v>0.05</v>
      </c>
      <c r="N6101" s="475">
        <f t="shared" si="202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00"/>
        <v>-4.3873072172064728E+16</v>
      </c>
      <c r="J6102" s="455">
        <f t="array" ref="J6102">IFERROR(INDEX('Retirement Calculator'!K:K,MATCH('Lorri 401b'!N6102,'Retirement Calculator'!A:A,0),0),0)</f>
        <v>0</v>
      </c>
      <c r="K6102" s="455">
        <f t="shared" ca="1" si="198"/>
        <v>-182804467383603.03</v>
      </c>
      <c r="L6102" s="455">
        <f t="shared" ca="1" si="199"/>
        <v>-4.4055876639448328E+16</v>
      </c>
      <c r="M6102" s="471">
        <f t="shared" si="201"/>
        <v>0.05</v>
      </c>
      <c r="N6102" s="475">
        <f t="shared" si="202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00"/>
        <v>-4.4055876639448328E+16</v>
      </c>
      <c r="J6103" s="455">
        <f t="array" ref="J6103">IFERROR(INDEX('Retirement Calculator'!K:K,MATCH('Lorri 401b'!N6103,'Retirement Calculator'!A:A,0),0),0)</f>
        <v>0</v>
      </c>
      <c r="K6103" s="455">
        <f t="shared" ca="1" si="198"/>
        <v>-183566152664368.03</v>
      </c>
      <c r="L6103" s="455">
        <f t="shared" ca="1" si="199"/>
        <v>-4.4239442792112696E+16</v>
      </c>
      <c r="M6103" s="471">
        <f t="shared" si="201"/>
        <v>0.05</v>
      </c>
      <c r="N6103" s="475">
        <f t="shared" si="202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00"/>
        <v>-4.4239442792112696E+16</v>
      </c>
      <c r="J6104" s="455">
        <f t="array" ref="J6104">IFERROR(INDEX('Retirement Calculator'!K:K,MATCH('Lorri 401b'!N6104,'Retirement Calculator'!A:A,0),0),0)</f>
        <v>0</v>
      </c>
      <c r="K6104" s="455">
        <f t="shared" ca="1" si="198"/>
        <v>-184331011633802.91</v>
      </c>
      <c r="L6104" s="455">
        <f t="shared" ca="1" si="199"/>
        <v>-4.4423773803746496E+16</v>
      </c>
      <c r="M6104" s="471">
        <f t="shared" si="201"/>
        <v>0.05</v>
      </c>
      <c r="N6104" s="475">
        <f t="shared" si="202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00"/>
        <v>-4.4423773803746496E+16</v>
      </c>
      <c r="J6105" s="455">
        <f t="array" ref="J6105">IFERROR(INDEX('Retirement Calculator'!K:K,MATCH('Lorri 401b'!N6105,'Retirement Calculator'!A:A,0),0),0)</f>
        <v>0</v>
      </c>
      <c r="K6105" s="455">
        <f t="shared" ca="1" si="198"/>
        <v>-185099057515610.41</v>
      </c>
      <c r="L6105" s="455">
        <f t="shared" ca="1" si="199"/>
        <v>-4.4608872861262104E+16</v>
      </c>
      <c r="M6105" s="471">
        <f t="shared" si="201"/>
        <v>0.05</v>
      </c>
      <c r="N6105" s="475">
        <f t="shared" si="202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00"/>
        <v>-4.4608872861262104E+16</v>
      </c>
      <c r="J6106" s="455">
        <f t="array" ref="J6106">IFERROR(INDEX('Retirement Calculator'!K:K,MATCH('Lorri 401b'!N6106,'Retirement Calculator'!A:A,0),0),0)</f>
        <v>0</v>
      </c>
      <c r="K6106" s="455">
        <f t="shared" ca="1" si="198"/>
        <v>-185870303588592.09</v>
      </c>
      <c r="L6106" s="455">
        <f t="shared" ca="1" si="199"/>
        <v>-4.4794743164850696E+16</v>
      </c>
      <c r="M6106" s="471">
        <f t="shared" si="201"/>
        <v>0.05</v>
      </c>
      <c r="N6106" s="475">
        <f t="shared" si="202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00"/>
        <v>-4.4794743164850696E+16</v>
      </c>
      <c r="J6107" s="455">
        <f t="array" ref="J6107">IFERROR(INDEX('Retirement Calculator'!K:K,MATCH('Lorri 401b'!N6107,'Retirement Calculator'!A:A,0),0),0)</f>
        <v>0</v>
      </c>
      <c r="K6107" s="455">
        <f t="shared" ca="1" si="198"/>
        <v>-186644763186877.91</v>
      </c>
      <c r="L6107" s="455">
        <f t="shared" ca="1" si="199"/>
        <v>-4.4981387928037576E+16</v>
      </c>
      <c r="M6107" s="471">
        <f t="shared" si="201"/>
        <v>0.05</v>
      </c>
      <c r="N6107" s="475">
        <f t="shared" si="202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00"/>
        <v>-4.4981387928037576E+16</v>
      </c>
      <c r="J6108" s="455">
        <f t="array" ref="J6108">IFERROR(INDEX('Retirement Calculator'!K:K,MATCH('Lorri 401b'!N6108,'Retirement Calculator'!A:A,0),0),0)</f>
        <v>0</v>
      </c>
      <c r="K6108" s="455">
        <f t="shared" ca="1" si="198"/>
        <v>-187422449700156.56</v>
      </c>
      <c r="L6108" s="455">
        <f t="shared" ca="1" si="199"/>
        <v>-4.5168810377737736E+16</v>
      </c>
      <c r="M6108" s="471">
        <f t="shared" si="201"/>
        <v>0.05</v>
      </c>
      <c r="N6108" s="475">
        <f t="shared" si="202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00"/>
        <v>-4.5168810377737736E+16</v>
      </c>
      <c r="J6109" s="455">
        <f t="array" ref="J6109">IFERROR(INDEX('Retirement Calculator'!K:K,MATCH('Lorri 401b'!N6109,'Retirement Calculator'!A:A,0),0),0)</f>
        <v>0</v>
      </c>
      <c r="K6109" s="455">
        <f t="shared" ca="1" si="198"/>
        <v>-188203376573907.22</v>
      </c>
      <c r="L6109" s="455">
        <f t="shared" ca="1" si="199"/>
        <v>-4.535701375431164E+16</v>
      </c>
      <c r="M6109" s="471">
        <f t="shared" si="201"/>
        <v>0.05</v>
      </c>
      <c r="N6109" s="475">
        <f t="shared" si="202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00"/>
        <v>-4.535701375431164E+16</v>
      </c>
      <c r="J6110" s="455">
        <f t="array" ref="J6110">IFERROR(INDEX('Retirement Calculator'!K:K,MATCH('Lorri 401b'!N6110,'Retirement Calculator'!A:A,0),0),0)</f>
        <v>0</v>
      </c>
      <c r="K6110" s="455">
        <f t="shared" ca="1" si="198"/>
        <v>-188987557309631.84</v>
      </c>
      <c r="L6110" s="455">
        <f t="shared" ca="1" si="199"/>
        <v>-4.5546001311621272E+16</v>
      </c>
      <c r="M6110" s="471">
        <f t="shared" si="201"/>
        <v>0.05</v>
      </c>
      <c r="N6110" s="475">
        <f t="shared" si="202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00"/>
        <v>-4.5546001311621272E+16</v>
      </c>
      <c r="J6111" s="455">
        <f t="array" ref="J6111">IFERROR(INDEX('Retirement Calculator'!K:K,MATCH('Lorri 401b'!N6111,'Retirement Calculator'!A:A,0),0),0)</f>
        <v>0</v>
      </c>
      <c r="K6111" s="455">
        <f t="shared" ca="1" si="198"/>
        <v>-189775005465088.63</v>
      </c>
      <c r="L6111" s="455">
        <f t="shared" ca="1" si="199"/>
        <v>-4.573577631708636E+16</v>
      </c>
      <c r="M6111" s="471">
        <f t="shared" si="201"/>
        <v>0.05</v>
      </c>
      <c r="N6111" s="475">
        <f t="shared" si="202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00"/>
        <v>-4.573577631708636E+16</v>
      </c>
      <c r="J6112" s="455">
        <f t="array" ref="J6112">IFERROR(INDEX('Retirement Calculator'!K:K,MATCH('Lorri 401b'!N6112,'Retirement Calculator'!A:A,0),0),0)</f>
        <v>0</v>
      </c>
      <c r="K6112" s="455">
        <f t="shared" ca="1" si="198"/>
        <v>-190565734654526.5</v>
      </c>
      <c r="L6112" s="455">
        <f t="shared" ca="1" si="199"/>
        <v>-4.5926342051740888E+16</v>
      </c>
      <c r="M6112" s="471">
        <f t="shared" si="201"/>
        <v>0.05</v>
      </c>
      <c r="N6112" s="475">
        <f t="shared" si="202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00"/>
        <v>-4.5926342051740888E+16</v>
      </c>
      <c r="J6113" s="455">
        <f t="array" ref="J6113">IFERROR(INDEX('Retirement Calculator'!K:K,MATCH('Lorri 401b'!N6113,'Retirement Calculator'!A:A,0),0),0)</f>
        <v>0</v>
      </c>
      <c r="K6113" s="455">
        <f t="shared" ca="1" si="198"/>
        <v>-191359758548920.38</v>
      </c>
      <c r="L6113" s="455">
        <f t="shared" ca="1" si="199"/>
        <v>-4.6117701810289808E+16</v>
      </c>
      <c r="M6113" s="471">
        <f t="shared" si="201"/>
        <v>0.05</v>
      </c>
      <c r="N6113" s="475">
        <f t="shared" si="202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00"/>
        <v>-4.6117701810289808E+16</v>
      </c>
      <c r="J6114" s="455">
        <f t="array" ref="J6114">IFERROR(INDEX('Retirement Calculator'!K:K,MATCH('Lorri 401b'!N6114,'Retirement Calculator'!A:A,0),0),0)</f>
        <v>0</v>
      </c>
      <c r="K6114" s="455">
        <f t="shared" ca="1" si="198"/>
        <v>-192157090876207.53</v>
      </c>
      <c r="L6114" s="455">
        <f t="shared" ca="1" si="199"/>
        <v>-4.6309858901166016E+16</v>
      </c>
      <c r="M6114" s="471">
        <f t="shared" si="201"/>
        <v>0.05</v>
      </c>
      <c r="N6114" s="475">
        <f t="shared" si="202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00"/>
        <v>-4.6309858901166016E+16</v>
      </c>
      <c r="J6115" s="455">
        <f t="array" ref="J6115">IFERROR(INDEX('Retirement Calculator'!K:K,MATCH('Lorri 401b'!N6115,'Retirement Calculator'!A:A,0),0),0)</f>
        <v>0</v>
      </c>
      <c r="K6115" s="455">
        <f t="shared" ca="1" si="198"/>
        <v>-192957745421525.06</v>
      </c>
      <c r="L6115" s="455">
        <f t="shared" ca="1" si="199"/>
        <v>-4.6502816646587544E+16</v>
      </c>
      <c r="M6115" s="471">
        <f t="shared" si="201"/>
        <v>0.05</v>
      </c>
      <c r="N6115" s="475">
        <f t="shared" si="202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00"/>
        <v>-4.6502816646587544E+16</v>
      </c>
      <c r="J6116" s="455">
        <f t="array" ref="J6116">IFERROR(INDEX('Retirement Calculator'!K:K,MATCH('Lorri 401b'!N6116,'Retirement Calculator'!A:A,0),0),0)</f>
        <v>0</v>
      </c>
      <c r="K6116" s="455">
        <f t="shared" ca="1" si="198"/>
        <v>-193761736027448.09</v>
      </c>
      <c r="L6116" s="455">
        <f t="shared" ca="1" si="199"/>
        <v>-4.6696578382614992E+16</v>
      </c>
      <c r="M6116" s="471">
        <f t="shared" si="201"/>
        <v>0.05</v>
      </c>
      <c r="N6116" s="475">
        <f t="shared" si="202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00"/>
        <v>-4.6696578382614992E+16</v>
      </c>
      <c r="J6117" s="455">
        <f t="array" ref="J6117">IFERROR(INDEX('Retirement Calculator'!K:K,MATCH('Lorri 401b'!N6117,'Retirement Calculator'!A:A,0),0),0)</f>
        <v>0</v>
      </c>
      <c r="K6117" s="455">
        <f t="shared" ca="1" si="198"/>
        <v>-194569076594229.13</v>
      </c>
      <c r="L6117" s="455">
        <f t="shared" ca="1" si="199"/>
        <v>-4.6891147459209224E+16</v>
      </c>
      <c r="M6117" s="471">
        <f t="shared" si="201"/>
        <v>0.05</v>
      </c>
      <c r="N6117" s="475">
        <f t="shared" si="202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00"/>
        <v>-4.6891147459209224E+16</v>
      </c>
      <c r="J6118" s="455">
        <f t="array" ref="J6118">IFERROR(INDEX('Retirement Calculator'!K:K,MATCH('Lorri 401b'!N6118,'Retirement Calculator'!A:A,0),0),0)</f>
        <v>0</v>
      </c>
      <c r="K6118" s="455">
        <f t="shared" ca="1" si="198"/>
        <v>-195379781080038.44</v>
      </c>
      <c r="L6118" s="455">
        <f t="shared" ca="1" si="199"/>
        <v>-4.7086527240289264E+16</v>
      </c>
      <c r="M6118" s="471">
        <f t="shared" si="201"/>
        <v>0.05</v>
      </c>
      <c r="N6118" s="475">
        <f t="shared" si="202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00"/>
        <v>-4.7086527240289264E+16</v>
      </c>
      <c r="J6119" s="455">
        <f t="array" ref="J6119">IFERROR(INDEX('Retirement Calculator'!K:K,MATCH('Lorri 401b'!N6119,'Retirement Calculator'!A:A,0),0),0)</f>
        <v>0</v>
      </c>
      <c r="K6119" s="455">
        <f t="shared" ca="1" si="198"/>
        <v>-196193863501205.25</v>
      </c>
      <c r="L6119" s="455">
        <f t="shared" ca="1" si="199"/>
        <v>-4.7282721103790472E+16</v>
      </c>
      <c r="M6119" s="471">
        <f t="shared" si="201"/>
        <v>0.05</v>
      </c>
      <c r="N6119" s="475">
        <f t="shared" si="202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00"/>
        <v>-4.7282721103790472E+16</v>
      </c>
      <c r="J6120" s="455">
        <f t="array" ref="J6120">IFERROR(INDEX('Retirement Calculator'!K:K,MATCH('Lorri 401b'!N6120,'Retirement Calculator'!A:A,0),0),0)</f>
        <v>0</v>
      </c>
      <c r="K6120" s="455">
        <f t="shared" ca="1" si="198"/>
        <v>-197011337932460.31</v>
      </c>
      <c r="L6120" s="455">
        <f t="shared" ca="1" si="199"/>
        <v>-4.7479732441722936E+16</v>
      </c>
      <c r="M6120" s="471">
        <f t="shared" si="201"/>
        <v>0.05</v>
      </c>
      <c r="N6120" s="475">
        <f t="shared" si="202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00"/>
        <v>-4.7479732441722936E+16</v>
      </c>
      <c r="J6121" s="455">
        <f t="array" ref="J6121">IFERROR(INDEX('Retirement Calculator'!K:K,MATCH('Lorri 401b'!N6121,'Retirement Calculator'!A:A,0),0),0)</f>
        <v>0</v>
      </c>
      <c r="K6121" s="455">
        <f t="shared" ca="1" si="198"/>
        <v>-197832218507178.91</v>
      </c>
      <c r="L6121" s="455">
        <f t="shared" ca="1" si="199"/>
        <v>-4.7677564660230112E+16</v>
      </c>
      <c r="M6121" s="471">
        <f t="shared" si="201"/>
        <v>0.05</v>
      </c>
      <c r="N6121" s="475">
        <f t="shared" si="202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00"/>
        <v>-4.7677564660230112E+16</v>
      </c>
      <c r="J6122" s="455">
        <f t="array" ref="J6122">IFERROR(INDEX('Retirement Calculator'!K:K,MATCH('Lorri 401b'!N6122,'Retirement Calculator'!A:A,0),0),0)</f>
        <v>0</v>
      </c>
      <c r="K6122" s="455">
        <f t="shared" ca="1" si="198"/>
        <v>-198656519417625.47</v>
      </c>
      <c r="L6122" s="455">
        <f t="shared" ca="1" si="199"/>
        <v>-4.7876221179647736E+16</v>
      </c>
      <c r="M6122" s="471">
        <f t="shared" si="201"/>
        <v>0.05</v>
      </c>
      <c r="N6122" s="475">
        <f t="shared" si="202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00"/>
        <v>-4.7876221179647736E+16</v>
      </c>
      <c r="J6123" s="455">
        <f t="array" ref="J6123">IFERROR(INDEX('Retirement Calculator'!K:K,MATCH('Lorri 401b'!N6123,'Retirement Calculator'!A:A,0),0),0)</f>
        <v>0</v>
      </c>
      <c r="K6123" s="455">
        <f t="shared" ca="1" si="198"/>
        <v>-199484254915198.91</v>
      </c>
      <c r="L6123" s="455">
        <f t="shared" ca="1" si="199"/>
        <v>-4.8075705434562936E+16</v>
      </c>
      <c r="M6123" s="471">
        <f t="shared" si="201"/>
        <v>0.05</v>
      </c>
      <c r="N6123" s="475">
        <f t="shared" si="202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00"/>
        <v>-4.8075705434562936E+16</v>
      </c>
      <c r="J6124" s="455">
        <f t="array" ref="J6124">IFERROR(INDEX('Retirement Calculator'!K:K,MATCH('Lorri 401b'!N6124,'Retirement Calculator'!A:A,0),0),0)</f>
        <v>0</v>
      </c>
      <c r="K6124" s="455">
        <f t="shared" ca="1" si="198"/>
        <v>-200315439310678.91</v>
      </c>
      <c r="L6124" s="455">
        <f t="shared" ca="1" si="199"/>
        <v>-4.8276020873873616E+16</v>
      </c>
      <c r="M6124" s="471">
        <f t="shared" si="201"/>
        <v>0.05</v>
      </c>
      <c r="N6124" s="475">
        <f t="shared" si="202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00"/>
        <v>-4.8276020873873616E+16</v>
      </c>
      <c r="J6125" s="455">
        <f t="array" ref="J6125">IFERROR(INDEX('Retirement Calculator'!K:K,MATCH('Lorri 401b'!N6125,'Retirement Calculator'!A:A,0),0),0)</f>
        <v>0</v>
      </c>
      <c r="K6125" s="455">
        <f t="shared" ca="1" si="198"/>
        <v>-201150086974473.41</v>
      </c>
      <c r="L6125" s="455">
        <f t="shared" ca="1" si="199"/>
        <v>-4.8477170960848088E+16</v>
      </c>
      <c r="M6125" s="471">
        <f t="shared" si="201"/>
        <v>0.05</v>
      </c>
      <c r="N6125" s="475">
        <f t="shared" si="202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00"/>
        <v>-4.8477170960848088E+16</v>
      </c>
      <c r="J6126" s="455">
        <f t="array" ref="J6126">IFERROR(INDEX('Retirement Calculator'!K:K,MATCH('Lorri 401b'!N6126,'Retirement Calculator'!A:A,0),0),0)</f>
        <v>0</v>
      </c>
      <c r="K6126" s="455">
        <f t="shared" ca="1" si="198"/>
        <v>-201988212336867.03</v>
      </c>
      <c r="L6126" s="455">
        <f t="shared" ca="1" si="199"/>
        <v>-4.8679159173184952E+16</v>
      </c>
      <c r="M6126" s="471">
        <f t="shared" si="201"/>
        <v>0.05</v>
      </c>
      <c r="N6126" s="475">
        <f t="shared" si="202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00"/>
        <v>-4.8679159173184952E+16</v>
      </c>
      <c r="J6127" s="455">
        <f t="array" ref="J6127">IFERROR(INDEX('Retirement Calculator'!K:K,MATCH('Lorri 401b'!N6127,'Retirement Calculator'!A:A,0),0),0)</f>
        <v>0</v>
      </c>
      <c r="K6127" s="455">
        <f t="shared" ca="1" si="198"/>
        <v>-202829829888270.63</v>
      </c>
      <c r="L6127" s="455">
        <f t="shared" ca="1" si="199"/>
        <v>-4.8881989003073224E+16</v>
      </c>
      <c r="M6127" s="471">
        <f t="shared" si="201"/>
        <v>0.05</v>
      </c>
      <c r="N6127" s="475">
        <f t="shared" si="202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00"/>
        <v>-4.8881989003073224E+16</v>
      </c>
      <c r="J6128" s="455">
        <f t="array" ref="J6128">IFERROR(INDEX('Retirement Calculator'!K:K,MATCH('Lorri 401b'!N6128,'Retirement Calculator'!A:A,0),0),0)</f>
        <v>0</v>
      </c>
      <c r="K6128" s="455">
        <f t="shared" ref="K6128:K6250" ca="1" si="203">IPMT(M6128/12,1,12,-I6128+J6128,,0)</f>
        <v>-203674954179471.75</v>
      </c>
      <c r="L6128" s="455">
        <f t="shared" ref="L6128:L6250" ca="1" si="204">I6128-J6128+K6128</f>
        <v>-4.9085663957252696E+16</v>
      </c>
      <c r="M6128" s="471">
        <f t="shared" si="201"/>
        <v>0.05</v>
      </c>
      <c r="N6128" s="475">
        <f t="shared" si="202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05">L6128</f>
        <v>-4.9085663957252696E+16</v>
      </c>
      <c r="J6129" s="455">
        <f t="array" ref="J6129">IFERROR(INDEX('Retirement Calculator'!K:K,MATCH('Lorri 401b'!N6129,'Retirement Calculator'!A:A,0),0),0)</f>
        <v>0</v>
      </c>
      <c r="K6129" s="455">
        <f t="shared" ca="1" si="203"/>
        <v>-204523599821886.22</v>
      </c>
      <c r="L6129" s="455">
        <f t="shared" ca="1" si="204"/>
        <v>-4.9290187557074584E+16</v>
      </c>
      <c r="M6129" s="471">
        <f t="shared" ref="M6129:M6250" si="206">M6128</f>
        <v>0.05</v>
      </c>
      <c r="N6129" s="475">
        <f t="shared" ref="N6129:N6250" si="207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05"/>
        <v>-4.9290187557074584E+16</v>
      </c>
      <c r="J6130" s="455">
        <f t="array" ref="J6130">IFERROR(INDEX('Retirement Calculator'!K:K,MATCH('Lorri 401b'!N6130,'Retirement Calculator'!A:A,0),0),0)</f>
        <v>0</v>
      </c>
      <c r="K6130" s="455">
        <f t="shared" ca="1" si="203"/>
        <v>-205375781487810.75</v>
      </c>
      <c r="L6130" s="455">
        <f t="shared" ca="1" si="204"/>
        <v>-4.9495563338562392E+16</v>
      </c>
      <c r="M6130" s="471">
        <f t="shared" si="206"/>
        <v>0.05</v>
      </c>
      <c r="N6130" s="475">
        <f t="shared" si="207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05"/>
        <v>-4.9495563338562392E+16</v>
      </c>
      <c r="J6131" s="455">
        <f t="array" ref="J6131">IFERROR(INDEX('Retirement Calculator'!K:K,MATCH('Lorri 401b'!N6131,'Retirement Calculator'!A:A,0),0),0)</f>
        <v>0</v>
      </c>
      <c r="K6131" s="455">
        <f t="shared" ca="1" si="203"/>
        <v>-206231513910676.63</v>
      </c>
      <c r="L6131" s="455">
        <f t="shared" ca="1" si="204"/>
        <v>-4.9701794852473072E+16</v>
      </c>
      <c r="M6131" s="471">
        <f t="shared" si="206"/>
        <v>0.05</v>
      </c>
      <c r="N6131" s="475">
        <f t="shared" si="207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05"/>
        <v>-4.9701794852473072E+16</v>
      </c>
      <c r="J6132" s="455">
        <f t="array" ref="J6132">IFERROR(INDEX('Retirement Calculator'!K:K,MATCH('Lorri 401b'!N6132,'Retirement Calculator'!A:A,0),0),0)</f>
        <v>0</v>
      </c>
      <c r="K6132" s="455">
        <f t="shared" ca="1" si="203"/>
        <v>-207090811885304.47</v>
      </c>
      <c r="L6132" s="455">
        <f t="shared" ca="1" si="204"/>
        <v>-4.9908885664358376E+16</v>
      </c>
      <c r="M6132" s="471">
        <f t="shared" si="206"/>
        <v>0.05</v>
      </c>
      <c r="N6132" s="475">
        <f t="shared" si="207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05"/>
        <v>-4.9908885664358376E+16</v>
      </c>
      <c r="J6133" s="455">
        <f t="array" ref="J6133">IFERROR(INDEX('Retirement Calculator'!K:K,MATCH('Lorri 401b'!N6133,'Retirement Calculator'!A:A,0),0),0)</f>
        <v>0</v>
      </c>
      <c r="K6133" s="455">
        <f t="shared" ca="1" si="203"/>
        <v>-207953690268159.91</v>
      </c>
      <c r="L6133" s="455">
        <f t="shared" ca="1" si="204"/>
        <v>-5.0116839354626536E+16</v>
      </c>
      <c r="M6133" s="471">
        <f t="shared" si="206"/>
        <v>0.05</v>
      </c>
      <c r="N6133" s="475">
        <f t="shared" si="207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05"/>
        <v>-5.0116839354626536E+16</v>
      </c>
      <c r="J6134" s="455">
        <f t="array" ref="J6134">IFERROR(INDEX('Retirement Calculator'!K:K,MATCH('Lorri 401b'!N6134,'Retirement Calculator'!A:A,0),0),0)</f>
        <v>0</v>
      </c>
      <c r="K6134" s="455">
        <f t="shared" ca="1" si="203"/>
        <v>-208820163977610.56</v>
      </c>
      <c r="L6134" s="455">
        <f t="shared" ca="1" si="204"/>
        <v>-5.0325659518604144E+16</v>
      </c>
      <c r="M6134" s="471">
        <f t="shared" si="206"/>
        <v>0.05</v>
      </c>
      <c r="N6134" s="475">
        <f t="shared" si="207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05"/>
        <v>-5.0325659518604144E+16</v>
      </c>
      <c r="J6135" s="455">
        <f t="array" ref="J6135">IFERROR(INDEX('Retirement Calculator'!K:K,MATCH('Lorri 401b'!N6135,'Retirement Calculator'!A:A,0),0),0)</f>
        <v>0</v>
      </c>
      <c r="K6135" s="455">
        <f t="shared" ca="1" si="203"/>
        <v>-209690247994183.94</v>
      </c>
      <c r="L6135" s="455">
        <f t="shared" ca="1" si="204"/>
        <v>-5.0535349766598328E+16</v>
      </c>
      <c r="M6135" s="471">
        <f t="shared" si="206"/>
        <v>0.05</v>
      </c>
      <c r="N6135" s="475">
        <f t="shared" si="207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05"/>
        <v>-5.0535349766598328E+16</v>
      </c>
      <c r="J6136" s="455">
        <f t="array" ref="J6136">IFERROR(INDEX('Retirement Calculator'!K:K,MATCH('Lorri 401b'!N6136,'Retirement Calculator'!A:A,0),0),0)</f>
        <v>0</v>
      </c>
      <c r="K6136" s="455">
        <f t="shared" ca="1" si="203"/>
        <v>-210563957360826.38</v>
      </c>
      <c r="L6136" s="455">
        <f t="shared" ca="1" si="204"/>
        <v>-5.0745913723959152E+16</v>
      </c>
      <c r="M6136" s="471">
        <f t="shared" si="206"/>
        <v>0.05</v>
      </c>
      <c r="N6136" s="475">
        <f t="shared" si="207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05"/>
        <v>-5.0745913723959152E+16</v>
      </c>
      <c r="J6137" s="455">
        <f t="array" ref="J6137">IFERROR(INDEX('Retirement Calculator'!K:K,MATCH('Lorri 401b'!N6137,'Retirement Calculator'!A:A,0),0),0)</f>
        <v>0</v>
      </c>
      <c r="K6137" s="455">
        <f t="shared" ca="1" si="203"/>
        <v>-211441307183163.13</v>
      </c>
      <c r="L6137" s="455">
        <f t="shared" ca="1" si="204"/>
        <v>-5.0957355031142312E+16</v>
      </c>
      <c r="M6137" s="471">
        <f t="shared" si="206"/>
        <v>0.05</v>
      </c>
      <c r="N6137" s="475">
        <f t="shared" si="207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05"/>
        <v>-5.0957355031142312E+16</v>
      </c>
      <c r="J6138" s="455">
        <f t="array" ref="J6138">IFERROR(INDEX('Retirement Calculator'!K:K,MATCH('Lorri 401b'!N6138,'Retirement Calculator'!A:A,0),0),0)</f>
        <v>0</v>
      </c>
      <c r="K6138" s="455">
        <f t="shared" ca="1" si="203"/>
        <v>-212322312629759.63</v>
      </c>
      <c r="L6138" s="455">
        <f t="shared" ca="1" si="204"/>
        <v>-5.1169677343772072E+16</v>
      </c>
      <c r="M6138" s="471">
        <f t="shared" si="206"/>
        <v>0.05</v>
      </c>
      <c r="N6138" s="475">
        <f t="shared" si="207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05"/>
        <v>-5.1169677343772072E+16</v>
      </c>
      <c r="J6139" s="455">
        <f t="array" ref="J6139">IFERROR(INDEX('Retirement Calculator'!K:K,MATCH('Lorri 401b'!N6139,'Retirement Calculator'!A:A,0),0),0)</f>
        <v>0</v>
      </c>
      <c r="K6139" s="455">
        <f t="shared" ca="1" si="203"/>
        <v>-213206988932383.63</v>
      </c>
      <c r="L6139" s="455">
        <f t="shared" ca="1" si="204"/>
        <v>-5.1382884332704456E+16</v>
      </c>
      <c r="M6139" s="471">
        <f t="shared" si="206"/>
        <v>0.05</v>
      </c>
      <c r="N6139" s="475">
        <f t="shared" si="207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05"/>
        <v>-5.1382884332704456E+16</v>
      </c>
      <c r="J6140" s="455">
        <f t="array" ref="J6140">IFERROR(INDEX('Retirement Calculator'!K:K,MATCH('Lorri 401b'!N6140,'Retirement Calculator'!A:A,0),0),0)</f>
        <v>0</v>
      </c>
      <c r="K6140" s="455">
        <f t="shared" ca="1" si="203"/>
        <v>-214095351386268.56</v>
      </c>
      <c r="L6140" s="455">
        <f t="shared" ca="1" si="204"/>
        <v>-5.1596979684090728E+16</v>
      </c>
      <c r="M6140" s="471">
        <f t="shared" si="206"/>
        <v>0.05</v>
      </c>
      <c r="N6140" s="475">
        <f t="shared" si="207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05"/>
        <v>-5.1596979684090728E+16</v>
      </c>
      <c r="J6141" s="455">
        <f t="array" ref="J6141">IFERROR(INDEX('Retirement Calculator'!K:K,MATCH('Lorri 401b'!N6141,'Retirement Calculator'!A:A,0),0),0)</f>
        <v>0</v>
      </c>
      <c r="K6141" s="455">
        <f t="shared" ca="1" si="203"/>
        <v>-214987415350378.03</v>
      </c>
      <c r="L6141" s="455">
        <f t="shared" ca="1" si="204"/>
        <v>-5.1811967099441104E+16</v>
      </c>
      <c r="M6141" s="471">
        <f t="shared" si="206"/>
        <v>0.05</v>
      </c>
      <c r="N6141" s="475">
        <f t="shared" si="207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05"/>
        <v>-5.1811967099441104E+16</v>
      </c>
      <c r="J6142" s="455">
        <f t="array" ref="J6142">IFERROR(INDEX('Retirement Calculator'!K:K,MATCH('Lorri 401b'!N6142,'Retirement Calculator'!A:A,0),0),0)</f>
        <v>0</v>
      </c>
      <c r="K6142" s="455">
        <f t="shared" ca="1" si="203"/>
        <v>-215883196247671.25</v>
      </c>
      <c r="L6142" s="455">
        <f t="shared" ca="1" si="204"/>
        <v>-5.2027850295688776E+16</v>
      </c>
      <c r="M6142" s="471">
        <f t="shared" si="206"/>
        <v>0.05</v>
      </c>
      <c r="N6142" s="475">
        <f t="shared" si="207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05"/>
        <v>-5.2027850295688776E+16</v>
      </c>
      <c r="J6143" s="455">
        <f t="array" ref="J6143">IFERROR(INDEX('Retirement Calculator'!K:K,MATCH('Lorri 401b'!N6143,'Retirement Calculator'!A:A,0),0),0)</f>
        <v>0</v>
      </c>
      <c r="K6143" s="455">
        <f t="shared" ca="1" si="203"/>
        <v>-216782709565369.91</v>
      </c>
      <c r="L6143" s="455">
        <f t="shared" ca="1" si="204"/>
        <v>-5.2244633005254144E+16</v>
      </c>
      <c r="M6143" s="471">
        <f t="shared" si="206"/>
        <v>0.05</v>
      </c>
      <c r="N6143" s="475">
        <f t="shared" si="207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05"/>
        <v>-5.2244633005254144E+16</v>
      </c>
      <c r="J6144" s="455">
        <f t="array" ref="J6144">IFERROR(INDEX('Retirement Calculator'!K:K,MATCH('Lorri 401b'!N6144,'Retirement Calculator'!A:A,0),0),0)</f>
        <v>0</v>
      </c>
      <c r="K6144" s="455">
        <f t="shared" ca="1" si="203"/>
        <v>-217685970855225.59</v>
      </c>
      <c r="L6144" s="455">
        <f t="shared" ca="1" si="204"/>
        <v>-5.2462318976109368E+16</v>
      </c>
      <c r="M6144" s="471">
        <f t="shared" si="206"/>
        <v>0.05</v>
      </c>
      <c r="N6144" s="475">
        <f t="shared" si="207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05"/>
        <v>-5.2462318976109368E+16</v>
      </c>
      <c r="J6145" s="455">
        <f t="array" ref="J6145">IFERROR(INDEX('Retirement Calculator'!K:K,MATCH('Lorri 401b'!N6145,'Retirement Calculator'!A:A,0),0),0)</f>
        <v>0</v>
      </c>
      <c r="K6145" s="455">
        <f t="shared" ca="1" si="203"/>
        <v>-218592995733789.03</v>
      </c>
      <c r="L6145" s="455">
        <f t="shared" ca="1" si="204"/>
        <v>-5.268091197184316E+16</v>
      </c>
      <c r="M6145" s="471">
        <f t="shared" si="206"/>
        <v>0.05</v>
      </c>
      <c r="N6145" s="475">
        <f t="shared" si="207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05"/>
        <v>-5.268091197184316E+16</v>
      </c>
      <c r="J6146" s="455">
        <f t="array" ref="J6146">IFERROR(INDEX('Retirement Calculator'!K:K,MATCH('Lorri 401b'!N6146,'Retirement Calculator'!A:A,0),0),0)</f>
        <v>0</v>
      </c>
      <c r="K6146" s="455">
        <f t="shared" ca="1" si="203"/>
        <v>-219503799882679.84</v>
      </c>
      <c r="L6146" s="455">
        <f t="shared" ca="1" si="204"/>
        <v>-5.290041577172584E+16</v>
      </c>
      <c r="M6146" s="471">
        <f t="shared" si="206"/>
        <v>0.05</v>
      </c>
      <c r="N6146" s="475">
        <f t="shared" si="207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05"/>
        <v>-5.290041577172584E+16</v>
      </c>
      <c r="J6147" s="455">
        <f t="array" ref="J6147">IFERROR(INDEX('Retirement Calculator'!K:K,MATCH('Lorri 401b'!N6147,'Retirement Calculator'!A:A,0),0),0)</f>
        <v>0</v>
      </c>
      <c r="K6147" s="455">
        <f t="shared" ca="1" si="203"/>
        <v>-220418399048857.66</v>
      </c>
      <c r="L6147" s="455">
        <f t="shared" ca="1" si="204"/>
        <v>-5.3120834170774696E+16</v>
      </c>
      <c r="M6147" s="471">
        <f t="shared" si="206"/>
        <v>0.05</v>
      </c>
      <c r="N6147" s="475">
        <f t="shared" si="207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05"/>
        <v>-5.3120834170774696E+16</v>
      </c>
      <c r="J6148" s="455">
        <f t="array" ref="J6148">IFERROR(INDEX('Retirement Calculator'!K:K,MATCH('Lorri 401b'!N6148,'Retirement Calculator'!A:A,0),0),0)</f>
        <v>0</v>
      </c>
      <c r="K6148" s="455">
        <f t="shared" ca="1" si="203"/>
        <v>-221336809044894.56</v>
      </c>
      <c r="L6148" s="455">
        <f t="shared" ca="1" si="204"/>
        <v>-5.3342170979819592E+16</v>
      </c>
      <c r="M6148" s="471">
        <f t="shared" si="206"/>
        <v>0.05</v>
      </c>
      <c r="N6148" s="475">
        <f t="shared" si="207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05"/>
        <v>-5.3342170979819592E+16</v>
      </c>
      <c r="J6149" s="455">
        <f t="array" ref="J6149">IFERROR(INDEX('Retirement Calculator'!K:K,MATCH('Lorri 401b'!N6149,'Retirement Calculator'!A:A,0),0),0)</f>
        <v>0</v>
      </c>
      <c r="K6149" s="455">
        <f t="shared" ca="1" si="203"/>
        <v>-222259045749248.31</v>
      </c>
      <c r="L6149" s="455">
        <f t="shared" ca="1" si="204"/>
        <v>-5.356443002556884E+16</v>
      </c>
      <c r="M6149" s="471">
        <f t="shared" si="206"/>
        <v>0.05</v>
      </c>
      <c r="N6149" s="475">
        <f t="shared" si="207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05"/>
        <v>-5.356443002556884E+16</v>
      </c>
      <c r="J6150" s="455">
        <f t="array" ref="J6150">IFERROR(INDEX('Retirement Calculator'!K:K,MATCH('Lorri 401b'!N6150,'Retirement Calculator'!A:A,0),0),0)</f>
        <v>0</v>
      </c>
      <c r="K6150" s="455">
        <f t="shared" ca="1" si="203"/>
        <v>-223185125106536.84</v>
      </c>
      <c r="L6150" s="455">
        <f t="shared" ca="1" si="204"/>
        <v>-5.3787615150675376E+16</v>
      </c>
      <c r="M6150" s="471">
        <f t="shared" si="206"/>
        <v>0.05</v>
      </c>
      <c r="N6150" s="475">
        <f t="shared" si="207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05"/>
        <v>-5.3787615150675376E+16</v>
      </c>
      <c r="J6151" s="455">
        <f t="array" ref="J6151">IFERROR(INDEX('Retirement Calculator'!K:K,MATCH('Lorri 401b'!N6151,'Retirement Calculator'!A:A,0),0),0)</f>
        <v>0</v>
      </c>
      <c r="K6151" s="455">
        <f t="shared" ca="1" si="203"/>
        <v>-224115063127814.06</v>
      </c>
      <c r="L6151" s="455">
        <f t="shared" ca="1" si="204"/>
        <v>-5.4011730213803192E+16</v>
      </c>
      <c r="M6151" s="471">
        <f t="shared" si="206"/>
        <v>0.05</v>
      </c>
      <c r="N6151" s="475">
        <f t="shared" si="207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05"/>
        <v>-5.4011730213803192E+16</v>
      </c>
      <c r="J6152" s="455">
        <f t="array" ref="J6152">IFERROR(INDEX('Retirement Calculator'!K:K,MATCH('Lorri 401b'!N6152,'Retirement Calculator'!A:A,0),0),0)</f>
        <v>0</v>
      </c>
      <c r="K6152" s="455">
        <f t="shared" ca="1" si="203"/>
        <v>-225048875890846.63</v>
      </c>
      <c r="L6152" s="455">
        <f t="shared" ca="1" si="204"/>
        <v>-5.423677908969404E+16</v>
      </c>
      <c r="M6152" s="471">
        <f t="shared" si="206"/>
        <v>0.05</v>
      </c>
      <c r="N6152" s="475">
        <f t="shared" si="207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05"/>
        <v>-5.423677908969404E+16</v>
      </c>
      <c r="J6153" s="455">
        <f t="array" ref="J6153">IFERROR(INDEX('Retirement Calculator'!K:K,MATCH('Lorri 401b'!N6153,'Retirement Calculator'!A:A,0),0),0)</f>
        <v>0</v>
      </c>
      <c r="K6153" s="455">
        <f t="shared" ca="1" si="203"/>
        <v>-225986579540391.84</v>
      </c>
      <c r="L6153" s="455">
        <f t="shared" ca="1" si="204"/>
        <v>-5.4462765669234432E+16</v>
      </c>
      <c r="M6153" s="471">
        <f t="shared" si="206"/>
        <v>0.05</v>
      </c>
      <c r="N6153" s="475">
        <f t="shared" si="207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05"/>
        <v>-5.4462765669234432E+16</v>
      </c>
      <c r="J6154" s="455">
        <f t="array" ref="J6154">IFERROR(INDEX('Retirement Calculator'!K:K,MATCH('Lorri 401b'!N6154,'Retirement Calculator'!A:A,0),0),0)</f>
        <v>0</v>
      </c>
      <c r="K6154" s="455">
        <f t="shared" ca="1" si="203"/>
        <v>-226928190288476.78</v>
      </c>
      <c r="L6154" s="455">
        <f t="shared" ca="1" si="204"/>
        <v>-5.4689693859522912E+16</v>
      </c>
      <c r="M6154" s="471">
        <f t="shared" si="206"/>
        <v>0.05</v>
      </c>
      <c r="N6154" s="475">
        <f t="shared" si="207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05"/>
        <v>-5.4689693859522912E+16</v>
      </c>
      <c r="J6155" s="455">
        <f t="array" ref="J6155">IFERROR(INDEX('Retirement Calculator'!K:K,MATCH('Lorri 401b'!N6155,'Retirement Calculator'!A:A,0),0),0)</f>
        <v>0</v>
      </c>
      <c r="K6155" s="455">
        <f t="shared" ca="1" si="203"/>
        <v>-227873724414678.78</v>
      </c>
      <c r="L6155" s="455">
        <f t="shared" ca="1" si="204"/>
        <v>-5.4917567583937592E+16</v>
      </c>
      <c r="M6155" s="471">
        <f t="shared" si="206"/>
        <v>0.05</v>
      </c>
      <c r="N6155" s="475">
        <f t="shared" si="207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05"/>
        <v>-5.4917567583937592E+16</v>
      </c>
      <c r="J6156" s="455">
        <f t="array" ref="J6156">IFERROR(INDEX('Retirement Calculator'!K:K,MATCH('Lorri 401b'!N6156,'Retirement Calculator'!A:A,0),0),0)</f>
        <v>0</v>
      </c>
      <c r="K6156" s="455">
        <f t="shared" ca="1" si="203"/>
        <v>-228823198266406.63</v>
      </c>
      <c r="L6156" s="455">
        <f t="shared" ca="1" si="204"/>
        <v>-5.5146390782204E+16</v>
      </c>
      <c r="M6156" s="471">
        <f t="shared" si="206"/>
        <v>0.05</v>
      </c>
      <c r="N6156" s="475">
        <f t="shared" si="207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05"/>
        <v>-5.5146390782204E+16</v>
      </c>
      <c r="J6157" s="455">
        <f t="array" ref="J6157">IFERROR(INDEX('Retirement Calculator'!K:K,MATCH('Lorri 401b'!N6157,'Retirement Calculator'!A:A,0),0),0)</f>
        <v>0</v>
      </c>
      <c r="K6157" s="455">
        <f t="shared" ca="1" si="203"/>
        <v>-229776628259183.34</v>
      </c>
      <c r="L6157" s="455">
        <f t="shared" ca="1" si="204"/>
        <v>-5.5376167410463184E+16</v>
      </c>
      <c r="M6157" s="471">
        <f t="shared" si="206"/>
        <v>0.05</v>
      </c>
      <c r="N6157" s="475">
        <f t="shared" si="207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05"/>
        <v>-5.5376167410463184E+16</v>
      </c>
      <c r="J6158" s="455">
        <f t="array" ref="J6158">IFERROR(INDEX('Retirement Calculator'!K:K,MATCH('Lorri 401b'!N6158,'Retirement Calculator'!A:A,0),0),0)</f>
        <v>0</v>
      </c>
      <c r="K6158" s="455">
        <f t="shared" ca="1" si="203"/>
        <v>-230734030876929.94</v>
      </c>
      <c r="L6158" s="455">
        <f t="shared" ca="1" si="204"/>
        <v>-5.5606901441340112E+16</v>
      </c>
      <c r="M6158" s="471">
        <f t="shared" si="206"/>
        <v>0.05</v>
      </c>
      <c r="N6158" s="475">
        <f t="shared" si="207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05"/>
        <v>-5.5606901441340112E+16</v>
      </c>
      <c r="J6159" s="455">
        <f t="array" ref="J6159">IFERROR(INDEX('Retirement Calculator'!K:K,MATCH('Lorri 401b'!N6159,'Retirement Calculator'!A:A,0),0),0)</f>
        <v>0</v>
      </c>
      <c r="K6159" s="455">
        <f t="shared" ca="1" si="203"/>
        <v>-231695422672250.47</v>
      </c>
      <c r="L6159" s="455">
        <f t="shared" ca="1" si="204"/>
        <v>-5.583859686401236E+16</v>
      </c>
      <c r="M6159" s="471">
        <f t="shared" si="206"/>
        <v>0.05</v>
      </c>
      <c r="N6159" s="475">
        <f t="shared" si="207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05"/>
        <v>-5.583859686401236E+16</v>
      </c>
      <c r="J6160" s="455">
        <f t="array" ref="J6160">IFERROR(INDEX('Retirement Calculator'!K:K,MATCH('Lorri 401b'!N6160,'Retirement Calculator'!A:A,0),0),0)</f>
        <v>0</v>
      </c>
      <c r="K6160" s="455">
        <f t="shared" ca="1" si="203"/>
        <v>-232660820266718.16</v>
      </c>
      <c r="L6160" s="455">
        <f t="shared" ca="1" si="204"/>
        <v>-5.607125768427908E+16</v>
      </c>
      <c r="M6160" s="471">
        <f t="shared" si="206"/>
        <v>0.05</v>
      </c>
      <c r="N6160" s="475">
        <f t="shared" si="207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05"/>
        <v>-5.607125768427908E+16</v>
      </c>
      <c r="J6161" s="455">
        <f t="array" ref="J6161">IFERROR(INDEX('Retirement Calculator'!K:K,MATCH('Lorri 401b'!N6161,'Retirement Calculator'!A:A,0),0),0)</f>
        <v>0</v>
      </c>
      <c r="K6161" s="455">
        <f t="shared" ca="1" si="203"/>
        <v>-233630240351162.84</v>
      </c>
      <c r="L6161" s="455">
        <f t="shared" ca="1" si="204"/>
        <v>-5.630488792463024E+16</v>
      </c>
      <c r="M6161" s="471">
        <f t="shared" si="206"/>
        <v>0.05</v>
      </c>
      <c r="N6161" s="475">
        <f t="shared" si="207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05"/>
        <v>-5.630488792463024E+16</v>
      </c>
      <c r="J6162" s="455">
        <f t="array" ref="J6162">IFERROR(INDEX('Retirement Calculator'!K:K,MATCH('Lorri 401b'!N6162,'Retirement Calculator'!A:A,0),0),0)</f>
        <v>0</v>
      </c>
      <c r="K6162" s="455">
        <f t="shared" ca="1" si="203"/>
        <v>-234603699685959.28</v>
      </c>
      <c r="L6162" s="455">
        <f t="shared" ca="1" si="204"/>
        <v>-5.65394916243162E+16</v>
      </c>
      <c r="M6162" s="471">
        <f t="shared" si="206"/>
        <v>0.05</v>
      </c>
      <c r="N6162" s="475">
        <f t="shared" si="207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05"/>
        <v>-5.65394916243162E+16</v>
      </c>
      <c r="J6163" s="455">
        <f t="array" ref="J6163">IFERROR(INDEX('Retirement Calculator'!K:K,MATCH('Lorri 401b'!N6163,'Retirement Calculator'!A:A,0),0),0)</f>
        <v>0</v>
      </c>
      <c r="K6163" s="455">
        <f t="shared" ca="1" si="203"/>
        <v>-235581215101317.5</v>
      </c>
      <c r="L6163" s="455">
        <f t="shared" ca="1" si="204"/>
        <v>-5.677507283941752E+16</v>
      </c>
      <c r="M6163" s="471">
        <f t="shared" si="206"/>
        <v>0.05</v>
      </c>
      <c r="N6163" s="475">
        <f t="shared" si="207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05"/>
        <v>-5.677507283941752E+16</v>
      </c>
      <c r="J6164" s="455">
        <f t="array" ref="J6164">IFERROR(INDEX('Retirement Calculator'!K:K,MATCH('Lorri 401b'!N6164,'Retirement Calculator'!A:A,0),0),0)</f>
        <v>0</v>
      </c>
      <c r="K6164" s="455">
        <f t="shared" ca="1" si="203"/>
        <v>-236562803497573</v>
      </c>
      <c r="L6164" s="455">
        <f t="shared" ca="1" si="204"/>
        <v>-5.7011635642915096E+16</v>
      </c>
      <c r="M6164" s="471">
        <f t="shared" si="206"/>
        <v>0.05</v>
      </c>
      <c r="N6164" s="475">
        <f t="shared" si="207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05"/>
        <v>-5.7011635642915096E+16</v>
      </c>
      <c r="J6165" s="455">
        <f t="array" ref="J6165">IFERROR(INDEX('Retirement Calculator'!K:K,MATCH('Lorri 401b'!N6165,'Retirement Calculator'!A:A,0),0),0)</f>
        <v>0</v>
      </c>
      <c r="K6165" s="455">
        <f t="shared" ca="1" si="203"/>
        <v>-237548481845479.56</v>
      </c>
      <c r="L6165" s="455">
        <f t="shared" ca="1" si="204"/>
        <v>-5.7249184124760576E+16</v>
      </c>
      <c r="M6165" s="471">
        <f t="shared" si="206"/>
        <v>0.05</v>
      </c>
      <c r="N6165" s="475">
        <f t="shared" si="207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05"/>
        <v>-5.7249184124760576E+16</v>
      </c>
      <c r="J6166" s="455">
        <f t="array" ref="J6166">IFERROR(INDEX('Retirement Calculator'!K:K,MATCH('Lorri 401b'!N6166,'Retirement Calculator'!A:A,0),0),0)</f>
        <v>0</v>
      </c>
      <c r="K6166" s="455">
        <f t="shared" ca="1" si="203"/>
        <v>-238538267186502.38</v>
      </c>
      <c r="L6166" s="455">
        <f t="shared" ca="1" si="204"/>
        <v>-5.748772239194708E+16</v>
      </c>
      <c r="M6166" s="471">
        <f t="shared" si="206"/>
        <v>0.05</v>
      </c>
      <c r="N6166" s="475">
        <f t="shared" si="207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05"/>
        <v>-5.748772239194708E+16</v>
      </c>
      <c r="J6167" s="455">
        <f t="array" ref="J6167">IFERROR(INDEX('Retirement Calculator'!K:K,MATCH('Lorri 401b'!N6167,'Retirement Calculator'!A:A,0),0),0)</f>
        <v>0</v>
      </c>
      <c r="K6167" s="455">
        <f t="shared" ca="1" si="203"/>
        <v>-239532176633112.84</v>
      </c>
      <c r="L6167" s="455">
        <f t="shared" ca="1" si="204"/>
        <v>-5.7727254568580192E+16</v>
      </c>
      <c r="M6167" s="471">
        <f t="shared" si="206"/>
        <v>0.05</v>
      </c>
      <c r="N6167" s="475">
        <f t="shared" si="207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05"/>
        <v>-5.7727254568580192E+16</v>
      </c>
      <c r="J6168" s="455">
        <f t="array" ref="J6168">IFERROR(INDEX('Retirement Calculator'!K:K,MATCH('Lorri 401b'!N6168,'Retirement Calculator'!A:A,0),0),0)</f>
        <v>0</v>
      </c>
      <c r="K6168" s="455">
        <f t="shared" ca="1" si="203"/>
        <v>-240530227369084.13</v>
      </c>
      <c r="L6168" s="455">
        <f t="shared" ca="1" si="204"/>
        <v>-5.796778479594928E+16</v>
      </c>
      <c r="M6168" s="471">
        <f t="shared" si="206"/>
        <v>0.05</v>
      </c>
      <c r="N6168" s="475">
        <f t="shared" si="207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05"/>
        <v>-5.796778479594928E+16</v>
      </c>
      <c r="J6169" s="455">
        <f t="array" ref="J6169">IFERROR(INDEX('Retirement Calculator'!K:K,MATCH('Lorri 401b'!N6169,'Retirement Calculator'!A:A,0),0),0)</f>
        <v>0</v>
      </c>
      <c r="K6169" s="455">
        <f t="shared" ca="1" si="203"/>
        <v>-241532436649788.69</v>
      </c>
      <c r="L6169" s="455">
        <f t="shared" ca="1" si="204"/>
        <v>-5.8209317232599072E+16</v>
      </c>
      <c r="M6169" s="471">
        <f t="shared" si="206"/>
        <v>0.05</v>
      </c>
      <c r="N6169" s="475">
        <f t="shared" si="207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05"/>
        <v>-5.8209317232599072E+16</v>
      </c>
      <c r="J6170" s="455">
        <f t="array" ref="J6170">IFERROR(INDEX('Retirement Calculator'!K:K,MATCH('Lorri 401b'!N6170,'Retirement Calculator'!A:A,0),0),0)</f>
        <v>0</v>
      </c>
      <c r="K6170" s="455">
        <f t="shared" ca="1" si="203"/>
        <v>-242538821802496.13</v>
      </c>
      <c r="L6170" s="455">
        <f t="shared" ca="1" si="204"/>
        <v>-5.8451856054401568E+16</v>
      </c>
      <c r="M6170" s="471">
        <f t="shared" si="206"/>
        <v>0.05</v>
      </c>
      <c r="N6170" s="475">
        <f t="shared" si="207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05"/>
        <v>-5.8451856054401568E+16</v>
      </c>
      <c r="J6171" s="455">
        <f t="array" ref="J6171">IFERROR(INDEX('Retirement Calculator'!K:K,MATCH('Lorri 401b'!N6171,'Retirement Calculator'!A:A,0),0),0)</f>
        <v>0</v>
      </c>
      <c r="K6171" s="455">
        <f t="shared" ca="1" si="203"/>
        <v>-243549400226673.19</v>
      </c>
      <c r="L6171" s="455">
        <f t="shared" ca="1" si="204"/>
        <v>-5.869540545462824E+16</v>
      </c>
      <c r="M6171" s="471">
        <f t="shared" si="206"/>
        <v>0.05</v>
      </c>
      <c r="N6171" s="475">
        <f t="shared" si="207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05"/>
        <v>-5.869540545462824E+16</v>
      </c>
      <c r="J6172" s="455">
        <f t="array" ref="J6172">IFERROR(INDEX('Retirement Calculator'!K:K,MATCH('Lorri 401b'!N6172,'Retirement Calculator'!A:A,0),0),0)</f>
        <v>0</v>
      </c>
      <c r="K6172" s="455">
        <f t="shared" ca="1" si="203"/>
        <v>-244564189394284.34</v>
      </c>
      <c r="L6172" s="455">
        <f t="shared" ca="1" si="204"/>
        <v>-5.8939969644022528E+16</v>
      </c>
      <c r="M6172" s="471">
        <f t="shared" si="206"/>
        <v>0.05</v>
      </c>
      <c r="N6172" s="475">
        <f t="shared" si="207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05"/>
        <v>-5.8939969644022528E+16</v>
      </c>
      <c r="J6173" s="455">
        <f t="array" ref="J6173">IFERROR(INDEX('Retirement Calculator'!K:K,MATCH('Lorri 401b'!N6173,'Retirement Calculator'!A:A,0),0),0)</f>
        <v>0</v>
      </c>
      <c r="K6173" s="455">
        <f t="shared" ca="1" si="203"/>
        <v>-245583206850093.91</v>
      </c>
      <c r="L6173" s="455">
        <f t="shared" ca="1" si="204"/>
        <v>-5.9185552850872624E+16</v>
      </c>
      <c r="M6173" s="471">
        <f t="shared" si="206"/>
        <v>0.05</v>
      </c>
      <c r="N6173" s="475">
        <f t="shared" si="207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05"/>
        <v>-5.9185552850872624E+16</v>
      </c>
      <c r="J6174" s="455">
        <f t="array" ref="J6174">IFERROR(INDEX('Retirement Calculator'!K:K,MATCH('Lorri 401b'!N6174,'Retirement Calculator'!A:A,0),0),0)</f>
        <v>0</v>
      </c>
      <c r="K6174" s="455">
        <f t="shared" ca="1" si="203"/>
        <v>-246606470211969.25</v>
      </c>
      <c r="L6174" s="455">
        <f t="shared" ca="1" si="204"/>
        <v>-5.9432159321084592E+16</v>
      </c>
      <c r="M6174" s="471">
        <f t="shared" si="206"/>
        <v>0.05</v>
      </c>
      <c r="N6174" s="475">
        <f t="shared" si="207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05"/>
        <v>-5.9432159321084592E+16</v>
      </c>
      <c r="J6175" s="455">
        <f t="array" ref="J6175">IFERROR(INDEX('Retirement Calculator'!K:K,MATCH('Lorri 401b'!N6175,'Retirement Calculator'!A:A,0),0),0)</f>
        <v>0</v>
      </c>
      <c r="K6175" s="455">
        <f t="shared" ca="1" si="203"/>
        <v>-247633997171185.78</v>
      </c>
      <c r="L6175" s="455">
        <f t="shared" ca="1" si="204"/>
        <v>-5.9679793318255776E+16</v>
      </c>
      <c r="M6175" s="471">
        <f t="shared" si="206"/>
        <v>0.05</v>
      </c>
      <c r="N6175" s="475">
        <f t="shared" si="207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05"/>
        <v>-5.9679793318255776E+16</v>
      </c>
      <c r="J6176" s="455">
        <f t="array" ref="J6176">IFERROR(INDEX('Retirement Calculator'!K:K,MATCH('Lorri 401b'!N6176,'Retirement Calculator'!A:A,0),0),0)</f>
        <v>0</v>
      </c>
      <c r="K6176" s="455">
        <f t="shared" ca="1" si="203"/>
        <v>-248665805492732.44</v>
      </c>
      <c r="L6176" s="455">
        <f t="shared" ca="1" si="204"/>
        <v>-5.9928459123748512E+16</v>
      </c>
      <c r="M6176" s="471">
        <f t="shared" si="206"/>
        <v>0.05</v>
      </c>
      <c r="N6176" s="475">
        <f t="shared" si="207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05"/>
        <v>-5.9928459123748512E+16</v>
      </c>
      <c r="J6177" s="455">
        <f t="array" ref="J6177">IFERROR(INDEX('Retirement Calculator'!K:K,MATCH('Lorri 401b'!N6177,'Retirement Calculator'!A:A,0),0),0)</f>
        <v>0</v>
      </c>
      <c r="K6177" s="455">
        <f t="shared" ca="1" si="203"/>
        <v>-249701913015618.78</v>
      </c>
      <c r="L6177" s="455">
        <f t="shared" ca="1" si="204"/>
        <v>-6.0178161036764128E+16</v>
      </c>
      <c r="M6177" s="471">
        <f t="shared" si="206"/>
        <v>0.05</v>
      </c>
      <c r="N6177" s="475">
        <f t="shared" si="207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05"/>
        <v>-6.0178161036764128E+16</v>
      </c>
      <c r="J6178" s="455">
        <f t="array" ref="J6178">IFERROR(INDEX('Retirement Calculator'!K:K,MATCH('Lorri 401b'!N6178,'Retirement Calculator'!A:A,0),0),0)</f>
        <v>0</v>
      </c>
      <c r="K6178" s="455">
        <f t="shared" ca="1" si="203"/>
        <v>-250742337653183.88</v>
      </c>
      <c r="L6178" s="455">
        <f t="shared" ca="1" si="204"/>
        <v>-6.0428903374417312E+16</v>
      </c>
      <c r="M6178" s="471">
        <f t="shared" si="206"/>
        <v>0.05</v>
      </c>
      <c r="N6178" s="475">
        <f t="shared" si="207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05"/>
        <v>-6.0428903374417312E+16</v>
      </c>
      <c r="J6179" s="455">
        <f t="array" ref="J6179">IFERROR(INDEX('Retirement Calculator'!K:K,MATCH('Lorri 401b'!N6179,'Retirement Calculator'!A:A,0),0),0)</f>
        <v>0</v>
      </c>
      <c r="K6179" s="455">
        <f t="shared" ca="1" si="203"/>
        <v>-251787097393405.5</v>
      </c>
      <c r="L6179" s="455">
        <f t="shared" ca="1" si="204"/>
        <v>-6.068069047181072E+16</v>
      </c>
      <c r="M6179" s="471">
        <f t="shared" si="206"/>
        <v>0.05</v>
      </c>
      <c r="N6179" s="475">
        <f t="shared" si="207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05"/>
        <v>-6.068069047181072E+16</v>
      </c>
      <c r="J6180" s="455">
        <f t="array" ref="J6180">IFERROR(INDEX('Retirement Calculator'!K:K,MATCH('Lorri 401b'!N6180,'Retirement Calculator'!A:A,0),0),0)</f>
        <v>0</v>
      </c>
      <c r="K6180" s="455">
        <f t="shared" ca="1" si="203"/>
        <v>-252836210299211.28</v>
      </c>
      <c r="L6180" s="455">
        <f t="shared" ca="1" si="204"/>
        <v>-6.0933526682109928E+16</v>
      </c>
      <c r="M6180" s="471">
        <f t="shared" si="206"/>
        <v>0.05</v>
      </c>
      <c r="N6180" s="475">
        <f t="shared" si="207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05"/>
        <v>-6.0933526682109928E+16</v>
      </c>
      <c r="J6181" s="455">
        <f t="array" ref="J6181">IFERROR(INDEX('Retirement Calculator'!K:K,MATCH('Lorri 401b'!N6181,'Retirement Calculator'!A:A,0),0),0)</f>
        <v>0</v>
      </c>
      <c r="K6181" s="455">
        <f t="shared" ca="1" si="203"/>
        <v>-253889694508791.38</v>
      </c>
      <c r="L6181" s="455">
        <f t="shared" ca="1" si="204"/>
        <v>-6.118741637661872E+16</v>
      </c>
      <c r="M6181" s="471">
        <f t="shared" si="206"/>
        <v>0.05</v>
      </c>
      <c r="N6181" s="475">
        <f t="shared" si="207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05"/>
        <v>-6.118741637661872E+16</v>
      </c>
      <c r="J6182" s="455">
        <f t="array" ref="J6182">IFERROR(INDEX('Retirement Calculator'!K:K,MATCH('Lorri 401b'!N6182,'Retirement Calculator'!A:A,0),0),0)</f>
        <v>0</v>
      </c>
      <c r="K6182" s="455">
        <f t="shared" ca="1" si="203"/>
        <v>-254947568235911.34</v>
      </c>
      <c r="L6182" s="455">
        <f t="shared" ca="1" si="204"/>
        <v>-6.1442363944854632E+16</v>
      </c>
      <c r="M6182" s="471">
        <f t="shared" si="206"/>
        <v>0.05</v>
      </c>
      <c r="N6182" s="475">
        <f t="shared" si="207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05"/>
        <v>-6.1442363944854632E+16</v>
      </c>
      <c r="J6183" s="455">
        <f t="array" ref="J6183">IFERROR(INDEX('Retirement Calculator'!K:K,MATCH('Lorri 401b'!N6183,'Retirement Calculator'!A:A,0),0),0)</f>
        <v>0</v>
      </c>
      <c r="K6183" s="455">
        <f t="shared" ca="1" si="203"/>
        <v>-256009849770227.63</v>
      </c>
      <c r="L6183" s="455">
        <f t="shared" ca="1" si="204"/>
        <v>-6.1698373794624856E+16</v>
      </c>
      <c r="M6183" s="471">
        <f t="shared" si="206"/>
        <v>0.05</v>
      </c>
      <c r="N6183" s="475">
        <f t="shared" si="207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05"/>
        <v>-6.1698373794624856E+16</v>
      </c>
      <c r="J6184" s="455">
        <f t="array" ref="J6184">IFERROR(INDEX('Retirement Calculator'!K:K,MATCH('Lorri 401b'!N6184,'Retirement Calculator'!A:A,0),0),0)</f>
        <v>0</v>
      </c>
      <c r="K6184" s="455">
        <f t="shared" ca="1" si="203"/>
        <v>-257076557477603.53</v>
      </c>
      <c r="L6184" s="455">
        <f t="shared" ca="1" si="204"/>
        <v>-6.1955450352102456E+16</v>
      </c>
      <c r="M6184" s="471">
        <f t="shared" si="206"/>
        <v>0.05</v>
      </c>
      <c r="N6184" s="475">
        <f t="shared" si="207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05"/>
        <v>-6.1955450352102456E+16</v>
      </c>
      <c r="J6185" s="455">
        <f t="array" ref="J6185">IFERROR(INDEX('Retirement Calculator'!K:K,MATCH('Lorri 401b'!N6185,'Retirement Calculator'!A:A,0),0),0)</f>
        <v>0</v>
      </c>
      <c r="K6185" s="455">
        <f t="shared" ca="1" si="203"/>
        <v>-258147709800426.91</v>
      </c>
      <c r="L6185" s="455">
        <f t="shared" ca="1" si="204"/>
        <v>-6.221359806190288E+16</v>
      </c>
      <c r="M6185" s="471">
        <f t="shared" si="206"/>
        <v>0.05</v>
      </c>
      <c r="N6185" s="475">
        <f t="shared" si="207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05"/>
        <v>-6.221359806190288E+16</v>
      </c>
      <c r="J6186" s="455">
        <f t="array" ref="J6186">IFERROR(INDEX('Retirement Calculator'!K:K,MATCH('Lorri 401b'!N6186,'Retirement Calculator'!A:A,0),0),0)</f>
        <v>0</v>
      </c>
      <c r="K6186" s="455">
        <f t="shared" ca="1" si="203"/>
        <v>-259223325257928.63</v>
      </c>
      <c r="L6186" s="455">
        <f t="shared" ca="1" si="204"/>
        <v>-6.2472821387160808E+16</v>
      </c>
      <c r="M6186" s="471">
        <f t="shared" si="206"/>
        <v>0.05</v>
      </c>
      <c r="N6186" s="475">
        <f t="shared" si="207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05"/>
        <v>-6.2472821387160808E+16</v>
      </c>
      <c r="J6187" s="455">
        <f t="array" ref="J6187">IFERROR(INDEX('Retirement Calculator'!K:K,MATCH('Lorri 401b'!N6187,'Retirement Calculator'!A:A,0),0),0)</f>
        <v>0</v>
      </c>
      <c r="K6187" s="455">
        <f t="shared" ca="1" si="203"/>
        <v>-260303422446503.38</v>
      </c>
      <c r="L6187" s="455">
        <f t="shared" ca="1" si="204"/>
        <v>-6.2733124809607312E+16</v>
      </c>
      <c r="M6187" s="471">
        <f t="shared" si="206"/>
        <v>0.05</v>
      </c>
      <c r="N6187" s="475">
        <f t="shared" si="207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05"/>
        <v>-6.2733124809607312E+16</v>
      </c>
      <c r="J6188" s="455">
        <f t="array" ref="J6188">IFERROR(INDEX('Retirement Calculator'!K:K,MATCH('Lorri 401b'!N6188,'Retirement Calculator'!A:A,0),0),0)</f>
        <v>0</v>
      </c>
      <c r="K6188" s="455">
        <f t="shared" ca="1" si="203"/>
        <v>-261388020040030.5</v>
      </c>
      <c r="L6188" s="455">
        <f t="shared" ca="1" si="204"/>
        <v>-6.2994512829647344E+16</v>
      </c>
      <c r="M6188" s="471">
        <f t="shared" si="206"/>
        <v>0.05</v>
      </c>
      <c r="N6188" s="475">
        <f t="shared" si="207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05"/>
        <v>-6.2994512829647344E+16</v>
      </c>
      <c r="J6189" s="455">
        <f t="array" ref="J6189">IFERROR(INDEX('Retirement Calculator'!K:K,MATCH('Lorri 401b'!N6189,'Retirement Calculator'!A:A,0),0),0)</f>
        <v>0</v>
      </c>
      <c r="K6189" s="455">
        <f t="shared" ca="1" si="203"/>
        <v>-262477136790197.25</v>
      </c>
      <c r="L6189" s="455">
        <f t="shared" ca="1" si="204"/>
        <v>-6.3256989966437544E+16</v>
      </c>
      <c r="M6189" s="471">
        <f t="shared" si="206"/>
        <v>0.05</v>
      </c>
      <c r="N6189" s="475">
        <f t="shared" si="207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05"/>
        <v>-6.3256989966437544E+16</v>
      </c>
      <c r="J6190" s="455">
        <f t="array" ref="J6190">IFERROR(INDEX('Retirement Calculator'!K:K,MATCH('Lorri 401b'!N6190,'Retirement Calculator'!A:A,0),0),0)</f>
        <v>0</v>
      </c>
      <c r="K6190" s="455">
        <f t="shared" ca="1" si="203"/>
        <v>-263570791526823.06</v>
      </c>
      <c r="L6190" s="455">
        <f t="shared" ca="1" si="204"/>
        <v>-6.3520560757964368E+16</v>
      </c>
      <c r="M6190" s="471">
        <f t="shared" si="206"/>
        <v>0.05</v>
      </c>
      <c r="N6190" s="475">
        <f t="shared" si="207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05"/>
        <v>-6.3520560757964368E+16</v>
      </c>
      <c r="J6191" s="455">
        <f t="array" ref="J6191">IFERROR(INDEX('Retirement Calculator'!K:K,MATCH('Lorri 401b'!N6191,'Retirement Calculator'!A:A,0),0),0)</f>
        <v>0</v>
      </c>
      <c r="K6191" s="455">
        <f t="shared" ca="1" si="203"/>
        <v>-264669003158184.91</v>
      </c>
      <c r="L6191" s="455">
        <f t="shared" ca="1" si="204"/>
        <v>-6.3785229761122552E+16</v>
      </c>
      <c r="M6191" s="471">
        <f t="shared" si="206"/>
        <v>0.05</v>
      </c>
      <c r="N6191" s="475">
        <f t="shared" si="207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05"/>
        <v>-6.3785229761122552E+16</v>
      </c>
      <c r="J6192" s="455">
        <f t="array" ref="J6192">IFERROR(INDEX('Retirement Calculator'!K:K,MATCH('Lorri 401b'!N6192,'Retirement Calculator'!A:A,0),0),0)</f>
        <v>0</v>
      </c>
      <c r="K6192" s="455">
        <f t="shared" ca="1" si="203"/>
        <v>-265771790671343.97</v>
      </c>
      <c r="L6192" s="455">
        <f t="shared" ca="1" si="204"/>
        <v>-6.4051001551793896E+16</v>
      </c>
      <c r="M6192" s="471">
        <f t="shared" si="206"/>
        <v>0.05</v>
      </c>
      <c r="N6192" s="475">
        <f t="shared" si="207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05"/>
        <v>-6.4051001551793896E+16</v>
      </c>
      <c r="J6193" s="455">
        <f t="array" ref="J6193">IFERROR(INDEX('Retirement Calculator'!K:K,MATCH('Lorri 401b'!N6193,'Retirement Calculator'!A:A,0),0),0)</f>
        <v>0</v>
      </c>
      <c r="K6193" s="455">
        <f t="shared" ca="1" si="203"/>
        <v>-266879173132474.59</v>
      </c>
      <c r="L6193" s="455">
        <f t="shared" ca="1" si="204"/>
        <v>-6.4317880724926368E+16</v>
      </c>
      <c r="M6193" s="471">
        <f t="shared" si="206"/>
        <v>0.05</v>
      </c>
      <c r="N6193" s="475">
        <f t="shared" si="207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05"/>
        <v>-6.4317880724926368E+16</v>
      </c>
      <c r="J6194" s="455">
        <f t="array" ref="J6194">IFERROR(INDEX('Retirement Calculator'!K:K,MATCH('Lorri 401b'!N6194,'Retirement Calculator'!A:A,0),0),0)</f>
        <v>0</v>
      </c>
      <c r="K6194" s="455">
        <f t="shared" ca="1" si="203"/>
        <v>-267991169687193.19</v>
      </c>
      <c r="L6194" s="455">
        <f t="shared" ca="1" si="204"/>
        <v>-6.458587189461356E+16</v>
      </c>
      <c r="M6194" s="471">
        <f t="shared" si="206"/>
        <v>0.05</v>
      </c>
      <c r="N6194" s="475">
        <f t="shared" si="207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05"/>
        <v>-6.458587189461356E+16</v>
      </c>
      <c r="J6195" s="455">
        <f t="array" ref="J6195">IFERROR(INDEX('Retirement Calculator'!K:K,MATCH('Lorri 401b'!N6195,'Retirement Calculator'!A:A,0),0),0)</f>
        <v>0</v>
      </c>
      <c r="K6195" s="455">
        <f t="shared" ca="1" si="203"/>
        <v>-269107799560889.84</v>
      </c>
      <c r="L6195" s="455">
        <f t="shared" ca="1" si="204"/>
        <v>-6.4854979694174448E+16</v>
      </c>
      <c r="M6195" s="471">
        <f t="shared" si="206"/>
        <v>0.05</v>
      </c>
      <c r="N6195" s="475">
        <f t="shared" si="207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05"/>
        <v>-6.4854979694174448E+16</v>
      </c>
      <c r="J6196" s="455">
        <f t="array" ref="J6196">IFERROR(INDEX('Retirement Calculator'!K:K,MATCH('Lorri 401b'!N6196,'Retirement Calculator'!A:A,0),0),0)</f>
        <v>0</v>
      </c>
      <c r="K6196" s="455">
        <f t="shared" ca="1" si="203"/>
        <v>-270229082059060.19</v>
      </c>
      <c r="L6196" s="455">
        <f t="shared" ca="1" si="204"/>
        <v>-6.5125208776233512E+16</v>
      </c>
      <c r="M6196" s="471">
        <f t="shared" si="206"/>
        <v>0.05</v>
      </c>
      <c r="N6196" s="475">
        <f t="shared" si="207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05"/>
        <v>-6.5125208776233512E+16</v>
      </c>
      <c r="J6197" s="455">
        <f t="array" ref="J6197">IFERROR(INDEX('Retirement Calculator'!K:K,MATCH('Lorri 401b'!N6197,'Retirement Calculator'!A:A,0),0),0)</f>
        <v>0</v>
      </c>
      <c r="K6197" s="455">
        <f t="shared" ca="1" si="203"/>
        <v>-271355036567639.59</v>
      </c>
      <c r="L6197" s="455">
        <f t="shared" ca="1" si="204"/>
        <v>-6.5396563812801152E+16</v>
      </c>
      <c r="M6197" s="471">
        <f t="shared" si="206"/>
        <v>0.05</v>
      </c>
      <c r="N6197" s="475">
        <f t="shared" si="207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05"/>
        <v>-6.5396563812801152E+16</v>
      </c>
      <c r="J6198" s="455">
        <f t="array" ref="J6198">IFERROR(INDEX('Retirement Calculator'!K:K,MATCH('Lorri 401b'!N6198,'Retirement Calculator'!A:A,0),0),0)</f>
        <v>0</v>
      </c>
      <c r="K6198" s="455">
        <f t="shared" ca="1" si="203"/>
        <v>-272485682553338.13</v>
      </c>
      <c r="L6198" s="455">
        <f t="shared" ca="1" si="204"/>
        <v>-6.5669049495354488E+16</v>
      </c>
      <c r="M6198" s="471">
        <f t="shared" si="206"/>
        <v>0.05</v>
      </c>
      <c r="N6198" s="475">
        <f t="shared" si="207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05"/>
        <v>-6.5669049495354488E+16</v>
      </c>
      <c r="J6199" s="455">
        <f t="array" ref="J6199">IFERROR(INDEX('Retirement Calculator'!K:K,MATCH('Lorri 401b'!N6199,'Retirement Calculator'!A:A,0),0),0)</f>
        <v>0</v>
      </c>
      <c r="K6199" s="455">
        <f t="shared" ca="1" si="203"/>
        <v>-273621039563977.03</v>
      </c>
      <c r="L6199" s="455">
        <f t="shared" ca="1" si="204"/>
        <v>-6.5942670534918464E+16</v>
      </c>
      <c r="M6199" s="471">
        <f t="shared" si="206"/>
        <v>0.05</v>
      </c>
      <c r="N6199" s="475">
        <f t="shared" si="207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05"/>
        <v>-6.5942670534918464E+16</v>
      </c>
      <c r="J6200" s="455">
        <f t="array" ref="J6200">IFERROR(INDEX('Retirement Calculator'!K:K,MATCH('Lorri 401b'!N6200,'Retirement Calculator'!A:A,0),0),0)</f>
        <v>0</v>
      </c>
      <c r="K6200" s="455">
        <f t="shared" ca="1" si="203"/>
        <v>-274761127228826.94</v>
      </c>
      <c r="L6200" s="455">
        <f t="shared" ca="1" si="204"/>
        <v>-6.6217431662147288E+16</v>
      </c>
      <c r="M6200" s="471">
        <f t="shared" si="206"/>
        <v>0.05</v>
      </c>
      <c r="N6200" s="475">
        <f t="shared" si="207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05"/>
        <v>-6.6217431662147288E+16</v>
      </c>
      <c r="J6201" s="455">
        <f t="array" ref="J6201">IFERROR(INDEX('Retirement Calculator'!K:K,MATCH('Lorri 401b'!N6201,'Retirement Calculator'!A:A,0),0),0)</f>
        <v>0</v>
      </c>
      <c r="K6201" s="455">
        <f t="shared" ca="1" si="203"/>
        <v>-275905965258947</v>
      </c>
      <c r="L6201" s="455">
        <f t="shared" ca="1" si="204"/>
        <v>-6.6493337627406232E+16</v>
      </c>
      <c r="M6201" s="471">
        <f t="shared" si="206"/>
        <v>0.05</v>
      </c>
      <c r="N6201" s="475">
        <f t="shared" si="207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05"/>
        <v>-6.6493337627406232E+16</v>
      </c>
      <c r="J6202" s="455">
        <f t="array" ref="J6202">IFERROR(INDEX('Retirement Calculator'!K:K,MATCH('Lorri 401b'!N6202,'Retirement Calculator'!A:A,0),0),0)</f>
        <v>0</v>
      </c>
      <c r="K6202" s="455">
        <f t="shared" ca="1" si="203"/>
        <v>-277055573447525.97</v>
      </c>
      <c r="L6202" s="455">
        <f t="shared" ca="1" si="204"/>
        <v>-6.677039320085376E+16</v>
      </c>
      <c r="M6202" s="471">
        <f t="shared" si="206"/>
        <v>0.05</v>
      </c>
      <c r="N6202" s="475">
        <f t="shared" si="207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05"/>
        <v>-6.677039320085376E+16</v>
      </c>
      <c r="J6203" s="455">
        <f t="array" ref="J6203">IFERROR(INDEX('Retirement Calculator'!K:K,MATCH('Lorri 401b'!N6203,'Retirement Calculator'!A:A,0),0),0)</f>
        <v>0</v>
      </c>
      <c r="K6203" s="455">
        <f t="shared" ca="1" si="203"/>
        <v>-278209971670224</v>
      </c>
      <c r="L6203" s="455">
        <f t="shared" ca="1" si="204"/>
        <v>-6.7048603172523984E+16</v>
      </c>
      <c r="M6203" s="471">
        <f t="shared" si="206"/>
        <v>0.05</v>
      </c>
      <c r="N6203" s="475">
        <f t="shared" si="207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05"/>
        <v>-6.7048603172523984E+16</v>
      </c>
      <c r="J6204" s="455">
        <f t="array" ref="J6204">IFERROR(INDEX('Retirement Calculator'!K:K,MATCH('Lorri 401b'!N6204,'Retirement Calculator'!A:A,0),0),0)</f>
        <v>0</v>
      </c>
      <c r="K6204" s="455">
        <f t="shared" ca="1" si="203"/>
        <v>-279369179885516.59</v>
      </c>
      <c r="L6204" s="455">
        <f t="shared" ca="1" si="204"/>
        <v>-6.7327972352409504E+16</v>
      </c>
      <c r="M6204" s="471">
        <f t="shared" si="206"/>
        <v>0.05</v>
      </c>
      <c r="N6204" s="475">
        <f t="shared" si="207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05"/>
        <v>-6.7327972352409504E+16</v>
      </c>
      <c r="J6205" s="455">
        <f t="array" ref="J6205">IFERROR(INDEX('Retirement Calculator'!K:K,MATCH('Lorri 401b'!N6205,'Retirement Calculator'!A:A,0),0),0)</f>
        <v>0</v>
      </c>
      <c r="K6205" s="455">
        <f t="shared" ca="1" si="203"/>
        <v>-280533218135039.59</v>
      </c>
      <c r="L6205" s="455">
        <f t="shared" ca="1" si="204"/>
        <v>-6.7608505570544544E+16</v>
      </c>
      <c r="M6205" s="471">
        <f t="shared" si="206"/>
        <v>0.05</v>
      </c>
      <c r="N6205" s="475">
        <f t="shared" si="207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05"/>
        <v>-6.7608505570544544E+16</v>
      </c>
      <c r="J6206" s="455">
        <f t="array" ref="J6206">IFERROR(INDEX('Retirement Calculator'!K:K,MATCH('Lorri 401b'!N6206,'Retirement Calculator'!A:A,0),0),0)</f>
        <v>0</v>
      </c>
      <c r="K6206" s="455">
        <f t="shared" ca="1" si="203"/>
        <v>-281702106543935.63</v>
      </c>
      <c r="L6206" s="455">
        <f t="shared" ca="1" si="204"/>
        <v>-6.789020767708848E+16</v>
      </c>
      <c r="M6206" s="471">
        <f t="shared" si="206"/>
        <v>0.05</v>
      </c>
      <c r="N6206" s="475">
        <f t="shared" si="207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05"/>
        <v>-6.789020767708848E+16</v>
      </c>
      <c r="J6207" s="455">
        <f t="array" ref="J6207">IFERROR(INDEX('Retirement Calculator'!K:K,MATCH('Lorri 401b'!N6207,'Retirement Calculator'!A:A,0),0),0)</f>
        <v>0</v>
      </c>
      <c r="K6207" s="455">
        <f t="shared" ca="1" si="203"/>
        <v>-282875865321202</v>
      </c>
      <c r="L6207" s="455">
        <f t="shared" ca="1" si="204"/>
        <v>-6.817308354240968E+16</v>
      </c>
      <c r="M6207" s="471">
        <f t="shared" si="206"/>
        <v>0.05</v>
      </c>
      <c r="N6207" s="475">
        <f t="shared" si="207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05"/>
        <v>-6.817308354240968E+16</v>
      </c>
      <c r="J6208" s="455">
        <f t="array" ref="J6208">IFERROR(INDEX('Retirement Calculator'!K:K,MATCH('Lorri 401b'!N6208,'Retirement Calculator'!A:A,0),0),0)</f>
        <v>0</v>
      </c>
      <c r="K6208" s="455">
        <f t="shared" ca="1" si="203"/>
        <v>-284054514760040.38</v>
      </c>
      <c r="L6208" s="455">
        <f t="shared" ca="1" si="204"/>
        <v>-6.845713805716972E+16</v>
      </c>
      <c r="M6208" s="471">
        <f t="shared" si="206"/>
        <v>0.05</v>
      </c>
      <c r="N6208" s="475">
        <f t="shared" si="207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05"/>
        <v>-6.845713805716972E+16</v>
      </c>
      <c r="J6209" s="455">
        <f t="array" ref="J6209">IFERROR(INDEX('Retirement Calculator'!K:K,MATCH('Lorri 401b'!N6209,'Retirement Calculator'!A:A,0),0),0)</f>
        <v>0</v>
      </c>
      <c r="K6209" s="455">
        <f t="shared" ca="1" si="203"/>
        <v>-285238075238207.19</v>
      </c>
      <c r="L6209" s="455">
        <f t="shared" ca="1" si="204"/>
        <v>-6.8742376132407928E+16</v>
      </c>
      <c r="M6209" s="471">
        <f t="shared" si="206"/>
        <v>0.05</v>
      </c>
      <c r="N6209" s="475">
        <f t="shared" si="207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05"/>
        <v>-6.8742376132407928E+16</v>
      </c>
      <c r="J6210" s="455">
        <f t="array" ref="J6210">IFERROR(INDEX('Retirement Calculator'!K:K,MATCH('Lorri 401b'!N6210,'Retirement Calculator'!A:A,0),0),0)</f>
        <v>0</v>
      </c>
      <c r="K6210" s="455">
        <f t="shared" ca="1" si="203"/>
        <v>-286426567218366.31</v>
      </c>
      <c r="L6210" s="455">
        <f t="shared" ca="1" si="204"/>
        <v>-6.9028802699626296E+16</v>
      </c>
      <c r="M6210" s="471">
        <f t="shared" si="206"/>
        <v>0.05</v>
      </c>
      <c r="N6210" s="475">
        <f t="shared" si="207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05"/>
        <v>-6.9028802699626296E+16</v>
      </c>
      <c r="J6211" s="455">
        <f t="array" ref="J6211">IFERROR(INDEX('Retirement Calculator'!K:K,MATCH('Lorri 401b'!N6211,'Retirement Calculator'!A:A,0),0),0)</f>
        <v>0</v>
      </c>
      <c r="K6211" s="455">
        <f t="shared" ca="1" si="203"/>
        <v>-287620011248442.88</v>
      </c>
      <c r="L6211" s="455">
        <f t="shared" ca="1" si="204"/>
        <v>-6.9316422710874736E+16</v>
      </c>
      <c r="M6211" s="471">
        <f t="shared" si="206"/>
        <v>0.05</v>
      </c>
      <c r="N6211" s="475">
        <f t="shared" si="207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05"/>
        <v>-6.9316422710874736E+16</v>
      </c>
      <c r="J6212" s="455">
        <f t="array" ref="J6212">IFERROR(INDEX('Retirement Calculator'!K:K,MATCH('Lorri 401b'!N6212,'Retirement Calculator'!A:A,0),0),0)</f>
        <v>0</v>
      </c>
      <c r="K6212" s="455">
        <f t="shared" ca="1" si="203"/>
        <v>-288818427961978.06</v>
      </c>
      <c r="L6212" s="455">
        <f t="shared" ca="1" si="204"/>
        <v>-6.9605241138836712E+16</v>
      </c>
      <c r="M6212" s="471">
        <f t="shared" si="206"/>
        <v>0.05</v>
      </c>
      <c r="N6212" s="475">
        <f t="shared" si="207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05"/>
        <v>-6.9605241138836712E+16</v>
      </c>
      <c r="J6213" s="455">
        <f t="array" ref="J6213">IFERROR(INDEX('Retirement Calculator'!K:K,MATCH('Lorri 401b'!N6213,'Retirement Calculator'!A:A,0),0),0)</f>
        <v>0</v>
      </c>
      <c r="K6213" s="455">
        <f t="shared" ca="1" si="203"/>
        <v>-290021838078486.31</v>
      </c>
      <c r="L6213" s="455">
        <f t="shared" ca="1" si="204"/>
        <v>-6.98952629769152E+16</v>
      </c>
      <c r="M6213" s="471">
        <f t="shared" si="206"/>
        <v>0.05</v>
      </c>
      <c r="N6213" s="475">
        <f t="shared" si="207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05"/>
        <v>-6.98952629769152E+16</v>
      </c>
      <c r="J6214" s="455">
        <f t="array" ref="J6214">IFERROR(INDEX('Retirement Calculator'!K:K,MATCH('Lorri 401b'!N6214,'Retirement Calculator'!A:A,0),0),0)</f>
        <v>0</v>
      </c>
      <c r="K6214" s="455">
        <f t="shared" ca="1" si="203"/>
        <v>-291230262403813.31</v>
      </c>
      <c r="L6214" s="455">
        <f t="shared" ca="1" si="204"/>
        <v>-7.0186493239319016E+16</v>
      </c>
      <c r="M6214" s="471">
        <f t="shared" si="206"/>
        <v>0.05</v>
      </c>
      <c r="N6214" s="475">
        <f t="shared" si="207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05"/>
        <v>-7.0186493239319016E+16</v>
      </c>
      <c r="J6215" s="455">
        <f t="array" ref="J6215">IFERROR(INDEX('Retirement Calculator'!K:K,MATCH('Lorri 401b'!N6215,'Retirement Calculator'!A:A,0),0),0)</f>
        <v>0</v>
      </c>
      <c r="K6215" s="455">
        <f t="shared" ca="1" si="203"/>
        <v>-292443721830495.88</v>
      </c>
      <c r="L6215" s="455">
        <f t="shared" ca="1" si="204"/>
        <v>-7.0478936961149512E+16</v>
      </c>
      <c r="M6215" s="471">
        <f t="shared" si="206"/>
        <v>0.05</v>
      </c>
      <c r="N6215" s="475">
        <f t="shared" si="207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05"/>
        <v>-7.0478936961149512E+16</v>
      </c>
      <c r="J6216" s="455">
        <f t="array" ref="J6216">IFERROR(INDEX('Retirement Calculator'!K:K,MATCH('Lorri 401b'!N6216,'Retirement Calculator'!A:A,0),0),0)</f>
        <v>0</v>
      </c>
      <c r="K6216" s="455">
        <f t="shared" ca="1" si="203"/>
        <v>-293662237338123</v>
      </c>
      <c r="L6216" s="455">
        <f t="shared" ca="1" si="204"/>
        <v>-7.0772599198487632E+16</v>
      </c>
      <c r="M6216" s="471">
        <f t="shared" si="206"/>
        <v>0.05</v>
      </c>
      <c r="N6216" s="475">
        <f t="shared" si="207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05"/>
        <v>-7.0772599198487632E+16</v>
      </c>
      <c r="J6217" s="455">
        <f t="array" ref="J6217">IFERROR(INDEX('Retirement Calculator'!K:K,MATCH('Lorri 401b'!N6217,'Retirement Calculator'!A:A,0),0),0)</f>
        <v>0</v>
      </c>
      <c r="K6217" s="455">
        <f t="shared" ca="1" si="203"/>
        <v>-294885829993698.44</v>
      </c>
      <c r="L6217" s="455">
        <f t="shared" ca="1" si="204"/>
        <v>-7.1067485028481328E+16</v>
      </c>
      <c r="M6217" s="471">
        <f t="shared" si="206"/>
        <v>0.05</v>
      </c>
      <c r="N6217" s="475">
        <f t="shared" si="207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05"/>
        <v>-7.1067485028481328E+16</v>
      </c>
      <c r="J6218" s="455">
        <f t="array" ref="J6218">IFERROR(INDEX('Retirement Calculator'!K:K,MATCH('Lorri 401b'!N6218,'Retirement Calculator'!A:A,0),0),0)</f>
        <v>0</v>
      </c>
      <c r="K6218" s="455">
        <f t="shared" ca="1" si="203"/>
        <v>-296114520952005.5</v>
      </c>
      <c r="L6218" s="455">
        <f t="shared" ca="1" si="204"/>
        <v>-7.1363599549433336E+16</v>
      </c>
      <c r="M6218" s="471">
        <f t="shared" si="206"/>
        <v>0.05</v>
      </c>
      <c r="N6218" s="475">
        <f t="shared" si="207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05"/>
        <v>-7.1363599549433336E+16</v>
      </c>
      <c r="J6219" s="455">
        <f t="array" ref="J6219">IFERROR(INDEX('Retirement Calculator'!K:K,MATCH('Lorri 401b'!N6219,'Retirement Calculator'!A:A,0),0),0)</f>
        <v>0</v>
      </c>
      <c r="K6219" s="455">
        <f t="shared" ca="1" si="203"/>
        <v>-297348331455972.25</v>
      </c>
      <c r="L6219" s="455">
        <f t="shared" ca="1" si="204"/>
        <v>-7.1660947880889312E+16</v>
      </c>
      <c r="M6219" s="471">
        <f t="shared" si="206"/>
        <v>0.05</v>
      </c>
      <c r="N6219" s="475">
        <f t="shared" si="207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05"/>
        <v>-7.1660947880889312E+16</v>
      </c>
      <c r="J6220" s="455">
        <f t="array" ref="J6220">IFERROR(INDEX('Retirement Calculator'!K:K,MATCH('Lorri 401b'!N6220,'Retirement Calculator'!A:A,0),0),0)</f>
        <v>0</v>
      </c>
      <c r="K6220" s="455">
        <f t="shared" ca="1" si="203"/>
        <v>-298587282837038.81</v>
      </c>
      <c r="L6220" s="455">
        <f t="shared" ca="1" si="204"/>
        <v>-7.1959535163726352E+16</v>
      </c>
      <c r="M6220" s="471">
        <f t="shared" si="206"/>
        <v>0.05</v>
      </c>
      <c r="N6220" s="475">
        <f t="shared" si="207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05"/>
        <v>-7.1959535163726352E+16</v>
      </c>
      <c r="J6221" s="455">
        <f t="array" ref="J6221">IFERROR(INDEX('Retirement Calculator'!K:K,MATCH('Lorri 401b'!N6221,'Retirement Calculator'!A:A,0),0),0)</f>
        <v>0</v>
      </c>
      <c r="K6221" s="455">
        <f t="shared" ca="1" si="203"/>
        <v>-299831396515526.44</v>
      </c>
      <c r="L6221" s="455">
        <f t="shared" ca="1" si="204"/>
        <v>-7.2259366560241872E+16</v>
      </c>
      <c r="M6221" s="471">
        <f t="shared" si="206"/>
        <v>0.05</v>
      </c>
      <c r="N6221" s="475">
        <f t="shared" si="207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05"/>
        <v>-7.2259366560241872E+16</v>
      </c>
      <c r="J6222" s="455">
        <f t="array" ref="J6222">IFERROR(INDEX('Retirement Calculator'!K:K,MATCH('Lorri 401b'!N6222,'Retirement Calculator'!A:A,0),0),0)</f>
        <v>0</v>
      </c>
      <c r="K6222" s="455">
        <f t="shared" ca="1" si="203"/>
        <v>-301080694001007.81</v>
      </c>
      <c r="L6222" s="455">
        <f t="shared" ca="1" si="204"/>
        <v>-7.256044725424288E+16</v>
      </c>
      <c r="M6222" s="471">
        <f t="shared" si="206"/>
        <v>0.05</v>
      </c>
      <c r="N6222" s="475">
        <f t="shared" si="207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05"/>
        <v>-7.256044725424288E+16</v>
      </c>
      <c r="J6223" s="455">
        <f t="array" ref="J6223">IFERROR(INDEX('Retirement Calculator'!K:K,MATCH('Lorri 401b'!N6223,'Retirement Calculator'!A:A,0),0),0)</f>
        <v>0</v>
      </c>
      <c r="K6223" s="455">
        <f t="shared" ca="1" si="203"/>
        <v>-302335196892678.69</v>
      </c>
      <c r="L6223" s="455">
        <f t="shared" ca="1" si="204"/>
        <v>-7.2862782451135552E+16</v>
      </c>
      <c r="M6223" s="471">
        <f t="shared" si="206"/>
        <v>0.05</v>
      </c>
      <c r="N6223" s="475">
        <f t="shared" si="207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05"/>
        <v>-7.2862782451135552E+16</v>
      </c>
      <c r="J6224" s="455">
        <f t="array" ref="J6224">IFERROR(INDEX('Retirement Calculator'!K:K,MATCH('Lorri 401b'!N6224,'Retirement Calculator'!A:A,0),0),0)</f>
        <v>0</v>
      </c>
      <c r="K6224" s="455">
        <f t="shared" ca="1" si="203"/>
        <v>-303594926879731.44</v>
      </c>
      <c r="L6224" s="455">
        <f t="shared" ca="1" si="204"/>
        <v>-7.316637737801528E+16</v>
      </c>
      <c r="M6224" s="471">
        <f t="shared" si="206"/>
        <v>0.05</v>
      </c>
      <c r="N6224" s="475">
        <f t="shared" si="207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05"/>
        <v>-7.316637737801528E+16</v>
      </c>
      <c r="J6225" s="455">
        <f t="array" ref="J6225">IFERROR(INDEX('Retirement Calculator'!K:K,MATCH('Lorri 401b'!N6225,'Retirement Calculator'!A:A,0),0),0)</f>
        <v>0</v>
      </c>
      <c r="K6225" s="455">
        <f t="shared" ca="1" si="203"/>
        <v>-304859905741730.31</v>
      </c>
      <c r="L6225" s="455">
        <f t="shared" ca="1" si="204"/>
        <v>-7.3471237283757008E+16</v>
      </c>
      <c r="M6225" s="471">
        <f t="shared" si="206"/>
        <v>0.05</v>
      </c>
      <c r="N6225" s="475">
        <f t="shared" si="207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05"/>
        <v>-7.3471237283757008E+16</v>
      </c>
      <c r="J6226" s="455">
        <f t="array" ref="J6226">IFERROR(INDEX('Retirement Calculator'!K:K,MATCH('Lorri 401b'!N6226,'Retirement Calculator'!A:A,0),0),0)</f>
        <v>0</v>
      </c>
      <c r="K6226" s="455">
        <f t="shared" ca="1" si="203"/>
        <v>-306130155348987.5</v>
      </c>
      <c r="L6226" s="455">
        <f t="shared" ca="1" si="204"/>
        <v>-7.3777367439106E+16</v>
      </c>
      <c r="M6226" s="471">
        <f t="shared" si="206"/>
        <v>0.05</v>
      </c>
      <c r="N6226" s="475">
        <f t="shared" si="207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05"/>
        <v>-7.3777367439106E+16</v>
      </c>
      <c r="J6227" s="455">
        <f t="array" ref="J6227">IFERROR(INDEX('Retirement Calculator'!K:K,MATCH('Lorri 401b'!N6227,'Retirement Calculator'!A:A,0),0),0)</f>
        <v>0</v>
      </c>
      <c r="K6227" s="455">
        <f t="shared" ca="1" si="203"/>
        <v>-307405697662941.69</v>
      </c>
      <c r="L6227" s="455">
        <f t="shared" ca="1" si="204"/>
        <v>-7.4084773136768944E+16</v>
      </c>
      <c r="M6227" s="471">
        <f t="shared" si="206"/>
        <v>0.05</v>
      </c>
      <c r="N6227" s="475">
        <f t="shared" si="207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05"/>
        <v>-7.4084773136768944E+16</v>
      </c>
      <c r="J6228" s="455">
        <f t="array" ref="J6228">IFERROR(INDEX('Retirement Calculator'!K:K,MATCH('Lorri 401b'!N6228,'Retirement Calculator'!A:A,0),0),0)</f>
        <v>0</v>
      </c>
      <c r="K6228" s="455">
        <f t="shared" ca="1" si="203"/>
        <v>-308686554736537.25</v>
      </c>
      <c r="L6228" s="455">
        <f t="shared" ca="1" si="204"/>
        <v>-7.4393459691505488E+16</v>
      </c>
      <c r="M6228" s="471">
        <f t="shared" si="206"/>
        <v>0.05</v>
      </c>
      <c r="N6228" s="475">
        <f t="shared" si="207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05"/>
        <v>-7.4393459691505488E+16</v>
      </c>
      <c r="J6229" s="455">
        <f t="array" ref="J6229">IFERROR(INDEX('Retirement Calculator'!K:K,MATCH('Lorri 401b'!N6229,'Retirement Calculator'!A:A,0),0),0)</f>
        <v>0</v>
      </c>
      <c r="K6229" s="455">
        <f t="shared" ca="1" si="203"/>
        <v>-309972748714606.19</v>
      </c>
      <c r="L6229" s="455">
        <f t="shared" ca="1" si="204"/>
        <v>-7.4703432440220096E+16</v>
      </c>
      <c r="M6229" s="471">
        <f t="shared" si="206"/>
        <v>0.05</v>
      </c>
      <c r="N6229" s="475">
        <f t="shared" si="207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05"/>
        <v>-7.4703432440220096E+16</v>
      </c>
      <c r="J6230" s="455">
        <f t="array" ref="J6230">IFERROR(INDEX('Retirement Calculator'!K:K,MATCH('Lorri 401b'!N6230,'Retirement Calculator'!A:A,0),0),0)</f>
        <v>0</v>
      </c>
      <c r="K6230" s="455">
        <f t="shared" ca="1" si="203"/>
        <v>-311264301834250.38</v>
      </c>
      <c r="L6230" s="455">
        <f t="shared" ca="1" si="204"/>
        <v>-7.5014696742054352E+16</v>
      </c>
      <c r="M6230" s="471">
        <f t="shared" si="206"/>
        <v>0.05</v>
      </c>
      <c r="N6230" s="475">
        <f t="shared" si="207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05"/>
        <v>-7.5014696742054352E+16</v>
      </c>
      <c r="J6231" s="455">
        <f t="array" ref="J6231">IFERROR(INDEX('Retirement Calculator'!K:K,MATCH('Lorri 401b'!N6231,'Retirement Calculator'!A:A,0),0),0)</f>
        <v>0</v>
      </c>
      <c r="K6231" s="455">
        <f t="shared" ca="1" si="203"/>
        <v>-312561236425226.44</v>
      </c>
      <c r="L6231" s="455">
        <f t="shared" ca="1" si="204"/>
        <v>-7.5327257978479584E+16</v>
      </c>
      <c r="M6231" s="471">
        <f t="shared" si="206"/>
        <v>0.05</v>
      </c>
      <c r="N6231" s="475">
        <f t="shared" si="207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05"/>
        <v>-7.5327257978479584E+16</v>
      </c>
      <c r="J6232" s="455">
        <f t="array" ref="J6232">IFERROR(INDEX('Retirement Calculator'!K:K,MATCH('Lorri 401b'!N6232,'Retirement Calculator'!A:A,0),0),0)</f>
        <v>0</v>
      </c>
      <c r="K6232" s="455">
        <f t="shared" ca="1" si="203"/>
        <v>-313863574910331.63</v>
      </c>
      <c r="L6232" s="455">
        <f t="shared" ca="1" si="204"/>
        <v>-7.564112155338992E+16</v>
      </c>
      <c r="M6232" s="471">
        <f t="shared" si="206"/>
        <v>0.05</v>
      </c>
      <c r="N6232" s="475">
        <f t="shared" si="207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05"/>
        <v>-7.564112155338992E+16</v>
      </c>
      <c r="J6233" s="455">
        <f t="array" ref="J6233">IFERROR(INDEX('Retirement Calculator'!K:K,MATCH('Lorri 401b'!N6233,'Retirement Calculator'!A:A,0),0),0)</f>
        <v>0</v>
      </c>
      <c r="K6233" s="455">
        <f t="shared" ca="1" si="203"/>
        <v>-315171339805791.31</v>
      </c>
      <c r="L6233" s="455">
        <f t="shared" ca="1" si="204"/>
        <v>-7.5956292893195712E+16</v>
      </c>
      <c r="M6233" s="471">
        <f t="shared" si="206"/>
        <v>0.05</v>
      </c>
      <c r="N6233" s="475">
        <f t="shared" si="207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05"/>
        <v>-7.5956292893195712E+16</v>
      </c>
      <c r="J6234" s="455">
        <f t="array" ref="J6234">IFERROR(INDEX('Retirement Calculator'!K:K,MATCH('Lorri 401b'!N6234,'Retirement Calculator'!A:A,0),0),0)</f>
        <v>0</v>
      </c>
      <c r="K6234" s="455">
        <f t="shared" ca="1" si="203"/>
        <v>-316484553721648.81</v>
      </c>
      <c r="L6234" s="455">
        <f t="shared" ca="1" si="204"/>
        <v>-7.627277744691736E+16</v>
      </c>
      <c r="M6234" s="471">
        <f t="shared" si="206"/>
        <v>0.05</v>
      </c>
      <c r="N6234" s="475">
        <f t="shared" si="207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05"/>
        <v>-7.627277744691736E+16</v>
      </c>
      <c r="J6235" s="455">
        <f t="array" ref="J6235">IFERROR(INDEX('Retirement Calculator'!K:K,MATCH('Lorri 401b'!N6235,'Retirement Calculator'!A:A,0),0),0)</f>
        <v>0</v>
      </c>
      <c r="K6235" s="455">
        <f t="shared" ca="1" si="203"/>
        <v>-317803239362155.69</v>
      </c>
      <c r="L6235" s="455">
        <f t="shared" ca="1" si="204"/>
        <v>-7.659058068627952E+16</v>
      </c>
      <c r="M6235" s="471">
        <f t="shared" si="206"/>
        <v>0.05</v>
      </c>
      <c r="N6235" s="475">
        <f t="shared" si="207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05"/>
        <v>-7.659058068627952E+16</v>
      </c>
      <c r="J6236" s="455">
        <f t="array" ref="J6236">IFERROR(INDEX('Retirement Calculator'!K:K,MATCH('Lorri 401b'!N6236,'Retirement Calculator'!A:A,0),0),0)</f>
        <v>0</v>
      </c>
      <c r="K6236" s="455">
        <f t="shared" ca="1" si="203"/>
        <v>-319127419526164.69</v>
      </c>
      <c r="L6236" s="455">
        <f t="shared" ca="1" si="204"/>
        <v>-7.690970810580568E+16</v>
      </c>
      <c r="M6236" s="471">
        <f t="shared" si="206"/>
        <v>0.05</v>
      </c>
      <c r="N6236" s="475">
        <f t="shared" si="207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05"/>
        <v>-7.690970810580568E+16</v>
      </c>
      <c r="J6237" s="455">
        <f t="array" ref="J6237">IFERROR(INDEX('Retirement Calculator'!K:K,MATCH('Lorri 401b'!N6237,'Retirement Calculator'!A:A,0),0),0)</f>
        <v>0</v>
      </c>
      <c r="K6237" s="455">
        <f t="shared" ca="1" si="203"/>
        <v>-320457117107523.69</v>
      </c>
      <c r="L6237" s="455">
        <f t="shared" ca="1" si="204"/>
        <v>-7.72301652229132E+16</v>
      </c>
      <c r="M6237" s="471">
        <f t="shared" si="206"/>
        <v>0.05</v>
      </c>
      <c r="N6237" s="475">
        <f t="shared" si="207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05"/>
        <v>-7.72301652229132E+16</v>
      </c>
      <c r="J6238" s="455">
        <f t="array" ref="J6238">IFERROR(INDEX('Retirement Calculator'!K:K,MATCH('Lorri 401b'!N6238,'Retirement Calculator'!A:A,0),0),0)</f>
        <v>0</v>
      </c>
      <c r="K6238" s="455">
        <f t="shared" ca="1" si="203"/>
        <v>-321792355095471.69</v>
      </c>
      <c r="L6238" s="455">
        <f t="shared" ca="1" si="204"/>
        <v>-7.7551957578008672E+16</v>
      </c>
      <c r="M6238" s="471">
        <f t="shared" si="206"/>
        <v>0.05</v>
      </c>
      <c r="N6238" s="475">
        <f t="shared" si="207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05"/>
        <v>-7.7551957578008672E+16</v>
      </c>
      <c r="J6239" s="455">
        <f t="array" ref="J6239">IFERROR(INDEX('Retirement Calculator'!K:K,MATCH('Lorri 401b'!N6239,'Retirement Calculator'!A:A,0),0),0)</f>
        <v>0</v>
      </c>
      <c r="K6239" s="455">
        <f t="shared" ca="1" si="203"/>
        <v>-323133156575036.13</v>
      </c>
      <c r="L6239" s="455">
        <f t="shared" ca="1" si="204"/>
        <v>-7.7875090734583712E+16</v>
      </c>
      <c r="M6239" s="471">
        <f t="shared" si="206"/>
        <v>0.05</v>
      </c>
      <c r="N6239" s="475">
        <f t="shared" si="207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05"/>
        <v>-7.7875090734583712E+16</v>
      </c>
      <c r="J6240" s="455">
        <f t="array" ref="J6240">IFERROR(INDEX('Retirement Calculator'!K:K,MATCH('Lorri 401b'!N6240,'Retirement Calculator'!A:A,0),0),0)</f>
        <v>0</v>
      </c>
      <c r="K6240" s="455">
        <f t="shared" ca="1" si="203"/>
        <v>-324479544727432.13</v>
      </c>
      <c r="L6240" s="455">
        <f t="shared" ca="1" si="204"/>
        <v>-7.8199570279311152E+16</v>
      </c>
      <c r="M6240" s="471">
        <f t="shared" si="206"/>
        <v>0.05</v>
      </c>
      <c r="N6240" s="475">
        <f t="shared" si="207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05"/>
        <v>-7.8199570279311152E+16</v>
      </c>
      <c r="J6241" s="455">
        <f t="array" ref="J6241">IFERROR(INDEX('Retirement Calculator'!K:K,MATCH('Lorri 401b'!N6241,'Retirement Calculator'!A:A,0),0),0)</f>
        <v>0</v>
      </c>
      <c r="K6241" s="455">
        <f t="shared" ca="1" si="203"/>
        <v>-325831542830463.13</v>
      </c>
      <c r="L6241" s="455">
        <f t="shared" ca="1" si="204"/>
        <v>-7.8525401822141616E+16</v>
      </c>
      <c r="M6241" s="471">
        <f t="shared" si="206"/>
        <v>0.05</v>
      </c>
      <c r="N6241" s="475">
        <f t="shared" si="207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05"/>
        <v>-7.8525401822141616E+16</v>
      </c>
      <c r="J6242" s="455">
        <f t="array" ref="J6242">IFERROR(INDEX('Retirement Calculator'!K:K,MATCH('Lorri 401b'!N6242,'Retirement Calculator'!A:A,0),0),0)</f>
        <v>0</v>
      </c>
      <c r="K6242" s="455">
        <f t="shared" ca="1" si="203"/>
        <v>-327189174258923.38</v>
      </c>
      <c r="L6242" s="455">
        <f t="shared" ca="1" si="204"/>
        <v>-7.8852590996400544E+16</v>
      </c>
      <c r="M6242" s="471">
        <f t="shared" si="206"/>
        <v>0.05</v>
      </c>
      <c r="N6242" s="475">
        <f t="shared" si="207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05"/>
        <v>-7.8852590996400544E+16</v>
      </c>
      <c r="J6243" s="455">
        <f t="array" ref="J6243">IFERROR(INDEX('Retirement Calculator'!K:K,MATCH('Lorri 401b'!N6243,'Retirement Calculator'!A:A,0),0),0)</f>
        <v>0</v>
      </c>
      <c r="K6243" s="455">
        <f t="shared" ca="1" si="203"/>
        <v>-328552462485002.25</v>
      </c>
      <c r="L6243" s="455">
        <f t="shared" ca="1" si="204"/>
        <v>-7.9181143458885552E+16</v>
      </c>
      <c r="M6243" s="471">
        <f t="shared" si="206"/>
        <v>0.05</v>
      </c>
      <c r="N6243" s="475">
        <f t="shared" si="207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05"/>
        <v>-7.9181143458885552E+16</v>
      </c>
      <c r="J6244" s="455">
        <f t="array" ref="J6244">IFERROR(INDEX('Retirement Calculator'!K:K,MATCH('Lorri 401b'!N6244,'Retirement Calculator'!A:A,0),0),0)</f>
        <v>0</v>
      </c>
      <c r="K6244" s="455">
        <f t="shared" ca="1" si="203"/>
        <v>-329921431078689.81</v>
      </c>
      <c r="L6244" s="455">
        <f t="shared" ca="1" si="204"/>
        <v>-7.951106488996424E+16</v>
      </c>
      <c r="M6244" s="471">
        <f t="shared" si="206"/>
        <v>0.05</v>
      </c>
      <c r="N6244" s="475">
        <f t="shared" si="207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05"/>
        <v>-7.951106488996424E+16</v>
      </c>
      <c r="J6245" s="455">
        <f t="array" ref="J6245">IFERROR(INDEX('Retirement Calculator'!K:K,MATCH('Lorri 401b'!N6245,'Retirement Calculator'!A:A,0),0),0)</f>
        <v>0</v>
      </c>
      <c r="K6245" s="455">
        <f t="shared" ca="1" si="203"/>
        <v>-331296103708184.31</v>
      </c>
      <c r="L6245" s="455">
        <f t="shared" ca="1" si="204"/>
        <v>-7.9842360993672432E+16</v>
      </c>
      <c r="M6245" s="471">
        <f t="shared" si="206"/>
        <v>0.05</v>
      </c>
      <c r="N6245" s="475">
        <f t="shared" si="207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05"/>
        <v>-7.9842360993672432E+16</v>
      </c>
      <c r="J6246" s="455">
        <f t="array" ref="J6246">IFERROR(INDEX('Retirement Calculator'!K:K,MATCH('Lorri 401b'!N6246,'Retirement Calculator'!A:A,0),0),0)</f>
        <v>0</v>
      </c>
      <c r="K6246" s="455">
        <f t="shared" ca="1" si="203"/>
        <v>-332676504140301.81</v>
      </c>
      <c r="L6246" s="455">
        <f t="shared" ca="1" si="204"/>
        <v>-8.0175037497812736E+16</v>
      </c>
      <c r="M6246" s="471">
        <f t="shared" si="206"/>
        <v>0.05</v>
      </c>
      <c r="N6246" s="475">
        <f t="shared" si="207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05"/>
        <v>-8.0175037497812736E+16</v>
      </c>
      <c r="J6247" s="455">
        <f t="array" ref="J6247">IFERROR(INDEX('Retirement Calculator'!K:K,MATCH('Lorri 401b'!N6247,'Retirement Calculator'!A:A,0),0),0)</f>
        <v>0</v>
      </c>
      <c r="K6247" s="455">
        <f t="shared" ca="1" si="203"/>
        <v>-334062656240886.38</v>
      </c>
      <c r="L6247" s="455">
        <f t="shared" ca="1" si="204"/>
        <v>-8.0509100154053616E+16</v>
      </c>
      <c r="M6247" s="471">
        <f t="shared" si="206"/>
        <v>0.05</v>
      </c>
      <c r="N6247" s="475">
        <f t="shared" si="207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05"/>
        <v>-8.0509100154053616E+16</v>
      </c>
      <c r="J6248" s="455">
        <f t="array" ref="J6248">IFERROR(INDEX('Retirement Calculator'!K:K,MATCH('Lorri 401b'!N6248,'Retirement Calculator'!A:A,0),0),0)</f>
        <v>0</v>
      </c>
      <c r="K6248" s="455">
        <f t="shared" ca="1" si="203"/>
        <v>-335454583975223.38</v>
      </c>
      <c r="L6248" s="455">
        <f t="shared" ca="1" si="204"/>
        <v>-8.0844554738028832E+16</v>
      </c>
      <c r="M6248" s="471">
        <f t="shared" si="206"/>
        <v>0.05</v>
      </c>
      <c r="N6248" s="475">
        <f t="shared" si="207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05"/>
        <v>-8.0844554738028832E+16</v>
      </c>
      <c r="J6249" s="455">
        <f t="array" ref="J6249">IFERROR(INDEX('Retirement Calculator'!K:K,MATCH('Lorri 401b'!N6249,'Retirement Calculator'!A:A,0),0),0)</f>
        <v>0</v>
      </c>
      <c r="K6249" s="455">
        <f t="shared" ca="1" si="203"/>
        <v>-336852311408453.44</v>
      </c>
      <c r="L6249" s="455">
        <f t="shared" ca="1" si="204"/>
        <v>-8.118140704943728E+16</v>
      </c>
      <c r="M6249" s="471">
        <f t="shared" si="206"/>
        <v>0.05</v>
      </c>
      <c r="N6249" s="475">
        <f t="shared" si="207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05"/>
        <v>-8.118140704943728E+16</v>
      </c>
      <c r="J6250" s="455">
        <f t="array" ref="J6250">IFERROR(INDEX('Retirement Calculator'!K:K,MATCH('Lorri 401b'!N6250,'Retirement Calculator'!A:A,0),0),0)</f>
        <v>0</v>
      </c>
      <c r="K6250" s="455">
        <f t="shared" ca="1" si="203"/>
        <v>-338255862705988.69</v>
      </c>
      <c r="L6250" s="455">
        <f t="shared" ca="1" si="204"/>
        <v>-8.1519662912143264E+16</v>
      </c>
      <c r="M6250" s="471">
        <f t="shared" si="206"/>
        <v>0.05</v>
      </c>
      <c r="N6250" s="475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/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76"/>
      <c r="B1" s="476"/>
      <c r="C1" s="477" t="s">
        <v>682</v>
      </c>
      <c r="D1" s="477">
        <v>3063</v>
      </c>
      <c r="E1" s="306"/>
      <c r="F1" s="306"/>
      <c r="G1" s="306"/>
      <c r="H1" s="306"/>
      <c r="I1" s="306"/>
      <c r="J1" s="306"/>
      <c r="K1" s="306"/>
      <c r="L1" s="306"/>
      <c r="M1" s="306" t="s">
        <v>683</v>
      </c>
    </row>
    <row r="2" spans="1:13" ht="11.25" customHeight="1" x14ac:dyDescent="0.3">
      <c r="A2" s="476"/>
      <c r="B2" s="476"/>
      <c r="C2" s="477" t="s">
        <v>684</v>
      </c>
      <c r="D2" s="477">
        <v>24</v>
      </c>
      <c r="E2" s="306"/>
      <c r="F2" s="306"/>
      <c r="G2" s="306"/>
      <c r="H2" s="306"/>
      <c r="I2" s="306"/>
      <c r="J2" s="306"/>
      <c r="K2" s="306"/>
      <c r="L2" s="306"/>
      <c r="M2" s="416">
        <v>45442</v>
      </c>
    </row>
    <row r="3" spans="1:13" ht="11.25" customHeight="1" x14ac:dyDescent="0.3">
      <c r="A3" s="476"/>
      <c r="B3" s="476"/>
      <c r="C3" s="477" t="s">
        <v>685</v>
      </c>
      <c r="D3" s="412">
        <f>D1/D2</f>
        <v>127.625</v>
      </c>
      <c r="E3" s="306"/>
      <c r="F3" s="306"/>
      <c r="G3" s="306"/>
      <c r="H3" s="306"/>
      <c r="I3" s="306"/>
      <c r="J3" s="306"/>
      <c r="K3" s="306"/>
      <c r="L3" s="306"/>
      <c r="M3" s="416"/>
    </row>
    <row r="4" spans="1:13" ht="11.25" customHeight="1" x14ac:dyDescent="0.3">
      <c r="A4" s="476"/>
      <c r="B4" s="476"/>
      <c r="C4" s="477"/>
      <c r="D4" s="306"/>
      <c r="E4" s="306"/>
      <c r="F4" s="306"/>
      <c r="G4" s="306"/>
      <c r="H4" s="306"/>
      <c r="I4" s="306"/>
      <c r="J4" s="306"/>
      <c r="K4" s="306"/>
      <c r="L4" s="306"/>
      <c r="M4" s="306"/>
    </row>
    <row r="5" spans="1:13" ht="11.25" customHeight="1" x14ac:dyDescent="0.3">
      <c r="A5" s="476" t="s">
        <v>661</v>
      </c>
      <c r="B5" s="476" t="s">
        <v>675</v>
      </c>
      <c r="C5" s="477" t="s">
        <v>686</v>
      </c>
      <c r="D5" s="577" t="s">
        <v>687</v>
      </c>
      <c r="E5" s="562"/>
      <c r="F5" s="577" t="s">
        <v>688</v>
      </c>
      <c r="G5" s="562"/>
      <c r="H5" s="577" t="s">
        <v>689</v>
      </c>
      <c r="I5" s="562"/>
      <c r="J5" s="577" t="s">
        <v>690</v>
      </c>
      <c r="K5" s="562"/>
      <c r="L5" s="306"/>
      <c r="M5" s="306"/>
    </row>
    <row r="6" spans="1:13" ht="11.25" customHeight="1" x14ac:dyDescent="0.3">
      <c r="A6" s="476"/>
      <c r="B6" s="476"/>
      <c r="C6" s="477"/>
      <c r="D6" s="199" t="s">
        <v>691</v>
      </c>
      <c r="E6" s="199" t="s">
        <v>162</v>
      </c>
      <c r="F6" s="199" t="s">
        <v>691</v>
      </c>
      <c r="G6" s="199" t="s">
        <v>162</v>
      </c>
      <c r="H6" s="199" t="s">
        <v>691</v>
      </c>
      <c r="I6" s="199" t="s">
        <v>162</v>
      </c>
      <c r="J6" s="199" t="s">
        <v>691</v>
      </c>
      <c r="K6" s="199" t="s">
        <v>162</v>
      </c>
      <c r="L6" s="306"/>
      <c r="M6" s="306"/>
    </row>
    <row r="7" spans="1:13" ht="11.25" customHeight="1" x14ac:dyDescent="0.3">
      <c r="A7" s="476">
        <v>42</v>
      </c>
      <c r="B7" s="476">
        <v>2023</v>
      </c>
      <c r="C7" s="477">
        <v>24</v>
      </c>
      <c r="D7" s="478">
        <v>7111.8</v>
      </c>
      <c r="E7" s="479">
        <f>((((D1/D2)*C7)/360)*0.025)*D7</f>
        <v>1512.7391250000001</v>
      </c>
      <c r="F7" s="478">
        <v>8186.1</v>
      </c>
      <c r="G7" s="479">
        <f>((((D1/D2)*C7)/360)*0.025)*F7</f>
        <v>1741.2516875000001</v>
      </c>
      <c r="H7" s="478">
        <v>9248.7000000000007</v>
      </c>
      <c r="I7" s="479">
        <f>((((D1/D2)*C7)/360)*0.025)*H7</f>
        <v>1967.2755625000002</v>
      </c>
      <c r="J7" s="480">
        <v>10205.700000000001</v>
      </c>
      <c r="K7" s="481">
        <f>((((D1/D2)*C7)/360)*0.025)*J7</f>
        <v>2170.8374375000003</v>
      </c>
      <c r="L7" s="306"/>
      <c r="M7" s="306"/>
    </row>
    <row r="8" spans="1:13" ht="11.25" customHeight="1" x14ac:dyDescent="0.3">
      <c r="A8" s="476">
        <v>43</v>
      </c>
      <c r="B8" s="476">
        <v>2024</v>
      </c>
      <c r="C8" s="477">
        <v>25</v>
      </c>
      <c r="D8" s="478">
        <v>7111.8</v>
      </c>
      <c r="E8" s="479">
        <f>((((D1/D2)*C8)/360)*0.025)*D8</f>
        <v>1575.7699218749999</v>
      </c>
      <c r="F8" s="478">
        <v>8186.1</v>
      </c>
      <c r="G8" s="479">
        <f>((((D1/D2)*C8)/360)*0.025)*F8</f>
        <v>1813.8038411458333</v>
      </c>
      <c r="H8" s="478">
        <v>9248.7000000000007</v>
      </c>
      <c r="I8" s="479">
        <f>((((D1/D2)*C8)/360)*0.025)*H8</f>
        <v>2049.2453776041666</v>
      </c>
      <c r="J8" s="480">
        <v>10205.700000000001</v>
      </c>
      <c r="K8" s="481">
        <f>((((D1/D2)*C8)/360)*0.025)*J8</f>
        <v>2261.2889973958336</v>
      </c>
      <c r="L8" s="306"/>
      <c r="M8" s="306"/>
    </row>
    <row r="9" spans="1:13" ht="11.25" customHeight="1" x14ac:dyDescent="0.3">
      <c r="A9" s="476">
        <v>44</v>
      </c>
      <c r="B9" s="476">
        <v>2025</v>
      </c>
      <c r="C9" s="477">
        <v>26</v>
      </c>
      <c r="D9" s="478">
        <v>7111.8</v>
      </c>
      <c r="E9" s="479">
        <f>((((D1/D2)*C9)/360)*0.025)*D9</f>
        <v>1638.8007187500002</v>
      </c>
      <c r="F9" s="478">
        <v>8447.1</v>
      </c>
      <c r="G9" s="479">
        <f>((((D1/D2)*C9)/360)*0.025)*F9</f>
        <v>1946.4992760416669</v>
      </c>
      <c r="H9" s="478">
        <v>9629.7000000000007</v>
      </c>
      <c r="I9" s="479">
        <f>((((D1/D2)*C9)/360)*0.025)*H9</f>
        <v>2219.0105572916668</v>
      </c>
      <c r="J9" s="480">
        <v>10597.2</v>
      </c>
      <c r="K9" s="481">
        <f>((((D1/D2)*C9)/360)*0.025)*J9</f>
        <v>2441.9554791666669</v>
      </c>
      <c r="L9" s="306"/>
      <c r="M9" s="306"/>
    </row>
    <row r="10" spans="1:13" ht="11.25" customHeight="1" x14ac:dyDescent="0.3">
      <c r="A10" s="476">
        <v>45</v>
      </c>
      <c r="B10" s="476">
        <v>2026</v>
      </c>
      <c r="C10" s="477">
        <v>27</v>
      </c>
      <c r="D10" s="478">
        <v>7111.8</v>
      </c>
      <c r="E10" s="479">
        <f>((((D1/D2)*C10)/360)*0.025)*D10</f>
        <v>1701.8315156250003</v>
      </c>
      <c r="F10" s="478">
        <v>8447.1</v>
      </c>
      <c r="G10" s="479">
        <f>((((D1/D2)*C10)/360)*0.025)*F10</f>
        <v>2021.3646328125003</v>
      </c>
      <c r="H10" s="478">
        <v>9629.7000000000007</v>
      </c>
      <c r="I10" s="479">
        <f>((((D1/D2)*C10)/360)*0.025)*H10</f>
        <v>2304.3571171875005</v>
      </c>
      <c r="J10" s="480">
        <v>10597.2</v>
      </c>
      <c r="K10" s="481">
        <f>((((D1/D2)*C10)/360)*0.025)*J10</f>
        <v>2535.8768437500003</v>
      </c>
      <c r="L10" s="306"/>
      <c r="M10" s="306"/>
    </row>
    <row r="11" spans="1:13" ht="11.25" customHeight="1" x14ac:dyDescent="0.3">
      <c r="A11" s="476">
        <v>46</v>
      </c>
      <c r="B11" s="476">
        <v>2027</v>
      </c>
      <c r="C11" s="477">
        <v>28</v>
      </c>
      <c r="D11" s="478">
        <v>7111.8</v>
      </c>
      <c r="E11" s="479">
        <f>((((D1/D2)*C11)/360)*0.025)*D11</f>
        <v>1764.8623125000001</v>
      </c>
      <c r="F11" s="478">
        <v>8447.1</v>
      </c>
      <c r="G11" s="479">
        <f>((((D1/D2)*C11)/360)*0.025)*F11</f>
        <v>2096.2299895833335</v>
      </c>
      <c r="H11" s="478">
        <v>9629.7000000000007</v>
      </c>
      <c r="I11" s="479">
        <f>((((D1/D2)*C11)/360)*0.025)*H11</f>
        <v>2389.7036770833338</v>
      </c>
      <c r="J11" s="480">
        <v>10597.2</v>
      </c>
      <c r="K11" s="481">
        <f>((((D1/D2)*C11)/360)*0.025)*J11</f>
        <v>2629.7982083333336</v>
      </c>
      <c r="L11" s="306"/>
      <c r="M11" s="306"/>
    </row>
    <row r="12" spans="1:13" ht="11.25" customHeight="1" x14ac:dyDescent="0.3">
      <c r="A12" s="476">
        <v>47</v>
      </c>
      <c r="B12" s="476">
        <v>2028</v>
      </c>
      <c r="C12" s="477">
        <v>29</v>
      </c>
      <c r="D12" s="478">
        <v>7111.8</v>
      </c>
      <c r="E12" s="479">
        <f>((((D1/D2)*C12)/360)*0.025)*D12</f>
        <v>1827.8931093750002</v>
      </c>
      <c r="F12" s="478">
        <v>8447.1</v>
      </c>
      <c r="G12" s="479">
        <f>((((D1/D2)*C12)/360)*0.025)*F12</f>
        <v>2171.0953463541668</v>
      </c>
      <c r="H12" s="478">
        <v>9629.7000000000007</v>
      </c>
      <c r="I12" s="479">
        <f>((((D1/D2)*C12)/360)*0.025)*H12</f>
        <v>2475.050236979167</v>
      </c>
      <c r="J12" s="480">
        <v>10597.2</v>
      </c>
      <c r="K12" s="481">
        <f>((((D1/D2)*C12)/360)*0.025)*J12</f>
        <v>2723.7195729166669</v>
      </c>
      <c r="L12" s="306"/>
      <c r="M12" s="306"/>
    </row>
    <row r="13" spans="1:13" ht="11.25" customHeight="1" x14ac:dyDescent="0.3">
      <c r="A13" s="476">
        <v>48</v>
      </c>
      <c r="B13" s="476">
        <v>2029</v>
      </c>
      <c r="C13" s="477">
        <v>30</v>
      </c>
      <c r="D13" s="478">
        <v>7111.8</v>
      </c>
      <c r="E13" s="479">
        <f>((((D1/D2)*C13)/360)*0.025)*D13</f>
        <v>1890.9239062499998</v>
      </c>
      <c r="F13" s="478">
        <v>8447.1</v>
      </c>
      <c r="G13" s="479">
        <f>((((D1/D2)*C13)/360)*0.025)*F13</f>
        <v>2245.9607031249998</v>
      </c>
      <c r="H13" s="478">
        <v>9821.7000000000007</v>
      </c>
      <c r="I13" s="479">
        <f>((((D1/D2)*C13)/360)*0.025)*H13</f>
        <v>2611.446796875</v>
      </c>
      <c r="J13" s="480">
        <v>11128.2</v>
      </c>
      <c r="K13" s="481">
        <f>((((D1/D2)*C13)/360)*0.025)*J13</f>
        <v>2958.8260937499999</v>
      </c>
      <c r="L13" s="306"/>
      <c r="M13" s="306"/>
    </row>
    <row r="14" spans="1:13" ht="11.25" customHeight="1" x14ac:dyDescent="0.3">
      <c r="A14" s="476">
        <v>49</v>
      </c>
      <c r="B14" s="476">
        <v>2030</v>
      </c>
      <c r="C14" s="477">
        <v>31</v>
      </c>
      <c r="D14" s="478">
        <v>7111.8</v>
      </c>
      <c r="E14" s="479">
        <f>((((D1/D2)*C14)/360)*0.025)*D14</f>
        <v>1953.9547031250002</v>
      </c>
      <c r="F14" s="478">
        <v>8447.1</v>
      </c>
      <c r="G14" s="479">
        <f>((((D1/D2)*C14)/360)*0.025)*F14</f>
        <v>2320.8260598958336</v>
      </c>
      <c r="H14" s="478">
        <v>9821.7000000000007</v>
      </c>
      <c r="I14" s="479">
        <f>((((D1/D2)*C14)/360)*0.025)*H14</f>
        <v>2698.4950234375001</v>
      </c>
      <c r="J14" s="480">
        <v>11128.2</v>
      </c>
      <c r="K14" s="481">
        <f>((((D1/D2)*C14)/360)*0.025)*J14</f>
        <v>3057.4536302083338</v>
      </c>
      <c r="L14" s="306"/>
      <c r="M14" s="306"/>
    </row>
    <row r="15" spans="1:13" ht="11.25" customHeight="1" x14ac:dyDescent="0.3">
      <c r="A15" s="476">
        <v>50</v>
      </c>
      <c r="B15" s="476">
        <v>2031</v>
      </c>
      <c r="C15" s="477">
        <v>32</v>
      </c>
      <c r="D15" s="478">
        <v>7111.8</v>
      </c>
      <c r="E15" s="479">
        <f>((((D1/D2)*C15)/360)*0.025)*D15</f>
        <v>2016.9855000000002</v>
      </c>
      <c r="F15" s="478">
        <v>8447.1</v>
      </c>
      <c r="G15" s="479">
        <f>((((D1/D2)*C15)/360)*0.025)*F15</f>
        <v>2395.691416666667</v>
      </c>
      <c r="H15" s="478">
        <v>9821.7000000000007</v>
      </c>
      <c r="I15" s="479">
        <f>((((D1/D2)*C15)/360)*0.025)*H15</f>
        <v>2785.5432500000006</v>
      </c>
      <c r="J15" s="480">
        <v>11128.2</v>
      </c>
      <c r="K15" s="481">
        <f>((((D1/D2)*C15)/360)*0.025)*J15</f>
        <v>3156.0811666666673</v>
      </c>
      <c r="L15" s="306"/>
      <c r="M15" s="306"/>
    </row>
    <row r="16" spans="1:13" ht="11.25" customHeight="1" x14ac:dyDescent="0.3">
      <c r="A16" s="476">
        <v>51</v>
      </c>
      <c r="B16" s="476">
        <v>2032</v>
      </c>
      <c r="C16" s="477">
        <v>33</v>
      </c>
      <c r="D16" s="478">
        <v>7111.8</v>
      </c>
      <c r="E16" s="479">
        <f>((((D1/D2)*C16)/360)*0.025)*D16</f>
        <v>2080.0162968750001</v>
      </c>
      <c r="F16" s="478">
        <v>8447.1</v>
      </c>
      <c r="G16" s="479">
        <f>((((D1/D2)*C16)/360)*0.025)*F16</f>
        <v>2470.5567734374999</v>
      </c>
      <c r="H16" s="478">
        <v>9821.7000000000007</v>
      </c>
      <c r="I16" s="479">
        <f>((((D1/D2)*C16)/360)*0.025)*H16</f>
        <v>2872.5914765625002</v>
      </c>
      <c r="J16" s="480">
        <v>11128.2</v>
      </c>
      <c r="K16" s="481">
        <f>((((D1/D2)*C16)/360)*0.025)*J16</f>
        <v>3254.7087031250003</v>
      </c>
      <c r="L16" s="306"/>
      <c r="M16" s="306"/>
    </row>
    <row r="17" spans="1:11" ht="11.25" customHeight="1" x14ac:dyDescent="0.3">
      <c r="A17" s="476">
        <v>52</v>
      </c>
      <c r="B17" s="476">
        <v>2033</v>
      </c>
      <c r="C17" s="477">
        <v>34</v>
      </c>
      <c r="D17" s="478">
        <v>7111.8</v>
      </c>
      <c r="E17" s="479">
        <f>((((D1/D2)*C17)/360)*0.025)*D17</f>
        <v>2143.0470937500004</v>
      </c>
      <c r="F17" s="478">
        <v>8447.1</v>
      </c>
      <c r="G17" s="479">
        <f>((((D1/D2)*C17)/360)*0.025)*F17</f>
        <v>2545.4221302083338</v>
      </c>
      <c r="H17" s="478">
        <v>9821.7000000000007</v>
      </c>
      <c r="I17" s="479">
        <f>((((D1/D2)*C17)/360)*0.025)*H17</f>
        <v>2959.6397031250003</v>
      </c>
      <c r="J17" s="480">
        <v>11683.5</v>
      </c>
      <c r="K17" s="481">
        <f>((((D1/D2)*C17)/360)*0.025)*J17</f>
        <v>3520.6685677083337</v>
      </c>
    </row>
    <row r="18" spans="1:11" ht="11.25" customHeight="1" x14ac:dyDescent="0.3">
      <c r="A18" s="476">
        <v>53</v>
      </c>
      <c r="B18" s="476">
        <v>2034</v>
      </c>
      <c r="C18" s="477">
        <v>35</v>
      </c>
      <c r="D18" s="478">
        <v>7111.8</v>
      </c>
      <c r="E18" s="479">
        <f>((((D1/D2)*C18)/360)*0.025)*D18</f>
        <v>2206.0778906250002</v>
      </c>
      <c r="F18" s="478">
        <v>8447.1</v>
      </c>
      <c r="G18" s="479">
        <f>((((D1/D2)*C18)/360)*0.025)*F18</f>
        <v>2620.2874869791667</v>
      </c>
      <c r="H18" s="478">
        <v>9821.7000000000007</v>
      </c>
      <c r="I18" s="479">
        <f>((((D1/D2)*C18)/360)*0.025)*H18</f>
        <v>3046.6879296875004</v>
      </c>
      <c r="J18" s="480">
        <v>11683.5</v>
      </c>
      <c r="K18" s="481">
        <f>((((D1/D2)*C18)/360)*0.025)*J18</f>
        <v>3624.2176432291667</v>
      </c>
    </row>
    <row r="19" spans="1:11" ht="11.25" customHeight="1" x14ac:dyDescent="0.3">
      <c r="A19" s="476">
        <v>54</v>
      </c>
      <c r="B19" s="476">
        <v>2035</v>
      </c>
      <c r="C19" s="477">
        <v>36</v>
      </c>
      <c r="D19" s="478">
        <v>7111.8</v>
      </c>
      <c r="E19" s="479">
        <f>((((D1/D2)*C19)/360)*0.025)*D19</f>
        <v>2269.1086875000001</v>
      </c>
      <c r="F19" s="478">
        <v>8447.1</v>
      </c>
      <c r="G19" s="479">
        <f>((((D1/D2)*C19)/360)*0.025)*F19</f>
        <v>2695.1528437500006</v>
      </c>
      <c r="H19" s="478">
        <v>9821.7000000000007</v>
      </c>
      <c r="I19" s="479">
        <f>((((D1/D2)*C19)/360)*0.025)*H19</f>
        <v>3133.7361562500005</v>
      </c>
      <c r="J19" s="480">
        <v>11683.5</v>
      </c>
      <c r="K19" s="481">
        <f>((((D1/D2)*C19)/360)*0.025)*J19</f>
        <v>3727.7667187500001</v>
      </c>
    </row>
    <row r="20" spans="1:11" ht="11.25" customHeight="1" x14ac:dyDescent="0.3">
      <c r="A20" s="476">
        <v>55</v>
      </c>
      <c r="B20" s="476">
        <v>2036</v>
      </c>
      <c r="C20" s="477">
        <v>37</v>
      </c>
      <c r="D20" s="478">
        <v>7111.8</v>
      </c>
      <c r="E20" s="479">
        <f>((((D1/D2)*C20)/360)*0.025)*D20</f>
        <v>2332.1394843750004</v>
      </c>
      <c r="F20" s="478">
        <v>8447.1</v>
      </c>
      <c r="G20" s="479">
        <f>((((D1/D2)*C20)/360)*0.025)*F20</f>
        <v>2770.0182005208339</v>
      </c>
      <c r="H20" s="478">
        <v>9821.7000000000007</v>
      </c>
      <c r="I20" s="479">
        <f>((((D1/D2)*C20)/360)*0.025)*H20</f>
        <v>3220.7843828125006</v>
      </c>
      <c r="J20" s="480">
        <v>11683.5</v>
      </c>
      <c r="K20" s="481">
        <f>((((D1/D2)*C20)/360)*0.025)*J20</f>
        <v>3831.315794270834</v>
      </c>
    </row>
    <row r="21" spans="1:11" ht="11.25" customHeight="1" x14ac:dyDescent="0.3">
      <c r="A21" s="476">
        <v>56</v>
      </c>
      <c r="B21" s="476">
        <v>2037</v>
      </c>
      <c r="C21" s="477">
        <v>38</v>
      </c>
      <c r="D21" s="478">
        <v>7111.8</v>
      </c>
      <c r="E21" s="479">
        <f>((((D1/D2)*C21)/360)*0.025)*D21</f>
        <v>2395.1702812500002</v>
      </c>
      <c r="F21" s="478">
        <v>8447.1</v>
      </c>
      <c r="G21" s="479">
        <f>((((D1/D2)*C21)/360)*0.025)*F21</f>
        <v>2844.8835572916669</v>
      </c>
      <c r="H21" s="478">
        <v>9821.7000000000007</v>
      </c>
      <c r="I21" s="479">
        <f>((((D1/D2)*C21)/360)*0.025)*H21</f>
        <v>3307.8326093750006</v>
      </c>
      <c r="J21" s="480">
        <v>12269.1</v>
      </c>
      <c r="K21" s="481">
        <f>((((D1/D2)*C21)/360)*0.025)*J21</f>
        <v>4132.0880364583336</v>
      </c>
    </row>
    <row r="22" spans="1:11" ht="11.25" customHeight="1" x14ac:dyDescent="0.3">
      <c r="A22" s="476">
        <v>57</v>
      </c>
      <c r="B22" s="476">
        <v>2038</v>
      </c>
      <c r="C22" s="477">
        <v>39</v>
      </c>
      <c r="D22" s="478">
        <v>7111.8</v>
      </c>
      <c r="E22" s="479">
        <f>((((D1/D2)*C22)/360)*0.025)*D22</f>
        <v>2458.2010781250005</v>
      </c>
      <c r="F22" s="478">
        <v>8447.1</v>
      </c>
      <c r="G22" s="479">
        <f>((((D1/D2)*C22)/360)*0.025)*F22</f>
        <v>2919.7489140625007</v>
      </c>
      <c r="H22" s="478">
        <v>9821.7000000000007</v>
      </c>
      <c r="I22" s="479">
        <f>((((D1/D2)*C22)/360)*0.025)*H22</f>
        <v>3394.8808359375007</v>
      </c>
      <c r="J22" s="480">
        <v>12269.1</v>
      </c>
      <c r="K22" s="481">
        <f>((((D1/D2)*C22)/360)*0.025)*J22</f>
        <v>4240.8271953125004</v>
      </c>
    </row>
    <row r="23" spans="1:11" ht="11.25" customHeight="1" x14ac:dyDescent="0.3">
      <c r="A23" s="476">
        <v>58</v>
      </c>
      <c r="B23" s="476">
        <v>2039</v>
      </c>
      <c r="C23" s="477">
        <v>40</v>
      </c>
      <c r="D23" s="478">
        <v>7111.8</v>
      </c>
      <c r="E23" s="482">
        <f>((((D1/D2)*C23)/360)*0.025)*D23</f>
        <v>2521.2318750000004</v>
      </c>
      <c r="F23" s="478">
        <v>8447.1</v>
      </c>
      <c r="G23" s="482">
        <f>((((D1/D2)*C23)/360)*0.025)*F23</f>
        <v>2994.6142708333336</v>
      </c>
      <c r="H23" s="478">
        <v>9821.7000000000007</v>
      </c>
      <c r="I23" s="482">
        <f>((((D1/D2)*C23)/360)*0.025)*H23</f>
        <v>3481.9290625000003</v>
      </c>
      <c r="J23" s="480">
        <v>12269.1</v>
      </c>
      <c r="K23" s="483">
        <f>((((D1/D2)*C23)/360)*0.025)*J23</f>
        <v>4349.5663541666672</v>
      </c>
    </row>
    <row r="24" spans="1:11" ht="11.25" customHeight="1" x14ac:dyDescent="0.3">
      <c r="A24" s="476">
        <v>59</v>
      </c>
      <c r="B24" s="476">
        <v>2040</v>
      </c>
      <c r="C24" s="477">
        <v>41</v>
      </c>
      <c r="D24" s="478">
        <v>7111.8</v>
      </c>
      <c r="E24" s="482">
        <f>((((D1/D2)*C24)/360)*0.025)*D24</f>
        <v>2584.2626718749998</v>
      </c>
      <c r="F24" s="478">
        <v>8447.1</v>
      </c>
      <c r="G24" s="482">
        <f>((((D1/D2)*C24)/360)*0.025)*F24</f>
        <v>3069.4796276041666</v>
      </c>
      <c r="H24" s="478">
        <v>9821.7000000000007</v>
      </c>
      <c r="I24" s="482">
        <f>((((D1/D2)*C24)/360)*0.025)*H24</f>
        <v>3568.9772890624999</v>
      </c>
      <c r="J24" s="480">
        <v>12269.1</v>
      </c>
      <c r="K24" s="483">
        <f>((((D1/D2)*C24)/360)*0.025)*J24</f>
        <v>4458.3055130208331</v>
      </c>
    </row>
    <row r="25" spans="1:11" ht="11.25" customHeight="1" x14ac:dyDescent="0.3">
      <c r="A25" s="476">
        <v>60</v>
      </c>
      <c r="B25" s="476">
        <v>2041</v>
      </c>
      <c r="C25" s="477">
        <v>42</v>
      </c>
      <c r="D25" s="478">
        <v>7111.8</v>
      </c>
      <c r="E25" s="479">
        <f>((((D1/D2)*C25)/360)*0.025)*D25</f>
        <v>2647.2934687500001</v>
      </c>
      <c r="F25" s="478">
        <v>8447.1</v>
      </c>
      <c r="G25" s="479">
        <f>((((D1/D2)*C25)/360)*0.025)*F25</f>
        <v>3144.3449843750004</v>
      </c>
      <c r="H25" s="478">
        <v>9821.7000000000007</v>
      </c>
      <c r="I25" s="479">
        <f>((((D1/D2)*C25)/360)*0.025)*H25</f>
        <v>3656.0255156250005</v>
      </c>
      <c r="J25" s="480">
        <v>12269.1</v>
      </c>
      <c r="K25" s="481">
        <f>((((D1/D2)*C25)/360)*0.025)*J25</f>
        <v>4567.0446718749999</v>
      </c>
    </row>
    <row r="26" spans="1:11" ht="11.25" customHeight="1" x14ac:dyDescent="0.3">
      <c r="A26" s="476">
        <v>61</v>
      </c>
      <c r="B26" s="476">
        <v>2042</v>
      </c>
      <c r="C26" s="477">
        <v>43</v>
      </c>
      <c r="D26" s="478">
        <v>7111.8</v>
      </c>
      <c r="E26" s="479">
        <f>((((D1/D2)*C26)/360)*0.025)*D26</f>
        <v>2710.3242656250004</v>
      </c>
      <c r="F26" s="478">
        <v>8447.1</v>
      </c>
      <c r="G26" s="479">
        <f>((((D1/D2)*C26)/360)*0.025)*F26</f>
        <v>3219.2103411458338</v>
      </c>
      <c r="H26" s="478">
        <v>9821.7000000000007</v>
      </c>
      <c r="I26" s="479">
        <f>((((D1/D2)*C26)/360)*0.025)*H26</f>
        <v>3743.0737421875006</v>
      </c>
      <c r="J26" s="480">
        <v>12269.1</v>
      </c>
      <c r="K26" s="481">
        <f>((((D1/D2)*C26)/360)*0.025)*J26</f>
        <v>4675.7838307291677</v>
      </c>
    </row>
    <row r="27" spans="1:11" ht="11.25" customHeight="1" x14ac:dyDescent="0.3">
      <c r="A27" s="476">
        <v>62</v>
      </c>
      <c r="B27" s="476">
        <v>2043</v>
      </c>
      <c r="C27" s="477">
        <v>44</v>
      </c>
      <c r="D27" s="478">
        <v>7111.8</v>
      </c>
      <c r="E27" s="479">
        <f>((((D1/D2)*C27)/360)*0.025)*D27</f>
        <v>2773.3550625000003</v>
      </c>
      <c r="F27" s="478">
        <v>8447.1</v>
      </c>
      <c r="G27" s="479">
        <f>((((D1/D2)*C27)/360)*0.025)*F27</f>
        <v>3294.0756979166667</v>
      </c>
      <c r="H27" s="478">
        <v>9821.7000000000007</v>
      </c>
      <c r="I27" s="479">
        <f>((((D1/D2)*C27)/360)*0.025)*H27</f>
        <v>3830.1219687500002</v>
      </c>
      <c r="J27" s="480">
        <v>12269.1</v>
      </c>
      <c r="K27" s="481">
        <f>((((D1/D2)*C27)/360)*0.025)*J27</f>
        <v>4784.5229895833336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/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84"/>
      <c r="B1" s="484" t="s">
        <v>692</v>
      </c>
      <c r="C1" s="484" t="s">
        <v>693</v>
      </c>
      <c r="D1" s="484" t="s">
        <v>694</v>
      </c>
      <c r="E1" s="484" t="s">
        <v>695</v>
      </c>
      <c r="F1" s="484" t="s">
        <v>696</v>
      </c>
      <c r="G1" s="484"/>
      <c r="H1" s="484"/>
    </row>
    <row r="2" spans="1:8" ht="11.25" customHeight="1" x14ac:dyDescent="0.3">
      <c r="A2" s="484" t="s">
        <v>697</v>
      </c>
      <c r="B2" s="306" t="s">
        <v>698</v>
      </c>
      <c r="C2" s="484" t="s">
        <v>699</v>
      </c>
      <c r="D2" s="484"/>
      <c r="E2" s="484" t="s">
        <v>700</v>
      </c>
      <c r="F2" s="484"/>
      <c r="G2" s="484"/>
      <c r="H2" s="484"/>
    </row>
    <row r="3" spans="1:8" ht="11.25" customHeight="1" x14ac:dyDescent="0.3">
      <c r="A3" s="484" t="s">
        <v>701</v>
      </c>
      <c r="B3" s="484" t="s">
        <v>702</v>
      </c>
      <c r="C3" s="484" t="s">
        <v>703</v>
      </c>
      <c r="D3" s="484"/>
      <c r="E3" s="484"/>
      <c r="F3" s="484"/>
      <c r="G3" s="484"/>
      <c r="H3" s="484"/>
    </row>
    <row r="4" spans="1:8" ht="11.25" customHeight="1" x14ac:dyDescent="0.3">
      <c r="A4" s="484" t="s">
        <v>704</v>
      </c>
      <c r="B4" s="485" t="s">
        <v>705</v>
      </c>
      <c r="C4" s="484" t="s">
        <v>706</v>
      </c>
      <c r="D4" s="484"/>
      <c r="E4" s="484" t="s">
        <v>707</v>
      </c>
      <c r="F4" s="484"/>
      <c r="G4" s="484"/>
      <c r="H4" s="484"/>
    </row>
    <row r="5" spans="1:8" ht="11.25" customHeight="1" x14ac:dyDescent="0.3">
      <c r="A5" s="484" t="s">
        <v>704</v>
      </c>
      <c r="B5" s="484" t="s">
        <v>708</v>
      </c>
      <c r="C5" s="484" t="s">
        <v>709</v>
      </c>
      <c r="D5" s="484"/>
      <c r="E5" s="484" t="s">
        <v>707</v>
      </c>
      <c r="F5" s="484"/>
      <c r="G5" s="484"/>
      <c r="H5" s="484"/>
    </row>
    <row r="6" spans="1:8" ht="11.25" customHeight="1" x14ac:dyDescent="0.3">
      <c r="A6" s="484" t="s">
        <v>638</v>
      </c>
      <c r="B6" s="484" t="s">
        <v>710</v>
      </c>
      <c r="C6" s="484" t="s">
        <v>711</v>
      </c>
      <c r="D6" s="484"/>
      <c r="E6" s="306" t="s">
        <v>712</v>
      </c>
      <c r="F6" s="484"/>
      <c r="G6" s="484"/>
      <c r="H6" s="484"/>
    </row>
    <row r="7" spans="1:8" ht="11.25" customHeight="1" x14ac:dyDescent="0.3">
      <c r="A7" s="484" t="s">
        <v>185</v>
      </c>
      <c r="B7" s="484" t="s">
        <v>713</v>
      </c>
      <c r="C7" s="484" t="s">
        <v>714</v>
      </c>
      <c r="D7" s="484"/>
      <c r="E7" s="484" t="s">
        <v>715</v>
      </c>
      <c r="F7" s="484"/>
      <c r="G7" s="484"/>
      <c r="H7" s="484"/>
    </row>
    <row r="8" spans="1:8" ht="11.25" customHeight="1" x14ac:dyDescent="0.3">
      <c r="A8" s="484" t="s">
        <v>185</v>
      </c>
      <c r="B8" s="484" t="s">
        <v>705</v>
      </c>
      <c r="C8" s="484" t="s">
        <v>716</v>
      </c>
      <c r="D8" s="484"/>
      <c r="E8" s="484"/>
      <c r="F8" s="484"/>
      <c r="G8" s="484"/>
      <c r="H8" s="484"/>
    </row>
    <row r="9" spans="1:8" ht="11.25" customHeight="1" x14ac:dyDescent="0.3">
      <c r="A9" s="484" t="s">
        <v>717</v>
      </c>
      <c r="B9" s="306" t="s">
        <v>718</v>
      </c>
      <c r="C9" s="484" t="s">
        <v>716</v>
      </c>
      <c r="D9" s="484"/>
      <c r="E9" s="484" t="s">
        <v>719</v>
      </c>
      <c r="F9" s="484"/>
      <c r="G9" s="484"/>
      <c r="H9" s="484"/>
    </row>
    <row r="10" spans="1:8" ht="11.25" customHeight="1" x14ac:dyDescent="0.3">
      <c r="A10" s="484" t="s">
        <v>720</v>
      </c>
      <c r="B10" s="484" t="s">
        <v>709</v>
      </c>
      <c r="C10" s="486" t="s">
        <v>721</v>
      </c>
      <c r="D10" s="486"/>
      <c r="E10" s="306" t="s">
        <v>722</v>
      </c>
      <c r="F10" s="484"/>
      <c r="G10" s="484"/>
      <c r="H10" s="484"/>
    </row>
    <row r="11" spans="1:8" ht="11.25" customHeight="1" x14ac:dyDescent="0.3">
      <c r="A11" s="484" t="s">
        <v>723</v>
      </c>
      <c r="B11" s="485" t="s">
        <v>724</v>
      </c>
      <c r="C11" s="484" t="s">
        <v>725</v>
      </c>
      <c r="D11" s="484"/>
      <c r="E11" s="487" t="s">
        <v>726</v>
      </c>
      <c r="F11" s="484"/>
      <c r="G11" s="484" t="s">
        <v>727</v>
      </c>
      <c r="H11" s="484" t="s">
        <v>728</v>
      </c>
    </row>
    <row r="12" spans="1:8" ht="11.25" customHeight="1" x14ac:dyDescent="0.3">
      <c r="A12" s="484" t="s">
        <v>729</v>
      </c>
      <c r="B12" s="484" t="s">
        <v>730</v>
      </c>
      <c r="C12" s="484" t="s">
        <v>731</v>
      </c>
      <c r="D12" s="484"/>
      <c r="E12" s="484" t="s">
        <v>732</v>
      </c>
      <c r="F12" s="484"/>
      <c r="G12" s="484"/>
      <c r="H12" s="484"/>
    </row>
    <row r="13" spans="1:8" ht="11.25" customHeight="1" x14ac:dyDescent="0.3">
      <c r="A13" s="484" t="s">
        <v>356</v>
      </c>
      <c r="B13" s="306" t="s">
        <v>698</v>
      </c>
      <c r="C13" s="484" t="s">
        <v>728</v>
      </c>
      <c r="D13" s="484"/>
      <c r="E13" s="485" t="s">
        <v>733</v>
      </c>
      <c r="F13" s="484"/>
      <c r="G13" s="484"/>
      <c r="H13" s="484"/>
    </row>
    <row r="14" spans="1:8" ht="11.25" customHeight="1" x14ac:dyDescent="0.3">
      <c r="A14" s="484" t="s">
        <v>734</v>
      </c>
      <c r="B14" s="484" t="s">
        <v>705</v>
      </c>
      <c r="C14" s="484" t="s">
        <v>706</v>
      </c>
      <c r="D14" s="484"/>
      <c r="E14" s="488" t="s">
        <v>735</v>
      </c>
      <c r="F14" s="484"/>
      <c r="G14" s="484"/>
      <c r="H14" s="484"/>
    </row>
    <row r="15" spans="1:8" ht="11.25" customHeight="1" x14ac:dyDescent="0.3">
      <c r="A15" s="484" t="s">
        <v>736</v>
      </c>
      <c r="B15" s="484" t="s">
        <v>737</v>
      </c>
      <c r="C15" s="484" t="s">
        <v>738</v>
      </c>
      <c r="D15" s="484"/>
      <c r="E15" s="306" t="s">
        <v>739</v>
      </c>
      <c r="F15" s="484"/>
      <c r="G15" s="484"/>
      <c r="H15" s="484"/>
    </row>
    <row r="16" spans="1:8" ht="11.25" customHeight="1" x14ac:dyDescent="0.3">
      <c r="A16" s="484" t="s">
        <v>740</v>
      </c>
      <c r="B16" s="306" t="s">
        <v>698</v>
      </c>
      <c r="C16" s="484" t="s">
        <v>714</v>
      </c>
      <c r="D16" s="484"/>
      <c r="E16" s="484"/>
      <c r="F16" s="484"/>
      <c r="G16" s="484"/>
      <c r="H16" s="484"/>
    </row>
    <row r="17" spans="1:8" ht="11.25" customHeight="1" x14ac:dyDescent="0.3">
      <c r="A17" s="484" t="s">
        <v>741</v>
      </c>
      <c r="B17" s="485" t="s">
        <v>742</v>
      </c>
      <c r="C17" s="484" t="s">
        <v>714</v>
      </c>
      <c r="D17" s="484"/>
      <c r="E17" s="484"/>
      <c r="F17" s="484"/>
      <c r="G17" s="484"/>
      <c r="H17" s="484"/>
    </row>
    <row r="18" spans="1:8" ht="11.25" customHeight="1" x14ac:dyDescent="0.3">
      <c r="A18" s="484" t="s">
        <v>743</v>
      </c>
      <c r="B18" s="484" t="s">
        <v>705</v>
      </c>
      <c r="C18" s="484" t="s">
        <v>744</v>
      </c>
      <c r="D18" s="484"/>
      <c r="E18" s="484" t="s">
        <v>745</v>
      </c>
      <c r="F18" s="484"/>
      <c r="G18" s="484"/>
      <c r="H18" s="484"/>
    </row>
    <row r="19" spans="1:8" ht="11.25" customHeight="1" x14ac:dyDescent="0.3">
      <c r="A19" s="484" t="s">
        <v>746</v>
      </c>
      <c r="B19" s="485" t="s">
        <v>702</v>
      </c>
      <c r="C19" s="484" t="s">
        <v>747</v>
      </c>
      <c r="D19" s="484"/>
      <c r="E19" s="487" t="s">
        <v>748</v>
      </c>
      <c r="F19" s="484"/>
      <c r="G19" s="484"/>
      <c r="H19" s="484"/>
    </row>
    <row r="20" spans="1:8" ht="11.25" customHeight="1" x14ac:dyDescent="0.3">
      <c r="A20" s="484" t="s">
        <v>749</v>
      </c>
      <c r="B20" s="484" t="s">
        <v>705</v>
      </c>
      <c r="C20" s="484" t="s">
        <v>747</v>
      </c>
      <c r="D20" s="484"/>
      <c r="E20" s="484" t="s">
        <v>748</v>
      </c>
      <c r="F20" s="484"/>
      <c r="G20" s="484"/>
      <c r="H20" s="484"/>
    </row>
    <row r="21" spans="1:8" ht="11.25" customHeight="1" x14ac:dyDescent="0.3">
      <c r="A21" s="484" t="s">
        <v>750</v>
      </c>
      <c r="B21" s="485" t="s">
        <v>702</v>
      </c>
      <c r="C21" s="484" t="s">
        <v>751</v>
      </c>
      <c r="D21" s="484" t="s">
        <v>752</v>
      </c>
      <c r="E21" s="484"/>
      <c r="F21" s="484"/>
      <c r="G21" s="484"/>
      <c r="H21" s="484"/>
    </row>
    <row r="22" spans="1:8" ht="11.25" customHeight="1" x14ac:dyDescent="0.3">
      <c r="A22" s="484" t="s">
        <v>750</v>
      </c>
      <c r="B22" s="484" t="s">
        <v>753</v>
      </c>
      <c r="C22" s="484" t="s">
        <v>754</v>
      </c>
      <c r="D22" s="484" t="s">
        <v>755</v>
      </c>
      <c r="E22" s="484"/>
      <c r="F22" s="484"/>
      <c r="G22" s="484"/>
      <c r="H22" s="484"/>
    </row>
    <row r="23" spans="1:8" ht="11.25" customHeight="1" x14ac:dyDescent="0.3">
      <c r="A23" s="484" t="s">
        <v>756</v>
      </c>
      <c r="B23" s="484" t="s">
        <v>702</v>
      </c>
      <c r="C23" s="484" t="s">
        <v>714</v>
      </c>
      <c r="D23" s="484"/>
      <c r="E23" s="484"/>
      <c r="F23" s="484"/>
      <c r="G23" s="484"/>
      <c r="H23" s="484"/>
    </row>
    <row r="24" spans="1:8" ht="11.25" customHeight="1" x14ac:dyDescent="0.3">
      <c r="A24" s="484" t="s">
        <v>757</v>
      </c>
      <c r="B24" s="484" t="s">
        <v>758</v>
      </c>
      <c r="C24" s="484" t="s">
        <v>706</v>
      </c>
      <c r="D24" s="484"/>
      <c r="E24" s="306" t="s">
        <v>759</v>
      </c>
      <c r="F24" s="484"/>
      <c r="G24" s="484"/>
      <c r="H24" s="484"/>
    </row>
    <row r="25" spans="1:8" ht="11.25" customHeight="1" x14ac:dyDescent="0.3">
      <c r="A25" s="484" t="s">
        <v>97</v>
      </c>
      <c r="B25" s="484" t="s">
        <v>730</v>
      </c>
      <c r="C25" s="484" t="s">
        <v>760</v>
      </c>
      <c r="D25" s="484"/>
      <c r="E25" s="484" t="s">
        <v>761</v>
      </c>
      <c r="F25" s="484"/>
      <c r="G25" s="484"/>
      <c r="H25" s="484"/>
    </row>
    <row r="26" spans="1:8" ht="11.25" customHeight="1" x14ac:dyDescent="0.3">
      <c r="A26" s="484" t="s">
        <v>762</v>
      </c>
      <c r="B26" s="484" t="s">
        <v>705</v>
      </c>
      <c r="C26" s="484" t="s">
        <v>728</v>
      </c>
      <c r="D26" s="484"/>
      <c r="E26" s="484"/>
      <c r="F26" s="484" t="s">
        <v>763</v>
      </c>
      <c r="G26" s="484" t="s">
        <v>764</v>
      </c>
      <c r="H26" s="484"/>
    </row>
    <row r="27" spans="1:8" ht="11.25" customHeight="1" x14ac:dyDescent="0.3">
      <c r="A27" s="484" t="s">
        <v>765</v>
      </c>
      <c r="B27" s="484" t="s">
        <v>705</v>
      </c>
      <c r="C27" s="484" t="s">
        <v>706</v>
      </c>
      <c r="D27" s="486">
        <v>1116</v>
      </c>
      <c r="E27" s="306" t="s">
        <v>766</v>
      </c>
      <c r="F27" s="484"/>
      <c r="G27" s="484"/>
      <c r="H27" s="484"/>
    </row>
    <row r="28" spans="1:8" ht="11.25" customHeight="1" x14ac:dyDescent="0.3">
      <c r="A28" s="484" t="s">
        <v>767</v>
      </c>
      <c r="B28" s="486">
        <v>4403872289</v>
      </c>
      <c r="C28" s="484" t="s">
        <v>706</v>
      </c>
      <c r="D28" s="484"/>
      <c r="E28" s="484" t="s">
        <v>768</v>
      </c>
      <c r="F28" s="484"/>
      <c r="G28" s="484"/>
      <c r="H28" s="484"/>
    </row>
    <row r="29" spans="1:8" ht="11.25" customHeight="1" x14ac:dyDescent="0.3">
      <c r="A29" s="484" t="s">
        <v>769</v>
      </c>
      <c r="B29" s="306" t="s">
        <v>698</v>
      </c>
      <c r="C29" s="484" t="s">
        <v>714</v>
      </c>
      <c r="D29" s="484"/>
      <c r="E29" s="306" t="s">
        <v>770</v>
      </c>
      <c r="F29" s="484" t="s">
        <v>771</v>
      </c>
      <c r="G29" s="484" t="s">
        <v>772</v>
      </c>
      <c r="H29" s="484"/>
    </row>
    <row r="30" spans="1:8" ht="11.25" customHeight="1" x14ac:dyDescent="0.3">
      <c r="A30" s="484" t="s">
        <v>773</v>
      </c>
      <c r="B30" s="484" t="s">
        <v>730</v>
      </c>
      <c r="C30" s="484" t="s">
        <v>774</v>
      </c>
      <c r="D30" s="484"/>
      <c r="E30" s="484"/>
      <c r="F30" s="484"/>
      <c r="G30" s="484"/>
      <c r="H30" s="484"/>
    </row>
    <row r="31" spans="1:8" ht="11.25" customHeight="1" x14ac:dyDescent="0.3">
      <c r="A31" s="484" t="s">
        <v>775</v>
      </c>
      <c r="B31" s="484" t="s">
        <v>705</v>
      </c>
      <c r="C31" s="484" t="s">
        <v>706</v>
      </c>
      <c r="D31" s="484"/>
      <c r="E31" s="484"/>
      <c r="F31" s="484"/>
      <c r="G31" s="484"/>
      <c r="H31" s="484"/>
    </row>
    <row r="32" spans="1:8" ht="11.25" customHeight="1" x14ac:dyDescent="0.3">
      <c r="A32" s="484" t="s">
        <v>776</v>
      </c>
      <c r="B32" s="484" t="s">
        <v>705</v>
      </c>
      <c r="C32" s="484" t="s">
        <v>728</v>
      </c>
      <c r="D32" s="484"/>
      <c r="E32" s="484"/>
      <c r="F32" s="484"/>
      <c r="G32" s="484"/>
      <c r="H32" s="484"/>
    </row>
    <row r="33" spans="1:8" ht="11.25" customHeight="1" x14ac:dyDescent="0.3">
      <c r="A33" s="484" t="s">
        <v>777</v>
      </c>
      <c r="B33" s="487" t="s">
        <v>778</v>
      </c>
      <c r="C33" s="484" t="s">
        <v>728</v>
      </c>
      <c r="D33" s="484"/>
      <c r="E33" s="484"/>
      <c r="F33" s="484"/>
      <c r="G33" s="484"/>
      <c r="H33" s="484"/>
    </row>
    <row r="34" spans="1:8" ht="11.25" customHeight="1" x14ac:dyDescent="0.3">
      <c r="A34" s="484" t="s">
        <v>779</v>
      </c>
      <c r="B34" s="484" t="s">
        <v>780</v>
      </c>
      <c r="C34" s="484"/>
      <c r="D34" s="484"/>
      <c r="E34" s="484"/>
      <c r="F34" s="484"/>
      <c r="G34" s="484"/>
      <c r="H34" s="484"/>
    </row>
    <row r="35" spans="1:8" ht="11.25" customHeight="1" x14ac:dyDescent="0.3">
      <c r="A35" s="484"/>
      <c r="B35" s="484"/>
      <c r="C35" s="484"/>
      <c r="D35" s="484"/>
      <c r="E35" s="484"/>
      <c r="F35" s="484"/>
      <c r="G35" s="484"/>
      <c r="H35" s="484"/>
    </row>
    <row r="36" spans="1:8" ht="11.25" customHeight="1" x14ac:dyDescent="0.3">
      <c r="A36" s="484"/>
      <c r="B36" s="484"/>
      <c r="C36" s="484"/>
      <c r="D36" s="484"/>
      <c r="E36" s="484"/>
      <c r="F36" s="484" t="s">
        <v>781</v>
      </c>
      <c r="G36" s="484"/>
      <c r="H36" s="484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89"/>
      <c r="C1" s="490"/>
      <c r="E1" s="491"/>
      <c r="G1" s="65"/>
    </row>
    <row r="2" spans="1:10" ht="14.25" customHeight="1" x14ac:dyDescent="0.3">
      <c r="B2" s="489"/>
      <c r="C2" s="490"/>
      <c r="E2" s="491" t="s">
        <v>782</v>
      </c>
      <c r="G2" s="65"/>
      <c r="I2" s="92" t="s">
        <v>783</v>
      </c>
    </row>
    <row r="3" spans="1:10" ht="14.25" customHeight="1" x14ac:dyDescent="0.3">
      <c r="A3" s="92" t="s">
        <v>784</v>
      </c>
      <c r="B3" s="489"/>
      <c r="C3" s="490"/>
      <c r="E3" s="491" t="s">
        <v>785</v>
      </c>
      <c r="F3" s="92" t="s">
        <v>786</v>
      </c>
      <c r="G3" s="65"/>
      <c r="I3" s="492">
        <v>0.46899999999999997</v>
      </c>
      <c r="J3" s="92" t="s">
        <v>787</v>
      </c>
    </row>
    <row r="4" spans="1:10" ht="14.25" customHeight="1" x14ac:dyDescent="0.3">
      <c r="B4" s="489"/>
      <c r="C4" s="490"/>
      <c r="E4" s="491"/>
      <c r="G4" s="65"/>
    </row>
    <row r="5" spans="1:10" ht="14.25" customHeight="1" x14ac:dyDescent="0.3">
      <c r="B5" s="489"/>
      <c r="C5" s="490"/>
      <c r="E5" s="491"/>
      <c r="G5" s="65"/>
    </row>
    <row r="6" spans="1:10" ht="14.25" customHeight="1" x14ac:dyDescent="0.3">
      <c r="A6" s="92" t="s">
        <v>788</v>
      </c>
      <c r="B6" s="489"/>
      <c r="C6" s="490"/>
      <c r="E6" s="491" t="s">
        <v>789</v>
      </c>
      <c r="F6" s="92" t="s">
        <v>734</v>
      </c>
      <c r="G6" s="65"/>
      <c r="I6" s="493">
        <v>0.46899999999999997</v>
      </c>
      <c r="J6" s="92" t="s">
        <v>787</v>
      </c>
    </row>
    <row r="7" spans="1:10" ht="14.25" customHeight="1" x14ac:dyDescent="0.3">
      <c r="B7" s="489"/>
      <c r="C7" s="490"/>
      <c r="E7" s="491"/>
      <c r="G7" s="65"/>
    </row>
    <row r="8" spans="1:10" ht="14.25" customHeight="1" x14ac:dyDescent="0.3">
      <c r="B8" s="489"/>
      <c r="C8" s="490"/>
      <c r="E8" s="491"/>
      <c r="G8" s="65"/>
    </row>
    <row r="9" spans="1:10" ht="14.25" customHeight="1" x14ac:dyDescent="0.3">
      <c r="B9" s="489"/>
      <c r="C9" s="490"/>
      <c r="E9" s="491"/>
      <c r="G9" s="65"/>
    </row>
    <row r="10" spans="1:10" ht="14.25" customHeight="1" x14ac:dyDescent="0.3">
      <c r="B10" s="489"/>
      <c r="C10" s="490"/>
      <c r="E10" s="491"/>
      <c r="G10" s="65"/>
    </row>
    <row r="11" spans="1:10" ht="14.25" customHeight="1" x14ac:dyDescent="0.3">
      <c r="B11" s="489" t="s">
        <v>790</v>
      </c>
      <c r="C11" s="490" t="s">
        <v>791</v>
      </c>
      <c r="D11" s="86" t="s">
        <v>792</v>
      </c>
      <c r="E11" s="491" t="s">
        <v>793</v>
      </c>
      <c r="F11" s="86" t="s">
        <v>794</v>
      </c>
      <c r="G11" s="65" t="s">
        <v>795</v>
      </c>
      <c r="H11" s="86" t="s">
        <v>796</v>
      </c>
    </row>
    <row r="12" spans="1:10" ht="14.25" customHeight="1" x14ac:dyDescent="0.3">
      <c r="A12" s="86" t="s">
        <v>797</v>
      </c>
      <c r="B12" s="489">
        <v>110059119914</v>
      </c>
      <c r="C12" s="494" t="s">
        <v>798</v>
      </c>
      <c r="D12" s="86" t="s">
        <v>786</v>
      </c>
      <c r="E12" s="491">
        <v>8.2900000000000001E-2</v>
      </c>
      <c r="F12" s="86" t="s">
        <v>799</v>
      </c>
      <c r="G12" s="65">
        <v>45878</v>
      </c>
    </row>
    <row r="13" spans="1:10" ht="14.25" customHeight="1" x14ac:dyDescent="0.3">
      <c r="A13" s="86" t="s">
        <v>149</v>
      </c>
      <c r="B13" s="489">
        <v>110154325473</v>
      </c>
      <c r="C13" s="490" t="s">
        <v>800</v>
      </c>
      <c r="D13" s="86" t="s">
        <v>786</v>
      </c>
      <c r="E13" s="491">
        <v>8.2900000000000001E-2</v>
      </c>
      <c r="F13" s="86" t="s">
        <v>799</v>
      </c>
      <c r="G13" s="65">
        <v>45878</v>
      </c>
    </row>
    <row r="14" spans="1:10" ht="14.25" customHeight="1" x14ac:dyDescent="0.3">
      <c r="B14" s="489"/>
      <c r="C14" s="490"/>
      <c r="E14" s="491"/>
      <c r="G14" s="65"/>
    </row>
    <row r="15" spans="1:10" ht="14.25" customHeight="1" x14ac:dyDescent="0.3">
      <c r="B15" s="489"/>
      <c r="C15" s="490"/>
      <c r="E15" s="491"/>
      <c r="G15" s="65"/>
    </row>
    <row r="16" spans="1:10" ht="14.25" customHeight="1" x14ac:dyDescent="0.3">
      <c r="B16" s="489"/>
      <c r="C16" s="490"/>
      <c r="E16" s="491"/>
      <c r="G16" s="65"/>
    </row>
    <row r="17" spans="2:7" ht="14.25" customHeight="1" x14ac:dyDescent="0.3">
      <c r="B17" s="489"/>
      <c r="C17" s="490"/>
      <c r="E17" s="491"/>
      <c r="G17" s="65"/>
    </row>
    <row r="18" spans="2:7" ht="14.25" customHeight="1" x14ac:dyDescent="0.3">
      <c r="B18" s="489"/>
      <c r="C18" s="490"/>
      <c r="E18" s="491"/>
      <c r="G18" s="65"/>
    </row>
    <row r="19" spans="2:7" ht="14.25" customHeight="1" x14ac:dyDescent="0.3">
      <c r="B19" s="489"/>
      <c r="C19" s="490"/>
      <c r="E19" s="491"/>
      <c r="G19" s="65"/>
    </row>
    <row r="20" spans="2:7" ht="14.25" customHeight="1" x14ac:dyDescent="0.3">
      <c r="B20" s="489"/>
      <c r="C20" s="490"/>
      <c r="E20" s="491"/>
      <c r="G20" s="65"/>
    </row>
    <row r="21" spans="2:7" ht="14.25" customHeight="1" x14ac:dyDescent="0.3">
      <c r="B21" s="489"/>
      <c r="C21" s="490"/>
      <c r="E21" s="491"/>
      <c r="G21" s="65"/>
    </row>
    <row r="22" spans="2:7" ht="14.25" customHeight="1" x14ac:dyDescent="0.3">
      <c r="B22" s="489"/>
      <c r="C22" s="490"/>
      <c r="E22" s="491"/>
      <c r="G22" s="65"/>
    </row>
    <row r="23" spans="2:7" ht="14.25" customHeight="1" x14ac:dyDescent="0.3">
      <c r="B23" s="489"/>
      <c r="C23" s="490"/>
      <c r="E23" s="491"/>
      <c r="G23" s="65"/>
    </row>
    <row r="24" spans="2:7" ht="14.25" customHeight="1" x14ac:dyDescent="0.3">
      <c r="B24" s="489"/>
      <c r="C24" s="490"/>
      <c r="E24" s="491"/>
      <c r="G24" s="65"/>
    </row>
    <row r="25" spans="2:7" ht="14.25" customHeight="1" x14ac:dyDescent="0.3">
      <c r="B25" s="489"/>
      <c r="C25" s="490"/>
      <c r="E25" s="491"/>
      <c r="G25" s="65"/>
    </row>
    <row r="26" spans="2:7" ht="14.25" customHeight="1" x14ac:dyDescent="0.3">
      <c r="B26" s="489"/>
      <c r="C26" s="490"/>
      <c r="E26" s="491"/>
      <c r="G26" s="65"/>
    </row>
    <row r="27" spans="2:7" ht="14.25" customHeight="1" x14ac:dyDescent="0.3">
      <c r="B27" s="489"/>
      <c r="C27" s="490"/>
      <c r="E27" s="491"/>
      <c r="G27" s="65"/>
    </row>
    <row r="28" spans="2:7" ht="14.25" customHeight="1" x14ac:dyDescent="0.3">
      <c r="B28" s="489"/>
      <c r="C28" s="490"/>
      <c r="E28" s="491"/>
      <c r="G28" s="65"/>
    </row>
    <row r="29" spans="2:7" ht="14.25" customHeight="1" x14ac:dyDescent="0.3">
      <c r="B29" s="489"/>
      <c r="C29" s="490"/>
      <c r="E29" s="491"/>
      <c r="G29" s="65"/>
    </row>
    <row r="30" spans="2:7" ht="14.25" customHeight="1" x14ac:dyDescent="0.3">
      <c r="B30" s="489"/>
      <c r="C30" s="490"/>
      <c r="E30" s="491"/>
      <c r="G30" s="65"/>
    </row>
    <row r="31" spans="2:7" ht="14.25" customHeight="1" x14ac:dyDescent="0.3">
      <c r="B31" s="489"/>
      <c r="C31" s="490"/>
      <c r="E31" s="491"/>
      <c r="G31" s="65"/>
    </row>
    <row r="32" spans="2:7" ht="14.25" customHeight="1" x14ac:dyDescent="0.3">
      <c r="B32" s="489"/>
      <c r="C32" s="490"/>
      <c r="E32" s="491"/>
      <c r="G32" s="65"/>
    </row>
    <row r="33" spans="2:7" ht="14.25" customHeight="1" x14ac:dyDescent="0.3">
      <c r="B33" s="489"/>
      <c r="C33" s="490"/>
      <c r="E33" s="491"/>
      <c r="G33" s="65"/>
    </row>
    <row r="34" spans="2:7" ht="14.25" customHeight="1" x14ac:dyDescent="0.3">
      <c r="B34" s="489"/>
      <c r="C34" s="490"/>
      <c r="E34" s="491"/>
      <c r="G34" s="65"/>
    </row>
    <row r="35" spans="2:7" ht="14.25" customHeight="1" x14ac:dyDescent="0.3">
      <c r="B35" s="489"/>
      <c r="C35" s="490"/>
      <c r="E35" s="491"/>
      <c r="G35" s="65"/>
    </row>
    <row r="36" spans="2:7" ht="14.25" customHeight="1" x14ac:dyDescent="0.3">
      <c r="B36" s="489"/>
      <c r="C36" s="490"/>
      <c r="E36" s="491"/>
      <c r="G36" s="65"/>
    </row>
    <row r="37" spans="2:7" ht="14.25" customHeight="1" x14ac:dyDescent="0.3">
      <c r="B37" s="489"/>
      <c r="C37" s="490"/>
      <c r="E37" s="491"/>
      <c r="G37" s="65"/>
    </row>
    <row r="38" spans="2:7" ht="14.25" customHeight="1" x14ac:dyDescent="0.3">
      <c r="B38" s="489"/>
      <c r="C38" s="490"/>
      <c r="E38" s="491"/>
      <c r="G38" s="65"/>
    </row>
    <row r="39" spans="2:7" ht="14.25" customHeight="1" x14ac:dyDescent="0.3">
      <c r="B39" s="489"/>
      <c r="C39" s="490"/>
      <c r="E39" s="491"/>
      <c r="G39" s="65"/>
    </row>
    <row r="40" spans="2:7" ht="14.25" customHeight="1" x14ac:dyDescent="0.3">
      <c r="B40" s="489"/>
      <c r="C40" s="490"/>
      <c r="E40" s="491"/>
      <c r="G40" s="65"/>
    </row>
    <row r="41" spans="2:7" ht="14.25" customHeight="1" x14ac:dyDescent="0.3">
      <c r="B41" s="489"/>
      <c r="C41" s="490"/>
      <c r="E41" s="491"/>
      <c r="G41" s="65"/>
    </row>
    <row r="42" spans="2:7" ht="14.25" customHeight="1" x14ac:dyDescent="0.3">
      <c r="B42" s="489"/>
      <c r="C42" s="490"/>
      <c r="E42" s="491"/>
      <c r="G42" s="65"/>
    </row>
    <row r="43" spans="2:7" ht="14.25" customHeight="1" x14ac:dyDescent="0.3">
      <c r="B43" s="489"/>
      <c r="C43" s="490"/>
      <c r="E43" s="491"/>
      <c r="G43" s="65"/>
    </row>
    <row r="44" spans="2:7" ht="14.25" customHeight="1" x14ac:dyDescent="0.3">
      <c r="B44" s="489"/>
      <c r="C44" s="490"/>
      <c r="E44" s="491"/>
      <c r="G44" s="65"/>
    </row>
    <row r="45" spans="2:7" ht="14.25" customHeight="1" x14ac:dyDescent="0.3">
      <c r="B45" s="489"/>
      <c r="C45" s="490"/>
      <c r="E45" s="491"/>
      <c r="G45" s="65"/>
    </row>
    <row r="46" spans="2:7" ht="14.25" customHeight="1" x14ac:dyDescent="0.3">
      <c r="B46" s="489"/>
      <c r="C46" s="490"/>
      <c r="E46" s="491"/>
      <c r="G46" s="65"/>
    </row>
    <row r="47" spans="2:7" ht="14.25" customHeight="1" x14ac:dyDescent="0.3">
      <c r="B47" s="489"/>
      <c r="C47" s="490"/>
      <c r="E47" s="491"/>
      <c r="G47" s="65"/>
    </row>
    <row r="48" spans="2:7" ht="14.25" customHeight="1" x14ac:dyDescent="0.3">
      <c r="B48" s="489"/>
      <c r="C48" s="490"/>
      <c r="E48" s="491"/>
      <c r="G48" s="65"/>
    </row>
    <row r="49" spans="2:7" ht="14.25" customHeight="1" x14ac:dyDescent="0.3">
      <c r="B49" s="489"/>
      <c r="C49" s="490"/>
      <c r="E49" s="491"/>
      <c r="G49" s="65"/>
    </row>
    <row r="50" spans="2:7" ht="14.25" customHeight="1" x14ac:dyDescent="0.3">
      <c r="B50" s="489"/>
      <c r="C50" s="490"/>
      <c r="E50" s="491"/>
      <c r="G50" s="65"/>
    </row>
    <row r="51" spans="2:7" ht="14.25" customHeight="1" x14ac:dyDescent="0.3">
      <c r="B51" s="489"/>
      <c r="C51" s="490"/>
      <c r="E51" s="491"/>
      <c r="G51" s="65"/>
    </row>
    <row r="52" spans="2:7" ht="14.25" customHeight="1" x14ac:dyDescent="0.3">
      <c r="B52" s="489"/>
      <c r="C52" s="490"/>
      <c r="E52" s="491"/>
      <c r="G52" s="65"/>
    </row>
    <row r="53" spans="2:7" ht="14.25" customHeight="1" x14ac:dyDescent="0.3">
      <c r="B53" s="489"/>
      <c r="C53" s="490"/>
      <c r="E53" s="491"/>
      <c r="G53" s="65"/>
    </row>
    <row r="54" spans="2:7" ht="14.25" customHeight="1" x14ac:dyDescent="0.3">
      <c r="B54" s="489"/>
      <c r="C54" s="490"/>
      <c r="E54" s="491"/>
      <c r="G54" s="65"/>
    </row>
    <row r="55" spans="2:7" ht="14.25" customHeight="1" x14ac:dyDescent="0.3">
      <c r="B55" s="489"/>
      <c r="C55" s="490"/>
      <c r="E55" s="491"/>
      <c r="G55" s="65"/>
    </row>
    <row r="56" spans="2:7" ht="14.25" customHeight="1" x14ac:dyDescent="0.3">
      <c r="B56" s="489"/>
      <c r="C56" s="490"/>
      <c r="E56" s="491"/>
      <c r="G56" s="65"/>
    </row>
    <row r="57" spans="2:7" ht="14.25" customHeight="1" x14ac:dyDescent="0.3">
      <c r="B57" s="489"/>
      <c r="C57" s="490"/>
      <c r="E57" s="491"/>
      <c r="G57" s="65"/>
    </row>
    <row r="58" spans="2:7" ht="14.25" customHeight="1" x14ac:dyDescent="0.3">
      <c r="B58" s="489"/>
      <c r="C58" s="490"/>
      <c r="E58" s="491"/>
      <c r="G58" s="65"/>
    </row>
    <row r="59" spans="2:7" ht="14.25" customHeight="1" x14ac:dyDescent="0.3">
      <c r="B59" s="489"/>
      <c r="C59" s="490"/>
      <c r="E59" s="491"/>
      <c r="G59" s="65"/>
    </row>
    <row r="60" spans="2:7" ht="14.25" customHeight="1" x14ac:dyDescent="0.3">
      <c r="B60" s="489"/>
      <c r="C60" s="490"/>
      <c r="E60" s="491"/>
      <c r="G60" s="65"/>
    </row>
    <row r="61" spans="2:7" ht="14.25" customHeight="1" x14ac:dyDescent="0.3">
      <c r="B61" s="489"/>
      <c r="C61" s="490"/>
      <c r="E61" s="491"/>
      <c r="G61" s="65"/>
    </row>
    <row r="62" spans="2:7" ht="14.25" customHeight="1" x14ac:dyDescent="0.3">
      <c r="B62" s="489"/>
      <c r="C62" s="490"/>
      <c r="E62" s="491"/>
      <c r="G62" s="65"/>
    </row>
    <row r="63" spans="2:7" ht="14.25" customHeight="1" x14ac:dyDescent="0.3">
      <c r="B63" s="489"/>
      <c r="C63" s="490"/>
      <c r="E63" s="491"/>
      <c r="G63" s="65"/>
    </row>
    <row r="64" spans="2:7" ht="14.25" customHeight="1" x14ac:dyDescent="0.3">
      <c r="B64" s="489"/>
      <c r="C64" s="490"/>
      <c r="E64" s="491"/>
      <c r="G64" s="65"/>
    </row>
    <row r="65" spans="2:7" ht="14.25" customHeight="1" x14ac:dyDescent="0.3">
      <c r="B65" s="489"/>
      <c r="C65" s="490"/>
      <c r="E65" s="491"/>
      <c r="G65" s="65"/>
    </row>
    <row r="66" spans="2:7" ht="14.25" customHeight="1" x14ac:dyDescent="0.3">
      <c r="B66" s="489"/>
      <c r="C66" s="490"/>
      <c r="E66" s="491"/>
      <c r="G66" s="65"/>
    </row>
    <row r="67" spans="2:7" ht="14.25" customHeight="1" x14ac:dyDescent="0.3">
      <c r="B67" s="489"/>
      <c r="C67" s="490"/>
      <c r="E67" s="491"/>
      <c r="G67" s="65"/>
    </row>
    <row r="68" spans="2:7" ht="14.25" customHeight="1" x14ac:dyDescent="0.3">
      <c r="B68" s="489"/>
      <c r="C68" s="490"/>
      <c r="E68" s="491"/>
      <c r="G68" s="65"/>
    </row>
    <row r="69" spans="2:7" ht="14.25" customHeight="1" x14ac:dyDescent="0.3">
      <c r="B69" s="489"/>
      <c r="C69" s="490"/>
      <c r="E69" s="491"/>
      <c r="G69" s="65"/>
    </row>
    <row r="70" spans="2:7" ht="14.25" customHeight="1" x14ac:dyDescent="0.3">
      <c r="B70" s="489"/>
      <c r="C70" s="490"/>
      <c r="E70" s="491"/>
      <c r="G70" s="65"/>
    </row>
    <row r="71" spans="2:7" ht="14.25" customHeight="1" x14ac:dyDescent="0.3">
      <c r="B71" s="489"/>
      <c r="C71" s="490"/>
      <c r="E71" s="491"/>
      <c r="G71" s="65"/>
    </row>
    <row r="72" spans="2:7" ht="14.25" customHeight="1" x14ac:dyDescent="0.3">
      <c r="B72" s="489"/>
      <c r="C72" s="490"/>
      <c r="E72" s="491"/>
      <c r="G72" s="65"/>
    </row>
    <row r="73" spans="2:7" ht="14.25" customHeight="1" x14ac:dyDescent="0.3">
      <c r="B73" s="489"/>
      <c r="C73" s="490"/>
      <c r="E73" s="491"/>
      <c r="G73" s="65"/>
    </row>
    <row r="74" spans="2:7" ht="14.25" customHeight="1" x14ac:dyDescent="0.3">
      <c r="B74" s="489"/>
      <c r="C74" s="490"/>
      <c r="E74" s="491"/>
      <c r="G74" s="65"/>
    </row>
    <row r="75" spans="2:7" ht="14.25" customHeight="1" x14ac:dyDescent="0.3">
      <c r="B75" s="489"/>
      <c r="C75" s="490"/>
      <c r="E75" s="491"/>
      <c r="G75" s="65"/>
    </row>
    <row r="76" spans="2:7" ht="14.25" customHeight="1" x14ac:dyDescent="0.3">
      <c r="B76" s="489"/>
      <c r="C76" s="490"/>
      <c r="E76" s="491"/>
      <c r="G76" s="65"/>
    </row>
    <row r="77" spans="2:7" ht="14.25" customHeight="1" x14ac:dyDescent="0.3">
      <c r="B77" s="489"/>
      <c r="C77" s="490"/>
      <c r="E77" s="491"/>
      <c r="G77" s="65"/>
    </row>
    <row r="78" spans="2:7" ht="14.25" customHeight="1" x14ac:dyDescent="0.3">
      <c r="B78" s="489"/>
      <c r="C78" s="490"/>
      <c r="E78" s="491"/>
      <c r="G78" s="65"/>
    </row>
    <row r="79" spans="2:7" ht="14.25" customHeight="1" x14ac:dyDescent="0.3">
      <c r="B79" s="489"/>
      <c r="C79" s="490"/>
      <c r="E79" s="491"/>
      <c r="G79" s="65"/>
    </row>
    <row r="80" spans="2:7" ht="14.25" customHeight="1" x14ac:dyDescent="0.3">
      <c r="B80" s="489"/>
      <c r="C80" s="490"/>
      <c r="E80" s="491"/>
      <c r="G80" s="65"/>
    </row>
    <row r="81" spans="2:7" ht="14.25" customHeight="1" x14ac:dyDescent="0.3">
      <c r="B81" s="489"/>
      <c r="C81" s="490"/>
      <c r="E81" s="491"/>
      <c r="G81" s="65"/>
    </row>
    <row r="82" spans="2:7" ht="14.25" customHeight="1" x14ac:dyDescent="0.3">
      <c r="B82" s="489"/>
      <c r="C82" s="490"/>
      <c r="E82" s="491"/>
      <c r="G82" s="65"/>
    </row>
    <row r="83" spans="2:7" ht="14.25" customHeight="1" x14ac:dyDescent="0.3">
      <c r="B83" s="489"/>
      <c r="C83" s="490"/>
      <c r="E83" s="491"/>
      <c r="G83" s="65"/>
    </row>
    <row r="84" spans="2:7" ht="14.25" customHeight="1" x14ac:dyDescent="0.3">
      <c r="B84" s="489"/>
      <c r="C84" s="490"/>
      <c r="E84" s="491"/>
      <c r="G84" s="65"/>
    </row>
    <row r="85" spans="2:7" ht="14.25" customHeight="1" x14ac:dyDescent="0.3">
      <c r="B85" s="489"/>
      <c r="C85" s="490"/>
      <c r="E85" s="491"/>
      <c r="G85" s="65"/>
    </row>
    <row r="86" spans="2:7" ht="14.25" customHeight="1" x14ac:dyDescent="0.3">
      <c r="B86" s="489"/>
      <c r="C86" s="490"/>
      <c r="E86" s="491"/>
      <c r="G86" s="65"/>
    </row>
    <row r="87" spans="2:7" ht="14.25" customHeight="1" x14ac:dyDescent="0.3">
      <c r="B87" s="489"/>
      <c r="C87" s="490"/>
      <c r="E87" s="491"/>
      <c r="G87" s="65"/>
    </row>
    <row r="88" spans="2:7" ht="14.25" customHeight="1" x14ac:dyDescent="0.3">
      <c r="B88" s="489"/>
      <c r="C88" s="490"/>
      <c r="E88" s="491"/>
      <c r="G88" s="65"/>
    </row>
    <row r="89" spans="2:7" ht="14.25" customHeight="1" x14ac:dyDescent="0.3">
      <c r="B89" s="489"/>
      <c r="C89" s="490"/>
      <c r="E89" s="491"/>
      <c r="G89" s="65"/>
    </row>
    <row r="90" spans="2:7" ht="14.25" customHeight="1" x14ac:dyDescent="0.3">
      <c r="B90" s="489"/>
      <c r="C90" s="490"/>
      <c r="E90" s="491"/>
      <c r="G90" s="65"/>
    </row>
    <row r="91" spans="2:7" ht="14.25" customHeight="1" x14ac:dyDescent="0.3">
      <c r="B91" s="489"/>
      <c r="C91" s="490"/>
      <c r="E91" s="491"/>
      <c r="G91" s="65"/>
    </row>
    <row r="92" spans="2:7" ht="14.25" customHeight="1" x14ac:dyDescent="0.3">
      <c r="B92" s="489"/>
      <c r="C92" s="490"/>
      <c r="E92" s="491"/>
      <c r="G92" s="65"/>
    </row>
    <row r="93" spans="2:7" ht="14.25" customHeight="1" x14ac:dyDescent="0.3">
      <c r="B93" s="489"/>
      <c r="C93" s="490"/>
      <c r="E93" s="491"/>
      <c r="G93" s="65"/>
    </row>
    <row r="94" spans="2:7" ht="14.25" customHeight="1" x14ac:dyDescent="0.3">
      <c r="B94" s="489"/>
      <c r="C94" s="490"/>
      <c r="E94" s="491"/>
      <c r="G94" s="65"/>
    </row>
    <row r="95" spans="2:7" ht="14.25" customHeight="1" x14ac:dyDescent="0.3">
      <c r="B95" s="489"/>
      <c r="C95" s="490"/>
      <c r="E95" s="491"/>
      <c r="G95" s="65"/>
    </row>
    <row r="96" spans="2:7" ht="14.25" customHeight="1" x14ac:dyDescent="0.3">
      <c r="B96" s="489"/>
      <c r="C96" s="490"/>
      <c r="E96" s="491"/>
      <c r="G96" s="65"/>
    </row>
    <row r="97" spans="2:7" ht="14.25" customHeight="1" x14ac:dyDescent="0.3">
      <c r="B97" s="489"/>
      <c r="C97" s="490"/>
      <c r="E97" s="491"/>
      <c r="G97" s="65"/>
    </row>
    <row r="98" spans="2:7" ht="14.25" customHeight="1" x14ac:dyDescent="0.3">
      <c r="B98" s="489"/>
      <c r="C98" s="490"/>
      <c r="E98" s="491"/>
      <c r="G98" s="65"/>
    </row>
    <row r="99" spans="2:7" ht="14.25" customHeight="1" x14ac:dyDescent="0.3">
      <c r="B99" s="489"/>
      <c r="C99" s="490"/>
      <c r="E99" s="491"/>
      <c r="G99" s="65"/>
    </row>
    <row r="100" spans="2:7" ht="14.25" customHeight="1" x14ac:dyDescent="0.3">
      <c r="B100" s="489"/>
      <c r="C100" s="490"/>
      <c r="E100" s="491"/>
      <c r="G100" s="65"/>
    </row>
    <row r="101" spans="2:7" ht="14.25" customHeight="1" x14ac:dyDescent="0.3">
      <c r="B101" s="489"/>
      <c r="C101" s="490"/>
      <c r="E101" s="491"/>
      <c r="G101" s="65"/>
    </row>
    <row r="102" spans="2:7" ht="14.25" customHeight="1" x14ac:dyDescent="0.3">
      <c r="B102" s="489"/>
      <c r="C102" s="490"/>
      <c r="E102" s="491"/>
      <c r="G102" s="65"/>
    </row>
    <row r="103" spans="2:7" ht="14.25" customHeight="1" x14ac:dyDescent="0.3">
      <c r="B103" s="489"/>
      <c r="C103" s="490"/>
      <c r="E103" s="491"/>
      <c r="G103" s="65"/>
    </row>
    <row r="104" spans="2:7" ht="14.25" customHeight="1" x14ac:dyDescent="0.3">
      <c r="B104" s="489"/>
      <c r="C104" s="490"/>
      <c r="E104" s="491"/>
      <c r="G104" s="65"/>
    </row>
    <row r="105" spans="2:7" ht="14.25" customHeight="1" x14ac:dyDescent="0.3">
      <c r="B105" s="489"/>
      <c r="C105" s="490"/>
      <c r="E105" s="491"/>
      <c r="G105" s="65"/>
    </row>
    <row r="106" spans="2:7" ht="14.25" customHeight="1" x14ac:dyDescent="0.3">
      <c r="B106" s="489"/>
      <c r="C106" s="490"/>
      <c r="E106" s="491"/>
      <c r="G106" s="65"/>
    </row>
    <row r="107" spans="2:7" ht="14.25" customHeight="1" x14ac:dyDescent="0.3">
      <c r="B107" s="489"/>
      <c r="C107" s="490"/>
      <c r="E107" s="491"/>
      <c r="G107" s="65"/>
    </row>
    <row r="108" spans="2:7" ht="14.25" customHeight="1" x14ac:dyDescent="0.3">
      <c r="B108" s="489"/>
      <c r="C108" s="490"/>
      <c r="E108" s="491"/>
      <c r="G108" s="65"/>
    </row>
    <row r="109" spans="2:7" ht="14.25" customHeight="1" x14ac:dyDescent="0.3">
      <c r="B109" s="489"/>
      <c r="C109" s="490"/>
      <c r="E109" s="491"/>
      <c r="G109" s="65"/>
    </row>
    <row r="110" spans="2:7" ht="14.25" customHeight="1" x14ac:dyDescent="0.3">
      <c r="B110" s="489"/>
      <c r="C110" s="490"/>
      <c r="E110" s="491"/>
      <c r="G110" s="65"/>
    </row>
    <row r="111" spans="2:7" ht="14.25" customHeight="1" x14ac:dyDescent="0.3">
      <c r="B111" s="489"/>
      <c r="C111" s="490"/>
      <c r="E111" s="491"/>
      <c r="G111" s="65"/>
    </row>
    <row r="112" spans="2:7" ht="14.25" customHeight="1" x14ac:dyDescent="0.3">
      <c r="B112" s="489"/>
      <c r="C112" s="490"/>
      <c r="E112" s="491"/>
      <c r="G112" s="65"/>
    </row>
    <row r="113" spans="2:7" ht="14.25" customHeight="1" x14ac:dyDescent="0.3">
      <c r="B113" s="489"/>
      <c r="C113" s="490"/>
      <c r="E113" s="491"/>
      <c r="G113" s="65"/>
    </row>
    <row r="114" spans="2:7" ht="14.25" customHeight="1" x14ac:dyDescent="0.3">
      <c r="B114" s="489"/>
      <c r="C114" s="490"/>
      <c r="E114" s="491"/>
      <c r="G114" s="65"/>
    </row>
    <row r="115" spans="2:7" ht="14.25" customHeight="1" x14ac:dyDescent="0.3">
      <c r="B115" s="489"/>
      <c r="C115" s="490"/>
      <c r="E115" s="491"/>
      <c r="G115" s="65"/>
    </row>
    <row r="116" spans="2:7" ht="14.25" customHeight="1" x14ac:dyDescent="0.3">
      <c r="B116" s="489"/>
      <c r="C116" s="490"/>
      <c r="E116" s="491"/>
      <c r="G116" s="65"/>
    </row>
    <row r="117" spans="2:7" ht="14.25" customHeight="1" x14ac:dyDescent="0.3">
      <c r="B117" s="489"/>
      <c r="C117" s="490"/>
      <c r="E117" s="491"/>
      <c r="G117" s="65"/>
    </row>
    <row r="118" spans="2:7" ht="14.25" customHeight="1" x14ac:dyDescent="0.3">
      <c r="B118" s="489"/>
      <c r="C118" s="490"/>
      <c r="E118" s="491"/>
      <c r="G118" s="65"/>
    </row>
    <row r="119" spans="2:7" ht="14.25" customHeight="1" x14ac:dyDescent="0.3">
      <c r="B119" s="489"/>
      <c r="C119" s="490"/>
      <c r="E119" s="491"/>
      <c r="G119" s="65"/>
    </row>
    <row r="120" spans="2:7" ht="14.25" customHeight="1" x14ac:dyDescent="0.3">
      <c r="B120" s="489"/>
      <c r="C120" s="490"/>
      <c r="E120" s="491"/>
      <c r="G120" s="65"/>
    </row>
    <row r="121" spans="2:7" ht="14.25" customHeight="1" x14ac:dyDescent="0.3">
      <c r="B121" s="489"/>
      <c r="C121" s="490"/>
      <c r="E121" s="491"/>
      <c r="G121" s="65"/>
    </row>
    <row r="122" spans="2:7" ht="14.25" customHeight="1" x14ac:dyDescent="0.3">
      <c r="B122" s="489"/>
      <c r="C122" s="490"/>
      <c r="E122" s="491"/>
      <c r="G122" s="65"/>
    </row>
    <row r="123" spans="2:7" ht="14.25" customHeight="1" x14ac:dyDescent="0.3">
      <c r="B123" s="489"/>
      <c r="C123" s="490"/>
      <c r="E123" s="491"/>
      <c r="G123" s="65"/>
    </row>
    <row r="124" spans="2:7" ht="14.25" customHeight="1" x14ac:dyDescent="0.3">
      <c r="B124" s="489"/>
      <c r="C124" s="490"/>
      <c r="E124" s="491"/>
      <c r="G124" s="65"/>
    </row>
    <row r="125" spans="2:7" ht="14.25" customHeight="1" x14ac:dyDescent="0.3">
      <c r="B125" s="489"/>
      <c r="C125" s="490"/>
      <c r="E125" s="491"/>
      <c r="G125" s="65"/>
    </row>
    <row r="126" spans="2:7" ht="14.25" customHeight="1" x14ac:dyDescent="0.3">
      <c r="B126" s="489"/>
      <c r="C126" s="490"/>
      <c r="E126" s="491"/>
      <c r="G126" s="65"/>
    </row>
    <row r="127" spans="2:7" ht="14.25" customHeight="1" x14ac:dyDescent="0.3">
      <c r="B127" s="489"/>
      <c r="C127" s="490"/>
      <c r="E127" s="491"/>
      <c r="G127" s="65"/>
    </row>
    <row r="128" spans="2:7" ht="14.25" customHeight="1" x14ac:dyDescent="0.3">
      <c r="B128" s="489"/>
      <c r="C128" s="490"/>
      <c r="E128" s="491"/>
      <c r="G128" s="65"/>
    </row>
    <row r="129" spans="2:7" ht="14.25" customHeight="1" x14ac:dyDescent="0.3">
      <c r="B129" s="489"/>
      <c r="C129" s="490"/>
      <c r="E129" s="491"/>
      <c r="G129" s="65"/>
    </row>
    <row r="130" spans="2:7" ht="14.25" customHeight="1" x14ac:dyDescent="0.3">
      <c r="B130" s="489"/>
      <c r="C130" s="490"/>
      <c r="E130" s="491"/>
      <c r="G130" s="65"/>
    </row>
    <row r="131" spans="2:7" ht="14.25" customHeight="1" x14ac:dyDescent="0.3">
      <c r="B131" s="489"/>
      <c r="C131" s="490"/>
      <c r="E131" s="491"/>
      <c r="G131" s="65"/>
    </row>
    <row r="132" spans="2:7" ht="14.25" customHeight="1" x14ac:dyDescent="0.3">
      <c r="B132" s="489"/>
      <c r="C132" s="490"/>
      <c r="E132" s="491"/>
      <c r="G132" s="65"/>
    </row>
    <row r="133" spans="2:7" ht="14.25" customHeight="1" x14ac:dyDescent="0.3">
      <c r="B133" s="489"/>
      <c r="C133" s="490"/>
      <c r="E133" s="491"/>
      <c r="G133" s="65"/>
    </row>
    <row r="134" spans="2:7" ht="14.25" customHeight="1" x14ac:dyDescent="0.3">
      <c r="B134" s="489"/>
      <c r="C134" s="490"/>
      <c r="E134" s="491"/>
      <c r="G134" s="65"/>
    </row>
    <row r="135" spans="2:7" ht="14.25" customHeight="1" x14ac:dyDescent="0.3">
      <c r="B135" s="489"/>
      <c r="C135" s="490"/>
      <c r="E135" s="491"/>
      <c r="G135" s="65"/>
    </row>
    <row r="136" spans="2:7" ht="14.25" customHeight="1" x14ac:dyDescent="0.3">
      <c r="B136" s="489"/>
      <c r="C136" s="490"/>
      <c r="E136" s="491"/>
      <c r="G136" s="65"/>
    </row>
    <row r="137" spans="2:7" ht="14.25" customHeight="1" x14ac:dyDescent="0.3">
      <c r="B137" s="489"/>
      <c r="C137" s="490"/>
      <c r="E137" s="491"/>
      <c r="G137" s="65"/>
    </row>
    <row r="138" spans="2:7" ht="14.25" customHeight="1" x14ac:dyDescent="0.3">
      <c r="B138" s="489"/>
      <c r="C138" s="490"/>
      <c r="E138" s="491"/>
      <c r="G138" s="65"/>
    </row>
    <row r="139" spans="2:7" ht="14.25" customHeight="1" x14ac:dyDescent="0.3">
      <c r="B139" s="489"/>
      <c r="C139" s="490"/>
      <c r="E139" s="491"/>
      <c r="G139" s="65"/>
    </row>
    <row r="140" spans="2:7" ht="14.25" customHeight="1" x14ac:dyDescent="0.3">
      <c r="B140" s="489"/>
      <c r="C140" s="490"/>
      <c r="E140" s="491"/>
      <c r="G140" s="65"/>
    </row>
    <row r="141" spans="2:7" ht="14.25" customHeight="1" x14ac:dyDescent="0.3">
      <c r="B141" s="489"/>
      <c r="C141" s="490"/>
      <c r="E141" s="491"/>
      <c r="G141" s="65"/>
    </row>
    <row r="142" spans="2:7" ht="14.25" customHeight="1" x14ac:dyDescent="0.3">
      <c r="B142" s="489"/>
      <c r="C142" s="490"/>
      <c r="E142" s="491"/>
      <c r="G142" s="65"/>
    </row>
    <row r="143" spans="2:7" ht="14.25" customHeight="1" x14ac:dyDescent="0.3">
      <c r="B143" s="489"/>
      <c r="C143" s="490"/>
      <c r="E143" s="491"/>
      <c r="G143" s="65"/>
    </row>
    <row r="144" spans="2:7" ht="14.25" customHeight="1" x14ac:dyDescent="0.3">
      <c r="B144" s="489"/>
      <c r="C144" s="490"/>
      <c r="E144" s="491"/>
      <c r="G144" s="65"/>
    </row>
    <row r="145" spans="2:7" ht="14.25" customHeight="1" x14ac:dyDescent="0.3">
      <c r="B145" s="489"/>
      <c r="C145" s="490"/>
      <c r="E145" s="491"/>
      <c r="G145" s="65"/>
    </row>
    <row r="146" spans="2:7" ht="14.25" customHeight="1" x14ac:dyDescent="0.3">
      <c r="B146" s="489"/>
      <c r="C146" s="490"/>
      <c r="E146" s="491"/>
      <c r="G146" s="65"/>
    </row>
    <row r="147" spans="2:7" ht="14.25" customHeight="1" x14ac:dyDescent="0.3">
      <c r="B147" s="489"/>
      <c r="C147" s="490"/>
      <c r="E147" s="491"/>
      <c r="G147" s="65"/>
    </row>
    <row r="148" spans="2:7" ht="14.25" customHeight="1" x14ac:dyDescent="0.3">
      <c r="B148" s="489"/>
      <c r="C148" s="490"/>
      <c r="E148" s="491"/>
      <c r="G148" s="65"/>
    </row>
    <row r="149" spans="2:7" ht="14.25" customHeight="1" x14ac:dyDescent="0.3">
      <c r="B149" s="489"/>
      <c r="C149" s="490"/>
      <c r="E149" s="491"/>
      <c r="G149" s="65"/>
    </row>
    <row r="150" spans="2:7" ht="14.25" customHeight="1" x14ac:dyDescent="0.3">
      <c r="B150" s="489"/>
      <c r="C150" s="490"/>
      <c r="E150" s="491"/>
      <c r="G150" s="65"/>
    </row>
    <row r="151" spans="2:7" ht="14.25" customHeight="1" x14ac:dyDescent="0.3">
      <c r="B151" s="489"/>
      <c r="C151" s="490"/>
      <c r="E151" s="491"/>
      <c r="G151" s="65"/>
    </row>
    <row r="152" spans="2:7" ht="14.25" customHeight="1" x14ac:dyDescent="0.3">
      <c r="B152" s="489"/>
      <c r="C152" s="490"/>
      <c r="E152" s="491"/>
      <c r="G152" s="65"/>
    </row>
    <row r="153" spans="2:7" ht="14.25" customHeight="1" x14ac:dyDescent="0.3">
      <c r="B153" s="489"/>
      <c r="C153" s="490"/>
      <c r="E153" s="491"/>
      <c r="G153" s="65"/>
    </row>
    <row r="154" spans="2:7" ht="14.25" customHeight="1" x14ac:dyDescent="0.3">
      <c r="B154" s="489"/>
      <c r="C154" s="490"/>
      <c r="E154" s="491"/>
      <c r="G154" s="65"/>
    </row>
    <row r="155" spans="2:7" ht="14.25" customHeight="1" x14ac:dyDescent="0.3">
      <c r="B155" s="489"/>
      <c r="C155" s="490"/>
      <c r="E155" s="491"/>
      <c r="G155" s="65"/>
    </row>
    <row r="156" spans="2:7" ht="14.25" customHeight="1" x14ac:dyDescent="0.3">
      <c r="B156" s="489"/>
      <c r="C156" s="490"/>
      <c r="E156" s="491"/>
      <c r="G156" s="65"/>
    </row>
    <row r="157" spans="2:7" ht="14.25" customHeight="1" x14ac:dyDescent="0.3">
      <c r="B157" s="489"/>
      <c r="C157" s="490"/>
      <c r="E157" s="491"/>
      <c r="G157" s="65"/>
    </row>
    <row r="158" spans="2:7" ht="14.25" customHeight="1" x14ac:dyDescent="0.3">
      <c r="B158" s="489"/>
      <c r="C158" s="490"/>
      <c r="E158" s="491"/>
      <c r="G158" s="65"/>
    </row>
    <row r="159" spans="2:7" ht="14.25" customHeight="1" x14ac:dyDescent="0.3">
      <c r="B159" s="489"/>
      <c r="C159" s="490"/>
      <c r="E159" s="491"/>
      <c r="G159" s="65"/>
    </row>
    <row r="160" spans="2:7" ht="14.25" customHeight="1" x14ac:dyDescent="0.3">
      <c r="B160" s="489"/>
      <c r="C160" s="490"/>
      <c r="E160" s="491"/>
      <c r="G160" s="65"/>
    </row>
    <row r="161" spans="2:7" ht="14.25" customHeight="1" x14ac:dyDescent="0.3">
      <c r="B161" s="489"/>
      <c r="C161" s="490"/>
      <c r="E161" s="491"/>
      <c r="G161" s="65"/>
    </row>
    <row r="162" spans="2:7" ht="14.25" customHeight="1" x14ac:dyDescent="0.3">
      <c r="B162" s="489"/>
      <c r="C162" s="490"/>
      <c r="E162" s="491"/>
      <c r="G162" s="65"/>
    </row>
    <row r="163" spans="2:7" ht="14.25" customHeight="1" x14ac:dyDescent="0.3">
      <c r="B163" s="489"/>
      <c r="C163" s="490"/>
      <c r="E163" s="491"/>
      <c r="G163" s="65"/>
    </row>
    <row r="164" spans="2:7" ht="14.25" customHeight="1" x14ac:dyDescent="0.3">
      <c r="B164" s="489"/>
      <c r="C164" s="490"/>
      <c r="E164" s="491"/>
      <c r="G164" s="65"/>
    </row>
    <row r="165" spans="2:7" ht="14.25" customHeight="1" x14ac:dyDescent="0.3">
      <c r="B165" s="489"/>
      <c r="C165" s="490"/>
      <c r="E165" s="491"/>
      <c r="G165" s="65"/>
    </row>
    <row r="166" spans="2:7" ht="14.25" customHeight="1" x14ac:dyDescent="0.3">
      <c r="B166" s="489"/>
      <c r="C166" s="490"/>
      <c r="E166" s="491"/>
      <c r="G166" s="65"/>
    </row>
    <row r="167" spans="2:7" ht="14.25" customHeight="1" x14ac:dyDescent="0.3">
      <c r="B167" s="489"/>
      <c r="C167" s="490"/>
      <c r="E167" s="491"/>
      <c r="G167" s="65"/>
    </row>
    <row r="168" spans="2:7" ht="14.25" customHeight="1" x14ac:dyDescent="0.3">
      <c r="B168" s="489"/>
      <c r="C168" s="490"/>
      <c r="E168" s="491"/>
      <c r="G168" s="65"/>
    </row>
    <row r="169" spans="2:7" ht="14.25" customHeight="1" x14ac:dyDescent="0.3">
      <c r="B169" s="489"/>
      <c r="C169" s="490"/>
      <c r="E169" s="491"/>
      <c r="G169" s="65"/>
    </row>
    <row r="170" spans="2:7" ht="14.25" customHeight="1" x14ac:dyDescent="0.3">
      <c r="B170" s="489"/>
      <c r="C170" s="490"/>
      <c r="E170" s="491"/>
      <c r="G170" s="65"/>
    </row>
    <row r="171" spans="2:7" ht="14.25" customHeight="1" x14ac:dyDescent="0.3">
      <c r="B171" s="489"/>
      <c r="C171" s="490"/>
      <c r="E171" s="491"/>
      <c r="G171" s="65"/>
    </row>
    <row r="172" spans="2:7" ht="14.25" customHeight="1" x14ac:dyDescent="0.3">
      <c r="B172" s="489"/>
      <c r="C172" s="490"/>
      <c r="E172" s="491"/>
      <c r="G172" s="65"/>
    </row>
    <row r="173" spans="2:7" ht="14.25" customHeight="1" x14ac:dyDescent="0.3">
      <c r="B173" s="489"/>
      <c r="C173" s="490"/>
      <c r="E173" s="491"/>
      <c r="G173" s="65"/>
    </row>
    <row r="174" spans="2:7" ht="14.25" customHeight="1" x14ac:dyDescent="0.3">
      <c r="B174" s="489"/>
      <c r="C174" s="490"/>
      <c r="E174" s="491"/>
      <c r="G174" s="65"/>
    </row>
    <row r="175" spans="2:7" ht="14.25" customHeight="1" x14ac:dyDescent="0.3">
      <c r="B175" s="489"/>
      <c r="C175" s="490"/>
      <c r="E175" s="491"/>
      <c r="G175" s="65"/>
    </row>
    <row r="176" spans="2:7" ht="14.25" customHeight="1" x14ac:dyDescent="0.3">
      <c r="B176" s="489"/>
      <c r="C176" s="490"/>
      <c r="E176" s="491"/>
      <c r="G176" s="65"/>
    </row>
    <row r="177" spans="2:7" ht="14.25" customHeight="1" x14ac:dyDescent="0.3">
      <c r="B177" s="489"/>
      <c r="C177" s="490"/>
      <c r="E177" s="491"/>
      <c r="G177" s="65"/>
    </row>
    <row r="178" spans="2:7" ht="14.25" customHeight="1" x14ac:dyDescent="0.3">
      <c r="B178" s="489"/>
      <c r="C178" s="490"/>
      <c r="E178" s="491"/>
      <c r="G178" s="65"/>
    </row>
    <row r="179" spans="2:7" ht="14.25" customHeight="1" x14ac:dyDescent="0.3">
      <c r="B179" s="489"/>
      <c r="C179" s="490"/>
      <c r="E179" s="491"/>
      <c r="G179" s="65"/>
    </row>
    <row r="180" spans="2:7" ht="14.25" customHeight="1" x14ac:dyDescent="0.3">
      <c r="B180" s="489"/>
      <c r="C180" s="490"/>
      <c r="E180" s="491"/>
      <c r="G180" s="65"/>
    </row>
    <row r="181" spans="2:7" ht="14.25" customHeight="1" x14ac:dyDescent="0.3">
      <c r="B181" s="489"/>
      <c r="C181" s="490"/>
      <c r="E181" s="491"/>
      <c r="G181" s="65"/>
    </row>
    <row r="182" spans="2:7" ht="14.25" customHeight="1" x14ac:dyDescent="0.3">
      <c r="B182" s="489"/>
      <c r="C182" s="490"/>
      <c r="E182" s="491"/>
      <c r="G182" s="65"/>
    </row>
    <row r="183" spans="2:7" ht="14.25" customHeight="1" x14ac:dyDescent="0.3">
      <c r="B183" s="489"/>
      <c r="C183" s="490"/>
      <c r="E183" s="491"/>
      <c r="G183" s="65"/>
    </row>
    <row r="184" spans="2:7" ht="14.25" customHeight="1" x14ac:dyDescent="0.3">
      <c r="B184" s="489"/>
      <c r="C184" s="490"/>
      <c r="E184" s="491"/>
      <c r="G184" s="65"/>
    </row>
    <row r="185" spans="2:7" ht="14.25" customHeight="1" x14ac:dyDescent="0.3">
      <c r="B185" s="489"/>
      <c r="C185" s="490"/>
      <c r="E185" s="491"/>
      <c r="G185" s="65"/>
    </row>
    <row r="186" spans="2:7" ht="14.25" customHeight="1" x14ac:dyDescent="0.3">
      <c r="B186" s="489"/>
      <c r="C186" s="490"/>
      <c r="E186" s="491"/>
      <c r="G186" s="65"/>
    </row>
    <row r="187" spans="2:7" ht="14.25" customHeight="1" x14ac:dyDescent="0.3">
      <c r="B187" s="489"/>
      <c r="C187" s="490"/>
      <c r="E187" s="491"/>
      <c r="G187" s="65"/>
    </row>
    <row r="188" spans="2:7" ht="14.25" customHeight="1" x14ac:dyDescent="0.3">
      <c r="B188" s="489"/>
      <c r="C188" s="490"/>
      <c r="E188" s="491"/>
      <c r="G188" s="65"/>
    </row>
    <row r="189" spans="2:7" ht="14.25" customHeight="1" x14ac:dyDescent="0.3">
      <c r="B189" s="489"/>
      <c r="C189" s="490"/>
      <c r="E189" s="491"/>
      <c r="G189" s="65"/>
    </row>
    <row r="190" spans="2:7" ht="14.25" customHeight="1" x14ac:dyDescent="0.3">
      <c r="B190" s="489"/>
      <c r="C190" s="490"/>
      <c r="E190" s="491"/>
      <c r="G190" s="65"/>
    </row>
    <row r="191" spans="2:7" ht="14.25" customHeight="1" x14ac:dyDescent="0.3">
      <c r="B191" s="489"/>
      <c r="C191" s="490"/>
      <c r="E191" s="491"/>
      <c r="G191" s="65"/>
    </row>
    <row r="192" spans="2:7" ht="14.25" customHeight="1" x14ac:dyDescent="0.3">
      <c r="B192" s="489"/>
      <c r="C192" s="490"/>
      <c r="E192" s="491"/>
      <c r="G192" s="65"/>
    </row>
    <row r="193" spans="2:7" ht="14.25" customHeight="1" x14ac:dyDescent="0.3">
      <c r="B193" s="489"/>
      <c r="C193" s="490"/>
      <c r="E193" s="491"/>
      <c r="G193" s="65"/>
    </row>
    <row r="194" spans="2:7" ht="14.25" customHeight="1" x14ac:dyDescent="0.3">
      <c r="B194" s="489"/>
      <c r="C194" s="490"/>
      <c r="E194" s="491"/>
      <c r="G194" s="65"/>
    </row>
    <row r="195" spans="2:7" ht="14.25" customHeight="1" x14ac:dyDescent="0.3">
      <c r="B195" s="489"/>
      <c r="C195" s="490"/>
      <c r="E195" s="491"/>
      <c r="G195" s="65"/>
    </row>
    <row r="196" spans="2:7" ht="14.25" customHeight="1" x14ac:dyDescent="0.3">
      <c r="B196" s="489"/>
      <c r="C196" s="490"/>
      <c r="E196" s="491"/>
      <c r="G196" s="65"/>
    </row>
    <row r="197" spans="2:7" ht="14.25" customHeight="1" x14ac:dyDescent="0.3">
      <c r="B197" s="489"/>
      <c r="C197" s="490"/>
      <c r="E197" s="491"/>
      <c r="G197" s="65"/>
    </row>
    <row r="198" spans="2:7" ht="14.25" customHeight="1" x14ac:dyDescent="0.3">
      <c r="B198" s="489"/>
      <c r="C198" s="490"/>
      <c r="E198" s="491"/>
      <c r="G198" s="65"/>
    </row>
    <row r="199" spans="2:7" ht="14.25" customHeight="1" x14ac:dyDescent="0.3">
      <c r="B199" s="489"/>
      <c r="C199" s="490"/>
      <c r="E199" s="491"/>
      <c r="G199" s="65"/>
    </row>
    <row r="200" spans="2:7" ht="14.25" customHeight="1" x14ac:dyDescent="0.3">
      <c r="B200" s="489"/>
      <c r="C200" s="490"/>
      <c r="E200" s="491"/>
      <c r="G200" s="65"/>
    </row>
    <row r="201" spans="2:7" ht="14.25" customHeight="1" x14ac:dyDescent="0.3">
      <c r="B201" s="489"/>
      <c r="C201" s="490"/>
      <c r="E201" s="491"/>
      <c r="G201" s="65"/>
    </row>
    <row r="202" spans="2:7" ht="14.25" customHeight="1" x14ac:dyDescent="0.3">
      <c r="B202" s="489"/>
      <c r="C202" s="490"/>
      <c r="E202" s="491"/>
      <c r="G202" s="65"/>
    </row>
    <row r="203" spans="2:7" ht="14.25" customHeight="1" x14ac:dyDescent="0.3">
      <c r="B203" s="489"/>
      <c r="C203" s="490"/>
      <c r="E203" s="491"/>
      <c r="G203" s="65"/>
    </row>
    <row r="204" spans="2:7" ht="14.25" customHeight="1" x14ac:dyDescent="0.3">
      <c r="B204" s="489"/>
      <c r="C204" s="490"/>
      <c r="E204" s="491"/>
      <c r="G204" s="65"/>
    </row>
    <row r="205" spans="2:7" ht="14.25" customHeight="1" x14ac:dyDescent="0.3">
      <c r="B205" s="489"/>
      <c r="C205" s="490"/>
      <c r="E205" s="491"/>
      <c r="G205" s="65"/>
    </row>
    <row r="206" spans="2:7" ht="14.25" customHeight="1" x14ac:dyDescent="0.3">
      <c r="B206" s="489"/>
      <c r="C206" s="490"/>
      <c r="E206" s="491"/>
      <c r="G206" s="65"/>
    </row>
    <row r="207" spans="2:7" ht="14.25" customHeight="1" x14ac:dyDescent="0.3">
      <c r="B207" s="489"/>
      <c r="C207" s="490"/>
      <c r="E207" s="491"/>
      <c r="G207" s="65"/>
    </row>
    <row r="208" spans="2:7" ht="14.25" customHeight="1" x14ac:dyDescent="0.3">
      <c r="B208" s="489"/>
      <c r="C208" s="490"/>
      <c r="E208" s="491"/>
      <c r="G208" s="65"/>
    </row>
    <row r="209" spans="2:7" ht="14.25" customHeight="1" x14ac:dyDescent="0.3">
      <c r="B209" s="489"/>
      <c r="C209" s="490"/>
      <c r="E209" s="491"/>
      <c r="G209" s="65"/>
    </row>
    <row r="210" spans="2:7" ht="14.25" customHeight="1" x14ac:dyDescent="0.3">
      <c r="B210" s="489"/>
      <c r="C210" s="490"/>
      <c r="E210" s="491"/>
      <c r="G210" s="65"/>
    </row>
    <row r="211" spans="2:7" ht="14.25" customHeight="1" x14ac:dyDescent="0.3">
      <c r="B211" s="489"/>
      <c r="C211" s="490"/>
      <c r="E211" s="491"/>
      <c r="G211" s="65"/>
    </row>
    <row r="212" spans="2:7" ht="14.25" customHeight="1" x14ac:dyDescent="0.3">
      <c r="B212" s="489"/>
      <c r="C212" s="490"/>
      <c r="E212" s="491"/>
      <c r="G212" s="65"/>
    </row>
    <row r="213" spans="2:7" ht="14.25" customHeight="1" x14ac:dyDescent="0.3">
      <c r="B213" s="489"/>
      <c r="C213" s="490"/>
      <c r="E213" s="491"/>
      <c r="G213" s="65"/>
    </row>
    <row r="214" spans="2:7" ht="14.25" customHeight="1" x14ac:dyDescent="0.3">
      <c r="B214" s="489"/>
      <c r="C214" s="490"/>
      <c r="E214" s="491"/>
      <c r="G214" s="65"/>
    </row>
    <row r="215" spans="2:7" ht="14.25" customHeight="1" x14ac:dyDescent="0.3">
      <c r="B215" s="489"/>
      <c r="C215" s="490"/>
      <c r="E215" s="491"/>
      <c r="G215" s="65"/>
    </row>
    <row r="216" spans="2:7" ht="14.25" customHeight="1" x14ac:dyDescent="0.3">
      <c r="B216" s="489"/>
      <c r="C216" s="490"/>
      <c r="E216" s="491"/>
      <c r="G216" s="65"/>
    </row>
    <row r="217" spans="2:7" ht="14.25" customHeight="1" x14ac:dyDescent="0.3">
      <c r="B217" s="489"/>
      <c r="C217" s="490"/>
      <c r="E217" s="491"/>
      <c r="G217" s="65"/>
    </row>
    <row r="218" spans="2:7" ht="14.25" customHeight="1" x14ac:dyDescent="0.3">
      <c r="B218" s="489"/>
      <c r="C218" s="490"/>
      <c r="E218" s="491"/>
      <c r="G218" s="65"/>
    </row>
    <row r="219" spans="2:7" ht="14.25" customHeight="1" x14ac:dyDescent="0.3">
      <c r="B219" s="489"/>
      <c r="C219" s="490"/>
      <c r="E219" s="491"/>
      <c r="G219" s="65"/>
    </row>
    <row r="220" spans="2:7" ht="14.25" customHeight="1" x14ac:dyDescent="0.3">
      <c r="B220" s="489"/>
      <c r="C220" s="490"/>
      <c r="E220" s="491"/>
      <c r="G220" s="65"/>
    </row>
    <row r="221" spans="2:7" ht="14.25" customHeight="1" x14ac:dyDescent="0.3">
      <c r="B221" s="489"/>
      <c r="C221" s="490"/>
      <c r="E221" s="491"/>
      <c r="G221" s="65"/>
    </row>
    <row r="222" spans="2:7" ht="14.25" customHeight="1" x14ac:dyDescent="0.3">
      <c r="B222" s="489"/>
      <c r="C222" s="490"/>
      <c r="E222" s="491"/>
      <c r="G222" s="65"/>
    </row>
    <row r="223" spans="2:7" ht="14.25" customHeight="1" x14ac:dyDescent="0.3">
      <c r="B223" s="489"/>
      <c r="C223" s="490"/>
      <c r="E223" s="491"/>
      <c r="G223" s="65"/>
    </row>
    <row r="224" spans="2:7" ht="14.25" customHeight="1" x14ac:dyDescent="0.3">
      <c r="B224" s="489"/>
      <c r="C224" s="490"/>
      <c r="E224" s="491"/>
      <c r="G224" s="65"/>
    </row>
    <row r="225" spans="2:7" ht="14.25" customHeight="1" x14ac:dyDescent="0.3">
      <c r="B225" s="489"/>
      <c r="C225" s="490"/>
      <c r="E225" s="491"/>
      <c r="G225" s="65"/>
    </row>
    <row r="226" spans="2:7" ht="14.25" customHeight="1" x14ac:dyDescent="0.3">
      <c r="B226" s="489"/>
      <c r="C226" s="490"/>
      <c r="E226" s="491"/>
      <c r="G226" s="65"/>
    </row>
    <row r="227" spans="2:7" ht="14.25" customHeight="1" x14ac:dyDescent="0.3">
      <c r="B227" s="489"/>
      <c r="C227" s="490"/>
      <c r="E227" s="491"/>
      <c r="G227" s="65"/>
    </row>
    <row r="228" spans="2:7" ht="14.25" customHeight="1" x14ac:dyDescent="0.3">
      <c r="B228" s="489"/>
      <c r="C228" s="490"/>
      <c r="E228" s="491"/>
      <c r="G228" s="65"/>
    </row>
    <row r="229" spans="2:7" ht="14.25" customHeight="1" x14ac:dyDescent="0.3">
      <c r="B229" s="489"/>
      <c r="C229" s="490"/>
      <c r="E229" s="491"/>
      <c r="G229" s="65"/>
    </row>
    <row r="230" spans="2:7" ht="14.25" customHeight="1" x14ac:dyDescent="0.3">
      <c r="B230" s="489"/>
      <c r="C230" s="490"/>
      <c r="E230" s="491"/>
      <c r="G230" s="65"/>
    </row>
    <row r="231" spans="2:7" ht="14.25" customHeight="1" x14ac:dyDescent="0.3">
      <c r="B231" s="489"/>
      <c r="C231" s="490"/>
      <c r="E231" s="491"/>
      <c r="G231" s="65"/>
    </row>
    <row r="232" spans="2:7" ht="14.25" customHeight="1" x14ac:dyDescent="0.3">
      <c r="B232" s="489"/>
      <c r="C232" s="490"/>
      <c r="E232" s="491"/>
      <c r="G232" s="65"/>
    </row>
    <row r="233" spans="2:7" ht="14.25" customHeight="1" x14ac:dyDescent="0.3">
      <c r="B233" s="489"/>
      <c r="C233" s="490"/>
      <c r="E233" s="491"/>
      <c r="G233" s="65"/>
    </row>
    <row r="234" spans="2:7" ht="14.25" customHeight="1" x14ac:dyDescent="0.3">
      <c r="B234" s="489"/>
      <c r="C234" s="490"/>
      <c r="E234" s="491"/>
      <c r="G234" s="65"/>
    </row>
    <row r="235" spans="2:7" ht="14.25" customHeight="1" x14ac:dyDescent="0.3">
      <c r="B235" s="489"/>
      <c r="C235" s="490"/>
      <c r="E235" s="491"/>
      <c r="G235" s="65"/>
    </row>
    <row r="236" spans="2:7" ht="14.25" customHeight="1" x14ac:dyDescent="0.3">
      <c r="B236" s="489"/>
      <c r="C236" s="490"/>
      <c r="E236" s="491"/>
      <c r="G236" s="65"/>
    </row>
    <row r="237" spans="2:7" ht="14.25" customHeight="1" x14ac:dyDescent="0.3">
      <c r="B237" s="489"/>
      <c r="C237" s="490"/>
      <c r="E237" s="491"/>
      <c r="G237" s="65"/>
    </row>
    <row r="238" spans="2:7" ht="14.25" customHeight="1" x14ac:dyDescent="0.3">
      <c r="B238" s="489"/>
      <c r="C238" s="490"/>
      <c r="E238" s="491"/>
      <c r="G238" s="65"/>
    </row>
    <row r="239" spans="2:7" ht="14.25" customHeight="1" x14ac:dyDescent="0.3">
      <c r="B239" s="489"/>
      <c r="C239" s="490"/>
      <c r="E239" s="491"/>
      <c r="G239" s="65"/>
    </row>
    <row r="240" spans="2:7" ht="14.25" customHeight="1" x14ac:dyDescent="0.3">
      <c r="B240" s="489"/>
      <c r="C240" s="490"/>
      <c r="E240" s="491"/>
      <c r="G240" s="65"/>
    </row>
    <row r="241" spans="2:7" ht="14.25" customHeight="1" x14ac:dyDescent="0.3">
      <c r="B241" s="489"/>
      <c r="C241" s="490"/>
      <c r="E241" s="491"/>
      <c r="G241" s="65"/>
    </row>
    <row r="242" spans="2:7" ht="14.25" customHeight="1" x14ac:dyDescent="0.3">
      <c r="B242" s="489"/>
      <c r="C242" s="490"/>
      <c r="E242" s="491"/>
      <c r="G242" s="65"/>
    </row>
    <row r="243" spans="2:7" ht="14.25" customHeight="1" x14ac:dyDescent="0.3">
      <c r="B243" s="489"/>
      <c r="C243" s="490"/>
      <c r="E243" s="491"/>
      <c r="G243" s="65"/>
    </row>
    <row r="244" spans="2:7" ht="14.25" customHeight="1" x14ac:dyDescent="0.3">
      <c r="B244" s="489"/>
      <c r="C244" s="490"/>
      <c r="E244" s="491"/>
      <c r="G244" s="65"/>
    </row>
    <row r="245" spans="2:7" ht="14.25" customHeight="1" x14ac:dyDescent="0.3">
      <c r="B245" s="489"/>
      <c r="C245" s="490"/>
      <c r="E245" s="491"/>
      <c r="G245" s="65"/>
    </row>
    <row r="246" spans="2:7" ht="14.25" customHeight="1" x14ac:dyDescent="0.3">
      <c r="B246" s="489"/>
      <c r="C246" s="490"/>
      <c r="E246" s="491"/>
      <c r="G246" s="65"/>
    </row>
    <row r="247" spans="2:7" ht="14.25" customHeight="1" x14ac:dyDescent="0.3">
      <c r="B247" s="489"/>
      <c r="C247" s="490"/>
      <c r="E247" s="491"/>
      <c r="G247" s="65"/>
    </row>
    <row r="248" spans="2:7" ht="14.25" customHeight="1" x14ac:dyDescent="0.3">
      <c r="B248" s="489"/>
      <c r="C248" s="490"/>
      <c r="E248" s="491"/>
      <c r="G248" s="65"/>
    </row>
    <row r="249" spans="2:7" ht="14.25" customHeight="1" x14ac:dyDescent="0.3">
      <c r="B249" s="489"/>
      <c r="C249" s="490"/>
      <c r="E249" s="491"/>
      <c r="G249" s="65"/>
    </row>
    <row r="250" spans="2:7" ht="14.25" customHeight="1" x14ac:dyDescent="0.3">
      <c r="B250" s="489"/>
      <c r="C250" s="490"/>
      <c r="E250" s="491"/>
      <c r="G250" s="65"/>
    </row>
    <row r="251" spans="2:7" ht="14.25" customHeight="1" x14ac:dyDescent="0.3">
      <c r="B251" s="489"/>
      <c r="C251" s="490"/>
      <c r="E251" s="491"/>
      <c r="G251" s="65"/>
    </row>
    <row r="252" spans="2:7" ht="14.25" customHeight="1" x14ac:dyDescent="0.3">
      <c r="B252" s="489"/>
      <c r="C252" s="490"/>
      <c r="E252" s="491"/>
      <c r="G252" s="65"/>
    </row>
    <row r="253" spans="2:7" ht="14.25" customHeight="1" x14ac:dyDescent="0.3">
      <c r="B253" s="489"/>
      <c r="C253" s="490"/>
      <c r="E253" s="491"/>
      <c r="G253" s="65"/>
    </row>
    <row r="254" spans="2:7" ht="14.25" customHeight="1" x14ac:dyDescent="0.3">
      <c r="B254" s="489"/>
      <c r="C254" s="490"/>
      <c r="E254" s="491"/>
      <c r="G254" s="65"/>
    </row>
    <row r="255" spans="2:7" ht="14.25" customHeight="1" x14ac:dyDescent="0.3">
      <c r="B255" s="489"/>
      <c r="C255" s="490"/>
      <c r="E255" s="491"/>
      <c r="G255" s="65"/>
    </row>
    <row r="256" spans="2:7" ht="14.25" customHeight="1" x14ac:dyDescent="0.3">
      <c r="B256" s="489"/>
      <c r="C256" s="490"/>
      <c r="E256" s="491"/>
      <c r="G256" s="65"/>
    </row>
    <row r="257" spans="2:7" ht="14.25" customHeight="1" x14ac:dyDescent="0.3">
      <c r="B257" s="489"/>
      <c r="C257" s="490"/>
      <c r="E257" s="491"/>
      <c r="G257" s="65"/>
    </row>
    <row r="258" spans="2:7" ht="14.25" customHeight="1" x14ac:dyDescent="0.3">
      <c r="B258" s="489"/>
      <c r="C258" s="490"/>
      <c r="E258" s="491"/>
      <c r="G258" s="65"/>
    </row>
    <row r="259" spans="2:7" ht="14.25" customHeight="1" x14ac:dyDescent="0.3">
      <c r="B259" s="489"/>
      <c r="C259" s="490"/>
      <c r="E259" s="491"/>
      <c r="G259" s="65"/>
    </row>
    <row r="260" spans="2:7" ht="14.25" customHeight="1" x14ac:dyDescent="0.3">
      <c r="B260" s="489"/>
      <c r="C260" s="490"/>
      <c r="E260" s="491"/>
      <c r="G260" s="65"/>
    </row>
    <row r="261" spans="2:7" ht="14.25" customHeight="1" x14ac:dyDescent="0.3">
      <c r="B261" s="489"/>
      <c r="C261" s="490"/>
      <c r="E261" s="491"/>
      <c r="G261" s="65"/>
    </row>
    <row r="262" spans="2:7" ht="14.25" customHeight="1" x14ac:dyDescent="0.3">
      <c r="B262" s="489"/>
      <c r="C262" s="490"/>
      <c r="E262" s="491"/>
      <c r="G262" s="65"/>
    </row>
    <row r="263" spans="2:7" ht="14.25" customHeight="1" x14ac:dyDescent="0.3">
      <c r="B263" s="489"/>
      <c r="C263" s="490"/>
      <c r="E263" s="491"/>
      <c r="G263" s="65"/>
    </row>
    <row r="264" spans="2:7" ht="14.25" customHeight="1" x14ac:dyDescent="0.3">
      <c r="B264" s="489"/>
      <c r="C264" s="490"/>
      <c r="E264" s="491"/>
      <c r="G264" s="65"/>
    </row>
    <row r="265" spans="2:7" ht="14.25" customHeight="1" x14ac:dyDescent="0.3">
      <c r="B265" s="489"/>
      <c r="C265" s="490"/>
      <c r="E265" s="491"/>
      <c r="G265" s="65"/>
    </row>
    <row r="266" spans="2:7" ht="14.25" customHeight="1" x14ac:dyDescent="0.3">
      <c r="B266" s="489"/>
      <c r="C266" s="490"/>
      <c r="E266" s="491"/>
      <c r="G266" s="65"/>
    </row>
    <row r="267" spans="2:7" ht="14.25" customHeight="1" x14ac:dyDescent="0.3">
      <c r="B267" s="489"/>
      <c r="C267" s="490"/>
      <c r="E267" s="491"/>
      <c r="G267" s="65"/>
    </row>
    <row r="268" spans="2:7" ht="14.25" customHeight="1" x14ac:dyDescent="0.3">
      <c r="B268" s="489"/>
      <c r="C268" s="490"/>
      <c r="E268" s="491"/>
      <c r="G268" s="65"/>
    </row>
    <row r="269" spans="2:7" ht="14.25" customHeight="1" x14ac:dyDescent="0.3">
      <c r="B269" s="489"/>
      <c r="C269" s="490"/>
      <c r="E269" s="491"/>
      <c r="G269" s="65"/>
    </row>
    <row r="270" spans="2:7" ht="14.25" customHeight="1" x14ac:dyDescent="0.3">
      <c r="B270" s="489"/>
      <c r="C270" s="490"/>
      <c r="E270" s="491"/>
      <c r="G270" s="65"/>
    </row>
    <row r="271" spans="2:7" ht="14.25" customHeight="1" x14ac:dyDescent="0.3">
      <c r="B271" s="489"/>
      <c r="C271" s="490"/>
      <c r="E271" s="491"/>
      <c r="G271" s="65"/>
    </row>
    <row r="272" spans="2:7" ht="14.25" customHeight="1" x14ac:dyDescent="0.3">
      <c r="B272" s="489"/>
      <c r="C272" s="490"/>
      <c r="E272" s="491"/>
      <c r="G272" s="65"/>
    </row>
    <row r="273" spans="2:7" ht="14.25" customHeight="1" x14ac:dyDescent="0.3">
      <c r="B273" s="489"/>
      <c r="C273" s="490"/>
      <c r="E273" s="491"/>
      <c r="G273" s="65"/>
    </row>
    <row r="274" spans="2:7" ht="14.25" customHeight="1" x14ac:dyDescent="0.3">
      <c r="B274" s="489"/>
      <c r="C274" s="490"/>
      <c r="E274" s="491"/>
      <c r="G274" s="65"/>
    </row>
    <row r="275" spans="2:7" ht="14.25" customHeight="1" x14ac:dyDescent="0.3">
      <c r="B275" s="489"/>
      <c r="C275" s="490"/>
      <c r="E275" s="491"/>
      <c r="G275" s="65"/>
    </row>
    <row r="276" spans="2:7" ht="14.25" customHeight="1" x14ac:dyDescent="0.3">
      <c r="B276" s="489"/>
      <c r="C276" s="490"/>
      <c r="E276" s="491"/>
      <c r="G276" s="65"/>
    </row>
    <row r="277" spans="2:7" ht="14.25" customHeight="1" x14ac:dyDescent="0.3">
      <c r="B277" s="489"/>
      <c r="C277" s="490"/>
      <c r="E277" s="491"/>
      <c r="G277" s="65"/>
    </row>
    <row r="278" spans="2:7" ht="14.25" customHeight="1" x14ac:dyDescent="0.3">
      <c r="B278" s="489"/>
      <c r="C278" s="490"/>
      <c r="E278" s="491"/>
      <c r="G278" s="65"/>
    </row>
    <row r="279" spans="2:7" ht="14.25" customHeight="1" x14ac:dyDescent="0.3">
      <c r="B279" s="489"/>
      <c r="C279" s="490"/>
      <c r="E279" s="491"/>
      <c r="G279" s="65"/>
    </row>
    <row r="280" spans="2:7" ht="14.25" customHeight="1" x14ac:dyDescent="0.3">
      <c r="B280" s="489"/>
      <c r="C280" s="490"/>
      <c r="E280" s="491"/>
      <c r="G280" s="65"/>
    </row>
    <row r="281" spans="2:7" ht="14.25" customHeight="1" x14ac:dyDescent="0.3">
      <c r="B281" s="489"/>
      <c r="C281" s="490"/>
      <c r="E281" s="491"/>
      <c r="G281" s="65"/>
    </row>
    <row r="282" spans="2:7" ht="14.25" customHeight="1" x14ac:dyDescent="0.3">
      <c r="B282" s="489"/>
      <c r="C282" s="490"/>
      <c r="E282" s="491"/>
      <c r="G282" s="65"/>
    </row>
    <row r="283" spans="2:7" ht="14.25" customHeight="1" x14ac:dyDescent="0.3">
      <c r="B283" s="489"/>
      <c r="C283" s="490"/>
      <c r="E283" s="491"/>
      <c r="G283" s="65"/>
    </row>
    <row r="284" spans="2:7" ht="14.25" customHeight="1" x14ac:dyDescent="0.3">
      <c r="B284" s="489"/>
      <c r="C284" s="490"/>
      <c r="E284" s="491"/>
      <c r="G284" s="65"/>
    </row>
    <row r="285" spans="2:7" ht="14.25" customHeight="1" x14ac:dyDescent="0.3">
      <c r="B285" s="489"/>
      <c r="C285" s="490"/>
      <c r="E285" s="491"/>
      <c r="G285" s="65"/>
    </row>
    <row r="286" spans="2:7" ht="14.25" customHeight="1" x14ac:dyDescent="0.3">
      <c r="B286" s="489"/>
      <c r="C286" s="490"/>
      <c r="E286" s="491"/>
      <c r="G286" s="65"/>
    </row>
    <row r="287" spans="2:7" ht="14.25" customHeight="1" x14ac:dyDescent="0.3">
      <c r="B287" s="489"/>
      <c r="C287" s="490"/>
      <c r="E287" s="491"/>
      <c r="G287" s="65"/>
    </row>
    <row r="288" spans="2:7" ht="14.25" customHeight="1" x14ac:dyDescent="0.3">
      <c r="B288" s="489"/>
      <c r="C288" s="490"/>
      <c r="E288" s="491"/>
      <c r="G288" s="65"/>
    </row>
    <row r="289" spans="2:7" ht="14.25" customHeight="1" x14ac:dyDescent="0.3">
      <c r="B289" s="489"/>
      <c r="C289" s="490"/>
      <c r="E289" s="491"/>
      <c r="G289" s="65"/>
    </row>
    <row r="290" spans="2:7" ht="14.25" customHeight="1" x14ac:dyDescent="0.3">
      <c r="B290" s="489"/>
      <c r="C290" s="490"/>
      <c r="E290" s="491"/>
      <c r="G290" s="65"/>
    </row>
    <row r="291" spans="2:7" ht="14.25" customHeight="1" x14ac:dyDescent="0.3">
      <c r="B291" s="489"/>
      <c r="C291" s="490"/>
      <c r="E291" s="491"/>
      <c r="G291" s="65"/>
    </row>
    <row r="292" spans="2:7" ht="14.25" customHeight="1" x14ac:dyDescent="0.3">
      <c r="B292" s="489"/>
      <c r="C292" s="490"/>
      <c r="E292" s="491"/>
      <c r="G292" s="65"/>
    </row>
    <row r="293" spans="2:7" ht="14.25" customHeight="1" x14ac:dyDescent="0.3">
      <c r="B293" s="489"/>
      <c r="C293" s="490"/>
      <c r="E293" s="491"/>
      <c r="G293" s="65"/>
    </row>
    <row r="294" spans="2:7" ht="14.25" customHeight="1" x14ac:dyDescent="0.3">
      <c r="B294" s="489"/>
      <c r="C294" s="490"/>
      <c r="E294" s="491"/>
      <c r="G294" s="65"/>
    </row>
    <row r="295" spans="2:7" ht="14.25" customHeight="1" x14ac:dyDescent="0.3">
      <c r="B295" s="489"/>
      <c r="C295" s="490"/>
      <c r="E295" s="491"/>
      <c r="G295" s="65"/>
    </row>
    <row r="296" spans="2:7" ht="14.25" customHeight="1" x14ac:dyDescent="0.3">
      <c r="B296" s="489"/>
      <c r="C296" s="490"/>
      <c r="E296" s="491"/>
      <c r="G296" s="65"/>
    </row>
    <row r="297" spans="2:7" ht="14.25" customHeight="1" x14ac:dyDescent="0.3">
      <c r="B297" s="489"/>
      <c r="C297" s="490"/>
      <c r="E297" s="491"/>
      <c r="G297" s="65"/>
    </row>
    <row r="298" spans="2:7" ht="14.25" customHeight="1" x14ac:dyDescent="0.3">
      <c r="B298" s="489"/>
      <c r="C298" s="490"/>
      <c r="E298" s="491"/>
      <c r="G298" s="65"/>
    </row>
    <row r="299" spans="2:7" ht="14.25" customHeight="1" x14ac:dyDescent="0.3">
      <c r="B299" s="489"/>
      <c r="C299" s="490"/>
      <c r="E299" s="491"/>
      <c r="G299" s="65"/>
    </row>
    <row r="300" spans="2:7" ht="14.25" customHeight="1" x14ac:dyDescent="0.3">
      <c r="B300" s="489"/>
      <c r="C300" s="490"/>
      <c r="E300" s="491"/>
      <c r="G300" s="65"/>
    </row>
    <row r="301" spans="2:7" ht="14.25" customHeight="1" x14ac:dyDescent="0.3">
      <c r="B301" s="489"/>
      <c r="C301" s="490"/>
      <c r="E301" s="491"/>
      <c r="G301" s="65"/>
    </row>
    <row r="302" spans="2:7" ht="14.25" customHeight="1" x14ac:dyDescent="0.3">
      <c r="B302" s="489"/>
      <c r="C302" s="490"/>
      <c r="E302" s="491"/>
      <c r="G302" s="65"/>
    </row>
    <row r="303" spans="2:7" ht="14.25" customHeight="1" x14ac:dyDescent="0.3">
      <c r="B303" s="489"/>
      <c r="C303" s="490"/>
      <c r="E303" s="491"/>
      <c r="G303" s="65"/>
    </row>
    <row r="304" spans="2:7" ht="14.25" customHeight="1" x14ac:dyDescent="0.3">
      <c r="B304" s="489"/>
      <c r="C304" s="490"/>
      <c r="E304" s="491"/>
      <c r="G304" s="65"/>
    </row>
    <row r="305" spans="2:7" ht="14.25" customHeight="1" x14ac:dyDescent="0.3">
      <c r="B305" s="489"/>
      <c r="C305" s="490"/>
      <c r="E305" s="491"/>
      <c r="G305" s="65"/>
    </row>
    <row r="306" spans="2:7" ht="14.25" customHeight="1" x14ac:dyDescent="0.3">
      <c r="B306" s="489"/>
      <c r="C306" s="490"/>
      <c r="E306" s="491"/>
      <c r="G306" s="65"/>
    </row>
    <row r="307" spans="2:7" ht="14.25" customHeight="1" x14ac:dyDescent="0.3">
      <c r="B307" s="489"/>
      <c r="C307" s="490"/>
      <c r="E307" s="491"/>
      <c r="G307" s="65"/>
    </row>
    <row r="308" spans="2:7" ht="14.25" customHeight="1" x14ac:dyDescent="0.3">
      <c r="B308" s="489"/>
      <c r="C308" s="490"/>
      <c r="E308" s="491"/>
      <c r="G308" s="65"/>
    </row>
    <row r="309" spans="2:7" ht="14.25" customHeight="1" x14ac:dyDescent="0.3">
      <c r="B309" s="489"/>
      <c r="C309" s="490"/>
      <c r="E309" s="491"/>
      <c r="G309" s="65"/>
    </row>
    <row r="310" spans="2:7" ht="14.25" customHeight="1" x14ac:dyDescent="0.3">
      <c r="B310" s="489"/>
      <c r="C310" s="490"/>
      <c r="E310" s="491"/>
      <c r="G310" s="65"/>
    </row>
    <row r="311" spans="2:7" ht="14.25" customHeight="1" x14ac:dyDescent="0.3">
      <c r="B311" s="489"/>
      <c r="C311" s="490"/>
      <c r="E311" s="491"/>
      <c r="G311" s="65"/>
    </row>
    <row r="312" spans="2:7" ht="14.25" customHeight="1" x14ac:dyDescent="0.3">
      <c r="B312" s="489"/>
      <c r="C312" s="490"/>
      <c r="E312" s="491"/>
      <c r="G312" s="65"/>
    </row>
    <row r="313" spans="2:7" ht="14.25" customHeight="1" x14ac:dyDescent="0.3">
      <c r="B313" s="489"/>
      <c r="C313" s="490"/>
      <c r="E313" s="491"/>
      <c r="G313" s="65"/>
    </row>
    <row r="314" spans="2:7" ht="14.25" customHeight="1" x14ac:dyDescent="0.3">
      <c r="B314" s="489"/>
      <c r="C314" s="490"/>
      <c r="E314" s="491"/>
      <c r="G314" s="65"/>
    </row>
    <row r="315" spans="2:7" ht="14.25" customHeight="1" x14ac:dyDescent="0.3">
      <c r="B315" s="489"/>
      <c r="C315" s="490"/>
      <c r="E315" s="491"/>
      <c r="G315" s="65"/>
    </row>
    <row r="316" spans="2:7" ht="14.25" customHeight="1" x14ac:dyDescent="0.3">
      <c r="B316" s="489"/>
      <c r="C316" s="490"/>
      <c r="E316" s="491"/>
      <c r="G316" s="65"/>
    </row>
    <row r="317" spans="2:7" ht="14.25" customHeight="1" x14ac:dyDescent="0.3">
      <c r="B317" s="489"/>
      <c r="C317" s="490"/>
      <c r="E317" s="491"/>
      <c r="G317" s="65"/>
    </row>
    <row r="318" spans="2:7" ht="14.25" customHeight="1" x14ac:dyDescent="0.3">
      <c r="B318" s="489"/>
      <c r="C318" s="490"/>
      <c r="E318" s="491"/>
      <c r="G318" s="65"/>
    </row>
    <row r="319" spans="2:7" ht="14.25" customHeight="1" x14ac:dyDescent="0.3">
      <c r="B319" s="489"/>
      <c r="C319" s="490"/>
      <c r="E319" s="491"/>
      <c r="G319" s="65"/>
    </row>
    <row r="320" spans="2:7" ht="14.25" customHeight="1" x14ac:dyDescent="0.3">
      <c r="B320" s="489"/>
      <c r="C320" s="490"/>
      <c r="E320" s="491"/>
      <c r="G320" s="65"/>
    </row>
    <row r="321" spans="2:7" ht="14.25" customHeight="1" x14ac:dyDescent="0.3">
      <c r="B321" s="489"/>
      <c r="C321" s="490"/>
      <c r="E321" s="491"/>
      <c r="G321" s="65"/>
    </row>
    <row r="322" spans="2:7" ht="14.25" customHeight="1" x14ac:dyDescent="0.3">
      <c r="B322" s="489"/>
      <c r="C322" s="490"/>
      <c r="E322" s="491"/>
      <c r="G322" s="65"/>
    </row>
    <row r="323" spans="2:7" ht="14.25" customHeight="1" x14ac:dyDescent="0.3">
      <c r="B323" s="489"/>
      <c r="C323" s="490"/>
      <c r="E323" s="491"/>
      <c r="G323" s="65"/>
    </row>
    <row r="324" spans="2:7" ht="14.25" customHeight="1" x14ac:dyDescent="0.3">
      <c r="B324" s="489"/>
      <c r="C324" s="490"/>
      <c r="E324" s="491"/>
      <c r="G324" s="65"/>
    </row>
    <row r="325" spans="2:7" ht="14.25" customHeight="1" x14ac:dyDescent="0.3">
      <c r="B325" s="489"/>
      <c r="C325" s="490"/>
      <c r="E325" s="491"/>
      <c r="G325" s="65"/>
    </row>
    <row r="326" spans="2:7" ht="14.25" customHeight="1" x14ac:dyDescent="0.3">
      <c r="B326" s="489"/>
      <c r="C326" s="490"/>
      <c r="E326" s="491"/>
      <c r="G326" s="65"/>
    </row>
    <row r="327" spans="2:7" ht="14.25" customHeight="1" x14ac:dyDescent="0.3">
      <c r="B327" s="489"/>
      <c r="C327" s="490"/>
      <c r="E327" s="491"/>
      <c r="G327" s="65"/>
    </row>
    <row r="328" spans="2:7" ht="14.25" customHeight="1" x14ac:dyDescent="0.3">
      <c r="B328" s="489"/>
      <c r="C328" s="490"/>
      <c r="E328" s="491"/>
      <c r="G328" s="65"/>
    </row>
    <row r="329" spans="2:7" ht="14.25" customHeight="1" x14ac:dyDescent="0.3">
      <c r="B329" s="489"/>
      <c r="C329" s="490"/>
      <c r="E329" s="491"/>
      <c r="G329" s="65"/>
    </row>
    <row r="330" spans="2:7" ht="14.25" customHeight="1" x14ac:dyDescent="0.3">
      <c r="B330" s="489"/>
      <c r="C330" s="490"/>
      <c r="E330" s="491"/>
      <c r="G330" s="65"/>
    </row>
    <row r="331" spans="2:7" ht="14.25" customHeight="1" x14ac:dyDescent="0.3">
      <c r="B331" s="489"/>
      <c r="C331" s="490"/>
      <c r="E331" s="491"/>
      <c r="G331" s="65"/>
    </row>
    <row r="332" spans="2:7" ht="14.25" customHeight="1" x14ac:dyDescent="0.3">
      <c r="B332" s="489"/>
      <c r="C332" s="490"/>
      <c r="E332" s="491"/>
      <c r="G332" s="65"/>
    </row>
    <row r="333" spans="2:7" ht="14.25" customHeight="1" x14ac:dyDescent="0.3">
      <c r="B333" s="489"/>
      <c r="C333" s="490"/>
      <c r="E333" s="491"/>
      <c r="G333" s="65"/>
    </row>
    <row r="334" spans="2:7" ht="14.25" customHeight="1" x14ac:dyDescent="0.3">
      <c r="B334" s="489"/>
      <c r="C334" s="490"/>
      <c r="E334" s="491"/>
      <c r="G334" s="65"/>
    </row>
    <row r="335" spans="2:7" ht="14.25" customHeight="1" x14ac:dyDescent="0.3">
      <c r="B335" s="489"/>
      <c r="C335" s="490"/>
      <c r="E335" s="491"/>
      <c r="G335" s="65"/>
    </row>
    <row r="336" spans="2:7" ht="14.25" customHeight="1" x14ac:dyDescent="0.3">
      <c r="B336" s="489"/>
      <c r="C336" s="490"/>
      <c r="E336" s="491"/>
      <c r="G336" s="65"/>
    </row>
    <row r="337" spans="2:7" ht="14.25" customHeight="1" x14ac:dyDescent="0.3">
      <c r="B337" s="489"/>
      <c r="C337" s="490"/>
      <c r="E337" s="491"/>
      <c r="G337" s="65"/>
    </row>
    <row r="338" spans="2:7" ht="14.25" customHeight="1" x14ac:dyDescent="0.3">
      <c r="B338" s="489"/>
      <c r="C338" s="490"/>
      <c r="E338" s="491"/>
      <c r="G338" s="65"/>
    </row>
    <row r="339" spans="2:7" ht="14.25" customHeight="1" x14ac:dyDescent="0.3">
      <c r="B339" s="489"/>
      <c r="C339" s="490"/>
      <c r="E339" s="491"/>
      <c r="G339" s="65"/>
    </row>
    <row r="340" spans="2:7" ht="14.25" customHeight="1" x14ac:dyDescent="0.3">
      <c r="B340" s="489"/>
      <c r="C340" s="490"/>
      <c r="E340" s="491"/>
      <c r="G340" s="65"/>
    </row>
    <row r="341" spans="2:7" ht="14.25" customHeight="1" x14ac:dyDescent="0.3">
      <c r="B341" s="489"/>
      <c r="C341" s="490"/>
      <c r="E341" s="491"/>
      <c r="G341" s="65"/>
    </row>
    <row r="342" spans="2:7" ht="14.25" customHeight="1" x14ac:dyDescent="0.3">
      <c r="B342" s="489"/>
      <c r="C342" s="490"/>
      <c r="E342" s="491"/>
      <c r="G342" s="65"/>
    </row>
    <row r="343" spans="2:7" ht="14.25" customHeight="1" x14ac:dyDescent="0.3">
      <c r="B343" s="489"/>
      <c r="C343" s="490"/>
      <c r="E343" s="491"/>
      <c r="G343" s="65"/>
    </row>
    <row r="344" spans="2:7" ht="14.25" customHeight="1" x14ac:dyDescent="0.3">
      <c r="B344" s="489"/>
      <c r="C344" s="490"/>
      <c r="E344" s="491"/>
      <c r="G344" s="65"/>
    </row>
    <row r="345" spans="2:7" ht="14.25" customHeight="1" x14ac:dyDescent="0.3">
      <c r="B345" s="489"/>
      <c r="C345" s="490"/>
      <c r="E345" s="491"/>
      <c r="G345" s="65"/>
    </row>
    <row r="346" spans="2:7" ht="14.25" customHeight="1" x14ac:dyDescent="0.3">
      <c r="B346" s="489"/>
      <c r="C346" s="490"/>
      <c r="E346" s="491"/>
      <c r="G346" s="65"/>
    </row>
    <row r="347" spans="2:7" ht="14.25" customHeight="1" x14ac:dyDescent="0.3">
      <c r="B347" s="489"/>
      <c r="C347" s="490"/>
      <c r="E347" s="491"/>
      <c r="G347" s="65"/>
    </row>
    <row r="348" spans="2:7" ht="14.25" customHeight="1" x14ac:dyDescent="0.3">
      <c r="B348" s="489"/>
      <c r="C348" s="490"/>
      <c r="E348" s="491"/>
      <c r="G348" s="65"/>
    </row>
    <row r="349" spans="2:7" ht="14.25" customHeight="1" x14ac:dyDescent="0.3">
      <c r="B349" s="489"/>
      <c r="C349" s="490"/>
      <c r="E349" s="491"/>
      <c r="G349" s="65"/>
    </row>
    <row r="350" spans="2:7" ht="14.25" customHeight="1" x14ac:dyDescent="0.3">
      <c r="B350" s="489"/>
      <c r="C350" s="490"/>
      <c r="E350" s="491"/>
      <c r="G350" s="65"/>
    </row>
    <row r="351" spans="2:7" ht="14.25" customHeight="1" x14ac:dyDescent="0.3">
      <c r="B351" s="489"/>
      <c r="C351" s="490"/>
      <c r="E351" s="491"/>
      <c r="G351" s="65"/>
    </row>
    <row r="352" spans="2:7" ht="14.25" customHeight="1" x14ac:dyDescent="0.3">
      <c r="B352" s="489"/>
      <c r="C352" s="490"/>
      <c r="E352" s="491"/>
      <c r="G352" s="65"/>
    </row>
    <row r="353" spans="2:7" ht="14.25" customHeight="1" x14ac:dyDescent="0.3">
      <c r="B353" s="489"/>
      <c r="C353" s="490"/>
      <c r="E353" s="491"/>
      <c r="G353" s="65"/>
    </row>
    <row r="354" spans="2:7" ht="14.25" customHeight="1" x14ac:dyDescent="0.3">
      <c r="B354" s="489"/>
      <c r="C354" s="490"/>
      <c r="E354" s="491"/>
      <c r="G354" s="65"/>
    </row>
    <row r="355" spans="2:7" ht="14.25" customHeight="1" x14ac:dyDescent="0.3">
      <c r="B355" s="489"/>
      <c r="C355" s="490"/>
      <c r="E355" s="491"/>
      <c r="G355" s="65"/>
    </row>
    <row r="356" spans="2:7" ht="14.25" customHeight="1" x14ac:dyDescent="0.3">
      <c r="B356" s="489"/>
      <c r="C356" s="490"/>
      <c r="E356" s="491"/>
      <c r="G356" s="65"/>
    </row>
    <row r="357" spans="2:7" ht="14.25" customHeight="1" x14ac:dyDescent="0.3">
      <c r="B357" s="489"/>
      <c r="C357" s="490"/>
      <c r="E357" s="491"/>
      <c r="G357" s="65"/>
    </row>
    <row r="358" spans="2:7" ht="14.25" customHeight="1" x14ac:dyDescent="0.3">
      <c r="B358" s="489"/>
      <c r="C358" s="490"/>
      <c r="E358" s="491"/>
      <c r="G358" s="65"/>
    </row>
    <row r="359" spans="2:7" ht="14.25" customHeight="1" x14ac:dyDescent="0.3">
      <c r="B359" s="489"/>
      <c r="C359" s="490"/>
      <c r="E359" s="491"/>
      <c r="G359" s="65"/>
    </row>
    <row r="360" spans="2:7" ht="14.25" customHeight="1" x14ac:dyDescent="0.3">
      <c r="B360" s="489"/>
      <c r="C360" s="490"/>
      <c r="E360" s="491"/>
      <c r="G360" s="65"/>
    </row>
    <row r="361" spans="2:7" ht="14.25" customHeight="1" x14ac:dyDescent="0.3">
      <c r="B361" s="489"/>
      <c r="C361" s="490"/>
      <c r="E361" s="491"/>
      <c r="G361" s="65"/>
    </row>
    <row r="362" spans="2:7" ht="14.25" customHeight="1" x14ac:dyDescent="0.3">
      <c r="B362" s="489"/>
      <c r="C362" s="490"/>
      <c r="E362" s="491"/>
      <c r="G362" s="65"/>
    </row>
    <row r="363" spans="2:7" ht="14.25" customHeight="1" x14ac:dyDescent="0.3">
      <c r="B363" s="489"/>
      <c r="C363" s="490"/>
      <c r="E363" s="491"/>
      <c r="G363" s="65"/>
    </row>
    <row r="364" spans="2:7" ht="14.25" customHeight="1" x14ac:dyDescent="0.3">
      <c r="B364" s="489"/>
      <c r="C364" s="490"/>
      <c r="E364" s="491"/>
      <c r="G364" s="65"/>
    </row>
    <row r="365" spans="2:7" ht="14.25" customHeight="1" x14ac:dyDescent="0.3">
      <c r="B365" s="489"/>
      <c r="C365" s="490"/>
      <c r="E365" s="491"/>
      <c r="G365" s="65"/>
    </row>
    <row r="366" spans="2:7" ht="14.25" customHeight="1" x14ac:dyDescent="0.3">
      <c r="B366" s="489"/>
      <c r="C366" s="490"/>
      <c r="E366" s="491"/>
      <c r="G366" s="65"/>
    </row>
    <row r="367" spans="2:7" ht="14.25" customHeight="1" x14ac:dyDescent="0.3">
      <c r="B367" s="489"/>
      <c r="C367" s="490"/>
      <c r="E367" s="491"/>
      <c r="G367" s="65"/>
    </row>
    <row r="368" spans="2:7" ht="14.25" customHeight="1" x14ac:dyDescent="0.3">
      <c r="B368" s="489"/>
      <c r="C368" s="490"/>
      <c r="E368" s="491"/>
      <c r="G368" s="65"/>
    </row>
    <row r="369" spans="2:7" ht="14.25" customHeight="1" x14ac:dyDescent="0.3">
      <c r="B369" s="489"/>
      <c r="C369" s="490"/>
      <c r="E369" s="491"/>
      <c r="G369" s="65"/>
    </row>
    <row r="370" spans="2:7" ht="14.25" customHeight="1" x14ac:dyDescent="0.3">
      <c r="B370" s="489"/>
      <c r="C370" s="490"/>
      <c r="E370" s="491"/>
      <c r="G370" s="65"/>
    </row>
    <row r="371" spans="2:7" ht="14.25" customHeight="1" x14ac:dyDescent="0.3">
      <c r="B371" s="489"/>
      <c r="C371" s="490"/>
      <c r="E371" s="491"/>
      <c r="G371" s="65"/>
    </row>
    <row r="372" spans="2:7" ht="14.25" customHeight="1" x14ac:dyDescent="0.3">
      <c r="B372" s="489"/>
      <c r="C372" s="490"/>
      <c r="E372" s="491"/>
      <c r="G372" s="65"/>
    </row>
    <row r="373" spans="2:7" ht="14.25" customHeight="1" x14ac:dyDescent="0.3">
      <c r="B373" s="489"/>
      <c r="C373" s="490"/>
      <c r="E373" s="491"/>
      <c r="G373" s="65"/>
    </row>
    <row r="374" spans="2:7" ht="14.25" customHeight="1" x14ac:dyDescent="0.3">
      <c r="B374" s="489"/>
      <c r="C374" s="490"/>
      <c r="E374" s="491"/>
      <c r="G374" s="65"/>
    </row>
    <row r="375" spans="2:7" ht="14.25" customHeight="1" x14ac:dyDescent="0.3">
      <c r="B375" s="489"/>
      <c r="C375" s="490"/>
      <c r="E375" s="491"/>
      <c r="G375" s="65"/>
    </row>
    <row r="376" spans="2:7" ht="14.25" customHeight="1" x14ac:dyDescent="0.3">
      <c r="B376" s="489"/>
      <c r="C376" s="490"/>
      <c r="E376" s="491"/>
      <c r="G376" s="65"/>
    </row>
    <row r="377" spans="2:7" ht="14.25" customHeight="1" x14ac:dyDescent="0.3">
      <c r="B377" s="489"/>
      <c r="C377" s="490"/>
      <c r="E377" s="491"/>
      <c r="G377" s="65"/>
    </row>
    <row r="378" spans="2:7" ht="14.25" customHeight="1" x14ac:dyDescent="0.3">
      <c r="B378" s="489"/>
      <c r="C378" s="490"/>
      <c r="E378" s="491"/>
      <c r="G378" s="65"/>
    </row>
    <row r="379" spans="2:7" ht="14.25" customHeight="1" x14ac:dyDescent="0.3">
      <c r="B379" s="489"/>
      <c r="C379" s="490"/>
      <c r="E379" s="491"/>
      <c r="G379" s="65"/>
    </row>
    <row r="380" spans="2:7" ht="14.25" customHeight="1" x14ac:dyDescent="0.3">
      <c r="B380" s="489"/>
      <c r="C380" s="490"/>
      <c r="E380" s="491"/>
      <c r="G380" s="65"/>
    </row>
    <row r="381" spans="2:7" ht="14.25" customHeight="1" x14ac:dyDescent="0.3">
      <c r="B381" s="489"/>
      <c r="C381" s="490"/>
      <c r="E381" s="491"/>
      <c r="G381" s="65"/>
    </row>
    <row r="382" spans="2:7" ht="14.25" customHeight="1" x14ac:dyDescent="0.3">
      <c r="B382" s="489"/>
      <c r="C382" s="490"/>
      <c r="E382" s="491"/>
      <c r="G382" s="65"/>
    </row>
    <row r="383" spans="2:7" ht="14.25" customHeight="1" x14ac:dyDescent="0.3">
      <c r="B383" s="489"/>
      <c r="C383" s="490"/>
      <c r="E383" s="491"/>
      <c r="G383" s="65"/>
    </row>
    <row r="384" spans="2:7" ht="14.25" customHeight="1" x14ac:dyDescent="0.3">
      <c r="B384" s="489"/>
      <c r="C384" s="490"/>
      <c r="E384" s="491"/>
      <c r="G384" s="65"/>
    </row>
    <row r="385" spans="2:7" ht="14.25" customHeight="1" x14ac:dyDescent="0.3">
      <c r="B385" s="489"/>
      <c r="C385" s="490"/>
      <c r="E385" s="491"/>
      <c r="G385" s="65"/>
    </row>
    <row r="386" spans="2:7" ht="14.25" customHeight="1" x14ac:dyDescent="0.3">
      <c r="B386" s="489"/>
      <c r="C386" s="490"/>
      <c r="E386" s="491"/>
      <c r="G386" s="65"/>
    </row>
    <row r="387" spans="2:7" ht="14.25" customHeight="1" x14ac:dyDescent="0.3">
      <c r="B387" s="489"/>
      <c r="C387" s="490"/>
      <c r="E387" s="491"/>
      <c r="G387" s="65"/>
    </row>
    <row r="388" spans="2:7" ht="14.25" customHeight="1" x14ac:dyDescent="0.3">
      <c r="B388" s="489"/>
      <c r="C388" s="490"/>
      <c r="E388" s="491"/>
      <c r="G388" s="65"/>
    </row>
    <row r="389" spans="2:7" ht="14.25" customHeight="1" x14ac:dyDescent="0.3">
      <c r="B389" s="489"/>
      <c r="C389" s="490"/>
      <c r="E389" s="491"/>
      <c r="G389" s="65"/>
    </row>
    <row r="390" spans="2:7" ht="14.25" customHeight="1" x14ac:dyDescent="0.3">
      <c r="B390" s="489"/>
      <c r="C390" s="490"/>
      <c r="E390" s="491"/>
      <c r="G390" s="65"/>
    </row>
    <row r="391" spans="2:7" ht="14.25" customHeight="1" x14ac:dyDescent="0.3">
      <c r="B391" s="489"/>
      <c r="C391" s="490"/>
      <c r="E391" s="491"/>
      <c r="G391" s="65"/>
    </row>
    <row r="392" spans="2:7" ht="14.25" customHeight="1" x14ac:dyDescent="0.3">
      <c r="B392" s="489"/>
      <c r="C392" s="490"/>
      <c r="E392" s="491"/>
      <c r="G392" s="65"/>
    </row>
    <row r="393" spans="2:7" ht="14.25" customHeight="1" x14ac:dyDescent="0.3">
      <c r="B393" s="489"/>
      <c r="C393" s="490"/>
      <c r="E393" s="491"/>
      <c r="G393" s="65"/>
    </row>
    <row r="394" spans="2:7" ht="14.25" customHeight="1" x14ac:dyDescent="0.3">
      <c r="B394" s="489"/>
      <c r="C394" s="490"/>
      <c r="E394" s="491"/>
      <c r="G394" s="65"/>
    </row>
    <row r="395" spans="2:7" ht="14.25" customHeight="1" x14ac:dyDescent="0.3">
      <c r="B395" s="489"/>
      <c r="C395" s="490"/>
      <c r="E395" s="491"/>
      <c r="G395" s="65"/>
    </row>
    <row r="396" spans="2:7" ht="14.25" customHeight="1" x14ac:dyDescent="0.3">
      <c r="B396" s="489"/>
      <c r="C396" s="490"/>
      <c r="E396" s="491"/>
      <c r="G396" s="65"/>
    </row>
    <row r="397" spans="2:7" ht="14.25" customHeight="1" x14ac:dyDescent="0.3">
      <c r="B397" s="489"/>
      <c r="C397" s="490"/>
      <c r="E397" s="491"/>
      <c r="G397" s="65"/>
    </row>
    <row r="398" spans="2:7" ht="14.25" customHeight="1" x14ac:dyDescent="0.3">
      <c r="B398" s="489"/>
      <c r="C398" s="490"/>
      <c r="E398" s="491"/>
      <c r="G398" s="65"/>
    </row>
    <row r="399" spans="2:7" ht="14.25" customHeight="1" x14ac:dyDescent="0.3">
      <c r="B399" s="489"/>
      <c r="C399" s="490"/>
      <c r="E399" s="491"/>
      <c r="G399" s="65"/>
    </row>
    <row r="400" spans="2:7" ht="14.25" customHeight="1" x14ac:dyDescent="0.3">
      <c r="B400" s="489"/>
      <c r="C400" s="490"/>
      <c r="E400" s="491"/>
      <c r="G400" s="65"/>
    </row>
    <row r="401" spans="2:7" ht="14.25" customHeight="1" x14ac:dyDescent="0.3">
      <c r="B401" s="489"/>
      <c r="C401" s="490"/>
      <c r="E401" s="491"/>
      <c r="G401" s="65"/>
    </row>
    <row r="402" spans="2:7" ht="14.25" customHeight="1" x14ac:dyDescent="0.3">
      <c r="B402" s="489"/>
      <c r="C402" s="490"/>
      <c r="E402" s="491"/>
      <c r="G402" s="65"/>
    </row>
    <row r="403" spans="2:7" ht="14.25" customHeight="1" x14ac:dyDescent="0.3">
      <c r="B403" s="489"/>
      <c r="C403" s="490"/>
      <c r="E403" s="491"/>
      <c r="G403" s="65"/>
    </row>
    <row r="404" spans="2:7" ht="14.25" customHeight="1" x14ac:dyDescent="0.3">
      <c r="B404" s="489"/>
      <c r="C404" s="490"/>
      <c r="E404" s="491"/>
      <c r="G404" s="65"/>
    </row>
    <row r="405" spans="2:7" ht="14.25" customHeight="1" x14ac:dyDescent="0.3">
      <c r="B405" s="489"/>
      <c r="C405" s="490"/>
      <c r="E405" s="491"/>
      <c r="G405" s="65"/>
    </row>
    <row r="406" spans="2:7" ht="14.25" customHeight="1" x14ac:dyDescent="0.3">
      <c r="B406" s="489"/>
      <c r="C406" s="490"/>
      <c r="E406" s="491"/>
      <c r="G406" s="65"/>
    </row>
    <row r="407" spans="2:7" ht="14.25" customHeight="1" x14ac:dyDescent="0.3">
      <c r="B407" s="489"/>
      <c r="C407" s="490"/>
      <c r="E407" s="491"/>
      <c r="G407" s="65"/>
    </row>
    <row r="408" spans="2:7" ht="14.25" customHeight="1" x14ac:dyDescent="0.3">
      <c r="B408" s="489"/>
      <c r="C408" s="490"/>
      <c r="E408" s="491"/>
      <c r="G408" s="65"/>
    </row>
    <row r="409" spans="2:7" ht="14.25" customHeight="1" x14ac:dyDescent="0.3">
      <c r="B409" s="489"/>
      <c r="C409" s="490"/>
      <c r="E409" s="491"/>
      <c r="G409" s="65"/>
    </row>
    <row r="410" spans="2:7" ht="14.25" customHeight="1" x14ac:dyDescent="0.3">
      <c r="B410" s="489"/>
      <c r="C410" s="490"/>
      <c r="E410" s="491"/>
      <c r="G410" s="65"/>
    </row>
    <row r="411" spans="2:7" ht="14.25" customHeight="1" x14ac:dyDescent="0.3">
      <c r="B411" s="489"/>
      <c r="C411" s="490"/>
      <c r="E411" s="491"/>
      <c r="G411" s="65"/>
    </row>
    <row r="412" spans="2:7" ht="14.25" customHeight="1" x14ac:dyDescent="0.3">
      <c r="B412" s="489"/>
      <c r="C412" s="490"/>
      <c r="E412" s="491"/>
      <c r="G412" s="65"/>
    </row>
    <row r="413" spans="2:7" ht="14.25" customHeight="1" x14ac:dyDescent="0.3">
      <c r="B413" s="489"/>
      <c r="C413" s="490"/>
      <c r="E413" s="491"/>
      <c r="G413" s="65"/>
    </row>
    <row r="414" spans="2:7" ht="14.25" customHeight="1" x14ac:dyDescent="0.3">
      <c r="B414" s="489"/>
      <c r="C414" s="490"/>
      <c r="E414" s="491"/>
      <c r="G414" s="65"/>
    </row>
    <row r="415" spans="2:7" ht="14.25" customHeight="1" x14ac:dyDescent="0.3">
      <c r="B415" s="489"/>
      <c r="C415" s="490"/>
      <c r="E415" s="491"/>
      <c r="G415" s="65"/>
    </row>
    <row r="416" spans="2:7" ht="14.25" customHeight="1" x14ac:dyDescent="0.3">
      <c r="B416" s="489"/>
      <c r="C416" s="490"/>
      <c r="E416" s="491"/>
      <c r="G416" s="65"/>
    </row>
    <row r="417" spans="2:7" ht="14.25" customHeight="1" x14ac:dyDescent="0.3">
      <c r="B417" s="489"/>
      <c r="C417" s="490"/>
      <c r="E417" s="491"/>
      <c r="G417" s="65"/>
    </row>
    <row r="418" spans="2:7" ht="14.25" customHeight="1" x14ac:dyDescent="0.3">
      <c r="B418" s="489"/>
      <c r="C418" s="490"/>
      <c r="E418" s="491"/>
      <c r="G418" s="65"/>
    </row>
    <row r="419" spans="2:7" ht="14.25" customHeight="1" x14ac:dyDescent="0.3">
      <c r="B419" s="489"/>
      <c r="C419" s="490"/>
      <c r="E419" s="491"/>
      <c r="G419" s="65"/>
    </row>
    <row r="420" spans="2:7" ht="14.25" customHeight="1" x14ac:dyDescent="0.3">
      <c r="B420" s="489"/>
      <c r="C420" s="490"/>
      <c r="E420" s="491"/>
      <c r="G420" s="65"/>
    </row>
    <row r="421" spans="2:7" ht="14.25" customHeight="1" x14ac:dyDescent="0.3">
      <c r="B421" s="489"/>
      <c r="C421" s="490"/>
      <c r="E421" s="491"/>
      <c r="G421" s="65"/>
    </row>
    <row r="422" spans="2:7" ht="14.25" customHeight="1" x14ac:dyDescent="0.3">
      <c r="B422" s="489"/>
      <c r="C422" s="490"/>
      <c r="E422" s="491"/>
      <c r="G422" s="65"/>
    </row>
    <row r="423" spans="2:7" ht="14.25" customHeight="1" x14ac:dyDescent="0.3">
      <c r="B423" s="489"/>
      <c r="C423" s="490"/>
      <c r="E423" s="491"/>
      <c r="G423" s="65"/>
    </row>
    <row r="424" spans="2:7" ht="14.25" customHeight="1" x14ac:dyDescent="0.3">
      <c r="B424" s="489"/>
      <c r="C424" s="490"/>
      <c r="E424" s="491"/>
      <c r="G424" s="65"/>
    </row>
    <row r="425" spans="2:7" ht="14.25" customHeight="1" x14ac:dyDescent="0.3">
      <c r="B425" s="489"/>
      <c r="C425" s="490"/>
      <c r="E425" s="491"/>
      <c r="G425" s="65"/>
    </row>
    <row r="426" spans="2:7" ht="14.25" customHeight="1" x14ac:dyDescent="0.3">
      <c r="B426" s="489"/>
      <c r="C426" s="490"/>
      <c r="E426" s="491"/>
      <c r="G426" s="65"/>
    </row>
    <row r="427" spans="2:7" ht="14.25" customHeight="1" x14ac:dyDescent="0.3">
      <c r="B427" s="489"/>
      <c r="C427" s="490"/>
      <c r="E427" s="491"/>
      <c r="G427" s="65"/>
    </row>
    <row r="428" spans="2:7" ht="14.25" customHeight="1" x14ac:dyDescent="0.3">
      <c r="B428" s="489"/>
      <c r="C428" s="490"/>
      <c r="E428" s="491"/>
      <c r="G428" s="65"/>
    </row>
    <row r="429" spans="2:7" ht="14.25" customHeight="1" x14ac:dyDescent="0.3">
      <c r="B429" s="489"/>
      <c r="C429" s="490"/>
      <c r="E429" s="491"/>
      <c r="G429" s="65"/>
    </row>
    <row r="430" spans="2:7" ht="14.25" customHeight="1" x14ac:dyDescent="0.3">
      <c r="B430" s="489"/>
      <c r="C430" s="490"/>
      <c r="E430" s="491"/>
      <c r="G430" s="65"/>
    </row>
    <row r="431" spans="2:7" ht="14.25" customHeight="1" x14ac:dyDescent="0.3">
      <c r="B431" s="489"/>
      <c r="C431" s="490"/>
      <c r="E431" s="491"/>
      <c r="G431" s="65"/>
    </row>
    <row r="432" spans="2:7" ht="14.25" customHeight="1" x14ac:dyDescent="0.3">
      <c r="B432" s="489"/>
      <c r="C432" s="490"/>
      <c r="E432" s="491"/>
      <c r="G432" s="65"/>
    </row>
    <row r="433" spans="2:7" ht="14.25" customHeight="1" x14ac:dyDescent="0.3">
      <c r="B433" s="489"/>
      <c r="C433" s="490"/>
      <c r="E433" s="491"/>
      <c r="G433" s="65"/>
    </row>
    <row r="434" spans="2:7" ht="14.25" customHeight="1" x14ac:dyDescent="0.3">
      <c r="B434" s="489"/>
      <c r="C434" s="490"/>
      <c r="E434" s="491"/>
      <c r="G434" s="65"/>
    </row>
    <row r="435" spans="2:7" ht="14.25" customHeight="1" x14ac:dyDescent="0.3">
      <c r="B435" s="489"/>
      <c r="C435" s="490"/>
      <c r="E435" s="491"/>
      <c r="G435" s="65"/>
    </row>
    <row r="436" spans="2:7" ht="14.25" customHeight="1" x14ac:dyDescent="0.3">
      <c r="B436" s="489"/>
      <c r="C436" s="490"/>
      <c r="E436" s="491"/>
      <c r="G436" s="65"/>
    </row>
    <row r="437" spans="2:7" ht="14.25" customHeight="1" x14ac:dyDescent="0.3">
      <c r="B437" s="489"/>
      <c r="C437" s="490"/>
      <c r="E437" s="491"/>
      <c r="G437" s="65"/>
    </row>
    <row r="438" spans="2:7" ht="14.25" customHeight="1" x14ac:dyDescent="0.3">
      <c r="B438" s="489"/>
      <c r="C438" s="490"/>
      <c r="E438" s="491"/>
      <c r="G438" s="65"/>
    </row>
    <row r="439" spans="2:7" ht="14.25" customHeight="1" x14ac:dyDescent="0.3">
      <c r="B439" s="489"/>
      <c r="C439" s="490"/>
      <c r="E439" s="491"/>
      <c r="G439" s="65"/>
    </row>
    <row r="440" spans="2:7" ht="14.25" customHeight="1" x14ac:dyDescent="0.3">
      <c r="B440" s="489"/>
      <c r="C440" s="490"/>
      <c r="E440" s="491"/>
      <c r="G440" s="65"/>
    </row>
    <row r="441" spans="2:7" ht="14.25" customHeight="1" x14ac:dyDescent="0.3">
      <c r="B441" s="489"/>
      <c r="C441" s="490"/>
      <c r="E441" s="491"/>
      <c r="G441" s="65"/>
    </row>
    <row r="442" spans="2:7" ht="14.25" customHeight="1" x14ac:dyDescent="0.3">
      <c r="B442" s="489"/>
      <c r="C442" s="490"/>
      <c r="E442" s="491"/>
      <c r="G442" s="65"/>
    </row>
    <row r="443" spans="2:7" ht="14.25" customHeight="1" x14ac:dyDescent="0.3">
      <c r="B443" s="489"/>
      <c r="C443" s="490"/>
      <c r="E443" s="491"/>
      <c r="G443" s="65"/>
    </row>
    <row r="444" spans="2:7" ht="14.25" customHeight="1" x14ac:dyDescent="0.3">
      <c r="B444" s="489"/>
      <c r="C444" s="490"/>
      <c r="E444" s="491"/>
      <c r="G444" s="65"/>
    </row>
    <row r="445" spans="2:7" ht="14.25" customHeight="1" x14ac:dyDescent="0.3">
      <c r="B445" s="489"/>
      <c r="C445" s="490"/>
      <c r="E445" s="491"/>
      <c r="G445" s="65"/>
    </row>
    <row r="446" spans="2:7" ht="14.25" customHeight="1" x14ac:dyDescent="0.3">
      <c r="B446" s="489"/>
      <c r="C446" s="490"/>
      <c r="E446" s="491"/>
      <c r="G446" s="65"/>
    </row>
    <row r="447" spans="2:7" ht="14.25" customHeight="1" x14ac:dyDescent="0.3">
      <c r="B447" s="489"/>
      <c r="C447" s="490"/>
      <c r="E447" s="491"/>
      <c r="G447" s="65"/>
    </row>
    <row r="448" spans="2:7" ht="14.25" customHeight="1" x14ac:dyDescent="0.3">
      <c r="B448" s="489"/>
      <c r="C448" s="490"/>
      <c r="E448" s="491"/>
      <c r="G448" s="65"/>
    </row>
    <row r="449" spans="2:7" ht="14.25" customHeight="1" x14ac:dyDescent="0.3">
      <c r="B449" s="489"/>
      <c r="C449" s="490"/>
      <c r="E449" s="491"/>
      <c r="G449" s="65"/>
    </row>
    <row r="450" spans="2:7" ht="14.25" customHeight="1" x14ac:dyDescent="0.3">
      <c r="B450" s="489"/>
      <c r="C450" s="490"/>
      <c r="E450" s="491"/>
      <c r="G450" s="65"/>
    </row>
    <row r="451" spans="2:7" ht="14.25" customHeight="1" x14ac:dyDescent="0.3">
      <c r="B451" s="489"/>
      <c r="C451" s="490"/>
      <c r="E451" s="491"/>
      <c r="G451" s="65"/>
    </row>
    <row r="452" spans="2:7" ht="14.25" customHeight="1" x14ac:dyDescent="0.3">
      <c r="B452" s="489"/>
      <c r="C452" s="490"/>
      <c r="E452" s="491"/>
      <c r="G452" s="65"/>
    </row>
    <row r="453" spans="2:7" ht="14.25" customHeight="1" x14ac:dyDescent="0.3">
      <c r="B453" s="489"/>
      <c r="C453" s="490"/>
      <c r="E453" s="491"/>
      <c r="G453" s="65"/>
    </row>
    <row r="454" spans="2:7" ht="14.25" customHeight="1" x14ac:dyDescent="0.3">
      <c r="B454" s="489"/>
      <c r="C454" s="490"/>
      <c r="E454" s="491"/>
      <c r="G454" s="65"/>
    </row>
    <row r="455" spans="2:7" ht="14.25" customHeight="1" x14ac:dyDescent="0.3">
      <c r="B455" s="489"/>
      <c r="C455" s="490"/>
      <c r="E455" s="491"/>
      <c r="G455" s="65"/>
    </row>
    <row r="456" spans="2:7" ht="14.25" customHeight="1" x14ac:dyDescent="0.3">
      <c r="B456" s="489"/>
      <c r="C456" s="490"/>
      <c r="E456" s="491"/>
      <c r="G456" s="65"/>
    </row>
    <row r="457" spans="2:7" ht="14.25" customHeight="1" x14ac:dyDescent="0.3">
      <c r="B457" s="489"/>
      <c r="C457" s="490"/>
      <c r="E457" s="491"/>
      <c r="G457" s="65"/>
    </row>
    <row r="458" spans="2:7" ht="14.25" customHeight="1" x14ac:dyDescent="0.3">
      <c r="B458" s="489"/>
      <c r="C458" s="490"/>
      <c r="E458" s="491"/>
      <c r="G458" s="65"/>
    </row>
    <row r="459" spans="2:7" ht="14.25" customHeight="1" x14ac:dyDescent="0.3">
      <c r="B459" s="489"/>
      <c r="C459" s="490"/>
      <c r="E459" s="491"/>
      <c r="G459" s="65"/>
    </row>
    <row r="460" spans="2:7" ht="14.25" customHeight="1" x14ac:dyDescent="0.3">
      <c r="B460" s="489"/>
      <c r="C460" s="490"/>
      <c r="E460" s="491"/>
      <c r="G460" s="65"/>
    </row>
    <row r="461" spans="2:7" ht="14.25" customHeight="1" x14ac:dyDescent="0.3">
      <c r="B461" s="489"/>
      <c r="C461" s="490"/>
      <c r="E461" s="491"/>
      <c r="G461" s="65"/>
    </row>
    <row r="462" spans="2:7" ht="14.25" customHeight="1" x14ac:dyDescent="0.3">
      <c r="B462" s="489"/>
      <c r="C462" s="490"/>
      <c r="E462" s="491"/>
      <c r="G462" s="65"/>
    </row>
    <row r="463" spans="2:7" ht="14.25" customHeight="1" x14ac:dyDescent="0.3">
      <c r="B463" s="489"/>
      <c r="C463" s="490"/>
      <c r="E463" s="491"/>
      <c r="G463" s="65"/>
    </row>
    <row r="464" spans="2:7" ht="14.25" customHeight="1" x14ac:dyDescent="0.3">
      <c r="B464" s="489"/>
      <c r="C464" s="490"/>
      <c r="E464" s="491"/>
      <c r="G464" s="65"/>
    </row>
    <row r="465" spans="2:7" ht="14.25" customHeight="1" x14ac:dyDescent="0.3">
      <c r="B465" s="489"/>
      <c r="C465" s="490"/>
      <c r="E465" s="491"/>
      <c r="G465" s="65"/>
    </row>
    <row r="466" spans="2:7" ht="14.25" customHeight="1" x14ac:dyDescent="0.3">
      <c r="B466" s="489"/>
      <c r="C466" s="490"/>
      <c r="E466" s="491"/>
      <c r="G466" s="65"/>
    </row>
    <row r="467" spans="2:7" ht="14.25" customHeight="1" x14ac:dyDescent="0.3">
      <c r="B467" s="489"/>
      <c r="C467" s="490"/>
      <c r="E467" s="491"/>
      <c r="G467" s="65"/>
    </row>
    <row r="468" spans="2:7" ht="14.25" customHeight="1" x14ac:dyDescent="0.3">
      <c r="B468" s="489"/>
      <c r="C468" s="490"/>
      <c r="E468" s="491"/>
      <c r="G468" s="65"/>
    </row>
    <row r="469" spans="2:7" ht="14.25" customHeight="1" x14ac:dyDescent="0.3">
      <c r="B469" s="489"/>
      <c r="C469" s="490"/>
      <c r="E469" s="491"/>
      <c r="G469" s="65"/>
    </row>
    <row r="470" spans="2:7" ht="14.25" customHeight="1" x14ac:dyDescent="0.3">
      <c r="B470" s="489"/>
      <c r="C470" s="490"/>
      <c r="E470" s="491"/>
      <c r="G470" s="65"/>
    </row>
    <row r="471" spans="2:7" ht="14.25" customHeight="1" x14ac:dyDescent="0.3">
      <c r="B471" s="489"/>
      <c r="C471" s="490"/>
      <c r="E471" s="491"/>
      <c r="G471" s="65"/>
    </row>
    <row r="472" spans="2:7" ht="14.25" customHeight="1" x14ac:dyDescent="0.3">
      <c r="B472" s="489"/>
      <c r="C472" s="490"/>
      <c r="E472" s="491"/>
      <c r="G472" s="65"/>
    </row>
    <row r="473" spans="2:7" ht="14.25" customHeight="1" x14ac:dyDescent="0.3">
      <c r="B473" s="489"/>
      <c r="C473" s="490"/>
      <c r="E473" s="491"/>
      <c r="G473" s="65"/>
    </row>
    <row r="474" spans="2:7" ht="14.25" customHeight="1" x14ac:dyDescent="0.3">
      <c r="B474" s="489"/>
      <c r="C474" s="490"/>
      <c r="E474" s="491"/>
      <c r="G474" s="65"/>
    </row>
    <row r="475" spans="2:7" ht="14.25" customHeight="1" x14ac:dyDescent="0.3">
      <c r="B475" s="489"/>
      <c r="C475" s="490"/>
      <c r="E475" s="491"/>
      <c r="G475" s="65"/>
    </row>
    <row r="476" spans="2:7" ht="14.25" customHeight="1" x14ac:dyDescent="0.3">
      <c r="B476" s="489"/>
      <c r="C476" s="490"/>
      <c r="E476" s="491"/>
      <c r="G476" s="65"/>
    </row>
    <row r="477" spans="2:7" ht="14.25" customHeight="1" x14ac:dyDescent="0.3">
      <c r="B477" s="489"/>
      <c r="C477" s="490"/>
      <c r="E477" s="491"/>
      <c r="G477" s="65"/>
    </row>
    <row r="478" spans="2:7" ht="14.25" customHeight="1" x14ac:dyDescent="0.3">
      <c r="B478" s="489"/>
      <c r="C478" s="490"/>
      <c r="E478" s="491"/>
      <c r="G478" s="65"/>
    </row>
    <row r="479" spans="2:7" ht="14.25" customHeight="1" x14ac:dyDescent="0.3">
      <c r="B479" s="489"/>
      <c r="C479" s="490"/>
      <c r="E479" s="491"/>
      <c r="G479" s="65"/>
    </row>
    <row r="480" spans="2:7" ht="14.25" customHeight="1" x14ac:dyDescent="0.3">
      <c r="B480" s="489"/>
      <c r="C480" s="490"/>
      <c r="E480" s="491"/>
      <c r="G480" s="65"/>
    </row>
    <row r="481" spans="2:7" ht="14.25" customHeight="1" x14ac:dyDescent="0.3">
      <c r="B481" s="489"/>
      <c r="C481" s="490"/>
      <c r="E481" s="491"/>
      <c r="G481" s="65"/>
    </row>
    <row r="482" spans="2:7" ht="14.25" customHeight="1" x14ac:dyDescent="0.3">
      <c r="B482" s="489"/>
      <c r="C482" s="490"/>
      <c r="E482" s="491"/>
      <c r="G482" s="65"/>
    </row>
    <row r="483" spans="2:7" ht="14.25" customHeight="1" x14ac:dyDescent="0.3">
      <c r="B483" s="489"/>
      <c r="C483" s="490"/>
      <c r="E483" s="491"/>
      <c r="G483" s="65"/>
    </row>
    <row r="484" spans="2:7" ht="14.25" customHeight="1" x14ac:dyDescent="0.3">
      <c r="B484" s="489"/>
      <c r="C484" s="490"/>
      <c r="E484" s="491"/>
      <c r="G484" s="65"/>
    </row>
    <row r="485" spans="2:7" ht="14.25" customHeight="1" x14ac:dyDescent="0.3">
      <c r="B485" s="489"/>
      <c r="C485" s="490"/>
      <c r="E485" s="491"/>
      <c r="G485" s="65"/>
    </row>
    <row r="486" spans="2:7" ht="14.25" customHeight="1" x14ac:dyDescent="0.3">
      <c r="B486" s="489"/>
      <c r="C486" s="490"/>
      <c r="E486" s="491"/>
      <c r="G486" s="65"/>
    </row>
    <row r="487" spans="2:7" ht="14.25" customHeight="1" x14ac:dyDescent="0.3">
      <c r="B487" s="489"/>
      <c r="C487" s="490"/>
      <c r="E487" s="491"/>
      <c r="G487" s="65"/>
    </row>
    <row r="488" spans="2:7" ht="14.25" customHeight="1" x14ac:dyDescent="0.3">
      <c r="B488" s="489"/>
      <c r="C488" s="490"/>
      <c r="E488" s="491"/>
      <c r="G488" s="65"/>
    </row>
    <row r="489" spans="2:7" ht="14.25" customHeight="1" x14ac:dyDescent="0.3">
      <c r="B489" s="489"/>
      <c r="C489" s="490"/>
      <c r="E489" s="491"/>
      <c r="G489" s="65"/>
    </row>
    <row r="490" spans="2:7" ht="14.25" customHeight="1" x14ac:dyDescent="0.3">
      <c r="B490" s="489"/>
      <c r="C490" s="490"/>
      <c r="E490" s="491"/>
      <c r="G490" s="65"/>
    </row>
    <row r="491" spans="2:7" ht="14.25" customHeight="1" x14ac:dyDescent="0.3">
      <c r="B491" s="489"/>
      <c r="C491" s="490"/>
      <c r="E491" s="491"/>
      <c r="G491" s="65"/>
    </row>
    <row r="492" spans="2:7" ht="14.25" customHeight="1" x14ac:dyDescent="0.3">
      <c r="B492" s="489"/>
      <c r="C492" s="490"/>
      <c r="E492" s="491"/>
      <c r="G492" s="65"/>
    </row>
    <row r="493" spans="2:7" ht="14.25" customHeight="1" x14ac:dyDescent="0.3">
      <c r="B493" s="489"/>
      <c r="C493" s="490"/>
      <c r="E493" s="491"/>
      <c r="G493" s="65"/>
    </row>
    <row r="494" spans="2:7" ht="14.25" customHeight="1" x14ac:dyDescent="0.3">
      <c r="B494" s="489"/>
      <c r="C494" s="490"/>
      <c r="E494" s="491"/>
      <c r="G494" s="65"/>
    </row>
    <row r="495" spans="2:7" ht="14.25" customHeight="1" x14ac:dyDescent="0.3">
      <c r="B495" s="489"/>
      <c r="C495" s="490"/>
      <c r="E495" s="491"/>
      <c r="G495" s="65"/>
    </row>
    <row r="496" spans="2:7" ht="14.25" customHeight="1" x14ac:dyDescent="0.3">
      <c r="B496" s="489"/>
      <c r="C496" s="490"/>
      <c r="E496" s="491"/>
      <c r="G496" s="65"/>
    </row>
    <row r="497" spans="2:7" ht="14.25" customHeight="1" x14ac:dyDescent="0.3">
      <c r="B497" s="489"/>
      <c r="C497" s="490"/>
      <c r="E497" s="491"/>
      <c r="G497" s="65"/>
    </row>
    <row r="498" spans="2:7" ht="14.25" customHeight="1" x14ac:dyDescent="0.3">
      <c r="B498" s="489"/>
      <c r="C498" s="490"/>
      <c r="E498" s="491"/>
      <c r="G498" s="65"/>
    </row>
    <row r="499" spans="2:7" ht="14.25" customHeight="1" x14ac:dyDescent="0.3">
      <c r="B499" s="489"/>
      <c r="C499" s="490"/>
      <c r="E499" s="491"/>
      <c r="G499" s="65"/>
    </row>
    <row r="500" spans="2:7" ht="14.25" customHeight="1" x14ac:dyDescent="0.3">
      <c r="B500" s="489"/>
      <c r="C500" s="490"/>
      <c r="E500" s="491"/>
      <c r="G500" s="65"/>
    </row>
    <row r="501" spans="2:7" ht="14.25" customHeight="1" x14ac:dyDescent="0.3">
      <c r="B501" s="489"/>
      <c r="C501" s="490"/>
      <c r="E501" s="491"/>
      <c r="G501" s="65"/>
    </row>
    <row r="502" spans="2:7" ht="14.25" customHeight="1" x14ac:dyDescent="0.3">
      <c r="B502" s="489"/>
      <c r="C502" s="490"/>
      <c r="E502" s="491"/>
      <c r="G502" s="65"/>
    </row>
    <row r="503" spans="2:7" ht="14.25" customHeight="1" x14ac:dyDescent="0.3">
      <c r="B503" s="489"/>
      <c r="C503" s="490"/>
      <c r="E503" s="491"/>
      <c r="G503" s="65"/>
    </row>
    <row r="504" spans="2:7" ht="14.25" customHeight="1" x14ac:dyDescent="0.3">
      <c r="B504" s="489"/>
      <c r="C504" s="490"/>
      <c r="E504" s="491"/>
      <c r="G504" s="65"/>
    </row>
    <row r="505" spans="2:7" ht="14.25" customHeight="1" x14ac:dyDescent="0.3">
      <c r="B505" s="489"/>
      <c r="C505" s="490"/>
      <c r="E505" s="491"/>
      <c r="G505" s="65"/>
    </row>
    <row r="506" spans="2:7" ht="14.25" customHeight="1" x14ac:dyDescent="0.3">
      <c r="B506" s="489"/>
      <c r="C506" s="490"/>
      <c r="E506" s="491"/>
      <c r="G506" s="65"/>
    </row>
    <row r="507" spans="2:7" ht="14.25" customHeight="1" x14ac:dyDescent="0.3">
      <c r="B507" s="489"/>
      <c r="C507" s="490"/>
      <c r="E507" s="491"/>
      <c r="G507" s="65"/>
    </row>
    <row r="508" spans="2:7" ht="14.25" customHeight="1" x14ac:dyDescent="0.3">
      <c r="B508" s="489"/>
      <c r="C508" s="490"/>
      <c r="E508" s="491"/>
      <c r="G508" s="65"/>
    </row>
    <row r="509" spans="2:7" ht="14.25" customHeight="1" x14ac:dyDescent="0.3">
      <c r="B509" s="489"/>
      <c r="C509" s="490"/>
      <c r="E509" s="491"/>
      <c r="G509" s="65"/>
    </row>
    <row r="510" spans="2:7" ht="14.25" customHeight="1" x14ac:dyDescent="0.3">
      <c r="B510" s="489"/>
      <c r="C510" s="490"/>
      <c r="E510" s="491"/>
      <c r="G510" s="65"/>
    </row>
    <row r="511" spans="2:7" ht="14.25" customHeight="1" x14ac:dyDescent="0.3">
      <c r="B511" s="489"/>
      <c r="C511" s="490"/>
      <c r="E511" s="491"/>
      <c r="G511" s="65"/>
    </row>
    <row r="512" spans="2:7" ht="14.25" customHeight="1" x14ac:dyDescent="0.3">
      <c r="B512" s="489"/>
      <c r="C512" s="490"/>
      <c r="E512" s="491"/>
      <c r="G512" s="65"/>
    </row>
    <row r="513" spans="2:7" ht="14.25" customHeight="1" x14ac:dyDescent="0.3">
      <c r="B513" s="489"/>
      <c r="C513" s="490"/>
      <c r="E513" s="491"/>
      <c r="G513" s="65"/>
    </row>
    <row r="514" spans="2:7" ht="14.25" customHeight="1" x14ac:dyDescent="0.3">
      <c r="B514" s="489"/>
      <c r="C514" s="490"/>
      <c r="E514" s="491"/>
      <c r="G514" s="65"/>
    </row>
    <row r="515" spans="2:7" ht="14.25" customHeight="1" x14ac:dyDescent="0.3">
      <c r="B515" s="489"/>
      <c r="C515" s="490"/>
      <c r="E515" s="491"/>
      <c r="G515" s="65"/>
    </row>
    <row r="516" spans="2:7" ht="14.25" customHeight="1" x14ac:dyDescent="0.3">
      <c r="B516" s="489"/>
      <c r="C516" s="490"/>
      <c r="E516" s="491"/>
      <c r="G516" s="65"/>
    </row>
    <row r="517" spans="2:7" ht="14.25" customHeight="1" x14ac:dyDescent="0.3">
      <c r="B517" s="489"/>
      <c r="C517" s="490"/>
      <c r="E517" s="491"/>
      <c r="G517" s="65"/>
    </row>
    <row r="518" spans="2:7" ht="14.25" customHeight="1" x14ac:dyDescent="0.3">
      <c r="B518" s="489"/>
      <c r="C518" s="490"/>
      <c r="E518" s="491"/>
      <c r="G518" s="65"/>
    </row>
    <row r="519" spans="2:7" ht="14.25" customHeight="1" x14ac:dyDescent="0.3">
      <c r="B519" s="489"/>
      <c r="C519" s="490"/>
      <c r="E519" s="491"/>
      <c r="G519" s="65"/>
    </row>
    <row r="520" spans="2:7" ht="14.25" customHeight="1" x14ac:dyDescent="0.3">
      <c r="B520" s="489"/>
      <c r="C520" s="490"/>
      <c r="E520" s="491"/>
      <c r="G520" s="65"/>
    </row>
    <row r="521" spans="2:7" ht="14.25" customHeight="1" x14ac:dyDescent="0.3">
      <c r="B521" s="489"/>
      <c r="C521" s="490"/>
      <c r="E521" s="491"/>
      <c r="G521" s="65"/>
    </row>
    <row r="522" spans="2:7" ht="14.25" customHeight="1" x14ac:dyDescent="0.3">
      <c r="B522" s="489"/>
      <c r="C522" s="490"/>
      <c r="E522" s="491"/>
      <c r="G522" s="65"/>
    </row>
    <row r="523" spans="2:7" ht="14.25" customHeight="1" x14ac:dyDescent="0.3">
      <c r="B523" s="489"/>
      <c r="C523" s="490"/>
      <c r="E523" s="491"/>
      <c r="G523" s="65"/>
    </row>
    <row r="524" spans="2:7" ht="14.25" customHeight="1" x14ac:dyDescent="0.3">
      <c r="B524" s="489"/>
      <c r="C524" s="490"/>
      <c r="E524" s="491"/>
      <c r="G524" s="65"/>
    </row>
    <row r="525" spans="2:7" ht="14.25" customHeight="1" x14ac:dyDescent="0.3">
      <c r="B525" s="489"/>
      <c r="C525" s="490"/>
      <c r="E525" s="491"/>
      <c r="G525" s="65"/>
    </row>
    <row r="526" spans="2:7" ht="14.25" customHeight="1" x14ac:dyDescent="0.3">
      <c r="B526" s="489"/>
      <c r="C526" s="490"/>
      <c r="E526" s="491"/>
      <c r="G526" s="65"/>
    </row>
    <row r="527" spans="2:7" ht="14.25" customHeight="1" x14ac:dyDescent="0.3">
      <c r="B527" s="489"/>
      <c r="C527" s="490"/>
      <c r="E527" s="491"/>
      <c r="G527" s="65"/>
    </row>
    <row r="528" spans="2:7" ht="14.25" customHeight="1" x14ac:dyDescent="0.3">
      <c r="B528" s="489"/>
      <c r="C528" s="490"/>
      <c r="E528" s="491"/>
      <c r="G528" s="65"/>
    </row>
    <row r="529" spans="2:7" ht="14.25" customHeight="1" x14ac:dyDescent="0.3">
      <c r="B529" s="489"/>
      <c r="C529" s="490"/>
      <c r="E529" s="491"/>
      <c r="G529" s="65"/>
    </row>
    <row r="530" spans="2:7" ht="14.25" customHeight="1" x14ac:dyDescent="0.3">
      <c r="B530" s="489"/>
      <c r="C530" s="490"/>
      <c r="E530" s="491"/>
      <c r="G530" s="65"/>
    </row>
    <row r="531" spans="2:7" ht="14.25" customHeight="1" x14ac:dyDescent="0.3">
      <c r="B531" s="489"/>
      <c r="C531" s="490"/>
      <c r="E531" s="491"/>
      <c r="G531" s="65"/>
    </row>
    <row r="532" spans="2:7" ht="14.25" customHeight="1" x14ac:dyDescent="0.3">
      <c r="B532" s="489"/>
      <c r="C532" s="490"/>
      <c r="E532" s="491"/>
      <c r="G532" s="65"/>
    </row>
    <row r="533" spans="2:7" ht="14.25" customHeight="1" x14ac:dyDescent="0.3">
      <c r="B533" s="489"/>
      <c r="C533" s="490"/>
      <c r="E533" s="491"/>
      <c r="G533" s="65"/>
    </row>
    <row r="534" spans="2:7" ht="14.25" customHeight="1" x14ac:dyDescent="0.3">
      <c r="B534" s="489"/>
      <c r="C534" s="490"/>
      <c r="E534" s="491"/>
      <c r="G534" s="65"/>
    </row>
    <row r="535" spans="2:7" ht="14.25" customHeight="1" x14ac:dyDescent="0.3">
      <c r="B535" s="489"/>
      <c r="C535" s="490"/>
      <c r="E535" s="491"/>
      <c r="G535" s="65"/>
    </row>
    <row r="536" spans="2:7" ht="14.25" customHeight="1" x14ac:dyDescent="0.3">
      <c r="B536" s="489"/>
      <c r="C536" s="490"/>
      <c r="E536" s="491"/>
      <c r="G536" s="65"/>
    </row>
    <row r="537" spans="2:7" ht="14.25" customHeight="1" x14ac:dyDescent="0.3">
      <c r="B537" s="489"/>
      <c r="C537" s="490"/>
      <c r="E537" s="491"/>
      <c r="G537" s="65"/>
    </row>
    <row r="538" spans="2:7" ht="14.25" customHeight="1" x14ac:dyDescent="0.3">
      <c r="B538" s="489"/>
      <c r="C538" s="490"/>
      <c r="E538" s="491"/>
      <c r="G538" s="65"/>
    </row>
    <row r="539" spans="2:7" ht="14.25" customHeight="1" x14ac:dyDescent="0.3">
      <c r="B539" s="489"/>
      <c r="C539" s="490"/>
      <c r="E539" s="491"/>
      <c r="G539" s="65"/>
    </row>
    <row r="540" spans="2:7" ht="14.25" customHeight="1" x14ac:dyDescent="0.3">
      <c r="B540" s="489"/>
      <c r="C540" s="490"/>
      <c r="E540" s="491"/>
      <c r="G540" s="65"/>
    </row>
    <row r="541" spans="2:7" ht="14.25" customHeight="1" x14ac:dyDescent="0.3">
      <c r="B541" s="489"/>
      <c r="C541" s="490"/>
      <c r="E541" s="491"/>
      <c r="G541" s="65"/>
    </row>
    <row r="542" spans="2:7" ht="14.25" customHeight="1" x14ac:dyDescent="0.3">
      <c r="B542" s="489"/>
      <c r="C542" s="490"/>
      <c r="E542" s="491"/>
      <c r="G542" s="65"/>
    </row>
    <row r="543" spans="2:7" ht="14.25" customHeight="1" x14ac:dyDescent="0.3">
      <c r="B543" s="489"/>
      <c r="C543" s="490"/>
      <c r="E543" s="491"/>
      <c r="G543" s="65"/>
    </row>
    <row r="544" spans="2:7" ht="14.25" customHeight="1" x14ac:dyDescent="0.3">
      <c r="B544" s="489"/>
      <c r="C544" s="490"/>
      <c r="E544" s="491"/>
      <c r="G544" s="65"/>
    </row>
    <row r="545" spans="2:7" ht="14.25" customHeight="1" x14ac:dyDescent="0.3">
      <c r="B545" s="489"/>
      <c r="C545" s="490"/>
      <c r="E545" s="491"/>
      <c r="G545" s="65"/>
    </row>
    <row r="546" spans="2:7" ht="14.25" customHeight="1" x14ac:dyDescent="0.3">
      <c r="B546" s="489"/>
      <c r="C546" s="490"/>
      <c r="E546" s="491"/>
      <c r="G546" s="65"/>
    </row>
    <row r="547" spans="2:7" ht="14.25" customHeight="1" x14ac:dyDescent="0.3">
      <c r="B547" s="489"/>
      <c r="C547" s="490"/>
      <c r="E547" s="491"/>
      <c r="G547" s="65"/>
    </row>
    <row r="548" spans="2:7" ht="14.25" customHeight="1" x14ac:dyDescent="0.3">
      <c r="B548" s="489"/>
      <c r="C548" s="490"/>
      <c r="E548" s="491"/>
      <c r="G548" s="65"/>
    </row>
    <row r="549" spans="2:7" ht="14.25" customHeight="1" x14ac:dyDescent="0.3">
      <c r="B549" s="489"/>
      <c r="C549" s="490"/>
      <c r="E549" s="491"/>
      <c r="G549" s="65"/>
    </row>
    <row r="550" spans="2:7" ht="14.25" customHeight="1" x14ac:dyDescent="0.3">
      <c r="B550" s="489"/>
      <c r="C550" s="490"/>
      <c r="E550" s="491"/>
      <c r="G550" s="65"/>
    </row>
    <row r="551" spans="2:7" ht="14.25" customHeight="1" x14ac:dyDescent="0.3">
      <c r="B551" s="489"/>
      <c r="C551" s="490"/>
      <c r="E551" s="491"/>
      <c r="G551" s="65"/>
    </row>
    <row r="552" spans="2:7" ht="14.25" customHeight="1" x14ac:dyDescent="0.3">
      <c r="B552" s="489"/>
      <c r="C552" s="490"/>
      <c r="E552" s="491"/>
      <c r="G552" s="65"/>
    </row>
    <row r="553" spans="2:7" ht="14.25" customHeight="1" x14ac:dyDescent="0.3">
      <c r="B553" s="489"/>
      <c r="C553" s="490"/>
      <c r="E553" s="491"/>
      <c r="G553" s="65"/>
    </row>
    <row r="554" spans="2:7" ht="14.25" customHeight="1" x14ac:dyDescent="0.3">
      <c r="B554" s="489"/>
      <c r="C554" s="490"/>
      <c r="E554" s="491"/>
      <c r="G554" s="65"/>
    </row>
    <row r="555" spans="2:7" ht="14.25" customHeight="1" x14ac:dyDescent="0.3">
      <c r="B555" s="489"/>
      <c r="C555" s="490"/>
      <c r="E555" s="491"/>
      <c r="G555" s="65"/>
    </row>
    <row r="556" spans="2:7" ht="14.25" customHeight="1" x14ac:dyDescent="0.3">
      <c r="B556" s="489"/>
      <c r="C556" s="490"/>
      <c r="E556" s="491"/>
      <c r="G556" s="65"/>
    </row>
    <row r="557" spans="2:7" ht="14.25" customHeight="1" x14ac:dyDescent="0.3">
      <c r="B557" s="489"/>
      <c r="C557" s="490"/>
      <c r="E557" s="491"/>
      <c r="G557" s="65"/>
    </row>
    <row r="558" spans="2:7" ht="14.25" customHeight="1" x14ac:dyDescent="0.3">
      <c r="B558" s="489"/>
      <c r="C558" s="490"/>
      <c r="E558" s="491"/>
      <c r="G558" s="65"/>
    </row>
    <row r="559" spans="2:7" ht="14.25" customHeight="1" x14ac:dyDescent="0.3">
      <c r="B559" s="489"/>
      <c r="C559" s="490"/>
      <c r="E559" s="491"/>
      <c r="G559" s="65"/>
    </row>
    <row r="560" spans="2:7" ht="14.25" customHeight="1" x14ac:dyDescent="0.3">
      <c r="B560" s="489"/>
      <c r="C560" s="490"/>
      <c r="E560" s="491"/>
      <c r="G560" s="65"/>
    </row>
    <row r="561" spans="2:7" ht="14.25" customHeight="1" x14ac:dyDescent="0.3">
      <c r="B561" s="489"/>
      <c r="C561" s="490"/>
      <c r="E561" s="491"/>
      <c r="G561" s="65"/>
    </row>
    <row r="562" spans="2:7" ht="14.25" customHeight="1" x14ac:dyDescent="0.3">
      <c r="B562" s="489"/>
      <c r="C562" s="490"/>
      <c r="E562" s="491"/>
      <c r="G562" s="65"/>
    </row>
    <row r="563" spans="2:7" ht="14.25" customHeight="1" x14ac:dyDescent="0.3">
      <c r="B563" s="489"/>
      <c r="C563" s="490"/>
      <c r="E563" s="491"/>
      <c r="G563" s="65"/>
    </row>
    <row r="564" spans="2:7" ht="14.25" customHeight="1" x14ac:dyDescent="0.3">
      <c r="B564" s="489"/>
      <c r="C564" s="490"/>
      <c r="E564" s="491"/>
      <c r="G564" s="65"/>
    </row>
    <row r="565" spans="2:7" ht="14.25" customHeight="1" x14ac:dyDescent="0.3">
      <c r="B565" s="489"/>
      <c r="C565" s="490"/>
      <c r="E565" s="491"/>
      <c r="G565" s="65"/>
    </row>
    <row r="566" spans="2:7" ht="14.25" customHeight="1" x14ac:dyDescent="0.3">
      <c r="B566" s="489"/>
      <c r="C566" s="490"/>
      <c r="E566" s="491"/>
      <c r="G566" s="65"/>
    </row>
    <row r="567" spans="2:7" ht="14.25" customHeight="1" x14ac:dyDescent="0.3">
      <c r="B567" s="489"/>
      <c r="C567" s="490"/>
      <c r="E567" s="491"/>
      <c r="G567" s="65"/>
    </row>
    <row r="568" spans="2:7" ht="14.25" customHeight="1" x14ac:dyDescent="0.3">
      <c r="B568" s="489"/>
      <c r="C568" s="490"/>
      <c r="E568" s="491"/>
      <c r="G568" s="65"/>
    </row>
    <row r="569" spans="2:7" ht="14.25" customHeight="1" x14ac:dyDescent="0.3">
      <c r="B569" s="489"/>
      <c r="C569" s="490"/>
      <c r="E569" s="491"/>
      <c r="G569" s="65"/>
    </row>
    <row r="570" spans="2:7" ht="14.25" customHeight="1" x14ac:dyDescent="0.3">
      <c r="B570" s="489"/>
      <c r="C570" s="490"/>
      <c r="E570" s="491"/>
      <c r="G570" s="65"/>
    </row>
    <row r="571" spans="2:7" ht="14.25" customHeight="1" x14ac:dyDescent="0.3">
      <c r="B571" s="489"/>
      <c r="C571" s="490"/>
      <c r="E571" s="491"/>
      <c r="G571" s="65"/>
    </row>
    <row r="572" spans="2:7" ht="14.25" customHeight="1" x14ac:dyDescent="0.3">
      <c r="B572" s="489"/>
      <c r="C572" s="490"/>
      <c r="E572" s="491"/>
      <c r="G572" s="65"/>
    </row>
    <row r="573" spans="2:7" ht="14.25" customHeight="1" x14ac:dyDescent="0.3">
      <c r="B573" s="489"/>
      <c r="C573" s="490"/>
      <c r="E573" s="491"/>
      <c r="G573" s="65"/>
    </row>
    <row r="574" spans="2:7" ht="14.25" customHeight="1" x14ac:dyDescent="0.3">
      <c r="B574" s="489"/>
      <c r="C574" s="490"/>
      <c r="E574" s="491"/>
      <c r="G574" s="65"/>
    </row>
    <row r="575" spans="2:7" ht="14.25" customHeight="1" x14ac:dyDescent="0.3">
      <c r="B575" s="489"/>
      <c r="C575" s="490"/>
      <c r="E575" s="491"/>
      <c r="G575" s="65"/>
    </row>
    <row r="576" spans="2:7" ht="14.25" customHeight="1" x14ac:dyDescent="0.3">
      <c r="B576" s="489"/>
      <c r="C576" s="490"/>
      <c r="E576" s="491"/>
      <c r="G576" s="65"/>
    </row>
    <row r="577" spans="2:7" ht="14.25" customHeight="1" x14ac:dyDescent="0.3">
      <c r="B577" s="489"/>
      <c r="C577" s="490"/>
      <c r="E577" s="491"/>
      <c r="G577" s="65"/>
    </row>
    <row r="578" spans="2:7" ht="14.25" customHeight="1" x14ac:dyDescent="0.3">
      <c r="B578" s="489"/>
      <c r="C578" s="490"/>
      <c r="E578" s="491"/>
      <c r="G578" s="65"/>
    </row>
    <row r="579" spans="2:7" ht="14.25" customHeight="1" x14ac:dyDescent="0.3">
      <c r="B579" s="489"/>
      <c r="C579" s="490"/>
      <c r="E579" s="491"/>
      <c r="G579" s="65"/>
    </row>
    <row r="580" spans="2:7" ht="14.25" customHeight="1" x14ac:dyDescent="0.3">
      <c r="B580" s="489"/>
      <c r="C580" s="490"/>
      <c r="E580" s="491"/>
      <c r="G580" s="65"/>
    </row>
    <row r="581" spans="2:7" ht="14.25" customHeight="1" x14ac:dyDescent="0.3">
      <c r="B581" s="489"/>
      <c r="C581" s="490"/>
      <c r="E581" s="491"/>
      <c r="G581" s="65"/>
    </row>
    <row r="582" spans="2:7" ht="14.25" customHeight="1" x14ac:dyDescent="0.3">
      <c r="B582" s="489"/>
      <c r="C582" s="490"/>
      <c r="E582" s="491"/>
      <c r="G582" s="65"/>
    </row>
    <row r="583" spans="2:7" ht="14.25" customHeight="1" x14ac:dyDescent="0.3">
      <c r="B583" s="489"/>
      <c r="C583" s="490"/>
      <c r="E583" s="491"/>
      <c r="G583" s="65"/>
    </row>
    <row r="584" spans="2:7" ht="14.25" customHeight="1" x14ac:dyDescent="0.3">
      <c r="B584" s="489"/>
      <c r="C584" s="490"/>
      <c r="E584" s="491"/>
      <c r="G584" s="65"/>
    </row>
    <row r="585" spans="2:7" ht="14.25" customHeight="1" x14ac:dyDescent="0.3">
      <c r="B585" s="489"/>
      <c r="C585" s="490"/>
      <c r="E585" s="491"/>
      <c r="G585" s="65"/>
    </row>
    <row r="586" spans="2:7" ht="14.25" customHeight="1" x14ac:dyDescent="0.3">
      <c r="B586" s="489"/>
      <c r="C586" s="490"/>
      <c r="E586" s="491"/>
      <c r="G586" s="65"/>
    </row>
    <row r="587" spans="2:7" ht="14.25" customHeight="1" x14ac:dyDescent="0.3">
      <c r="B587" s="489"/>
      <c r="C587" s="490"/>
      <c r="E587" s="491"/>
      <c r="G587" s="65"/>
    </row>
    <row r="588" spans="2:7" ht="14.25" customHeight="1" x14ac:dyDescent="0.3">
      <c r="B588" s="489"/>
      <c r="C588" s="490"/>
      <c r="E588" s="491"/>
      <c r="G588" s="65"/>
    </row>
    <row r="589" spans="2:7" ht="14.25" customHeight="1" x14ac:dyDescent="0.3">
      <c r="B589" s="489"/>
      <c r="C589" s="490"/>
      <c r="E589" s="491"/>
      <c r="G589" s="65"/>
    </row>
    <row r="590" spans="2:7" ht="14.25" customHeight="1" x14ac:dyDescent="0.3">
      <c r="B590" s="489"/>
      <c r="C590" s="490"/>
      <c r="E590" s="491"/>
      <c r="G590" s="65"/>
    </row>
    <row r="591" spans="2:7" ht="14.25" customHeight="1" x14ac:dyDescent="0.3">
      <c r="B591" s="489"/>
      <c r="C591" s="490"/>
      <c r="E591" s="491"/>
      <c r="G591" s="65"/>
    </row>
    <row r="592" spans="2:7" ht="14.25" customHeight="1" x14ac:dyDescent="0.3">
      <c r="B592" s="489"/>
      <c r="C592" s="490"/>
      <c r="E592" s="491"/>
      <c r="G592" s="65"/>
    </row>
    <row r="593" spans="2:7" ht="14.25" customHeight="1" x14ac:dyDescent="0.3">
      <c r="B593" s="489"/>
      <c r="C593" s="490"/>
      <c r="E593" s="491"/>
      <c r="G593" s="65"/>
    </row>
    <row r="594" spans="2:7" ht="14.25" customHeight="1" x14ac:dyDescent="0.3">
      <c r="B594" s="489"/>
      <c r="C594" s="490"/>
      <c r="E594" s="491"/>
      <c r="G594" s="65"/>
    </row>
    <row r="595" spans="2:7" ht="14.25" customHeight="1" x14ac:dyDescent="0.3">
      <c r="B595" s="489"/>
      <c r="C595" s="490"/>
      <c r="E595" s="491"/>
      <c r="G595" s="65"/>
    </row>
    <row r="596" spans="2:7" ht="14.25" customHeight="1" x14ac:dyDescent="0.3">
      <c r="B596" s="489"/>
      <c r="C596" s="490"/>
      <c r="E596" s="491"/>
      <c r="G596" s="65"/>
    </row>
    <row r="597" spans="2:7" ht="14.25" customHeight="1" x14ac:dyDescent="0.3">
      <c r="B597" s="489"/>
      <c r="C597" s="490"/>
      <c r="E597" s="491"/>
      <c r="G597" s="65"/>
    </row>
    <row r="598" spans="2:7" ht="14.25" customHeight="1" x14ac:dyDescent="0.3">
      <c r="B598" s="489"/>
      <c r="C598" s="490"/>
      <c r="E598" s="491"/>
      <c r="G598" s="65"/>
    </row>
    <row r="599" spans="2:7" ht="14.25" customHeight="1" x14ac:dyDescent="0.3">
      <c r="B599" s="489"/>
      <c r="C599" s="490"/>
      <c r="E599" s="491"/>
      <c r="G599" s="65"/>
    </row>
    <row r="600" spans="2:7" ht="14.25" customHeight="1" x14ac:dyDescent="0.3">
      <c r="B600" s="489"/>
      <c r="C600" s="490"/>
      <c r="E600" s="491"/>
      <c r="G600" s="65"/>
    </row>
    <row r="601" spans="2:7" ht="14.25" customHeight="1" x14ac:dyDescent="0.3">
      <c r="B601" s="489"/>
      <c r="C601" s="490"/>
      <c r="E601" s="491"/>
      <c r="G601" s="65"/>
    </row>
    <row r="602" spans="2:7" ht="14.25" customHeight="1" x14ac:dyDescent="0.3">
      <c r="B602" s="489"/>
      <c r="C602" s="490"/>
      <c r="E602" s="491"/>
      <c r="G602" s="65"/>
    </row>
    <row r="603" spans="2:7" ht="14.25" customHeight="1" x14ac:dyDescent="0.3">
      <c r="B603" s="489"/>
      <c r="C603" s="490"/>
      <c r="E603" s="491"/>
      <c r="G603" s="65"/>
    </row>
    <row r="604" spans="2:7" ht="14.25" customHeight="1" x14ac:dyDescent="0.3">
      <c r="B604" s="489"/>
      <c r="C604" s="490"/>
      <c r="E604" s="491"/>
      <c r="G604" s="65"/>
    </row>
    <row r="605" spans="2:7" ht="14.25" customHeight="1" x14ac:dyDescent="0.3">
      <c r="B605" s="489"/>
      <c r="C605" s="490"/>
      <c r="E605" s="491"/>
      <c r="G605" s="65"/>
    </row>
    <row r="606" spans="2:7" ht="14.25" customHeight="1" x14ac:dyDescent="0.3">
      <c r="B606" s="489"/>
      <c r="C606" s="490"/>
      <c r="E606" s="491"/>
      <c r="G606" s="65"/>
    </row>
    <row r="607" spans="2:7" ht="14.25" customHeight="1" x14ac:dyDescent="0.3">
      <c r="B607" s="489"/>
      <c r="C607" s="490"/>
      <c r="E607" s="491"/>
      <c r="G607" s="65"/>
    </row>
    <row r="608" spans="2:7" ht="14.25" customHeight="1" x14ac:dyDescent="0.3">
      <c r="B608" s="489"/>
      <c r="C608" s="490"/>
      <c r="E608" s="491"/>
      <c r="G608" s="65"/>
    </row>
    <row r="609" spans="2:7" ht="14.25" customHeight="1" x14ac:dyDescent="0.3">
      <c r="B609" s="489"/>
      <c r="C609" s="490"/>
      <c r="E609" s="491"/>
      <c r="G609" s="65"/>
    </row>
    <row r="610" spans="2:7" ht="14.25" customHeight="1" x14ac:dyDescent="0.3">
      <c r="B610" s="489"/>
      <c r="C610" s="490"/>
      <c r="E610" s="491"/>
      <c r="G610" s="65"/>
    </row>
    <row r="611" spans="2:7" ht="14.25" customHeight="1" x14ac:dyDescent="0.3">
      <c r="B611" s="489"/>
      <c r="C611" s="490"/>
      <c r="E611" s="491"/>
      <c r="G611" s="65"/>
    </row>
    <row r="612" spans="2:7" ht="14.25" customHeight="1" x14ac:dyDescent="0.3">
      <c r="B612" s="489"/>
      <c r="C612" s="490"/>
      <c r="E612" s="491"/>
      <c r="G612" s="65"/>
    </row>
    <row r="613" spans="2:7" ht="14.25" customHeight="1" x14ac:dyDescent="0.3">
      <c r="B613" s="489"/>
      <c r="C613" s="490"/>
      <c r="E613" s="491"/>
      <c r="G613" s="65"/>
    </row>
    <row r="614" spans="2:7" ht="14.25" customHeight="1" x14ac:dyDescent="0.3">
      <c r="B614" s="489"/>
      <c r="C614" s="490"/>
      <c r="E614" s="491"/>
      <c r="G614" s="65"/>
    </row>
    <row r="615" spans="2:7" ht="14.25" customHeight="1" x14ac:dyDescent="0.3">
      <c r="B615" s="489"/>
      <c r="C615" s="490"/>
      <c r="E615" s="491"/>
      <c r="G615" s="65"/>
    </row>
    <row r="616" spans="2:7" ht="14.25" customHeight="1" x14ac:dyDescent="0.3">
      <c r="B616" s="489"/>
      <c r="C616" s="490"/>
      <c r="E616" s="491"/>
      <c r="G616" s="65"/>
    </row>
    <row r="617" spans="2:7" ht="14.25" customHeight="1" x14ac:dyDescent="0.3">
      <c r="B617" s="489"/>
      <c r="C617" s="490"/>
      <c r="E617" s="491"/>
      <c r="G617" s="65"/>
    </row>
    <row r="618" spans="2:7" ht="14.25" customHeight="1" x14ac:dyDescent="0.3">
      <c r="B618" s="489"/>
      <c r="C618" s="490"/>
      <c r="E618" s="491"/>
      <c r="G618" s="65"/>
    </row>
    <row r="619" spans="2:7" ht="14.25" customHeight="1" x14ac:dyDescent="0.3">
      <c r="B619" s="489"/>
      <c r="C619" s="490"/>
      <c r="E619" s="491"/>
      <c r="G619" s="65"/>
    </row>
    <row r="620" spans="2:7" ht="14.25" customHeight="1" x14ac:dyDescent="0.3">
      <c r="B620" s="489"/>
      <c r="C620" s="490"/>
      <c r="E620" s="491"/>
      <c r="G620" s="65"/>
    </row>
    <row r="621" spans="2:7" ht="14.25" customHeight="1" x14ac:dyDescent="0.3">
      <c r="B621" s="489"/>
      <c r="C621" s="490"/>
      <c r="E621" s="491"/>
      <c r="G621" s="65"/>
    </row>
    <row r="622" spans="2:7" ht="14.25" customHeight="1" x14ac:dyDescent="0.3">
      <c r="B622" s="489"/>
      <c r="C622" s="490"/>
      <c r="E622" s="491"/>
      <c r="G622" s="65"/>
    </row>
    <row r="623" spans="2:7" ht="14.25" customHeight="1" x14ac:dyDescent="0.3">
      <c r="B623" s="489"/>
      <c r="C623" s="490"/>
      <c r="E623" s="491"/>
      <c r="G623" s="65"/>
    </row>
    <row r="624" spans="2:7" ht="14.25" customHeight="1" x14ac:dyDescent="0.3">
      <c r="B624" s="489"/>
      <c r="C624" s="490"/>
      <c r="E624" s="491"/>
      <c r="G624" s="65"/>
    </row>
    <row r="625" spans="2:7" ht="14.25" customHeight="1" x14ac:dyDescent="0.3">
      <c r="B625" s="489"/>
      <c r="C625" s="490"/>
      <c r="E625" s="491"/>
      <c r="G625" s="65"/>
    </row>
    <row r="626" spans="2:7" ht="14.25" customHeight="1" x14ac:dyDescent="0.3">
      <c r="B626" s="489"/>
      <c r="C626" s="490"/>
      <c r="E626" s="491"/>
      <c r="G626" s="65"/>
    </row>
    <row r="627" spans="2:7" ht="14.25" customHeight="1" x14ac:dyDescent="0.3">
      <c r="B627" s="489"/>
      <c r="C627" s="490"/>
      <c r="E627" s="491"/>
      <c r="G627" s="65"/>
    </row>
    <row r="628" spans="2:7" ht="14.25" customHeight="1" x14ac:dyDescent="0.3">
      <c r="B628" s="489"/>
      <c r="C628" s="490"/>
      <c r="E628" s="491"/>
      <c r="G628" s="65"/>
    </row>
    <row r="629" spans="2:7" ht="14.25" customHeight="1" x14ac:dyDescent="0.3">
      <c r="B629" s="489"/>
      <c r="C629" s="490"/>
      <c r="E629" s="491"/>
      <c r="G629" s="65"/>
    </row>
    <row r="630" spans="2:7" ht="14.25" customHeight="1" x14ac:dyDescent="0.3">
      <c r="B630" s="489"/>
      <c r="C630" s="490"/>
      <c r="E630" s="491"/>
      <c r="G630" s="65"/>
    </row>
    <row r="631" spans="2:7" ht="14.25" customHeight="1" x14ac:dyDescent="0.3">
      <c r="B631" s="489"/>
      <c r="C631" s="490"/>
      <c r="E631" s="491"/>
      <c r="G631" s="65"/>
    </row>
    <row r="632" spans="2:7" ht="14.25" customHeight="1" x14ac:dyDescent="0.3">
      <c r="B632" s="489"/>
      <c r="C632" s="490"/>
      <c r="E632" s="491"/>
      <c r="G632" s="65"/>
    </row>
    <row r="633" spans="2:7" ht="14.25" customHeight="1" x14ac:dyDescent="0.3">
      <c r="B633" s="489"/>
      <c r="C633" s="490"/>
      <c r="E633" s="491"/>
      <c r="G633" s="65"/>
    </row>
    <row r="634" spans="2:7" ht="14.25" customHeight="1" x14ac:dyDescent="0.3">
      <c r="B634" s="489"/>
      <c r="C634" s="490"/>
      <c r="E634" s="491"/>
      <c r="G634" s="65"/>
    </row>
    <row r="635" spans="2:7" ht="14.25" customHeight="1" x14ac:dyDescent="0.3">
      <c r="B635" s="489"/>
      <c r="C635" s="490"/>
      <c r="E635" s="491"/>
      <c r="G635" s="65"/>
    </row>
    <row r="636" spans="2:7" ht="14.25" customHeight="1" x14ac:dyDescent="0.3">
      <c r="B636" s="489"/>
      <c r="C636" s="490"/>
      <c r="E636" s="491"/>
      <c r="G636" s="65"/>
    </row>
    <row r="637" spans="2:7" ht="14.25" customHeight="1" x14ac:dyDescent="0.3">
      <c r="B637" s="489"/>
      <c r="C637" s="490"/>
      <c r="E637" s="491"/>
      <c r="G637" s="65"/>
    </row>
    <row r="638" spans="2:7" ht="14.25" customHeight="1" x14ac:dyDescent="0.3">
      <c r="B638" s="489"/>
      <c r="C638" s="490"/>
      <c r="E638" s="491"/>
      <c r="G638" s="65"/>
    </row>
    <row r="639" spans="2:7" ht="14.25" customHeight="1" x14ac:dyDescent="0.3">
      <c r="B639" s="489"/>
      <c r="C639" s="490"/>
      <c r="E639" s="491"/>
      <c r="G639" s="65"/>
    </row>
    <row r="640" spans="2:7" ht="14.25" customHeight="1" x14ac:dyDescent="0.3">
      <c r="B640" s="489"/>
      <c r="C640" s="490"/>
      <c r="E640" s="491"/>
      <c r="G640" s="65"/>
    </row>
    <row r="641" spans="2:7" ht="14.25" customHeight="1" x14ac:dyDescent="0.3">
      <c r="B641" s="489"/>
      <c r="C641" s="490"/>
      <c r="E641" s="491"/>
      <c r="G641" s="65"/>
    </row>
    <row r="642" spans="2:7" ht="14.25" customHeight="1" x14ac:dyDescent="0.3">
      <c r="B642" s="489"/>
      <c r="C642" s="490"/>
      <c r="E642" s="491"/>
      <c r="G642" s="65"/>
    </row>
    <row r="643" spans="2:7" ht="14.25" customHeight="1" x14ac:dyDescent="0.3">
      <c r="B643" s="489"/>
      <c r="C643" s="490"/>
      <c r="E643" s="491"/>
      <c r="G643" s="65"/>
    </row>
    <row r="644" spans="2:7" ht="14.25" customHeight="1" x14ac:dyDescent="0.3">
      <c r="B644" s="489"/>
      <c r="C644" s="490"/>
      <c r="E644" s="491"/>
      <c r="G644" s="65"/>
    </row>
    <row r="645" spans="2:7" ht="14.25" customHeight="1" x14ac:dyDescent="0.3">
      <c r="B645" s="489"/>
      <c r="C645" s="490"/>
      <c r="E645" s="491"/>
      <c r="G645" s="65"/>
    </row>
    <row r="646" spans="2:7" ht="14.25" customHeight="1" x14ac:dyDescent="0.3">
      <c r="B646" s="489"/>
      <c r="C646" s="490"/>
      <c r="E646" s="491"/>
      <c r="G646" s="65"/>
    </row>
    <row r="647" spans="2:7" ht="14.25" customHeight="1" x14ac:dyDescent="0.3">
      <c r="B647" s="489"/>
      <c r="C647" s="490"/>
      <c r="E647" s="491"/>
      <c r="G647" s="65"/>
    </row>
    <row r="648" spans="2:7" ht="14.25" customHeight="1" x14ac:dyDescent="0.3">
      <c r="B648" s="489"/>
      <c r="C648" s="490"/>
      <c r="E648" s="491"/>
      <c r="G648" s="65"/>
    </row>
    <row r="649" spans="2:7" ht="14.25" customHeight="1" x14ac:dyDescent="0.3">
      <c r="B649" s="489"/>
      <c r="C649" s="490"/>
      <c r="E649" s="491"/>
      <c r="G649" s="65"/>
    </row>
    <row r="650" spans="2:7" ht="14.25" customHeight="1" x14ac:dyDescent="0.3">
      <c r="B650" s="489"/>
      <c r="C650" s="490"/>
      <c r="E650" s="491"/>
      <c r="G650" s="65"/>
    </row>
    <row r="651" spans="2:7" ht="14.25" customHeight="1" x14ac:dyDescent="0.3">
      <c r="B651" s="489"/>
      <c r="C651" s="490"/>
      <c r="E651" s="491"/>
      <c r="G651" s="65"/>
    </row>
    <row r="652" spans="2:7" ht="14.25" customHeight="1" x14ac:dyDescent="0.3">
      <c r="B652" s="489"/>
      <c r="C652" s="490"/>
      <c r="E652" s="491"/>
      <c r="G652" s="65"/>
    </row>
    <row r="653" spans="2:7" ht="14.25" customHeight="1" x14ac:dyDescent="0.3">
      <c r="B653" s="489"/>
      <c r="C653" s="490"/>
      <c r="E653" s="491"/>
      <c r="G653" s="65"/>
    </row>
    <row r="654" spans="2:7" ht="14.25" customHeight="1" x14ac:dyDescent="0.3">
      <c r="B654" s="489"/>
      <c r="C654" s="490"/>
      <c r="E654" s="491"/>
      <c r="G654" s="65"/>
    </row>
    <row r="655" spans="2:7" ht="14.25" customHeight="1" x14ac:dyDescent="0.3">
      <c r="B655" s="489"/>
      <c r="C655" s="490"/>
      <c r="E655" s="491"/>
      <c r="G655" s="65"/>
    </row>
    <row r="656" spans="2:7" ht="14.25" customHeight="1" x14ac:dyDescent="0.3">
      <c r="B656" s="489"/>
      <c r="C656" s="490"/>
      <c r="E656" s="491"/>
      <c r="G656" s="65"/>
    </row>
    <row r="657" spans="2:7" ht="14.25" customHeight="1" x14ac:dyDescent="0.3">
      <c r="B657" s="489"/>
      <c r="C657" s="490"/>
      <c r="E657" s="491"/>
      <c r="G657" s="65"/>
    </row>
    <row r="658" spans="2:7" ht="14.25" customHeight="1" x14ac:dyDescent="0.3">
      <c r="B658" s="489"/>
      <c r="C658" s="490"/>
      <c r="E658" s="491"/>
      <c r="G658" s="65"/>
    </row>
    <row r="659" spans="2:7" ht="14.25" customHeight="1" x14ac:dyDescent="0.3">
      <c r="B659" s="489"/>
      <c r="C659" s="490"/>
      <c r="E659" s="491"/>
      <c r="G659" s="65"/>
    </row>
    <row r="660" spans="2:7" ht="14.25" customHeight="1" x14ac:dyDescent="0.3">
      <c r="B660" s="489"/>
      <c r="C660" s="490"/>
      <c r="E660" s="491"/>
      <c r="G660" s="65"/>
    </row>
    <row r="661" spans="2:7" ht="14.25" customHeight="1" x14ac:dyDescent="0.3">
      <c r="B661" s="489"/>
      <c r="C661" s="490"/>
      <c r="E661" s="491"/>
      <c r="G661" s="65"/>
    </row>
    <row r="662" spans="2:7" ht="14.25" customHeight="1" x14ac:dyDescent="0.3">
      <c r="B662" s="489"/>
      <c r="C662" s="490"/>
      <c r="E662" s="491"/>
      <c r="G662" s="65"/>
    </row>
    <row r="663" spans="2:7" ht="14.25" customHeight="1" x14ac:dyDescent="0.3">
      <c r="B663" s="489"/>
      <c r="C663" s="490"/>
      <c r="E663" s="491"/>
      <c r="G663" s="65"/>
    </row>
    <row r="664" spans="2:7" ht="14.25" customHeight="1" x14ac:dyDescent="0.3">
      <c r="B664" s="489"/>
      <c r="C664" s="490"/>
      <c r="E664" s="491"/>
      <c r="G664" s="65"/>
    </row>
    <row r="665" spans="2:7" ht="14.25" customHeight="1" x14ac:dyDescent="0.3">
      <c r="B665" s="489"/>
      <c r="C665" s="490"/>
      <c r="E665" s="491"/>
      <c r="G665" s="65"/>
    </row>
    <row r="666" spans="2:7" ht="14.25" customHeight="1" x14ac:dyDescent="0.3">
      <c r="B666" s="489"/>
      <c r="C666" s="490"/>
      <c r="E666" s="491"/>
      <c r="G666" s="65"/>
    </row>
    <row r="667" spans="2:7" ht="14.25" customHeight="1" x14ac:dyDescent="0.3">
      <c r="B667" s="489"/>
      <c r="C667" s="490"/>
      <c r="E667" s="491"/>
      <c r="G667" s="65"/>
    </row>
    <row r="668" spans="2:7" ht="14.25" customHeight="1" x14ac:dyDescent="0.3">
      <c r="B668" s="489"/>
      <c r="C668" s="490"/>
      <c r="E668" s="491"/>
      <c r="G668" s="65"/>
    </row>
    <row r="669" spans="2:7" ht="14.25" customHeight="1" x14ac:dyDescent="0.3">
      <c r="B669" s="489"/>
      <c r="C669" s="490"/>
      <c r="E669" s="491"/>
      <c r="G669" s="65"/>
    </row>
    <row r="670" spans="2:7" ht="14.25" customHeight="1" x14ac:dyDescent="0.3">
      <c r="B670" s="489"/>
      <c r="C670" s="490"/>
      <c r="E670" s="491"/>
      <c r="G670" s="65"/>
    </row>
    <row r="671" spans="2:7" ht="14.25" customHeight="1" x14ac:dyDescent="0.3">
      <c r="B671" s="489"/>
      <c r="C671" s="490"/>
      <c r="E671" s="491"/>
      <c r="G671" s="65"/>
    </row>
    <row r="672" spans="2:7" ht="14.25" customHeight="1" x14ac:dyDescent="0.3">
      <c r="B672" s="489"/>
      <c r="C672" s="490"/>
      <c r="E672" s="491"/>
      <c r="G672" s="65"/>
    </row>
    <row r="673" spans="2:7" ht="14.25" customHeight="1" x14ac:dyDescent="0.3">
      <c r="B673" s="489"/>
      <c r="C673" s="490"/>
      <c r="E673" s="491"/>
      <c r="G673" s="65"/>
    </row>
    <row r="674" spans="2:7" ht="14.25" customHeight="1" x14ac:dyDescent="0.3">
      <c r="B674" s="489"/>
      <c r="C674" s="490"/>
      <c r="E674" s="491"/>
      <c r="G674" s="65"/>
    </row>
    <row r="675" spans="2:7" ht="14.25" customHeight="1" x14ac:dyDescent="0.3">
      <c r="B675" s="489"/>
      <c r="C675" s="490"/>
      <c r="E675" s="491"/>
      <c r="G675" s="65"/>
    </row>
    <row r="676" spans="2:7" ht="14.25" customHeight="1" x14ac:dyDescent="0.3">
      <c r="B676" s="489"/>
      <c r="C676" s="490"/>
      <c r="E676" s="491"/>
      <c r="G676" s="65"/>
    </row>
    <row r="677" spans="2:7" ht="14.25" customHeight="1" x14ac:dyDescent="0.3">
      <c r="B677" s="489"/>
      <c r="C677" s="490"/>
      <c r="E677" s="491"/>
      <c r="G677" s="65"/>
    </row>
    <row r="678" spans="2:7" ht="14.25" customHeight="1" x14ac:dyDescent="0.3">
      <c r="B678" s="489"/>
      <c r="C678" s="490"/>
      <c r="E678" s="491"/>
      <c r="G678" s="65"/>
    </row>
    <row r="679" spans="2:7" ht="14.25" customHeight="1" x14ac:dyDescent="0.3">
      <c r="B679" s="489"/>
      <c r="C679" s="490"/>
      <c r="E679" s="491"/>
      <c r="G679" s="65"/>
    </row>
    <row r="680" spans="2:7" ht="14.25" customHeight="1" x14ac:dyDescent="0.3">
      <c r="B680" s="489"/>
      <c r="C680" s="490"/>
      <c r="E680" s="491"/>
      <c r="G680" s="65"/>
    </row>
    <row r="681" spans="2:7" ht="14.25" customHeight="1" x14ac:dyDescent="0.3">
      <c r="B681" s="489"/>
      <c r="C681" s="490"/>
      <c r="E681" s="491"/>
      <c r="G681" s="65"/>
    </row>
    <row r="682" spans="2:7" ht="14.25" customHeight="1" x14ac:dyDescent="0.3">
      <c r="B682" s="489"/>
      <c r="C682" s="490"/>
      <c r="E682" s="491"/>
      <c r="G682" s="65"/>
    </row>
    <row r="683" spans="2:7" ht="14.25" customHeight="1" x14ac:dyDescent="0.3">
      <c r="B683" s="489"/>
      <c r="C683" s="490"/>
      <c r="E683" s="491"/>
      <c r="G683" s="65"/>
    </row>
    <row r="684" spans="2:7" ht="14.25" customHeight="1" x14ac:dyDescent="0.3">
      <c r="B684" s="489"/>
      <c r="C684" s="490"/>
      <c r="E684" s="491"/>
      <c r="G684" s="65"/>
    </row>
    <row r="685" spans="2:7" ht="14.25" customHeight="1" x14ac:dyDescent="0.3">
      <c r="B685" s="489"/>
      <c r="C685" s="490"/>
      <c r="E685" s="491"/>
      <c r="G685" s="65"/>
    </row>
    <row r="686" spans="2:7" ht="14.25" customHeight="1" x14ac:dyDescent="0.3">
      <c r="B686" s="489"/>
      <c r="C686" s="490"/>
      <c r="E686" s="491"/>
      <c r="G686" s="65"/>
    </row>
    <row r="687" spans="2:7" ht="14.25" customHeight="1" x14ac:dyDescent="0.3">
      <c r="B687" s="489"/>
      <c r="C687" s="490"/>
      <c r="E687" s="491"/>
      <c r="G687" s="65"/>
    </row>
    <row r="688" spans="2:7" ht="14.25" customHeight="1" x14ac:dyDescent="0.3">
      <c r="B688" s="489"/>
      <c r="C688" s="490"/>
      <c r="E688" s="491"/>
      <c r="G688" s="65"/>
    </row>
    <row r="689" spans="2:7" ht="14.25" customHeight="1" x14ac:dyDescent="0.3">
      <c r="B689" s="489"/>
      <c r="C689" s="490"/>
      <c r="E689" s="491"/>
      <c r="G689" s="65"/>
    </row>
    <row r="690" spans="2:7" ht="14.25" customHeight="1" x14ac:dyDescent="0.3">
      <c r="B690" s="489"/>
      <c r="C690" s="490"/>
      <c r="E690" s="491"/>
      <c r="G690" s="65"/>
    </row>
    <row r="691" spans="2:7" ht="14.25" customHeight="1" x14ac:dyDescent="0.3">
      <c r="B691" s="489"/>
      <c r="C691" s="490"/>
      <c r="E691" s="491"/>
      <c r="G691" s="65"/>
    </row>
    <row r="692" spans="2:7" ht="14.25" customHeight="1" x14ac:dyDescent="0.3">
      <c r="B692" s="489"/>
      <c r="C692" s="490"/>
      <c r="E692" s="491"/>
      <c r="G692" s="65"/>
    </row>
    <row r="693" spans="2:7" ht="14.25" customHeight="1" x14ac:dyDescent="0.3">
      <c r="B693" s="489"/>
      <c r="C693" s="490"/>
      <c r="E693" s="491"/>
      <c r="G693" s="65"/>
    </row>
    <row r="694" spans="2:7" ht="14.25" customHeight="1" x14ac:dyDescent="0.3">
      <c r="B694" s="489"/>
      <c r="C694" s="490"/>
      <c r="E694" s="491"/>
      <c r="G694" s="65"/>
    </row>
    <row r="695" spans="2:7" ht="14.25" customHeight="1" x14ac:dyDescent="0.3">
      <c r="B695" s="489"/>
      <c r="C695" s="490"/>
      <c r="E695" s="491"/>
      <c r="G695" s="65"/>
    </row>
    <row r="696" spans="2:7" ht="14.25" customHeight="1" x14ac:dyDescent="0.3">
      <c r="B696" s="489"/>
      <c r="C696" s="490"/>
      <c r="E696" s="491"/>
      <c r="G696" s="65"/>
    </row>
    <row r="697" spans="2:7" ht="14.25" customHeight="1" x14ac:dyDescent="0.3">
      <c r="B697" s="489"/>
      <c r="C697" s="490"/>
      <c r="E697" s="491"/>
      <c r="G697" s="65"/>
    </row>
    <row r="698" spans="2:7" ht="14.25" customHeight="1" x14ac:dyDescent="0.3">
      <c r="B698" s="489"/>
      <c r="C698" s="490"/>
      <c r="E698" s="491"/>
      <c r="G698" s="65"/>
    </row>
    <row r="699" spans="2:7" ht="14.25" customHeight="1" x14ac:dyDescent="0.3">
      <c r="B699" s="489"/>
      <c r="C699" s="490"/>
      <c r="E699" s="491"/>
      <c r="G699" s="65"/>
    </row>
    <row r="700" spans="2:7" ht="14.25" customHeight="1" x14ac:dyDescent="0.3">
      <c r="B700" s="489"/>
      <c r="C700" s="490"/>
      <c r="E700" s="491"/>
      <c r="G700" s="65"/>
    </row>
    <row r="701" spans="2:7" ht="14.25" customHeight="1" x14ac:dyDescent="0.3">
      <c r="B701" s="489"/>
      <c r="C701" s="490"/>
      <c r="E701" s="491"/>
      <c r="G701" s="65"/>
    </row>
    <row r="702" spans="2:7" ht="14.25" customHeight="1" x14ac:dyDescent="0.3">
      <c r="B702" s="489"/>
      <c r="C702" s="490"/>
      <c r="E702" s="491"/>
      <c r="G702" s="65"/>
    </row>
    <row r="703" spans="2:7" ht="14.25" customHeight="1" x14ac:dyDescent="0.3">
      <c r="B703" s="489"/>
      <c r="C703" s="490"/>
      <c r="E703" s="491"/>
      <c r="G703" s="65"/>
    </row>
    <row r="704" spans="2:7" ht="14.25" customHeight="1" x14ac:dyDescent="0.3">
      <c r="B704" s="489"/>
      <c r="C704" s="490"/>
      <c r="E704" s="491"/>
      <c r="G704" s="65"/>
    </row>
    <row r="705" spans="2:7" ht="14.25" customHeight="1" x14ac:dyDescent="0.3">
      <c r="B705" s="489"/>
      <c r="C705" s="490"/>
      <c r="E705" s="491"/>
      <c r="G705" s="65"/>
    </row>
    <row r="706" spans="2:7" ht="14.25" customHeight="1" x14ac:dyDescent="0.3">
      <c r="B706" s="489"/>
      <c r="C706" s="490"/>
      <c r="E706" s="491"/>
      <c r="G706" s="65"/>
    </row>
    <row r="707" spans="2:7" ht="14.25" customHeight="1" x14ac:dyDescent="0.3">
      <c r="B707" s="489"/>
      <c r="C707" s="490"/>
      <c r="E707" s="491"/>
      <c r="G707" s="65"/>
    </row>
    <row r="708" spans="2:7" ht="14.25" customHeight="1" x14ac:dyDescent="0.3">
      <c r="B708" s="489"/>
      <c r="C708" s="490"/>
      <c r="E708" s="491"/>
      <c r="G708" s="65"/>
    </row>
    <row r="709" spans="2:7" ht="14.25" customHeight="1" x14ac:dyDescent="0.3">
      <c r="B709" s="489"/>
      <c r="C709" s="490"/>
      <c r="E709" s="491"/>
      <c r="G709" s="65"/>
    </row>
    <row r="710" spans="2:7" ht="14.25" customHeight="1" x14ac:dyDescent="0.3">
      <c r="B710" s="489"/>
      <c r="C710" s="490"/>
      <c r="E710" s="491"/>
      <c r="G710" s="65"/>
    </row>
    <row r="711" spans="2:7" ht="14.25" customHeight="1" x14ac:dyDescent="0.3">
      <c r="B711" s="489"/>
      <c r="C711" s="490"/>
      <c r="E711" s="491"/>
      <c r="G711" s="65"/>
    </row>
    <row r="712" spans="2:7" ht="14.25" customHeight="1" x14ac:dyDescent="0.3">
      <c r="B712" s="489"/>
      <c r="C712" s="490"/>
      <c r="E712" s="491"/>
      <c r="G712" s="65"/>
    </row>
    <row r="713" spans="2:7" ht="14.25" customHeight="1" x14ac:dyDescent="0.3">
      <c r="B713" s="489"/>
      <c r="C713" s="490"/>
      <c r="E713" s="491"/>
      <c r="G713" s="65"/>
    </row>
    <row r="714" spans="2:7" ht="14.25" customHeight="1" x14ac:dyDescent="0.3">
      <c r="B714" s="489"/>
      <c r="C714" s="490"/>
      <c r="E714" s="491"/>
      <c r="G714" s="65"/>
    </row>
    <row r="715" spans="2:7" ht="14.25" customHeight="1" x14ac:dyDescent="0.3">
      <c r="B715" s="489"/>
      <c r="C715" s="490"/>
      <c r="E715" s="491"/>
      <c r="G715" s="65"/>
    </row>
    <row r="716" spans="2:7" ht="14.25" customHeight="1" x14ac:dyDescent="0.3">
      <c r="B716" s="489"/>
      <c r="C716" s="490"/>
      <c r="E716" s="491"/>
      <c r="G716" s="65"/>
    </row>
    <row r="717" spans="2:7" ht="14.25" customHeight="1" x14ac:dyDescent="0.3">
      <c r="B717" s="489"/>
      <c r="C717" s="490"/>
      <c r="E717" s="491"/>
      <c r="G717" s="65"/>
    </row>
    <row r="718" spans="2:7" ht="14.25" customHeight="1" x14ac:dyDescent="0.3">
      <c r="B718" s="489"/>
      <c r="C718" s="490"/>
      <c r="E718" s="491"/>
      <c r="G718" s="65"/>
    </row>
    <row r="719" spans="2:7" ht="14.25" customHeight="1" x14ac:dyDescent="0.3">
      <c r="B719" s="489"/>
      <c r="C719" s="490"/>
      <c r="E719" s="491"/>
      <c r="G719" s="65"/>
    </row>
    <row r="720" spans="2:7" ht="14.25" customHeight="1" x14ac:dyDescent="0.3">
      <c r="B720" s="489"/>
      <c r="C720" s="490"/>
      <c r="E720" s="491"/>
      <c r="G720" s="65"/>
    </row>
    <row r="721" spans="2:7" ht="14.25" customHeight="1" x14ac:dyDescent="0.3">
      <c r="B721" s="489"/>
      <c r="C721" s="490"/>
      <c r="E721" s="491"/>
      <c r="G721" s="65"/>
    </row>
    <row r="722" spans="2:7" ht="14.25" customHeight="1" x14ac:dyDescent="0.3">
      <c r="B722" s="489"/>
      <c r="C722" s="490"/>
      <c r="E722" s="491"/>
      <c r="G722" s="65"/>
    </row>
    <row r="723" spans="2:7" ht="14.25" customHeight="1" x14ac:dyDescent="0.3">
      <c r="B723" s="489"/>
      <c r="C723" s="490"/>
      <c r="E723" s="491"/>
      <c r="G723" s="65"/>
    </row>
    <row r="724" spans="2:7" ht="14.25" customHeight="1" x14ac:dyDescent="0.3">
      <c r="B724" s="489"/>
      <c r="C724" s="490"/>
      <c r="E724" s="491"/>
      <c r="G724" s="65"/>
    </row>
    <row r="725" spans="2:7" ht="14.25" customHeight="1" x14ac:dyDescent="0.3">
      <c r="B725" s="489"/>
      <c r="C725" s="490"/>
      <c r="E725" s="491"/>
      <c r="G725" s="65"/>
    </row>
    <row r="726" spans="2:7" ht="14.25" customHeight="1" x14ac:dyDescent="0.3">
      <c r="B726" s="489"/>
      <c r="C726" s="490"/>
      <c r="E726" s="491"/>
      <c r="G726" s="65"/>
    </row>
    <row r="727" spans="2:7" ht="14.25" customHeight="1" x14ac:dyDescent="0.3">
      <c r="B727" s="489"/>
      <c r="C727" s="490"/>
      <c r="E727" s="491"/>
      <c r="G727" s="65"/>
    </row>
    <row r="728" spans="2:7" ht="14.25" customHeight="1" x14ac:dyDescent="0.3">
      <c r="B728" s="489"/>
      <c r="C728" s="490"/>
      <c r="E728" s="491"/>
      <c r="G728" s="65"/>
    </row>
    <row r="729" spans="2:7" ht="14.25" customHeight="1" x14ac:dyDescent="0.3">
      <c r="B729" s="489"/>
      <c r="C729" s="490"/>
      <c r="E729" s="491"/>
      <c r="G729" s="65"/>
    </row>
    <row r="730" spans="2:7" ht="14.25" customHeight="1" x14ac:dyDescent="0.3">
      <c r="B730" s="489"/>
      <c r="C730" s="490"/>
      <c r="E730" s="491"/>
      <c r="G730" s="65"/>
    </row>
    <row r="731" spans="2:7" ht="14.25" customHeight="1" x14ac:dyDescent="0.3">
      <c r="B731" s="489"/>
      <c r="C731" s="490"/>
      <c r="E731" s="491"/>
      <c r="G731" s="65"/>
    </row>
    <row r="732" spans="2:7" ht="14.25" customHeight="1" x14ac:dyDescent="0.3">
      <c r="B732" s="489"/>
      <c r="C732" s="490"/>
      <c r="E732" s="491"/>
      <c r="G732" s="65"/>
    </row>
    <row r="733" spans="2:7" ht="14.25" customHeight="1" x14ac:dyDescent="0.3">
      <c r="B733" s="489"/>
      <c r="C733" s="490"/>
      <c r="E733" s="491"/>
      <c r="G733" s="65"/>
    </row>
    <row r="734" spans="2:7" ht="14.25" customHeight="1" x14ac:dyDescent="0.3">
      <c r="B734" s="489"/>
      <c r="C734" s="490"/>
      <c r="E734" s="491"/>
      <c r="G734" s="65"/>
    </row>
    <row r="735" spans="2:7" ht="14.25" customHeight="1" x14ac:dyDescent="0.3">
      <c r="B735" s="489"/>
      <c r="C735" s="490"/>
      <c r="E735" s="491"/>
      <c r="G735" s="65"/>
    </row>
    <row r="736" spans="2:7" ht="14.25" customHeight="1" x14ac:dyDescent="0.3">
      <c r="B736" s="489"/>
      <c r="C736" s="490"/>
      <c r="E736" s="491"/>
      <c r="G736" s="65"/>
    </row>
    <row r="737" spans="2:7" ht="14.25" customHeight="1" x14ac:dyDescent="0.3">
      <c r="B737" s="489"/>
      <c r="C737" s="490"/>
      <c r="E737" s="491"/>
      <c r="G737" s="65"/>
    </row>
    <row r="738" spans="2:7" ht="14.25" customHeight="1" x14ac:dyDescent="0.3">
      <c r="B738" s="489"/>
      <c r="C738" s="490"/>
      <c r="E738" s="491"/>
      <c r="G738" s="65"/>
    </row>
    <row r="739" spans="2:7" ht="14.25" customHeight="1" x14ac:dyDescent="0.3">
      <c r="B739" s="489"/>
      <c r="C739" s="490"/>
      <c r="E739" s="491"/>
      <c r="G739" s="65"/>
    </row>
    <row r="740" spans="2:7" ht="14.25" customHeight="1" x14ac:dyDescent="0.3">
      <c r="B740" s="489"/>
      <c r="C740" s="490"/>
      <c r="E740" s="491"/>
      <c r="G740" s="65"/>
    </row>
    <row r="741" spans="2:7" ht="14.25" customHeight="1" x14ac:dyDescent="0.3">
      <c r="B741" s="489"/>
      <c r="C741" s="490"/>
      <c r="E741" s="491"/>
      <c r="G741" s="65"/>
    </row>
    <row r="742" spans="2:7" ht="14.25" customHeight="1" x14ac:dyDescent="0.3">
      <c r="B742" s="489"/>
      <c r="C742" s="490"/>
      <c r="E742" s="491"/>
      <c r="G742" s="65"/>
    </row>
    <row r="743" spans="2:7" ht="14.25" customHeight="1" x14ac:dyDescent="0.3">
      <c r="B743" s="489"/>
      <c r="C743" s="490"/>
      <c r="E743" s="491"/>
      <c r="G743" s="65"/>
    </row>
    <row r="744" spans="2:7" ht="14.25" customHeight="1" x14ac:dyDescent="0.3">
      <c r="B744" s="489"/>
      <c r="C744" s="490"/>
      <c r="E744" s="491"/>
      <c r="G744" s="65"/>
    </row>
    <row r="745" spans="2:7" ht="14.25" customHeight="1" x14ac:dyDescent="0.3">
      <c r="B745" s="489"/>
      <c r="C745" s="490"/>
      <c r="E745" s="491"/>
      <c r="G745" s="65"/>
    </row>
    <row r="746" spans="2:7" ht="14.25" customHeight="1" x14ac:dyDescent="0.3">
      <c r="B746" s="489"/>
      <c r="C746" s="490"/>
      <c r="E746" s="491"/>
      <c r="G746" s="65"/>
    </row>
    <row r="747" spans="2:7" ht="14.25" customHeight="1" x14ac:dyDescent="0.3">
      <c r="B747" s="489"/>
      <c r="C747" s="490"/>
      <c r="E747" s="491"/>
      <c r="G747" s="65"/>
    </row>
    <row r="748" spans="2:7" ht="14.25" customHeight="1" x14ac:dyDescent="0.3">
      <c r="B748" s="489"/>
      <c r="C748" s="490"/>
      <c r="E748" s="491"/>
      <c r="G748" s="65"/>
    </row>
    <row r="749" spans="2:7" ht="14.25" customHeight="1" x14ac:dyDescent="0.3">
      <c r="B749" s="489"/>
      <c r="C749" s="490"/>
      <c r="E749" s="491"/>
      <c r="G749" s="65"/>
    </row>
    <row r="750" spans="2:7" ht="14.25" customHeight="1" x14ac:dyDescent="0.3">
      <c r="B750" s="489"/>
      <c r="C750" s="490"/>
      <c r="E750" s="491"/>
      <c r="G750" s="65"/>
    </row>
    <row r="751" spans="2:7" ht="14.25" customHeight="1" x14ac:dyDescent="0.3">
      <c r="B751" s="489"/>
      <c r="C751" s="490"/>
      <c r="E751" s="491"/>
      <c r="G751" s="65"/>
    </row>
    <row r="752" spans="2:7" ht="14.25" customHeight="1" x14ac:dyDescent="0.3">
      <c r="B752" s="489"/>
      <c r="C752" s="490"/>
      <c r="E752" s="491"/>
      <c r="G752" s="65"/>
    </row>
    <row r="753" spans="2:7" ht="14.25" customHeight="1" x14ac:dyDescent="0.3">
      <c r="B753" s="489"/>
      <c r="C753" s="490"/>
      <c r="E753" s="491"/>
      <c r="G753" s="65"/>
    </row>
    <row r="754" spans="2:7" ht="14.25" customHeight="1" x14ac:dyDescent="0.3">
      <c r="B754" s="489"/>
      <c r="C754" s="490"/>
      <c r="E754" s="491"/>
      <c r="G754" s="65"/>
    </row>
    <row r="755" spans="2:7" ht="14.25" customHeight="1" x14ac:dyDescent="0.3">
      <c r="B755" s="489"/>
      <c r="C755" s="490"/>
      <c r="E755" s="491"/>
      <c r="G755" s="65"/>
    </row>
    <row r="756" spans="2:7" ht="14.25" customHeight="1" x14ac:dyDescent="0.3">
      <c r="B756" s="489"/>
      <c r="C756" s="490"/>
      <c r="E756" s="491"/>
      <c r="G756" s="65"/>
    </row>
    <row r="757" spans="2:7" ht="14.25" customHeight="1" x14ac:dyDescent="0.3">
      <c r="B757" s="489"/>
      <c r="C757" s="490"/>
      <c r="E757" s="491"/>
      <c r="G757" s="65"/>
    </row>
    <row r="758" spans="2:7" ht="14.25" customHeight="1" x14ac:dyDescent="0.3">
      <c r="B758" s="489"/>
      <c r="C758" s="490"/>
      <c r="E758" s="491"/>
      <c r="G758" s="65"/>
    </row>
    <row r="759" spans="2:7" ht="14.25" customHeight="1" x14ac:dyDescent="0.3">
      <c r="B759" s="489"/>
      <c r="C759" s="490"/>
      <c r="E759" s="491"/>
      <c r="G759" s="65"/>
    </row>
    <row r="760" spans="2:7" ht="14.25" customHeight="1" x14ac:dyDescent="0.3">
      <c r="B760" s="489"/>
      <c r="C760" s="490"/>
      <c r="E760" s="491"/>
      <c r="G760" s="65"/>
    </row>
    <row r="761" spans="2:7" ht="14.25" customHeight="1" x14ac:dyDescent="0.3">
      <c r="B761" s="489"/>
      <c r="C761" s="490"/>
      <c r="E761" s="491"/>
      <c r="G761" s="65"/>
    </row>
    <row r="762" spans="2:7" ht="14.25" customHeight="1" x14ac:dyDescent="0.3">
      <c r="B762" s="489"/>
      <c r="C762" s="490"/>
      <c r="E762" s="491"/>
      <c r="G762" s="65"/>
    </row>
    <row r="763" spans="2:7" ht="14.25" customHeight="1" x14ac:dyDescent="0.3">
      <c r="B763" s="489"/>
      <c r="C763" s="490"/>
      <c r="E763" s="491"/>
      <c r="G763" s="65"/>
    </row>
    <row r="764" spans="2:7" ht="14.25" customHeight="1" x14ac:dyDescent="0.3">
      <c r="B764" s="489"/>
      <c r="C764" s="490"/>
      <c r="E764" s="491"/>
      <c r="G764" s="65"/>
    </row>
    <row r="765" spans="2:7" ht="14.25" customHeight="1" x14ac:dyDescent="0.3">
      <c r="B765" s="489"/>
      <c r="C765" s="490"/>
      <c r="E765" s="491"/>
      <c r="G765" s="65"/>
    </row>
    <row r="766" spans="2:7" ht="14.25" customHeight="1" x14ac:dyDescent="0.3">
      <c r="B766" s="489"/>
      <c r="C766" s="490"/>
      <c r="E766" s="491"/>
      <c r="G766" s="65"/>
    </row>
    <row r="767" spans="2:7" ht="14.25" customHeight="1" x14ac:dyDescent="0.3">
      <c r="B767" s="489"/>
      <c r="C767" s="490"/>
      <c r="E767" s="491"/>
      <c r="G767" s="65"/>
    </row>
    <row r="768" spans="2:7" ht="14.25" customHeight="1" x14ac:dyDescent="0.3">
      <c r="B768" s="489"/>
      <c r="C768" s="490"/>
      <c r="E768" s="491"/>
      <c r="G768" s="65"/>
    </row>
    <row r="769" spans="2:7" ht="14.25" customHeight="1" x14ac:dyDescent="0.3">
      <c r="B769" s="489"/>
      <c r="C769" s="490"/>
      <c r="E769" s="491"/>
      <c r="G769" s="65"/>
    </row>
    <row r="770" spans="2:7" ht="14.25" customHeight="1" x14ac:dyDescent="0.3">
      <c r="B770" s="489"/>
      <c r="C770" s="490"/>
      <c r="E770" s="491"/>
      <c r="G770" s="65"/>
    </row>
    <row r="771" spans="2:7" ht="14.25" customHeight="1" x14ac:dyDescent="0.3">
      <c r="B771" s="489"/>
      <c r="C771" s="490"/>
      <c r="E771" s="491"/>
      <c r="G771" s="65"/>
    </row>
    <row r="772" spans="2:7" ht="14.25" customHeight="1" x14ac:dyDescent="0.3">
      <c r="B772" s="489"/>
      <c r="C772" s="490"/>
      <c r="E772" s="491"/>
      <c r="G772" s="65"/>
    </row>
    <row r="773" spans="2:7" ht="14.25" customHeight="1" x14ac:dyDescent="0.3">
      <c r="B773" s="489"/>
      <c r="C773" s="490"/>
      <c r="E773" s="491"/>
      <c r="G773" s="65"/>
    </row>
    <row r="774" spans="2:7" ht="14.25" customHeight="1" x14ac:dyDescent="0.3">
      <c r="B774" s="489"/>
      <c r="C774" s="490"/>
      <c r="E774" s="491"/>
      <c r="G774" s="65"/>
    </row>
    <row r="775" spans="2:7" ht="14.25" customHeight="1" x14ac:dyDescent="0.3">
      <c r="B775" s="489"/>
      <c r="C775" s="490"/>
      <c r="E775" s="491"/>
      <c r="G775" s="65"/>
    </row>
    <row r="776" spans="2:7" ht="14.25" customHeight="1" x14ac:dyDescent="0.3">
      <c r="B776" s="489"/>
      <c r="C776" s="490"/>
      <c r="E776" s="491"/>
      <c r="G776" s="65"/>
    </row>
    <row r="777" spans="2:7" ht="14.25" customHeight="1" x14ac:dyDescent="0.3">
      <c r="B777" s="489"/>
      <c r="C777" s="490"/>
      <c r="E777" s="491"/>
      <c r="G777" s="65"/>
    </row>
    <row r="778" spans="2:7" ht="14.25" customHeight="1" x14ac:dyDescent="0.3">
      <c r="B778" s="489"/>
      <c r="C778" s="490"/>
      <c r="E778" s="491"/>
      <c r="G778" s="65"/>
    </row>
    <row r="779" spans="2:7" ht="14.25" customHeight="1" x14ac:dyDescent="0.3">
      <c r="B779" s="489"/>
      <c r="C779" s="490"/>
      <c r="E779" s="491"/>
      <c r="G779" s="65"/>
    </row>
    <row r="780" spans="2:7" ht="14.25" customHeight="1" x14ac:dyDescent="0.3">
      <c r="B780" s="489"/>
      <c r="C780" s="490"/>
      <c r="E780" s="491"/>
      <c r="G780" s="65"/>
    </row>
    <row r="781" spans="2:7" ht="14.25" customHeight="1" x14ac:dyDescent="0.3">
      <c r="B781" s="489"/>
      <c r="C781" s="490"/>
      <c r="E781" s="491"/>
      <c r="G781" s="65"/>
    </row>
    <row r="782" spans="2:7" ht="14.25" customHeight="1" x14ac:dyDescent="0.3">
      <c r="B782" s="489"/>
      <c r="C782" s="490"/>
      <c r="E782" s="491"/>
      <c r="G782" s="65"/>
    </row>
    <row r="783" spans="2:7" ht="14.25" customHeight="1" x14ac:dyDescent="0.3">
      <c r="B783" s="489"/>
      <c r="C783" s="490"/>
      <c r="E783" s="491"/>
      <c r="G783" s="65"/>
    </row>
    <row r="784" spans="2:7" ht="14.25" customHeight="1" x14ac:dyDescent="0.3">
      <c r="B784" s="489"/>
      <c r="C784" s="490"/>
      <c r="E784" s="491"/>
      <c r="G784" s="65"/>
    </row>
    <row r="785" spans="2:7" ht="14.25" customHeight="1" x14ac:dyDescent="0.3">
      <c r="B785" s="489"/>
      <c r="C785" s="490"/>
      <c r="E785" s="491"/>
      <c r="G785" s="65"/>
    </row>
    <row r="786" spans="2:7" ht="14.25" customHeight="1" x14ac:dyDescent="0.3">
      <c r="B786" s="489"/>
      <c r="C786" s="490"/>
      <c r="E786" s="491"/>
      <c r="G786" s="65"/>
    </row>
    <row r="787" spans="2:7" ht="14.25" customHeight="1" x14ac:dyDescent="0.3">
      <c r="B787" s="489"/>
      <c r="C787" s="490"/>
      <c r="E787" s="491"/>
      <c r="G787" s="65"/>
    </row>
    <row r="788" spans="2:7" ht="14.25" customHeight="1" x14ac:dyDescent="0.3">
      <c r="B788" s="489"/>
      <c r="C788" s="490"/>
      <c r="E788" s="491"/>
      <c r="G788" s="65"/>
    </row>
    <row r="789" spans="2:7" ht="14.25" customHeight="1" x14ac:dyDescent="0.3">
      <c r="B789" s="489"/>
      <c r="C789" s="490"/>
      <c r="E789" s="491"/>
      <c r="G789" s="65"/>
    </row>
    <row r="790" spans="2:7" ht="14.25" customHeight="1" x14ac:dyDescent="0.3">
      <c r="B790" s="489"/>
      <c r="C790" s="490"/>
      <c r="E790" s="491"/>
      <c r="G790" s="65"/>
    </row>
    <row r="791" spans="2:7" ht="14.25" customHeight="1" x14ac:dyDescent="0.3">
      <c r="B791" s="489"/>
      <c r="C791" s="490"/>
      <c r="E791" s="491"/>
      <c r="G791" s="65"/>
    </row>
    <row r="792" spans="2:7" ht="14.25" customHeight="1" x14ac:dyDescent="0.3">
      <c r="B792" s="489"/>
      <c r="C792" s="490"/>
      <c r="E792" s="491"/>
      <c r="G792" s="65"/>
    </row>
    <row r="793" spans="2:7" ht="14.25" customHeight="1" x14ac:dyDescent="0.3">
      <c r="B793" s="489"/>
      <c r="C793" s="490"/>
      <c r="E793" s="491"/>
      <c r="G793" s="65"/>
    </row>
    <row r="794" spans="2:7" ht="14.25" customHeight="1" x14ac:dyDescent="0.3">
      <c r="B794" s="489"/>
      <c r="C794" s="490"/>
      <c r="E794" s="491"/>
      <c r="G794" s="65"/>
    </row>
    <row r="795" spans="2:7" ht="14.25" customHeight="1" x14ac:dyDescent="0.3">
      <c r="B795" s="489"/>
      <c r="C795" s="490"/>
      <c r="E795" s="491"/>
      <c r="G795" s="65"/>
    </row>
    <row r="796" spans="2:7" ht="14.25" customHeight="1" x14ac:dyDescent="0.3">
      <c r="B796" s="489"/>
      <c r="C796" s="490"/>
      <c r="E796" s="491"/>
      <c r="G796" s="65"/>
    </row>
    <row r="797" spans="2:7" ht="14.25" customHeight="1" x14ac:dyDescent="0.3">
      <c r="B797" s="489"/>
      <c r="C797" s="490"/>
      <c r="E797" s="491"/>
      <c r="G797" s="65"/>
    </row>
    <row r="798" spans="2:7" ht="14.25" customHeight="1" x14ac:dyDescent="0.3">
      <c r="B798" s="489"/>
      <c r="C798" s="490"/>
      <c r="E798" s="491"/>
      <c r="G798" s="65"/>
    </row>
    <row r="799" spans="2:7" ht="14.25" customHeight="1" x14ac:dyDescent="0.3">
      <c r="B799" s="489"/>
      <c r="C799" s="490"/>
      <c r="E799" s="491"/>
      <c r="G799" s="65"/>
    </row>
    <row r="800" spans="2:7" ht="14.25" customHeight="1" x14ac:dyDescent="0.3">
      <c r="B800" s="489"/>
      <c r="C800" s="490"/>
      <c r="E800" s="491"/>
      <c r="G800" s="65"/>
    </row>
    <row r="801" spans="2:7" ht="14.25" customHeight="1" x14ac:dyDescent="0.3">
      <c r="B801" s="489"/>
      <c r="C801" s="490"/>
      <c r="E801" s="491"/>
      <c r="G801" s="65"/>
    </row>
    <row r="802" spans="2:7" ht="14.25" customHeight="1" x14ac:dyDescent="0.3">
      <c r="B802" s="489"/>
      <c r="C802" s="490"/>
      <c r="E802" s="491"/>
      <c r="G802" s="65"/>
    </row>
    <row r="803" spans="2:7" ht="14.25" customHeight="1" x14ac:dyDescent="0.3">
      <c r="B803" s="489"/>
      <c r="C803" s="490"/>
      <c r="E803" s="491"/>
      <c r="G803" s="65"/>
    </row>
    <row r="804" spans="2:7" ht="14.25" customHeight="1" x14ac:dyDescent="0.3">
      <c r="B804" s="489"/>
      <c r="C804" s="490"/>
      <c r="E804" s="491"/>
      <c r="G804" s="65"/>
    </row>
    <row r="805" spans="2:7" ht="14.25" customHeight="1" x14ac:dyDescent="0.3">
      <c r="B805" s="489"/>
      <c r="C805" s="490"/>
      <c r="E805" s="491"/>
      <c r="G805" s="65"/>
    </row>
    <row r="806" spans="2:7" ht="14.25" customHeight="1" x14ac:dyDescent="0.3">
      <c r="B806" s="489"/>
      <c r="C806" s="490"/>
      <c r="E806" s="491"/>
      <c r="G806" s="65"/>
    </row>
    <row r="807" spans="2:7" ht="14.25" customHeight="1" x14ac:dyDescent="0.3">
      <c r="B807" s="489"/>
      <c r="C807" s="490"/>
      <c r="E807" s="491"/>
      <c r="G807" s="65"/>
    </row>
    <row r="808" spans="2:7" ht="14.25" customHeight="1" x14ac:dyDescent="0.3">
      <c r="B808" s="489"/>
      <c r="C808" s="490"/>
      <c r="E808" s="491"/>
      <c r="G808" s="65"/>
    </row>
    <row r="809" spans="2:7" ht="14.25" customHeight="1" x14ac:dyDescent="0.3">
      <c r="B809" s="489"/>
      <c r="C809" s="490"/>
      <c r="E809" s="491"/>
      <c r="G809" s="65"/>
    </row>
    <row r="810" spans="2:7" ht="14.25" customHeight="1" x14ac:dyDescent="0.3">
      <c r="B810" s="489"/>
      <c r="C810" s="490"/>
      <c r="E810" s="491"/>
      <c r="G810" s="65"/>
    </row>
    <row r="811" spans="2:7" ht="14.25" customHeight="1" x14ac:dyDescent="0.3">
      <c r="B811" s="489"/>
      <c r="C811" s="490"/>
      <c r="E811" s="491"/>
      <c r="G811" s="65"/>
    </row>
    <row r="812" spans="2:7" ht="14.25" customHeight="1" x14ac:dyDescent="0.3">
      <c r="B812" s="489"/>
      <c r="C812" s="490"/>
      <c r="E812" s="491"/>
      <c r="G812" s="65"/>
    </row>
    <row r="813" spans="2:7" ht="14.25" customHeight="1" x14ac:dyDescent="0.3">
      <c r="B813" s="489"/>
      <c r="C813" s="490"/>
      <c r="E813" s="491"/>
      <c r="G813" s="65"/>
    </row>
    <row r="814" spans="2:7" ht="14.25" customHeight="1" x14ac:dyDescent="0.3">
      <c r="B814" s="489"/>
      <c r="C814" s="490"/>
      <c r="E814" s="491"/>
      <c r="G814" s="65"/>
    </row>
    <row r="815" spans="2:7" ht="14.25" customHeight="1" x14ac:dyDescent="0.3">
      <c r="B815" s="489"/>
      <c r="C815" s="490"/>
      <c r="E815" s="491"/>
      <c r="G815" s="65"/>
    </row>
    <row r="816" spans="2:7" ht="14.25" customHeight="1" x14ac:dyDescent="0.3">
      <c r="B816" s="489"/>
      <c r="C816" s="490"/>
      <c r="E816" s="491"/>
      <c r="G816" s="65"/>
    </row>
    <row r="817" spans="2:7" ht="14.25" customHeight="1" x14ac:dyDescent="0.3">
      <c r="B817" s="489"/>
      <c r="C817" s="490"/>
      <c r="E817" s="491"/>
      <c r="G817" s="65"/>
    </row>
    <row r="818" spans="2:7" ht="14.25" customHeight="1" x14ac:dyDescent="0.3">
      <c r="B818" s="489"/>
      <c r="C818" s="490"/>
      <c r="E818" s="491"/>
      <c r="G818" s="65"/>
    </row>
    <row r="819" spans="2:7" ht="14.25" customHeight="1" x14ac:dyDescent="0.3">
      <c r="B819" s="489"/>
      <c r="C819" s="490"/>
      <c r="E819" s="491"/>
      <c r="G819" s="65"/>
    </row>
    <row r="820" spans="2:7" ht="14.25" customHeight="1" x14ac:dyDescent="0.3">
      <c r="B820" s="489"/>
      <c r="C820" s="490"/>
      <c r="E820" s="491"/>
      <c r="G820" s="65"/>
    </row>
    <row r="821" spans="2:7" ht="14.25" customHeight="1" x14ac:dyDescent="0.3">
      <c r="B821" s="489"/>
      <c r="C821" s="490"/>
      <c r="E821" s="491"/>
      <c r="G821" s="65"/>
    </row>
    <row r="822" spans="2:7" ht="14.25" customHeight="1" x14ac:dyDescent="0.3">
      <c r="B822" s="489"/>
      <c r="C822" s="490"/>
      <c r="E822" s="491"/>
      <c r="G822" s="65"/>
    </row>
    <row r="823" spans="2:7" ht="14.25" customHeight="1" x14ac:dyDescent="0.3">
      <c r="B823" s="489"/>
      <c r="C823" s="490"/>
      <c r="E823" s="491"/>
      <c r="G823" s="65"/>
    </row>
    <row r="824" spans="2:7" ht="14.25" customHeight="1" x14ac:dyDescent="0.3">
      <c r="B824" s="489"/>
      <c r="C824" s="490"/>
      <c r="E824" s="491"/>
      <c r="G824" s="65"/>
    </row>
    <row r="825" spans="2:7" ht="14.25" customHeight="1" x14ac:dyDescent="0.3">
      <c r="B825" s="489"/>
      <c r="C825" s="490"/>
      <c r="E825" s="491"/>
      <c r="G825" s="65"/>
    </row>
    <row r="826" spans="2:7" ht="14.25" customHeight="1" x14ac:dyDescent="0.3">
      <c r="B826" s="489"/>
      <c r="C826" s="490"/>
      <c r="E826" s="491"/>
      <c r="G826" s="65"/>
    </row>
    <row r="827" spans="2:7" ht="14.25" customHeight="1" x14ac:dyDescent="0.3">
      <c r="B827" s="489"/>
      <c r="C827" s="490"/>
      <c r="E827" s="491"/>
      <c r="G827" s="65"/>
    </row>
    <row r="828" spans="2:7" ht="14.25" customHeight="1" x14ac:dyDescent="0.3">
      <c r="B828" s="489"/>
      <c r="C828" s="490"/>
      <c r="E828" s="491"/>
      <c r="G828" s="65"/>
    </row>
    <row r="829" spans="2:7" ht="14.25" customHeight="1" x14ac:dyDescent="0.3">
      <c r="B829" s="489"/>
      <c r="C829" s="490"/>
      <c r="E829" s="491"/>
      <c r="G829" s="65"/>
    </row>
    <row r="830" spans="2:7" ht="14.25" customHeight="1" x14ac:dyDescent="0.3">
      <c r="B830" s="489"/>
      <c r="C830" s="490"/>
      <c r="E830" s="491"/>
      <c r="G830" s="65"/>
    </row>
    <row r="831" spans="2:7" ht="14.25" customHeight="1" x14ac:dyDescent="0.3">
      <c r="B831" s="489"/>
      <c r="C831" s="490"/>
      <c r="E831" s="491"/>
      <c r="G831" s="65"/>
    </row>
    <row r="832" spans="2:7" ht="14.25" customHeight="1" x14ac:dyDescent="0.3">
      <c r="B832" s="489"/>
      <c r="C832" s="490"/>
      <c r="E832" s="491"/>
      <c r="G832" s="65"/>
    </row>
    <row r="833" spans="2:7" ht="14.25" customHeight="1" x14ac:dyDescent="0.3">
      <c r="B833" s="489"/>
      <c r="C833" s="490"/>
      <c r="E833" s="491"/>
      <c r="G833" s="65"/>
    </row>
    <row r="834" spans="2:7" ht="14.25" customHeight="1" x14ac:dyDescent="0.3">
      <c r="B834" s="489"/>
      <c r="C834" s="490"/>
      <c r="E834" s="491"/>
      <c r="G834" s="65"/>
    </row>
    <row r="835" spans="2:7" ht="14.25" customHeight="1" x14ac:dyDescent="0.3">
      <c r="B835" s="489"/>
      <c r="C835" s="490"/>
      <c r="E835" s="491"/>
      <c r="G835" s="65"/>
    </row>
    <row r="836" spans="2:7" ht="14.25" customHeight="1" x14ac:dyDescent="0.3">
      <c r="B836" s="489"/>
      <c r="C836" s="490"/>
      <c r="E836" s="491"/>
      <c r="G836" s="65"/>
    </row>
    <row r="837" spans="2:7" ht="14.25" customHeight="1" x14ac:dyDescent="0.3">
      <c r="B837" s="489"/>
      <c r="C837" s="490"/>
      <c r="E837" s="491"/>
      <c r="G837" s="65"/>
    </row>
    <row r="838" spans="2:7" ht="14.25" customHeight="1" x14ac:dyDescent="0.3">
      <c r="B838" s="489"/>
      <c r="C838" s="490"/>
      <c r="E838" s="491"/>
      <c r="G838" s="65"/>
    </row>
    <row r="839" spans="2:7" ht="14.25" customHeight="1" x14ac:dyDescent="0.3">
      <c r="B839" s="489"/>
      <c r="C839" s="490"/>
      <c r="E839" s="491"/>
      <c r="G839" s="65"/>
    </row>
    <row r="840" spans="2:7" ht="14.25" customHeight="1" x14ac:dyDescent="0.3">
      <c r="B840" s="489"/>
      <c r="C840" s="490"/>
      <c r="E840" s="491"/>
      <c r="G840" s="65"/>
    </row>
    <row r="841" spans="2:7" ht="14.25" customHeight="1" x14ac:dyDescent="0.3">
      <c r="B841" s="489"/>
      <c r="C841" s="490"/>
      <c r="E841" s="491"/>
      <c r="G841" s="65"/>
    </row>
    <row r="842" spans="2:7" ht="14.25" customHeight="1" x14ac:dyDescent="0.3">
      <c r="B842" s="489"/>
      <c r="C842" s="490"/>
      <c r="E842" s="491"/>
      <c r="G842" s="65"/>
    </row>
    <row r="843" spans="2:7" ht="14.25" customHeight="1" x14ac:dyDescent="0.3">
      <c r="B843" s="489"/>
      <c r="C843" s="490"/>
      <c r="E843" s="491"/>
      <c r="G843" s="65"/>
    </row>
    <row r="844" spans="2:7" ht="14.25" customHeight="1" x14ac:dyDescent="0.3">
      <c r="B844" s="489"/>
      <c r="C844" s="490"/>
      <c r="E844" s="491"/>
      <c r="G844" s="65"/>
    </row>
    <row r="845" spans="2:7" ht="14.25" customHeight="1" x14ac:dyDescent="0.3">
      <c r="B845" s="489"/>
      <c r="C845" s="490"/>
      <c r="E845" s="491"/>
      <c r="G845" s="65"/>
    </row>
    <row r="846" spans="2:7" ht="14.25" customHeight="1" x14ac:dyDescent="0.3">
      <c r="B846" s="489"/>
      <c r="C846" s="490"/>
      <c r="E846" s="491"/>
      <c r="G846" s="65"/>
    </row>
    <row r="847" spans="2:7" ht="14.25" customHeight="1" x14ac:dyDescent="0.3">
      <c r="B847" s="489"/>
      <c r="C847" s="490"/>
      <c r="E847" s="491"/>
      <c r="G847" s="65"/>
    </row>
    <row r="848" spans="2:7" ht="14.25" customHeight="1" x14ac:dyDescent="0.3">
      <c r="B848" s="489"/>
      <c r="C848" s="490"/>
      <c r="E848" s="491"/>
      <c r="G848" s="65"/>
    </row>
    <row r="849" spans="2:7" ht="14.25" customHeight="1" x14ac:dyDescent="0.3">
      <c r="B849" s="489"/>
      <c r="C849" s="490"/>
      <c r="E849" s="491"/>
      <c r="G849" s="65"/>
    </row>
    <row r="850" spans="2:7" ht="14.25" customHeight="1" x14ac:dyDescent="0.3">
      <c r="B850" s="489"/>
      <c r="C850" s="490"/>
      <c r="E850" s="491"/>
      <c r="G850" s="65"/>
    </row>
    <row r="851" spans="2:7" ht="14.25" customHeight="1" x14ac:dyDescent="0.3">
      <c r="B851" s="489"/>
      <c r="C851" s="490"/>
      <c r="E851" s="491"/>
      <c r="G851" s="65"/>
    </row>
    <row r="852" spans="2:7" ht="14.25" customHeight="1" x14ac:dyDescent="0.3">
      <c r="B852" s="489"/>
      <c r="C852" s="490"/>
      <c r="E852" s="491"/>
      <c r="G852" s="65"/>
    </row>
    <row r="853" spans="2:7" ht="14.25" customHeight="1" x14ac:dyDescent="0.3">
      <c r="B853" s="489"/>
      <c r="C853" s="490"/>
      <c r="E853" s="491"/>
      <c r="G853" s="65"/>
    </row>
    <row r="854" spans="2:7" ht="14.25" customHeight="1" x14ac:dyDescent="0.3">
      <c r="B854" s="489"/>
      <c r="C854" s="490"/>
      <c r="E854" s="491"/>
      <c r="G854" s="65"/>
    </row>
    <row r="855" spans="2:7" ht="14.25" customHeight="1" x14ac:dyDescent="0.3">
      <c r="B855" s="489"/>
      <c r="C855" s="490"/>
      <c r="E855" s="491"/>
      <c r="G855" s="65"/>
    </row>
    <row r="856" spans="2:7" ht="14.25" customHeight="1" x14ac:dyDescent="0.3">
      <c r="B856" s="489"/>
      <c r="C856" s="490"/>
      <c r="E856" s="491"/>
      <c r="G856" s="65"/>
    </row>
    <row r="857" spans="2:7" ht="14.25" customHeight="1" x14ac:dyDescent="0.3">
      <c r="B857" s="489"/>
      <c r="C857" s="490"/>
      <c r="E857" s="491"/>
      <c r="G857" s="65"/>
    </row>
    <row r="858" spans="2:7" ht="14.25" customHeight="1" x14ac:dyDescent="0.3">
      <c r="B858" s="489"/>
      <c r="C858" s="490"/>
      <c r="E858" s="491"/>
      <c r="G858" s="65"/>
    </row>
    <row r="859" spans="2:7" ht="14.25" customHeight="1" x14ac:dyDescent="0.3">
      <c r="B859" s="489"/>
      <c r="C859" s="490"/>
      <c r="E859" s="491"/>
      <c r="G859" s="65"/>
    </row>
    <row r="860" spans="2:7" ht="14.25" customHeight="1" x14ac:dyDescent="0.3">
      <c r="B860" s="489"/>
      <c r="C860" s="490"/>
      <c r="E860" s="491"/>
      <c r="G860" s="65"/>
    </row>
    <row r="861" spans="2:7" ht="14.25" customHeight="1" x14ac:dyDescent="0.3">
      <c r="B861" s="489"/>
      <c r="C861" s="490"/>
      <c r="E861" s="491"/>
      <c r="G861" s="65"/>
    </row>
    <row r="862" spans="2:7" ht="14.25" customHeight="1" x14ac:dyDescent="0.3">
      <c r="B862" s="489"/>
      <c r="C862" s="490"/>
      <c r="E862" s="491"/>
      <c r="G862" s="65"/>
    </row>
    <row r="863" spans="2:7" ht="14.25" customHeight="1" x14ac:dyDescent="0.3">
      <c r="B863" s="489"/>
      <c r="C863" s="490"/>
      <c r="E863" s="491"/>
      <c r="G863" s="65"/>
    </row>
    <row r="864" spans="2:7" ht="14.25" customHeight="1" x14ac:dyDescent="0.3">
      <c r="B864" s="489"/>
      <c r="C864" s="490"/>
      <c r="E864" s="491"/>
      <c r="G864" s="65"/>
    </row>
    <row r="865" spans="2:7" ht="14.25" customHeight="1" x14ac:dyDescent="0.3">
      <c r="B865" s="489"/>
      <c r="C865" s="490"/>
      <c r="E865" s="491"/>
      <c r="G865" s="65"/>
    </row>
    <row r="866" spans="2:7" ht="14.25" customHeight="1" x14ac:dyDescent="0.3">
      <c r="B866" s="489"/>
      <c r="C866" s="490"/>
      <c r="E866" s="491"/>
      <c r="G866" s="65"/>
    </row>
    <row r="867" spans="2:7" ht="14.25" customHeight="1" x14ac:dyDescent="0.3">
      <c r="B867" s="489"/>
      <c r="C867" s="490"/>
      <c r="E867" s="491"/>
      <c r="G867" s="65"/>
    </row>
    <row r="868" spans="2:7" ht="14.25" customHeight="1" x14ac:dyDescent="0.3">
      <c r="B868" s="489"/>
      <c r="C868" s="490"/>
      <c r="E868" s="491"/>
      <c r="G868" s="65"/>
    </row>
    <row r="869" spans="2:7" ht="14.25" customHeight="1" x14ac:dyDescent="0.3">
      <c r="B869" s="489"/>
      <c r="C869" s="490"/>
      <c r="E869" s="491"/>
      <c r="G869" s="65"/>
    </row>
    <row r="870" spans="2:7" ht="14.25" customHeight="1" x14ac:dyDescent="0.3">
      <c r="B870" s="489"/>
      <c r="C870" s="490"/>
      <c r="E870" s="491"/>
      <c r="G870" s="65"/>
    </row>
    <row r="871" spans="2:7" ht="14.25" customHeight="1" x14ac:dyDescent="0.3">
      <c r="B871" s="489"/>
      <c r="C871" s="490"/>
      <c r="E871" s="491"/>
      <c r="G871" s="65"/>
    </row>
    <row r="872" spans="2:7" ht="14.25" customHeight="1" x14ac:dyDescent="0.3">
      <c r="B872" s="489"/>
      <c r="C872" s="490"/>
      <c r="E872" s="491"/>
      <c r="G872" s="65"/>
    </row>
    <row r="873" spans="2:7" ht="14.25" customHeight="1" x14ac:dyDescent="0.3">
      <c r="B873" s="489"/>
      <c r="C873" s="490"/>
      <c r="E873" s="491"/>
      <c r="G873" s="65"/>
    </row>
    <row r="874" spans="2:7" ht="14.25" customHeight="1" x14ac:dyDescent="0.3">
      <c r="B874" s="489"/>
      <c r="C874" s="490"/>
      <c r="E874" s="491"/>
      <c r="G874" s="65"/>
    </row>
    <row r="875" spans="2:7" ht="14.25" customHeight="1" x14ac:dyDescent="0.3">
      <c r="B875" s="489"/>
      <c r="C875" s="490"/>
      <c r="E875" s="491"/>
      <c r="G875" s="65"/>
    </row>
    <row r="876" spans="2:7" ht="14.25" customHeight="1" x14ac:dyDescent="0.3">
      <c r="B876" s="489"/>
      <c r="C876" s="490"/>
      <c r="E876" s="491"/>
      <c r="G876" s="65"/>
    </row>
    <row r="877" spans="2:7" ht="14.25" customHeight="1" x14ac:dyDescent="0.3">
      <c r="B877" s="489"/>
      <c r="C877" s="490"/>
      <c r="E877" s="491"/>
      <c r="G877" s="65"/>
    </row>
    <row r="878" spans="2:7" ht="14.25" customHeight="1" x14ac:dyDescent="0.3">
      <c r="B878" s="489"/>
      <c r="C878" s="490"/>
      <c r="E878" s="491"/>
      <c r="G878" s="65"/>
    </row>
    <row r="879" spans="2:7" ht="14.25" customHeight="1" x14ac:dyDescent="0.3">
      <c r="B879" s="489"/>
      <c r="C879" s="490"/>
      <c r="E879" s="491"/>
      <c r="G879" s="65"/>
    </row>
    <row r="880" spans="2:7" ht="14.25" customHeight="1" x14ac:dyDescent="0.3">
      <c r="B880" s="489"/>
      <c r="C880" s="490"/>
      <c r="E880" s="491"/>
      <c r="G880" s="65"/>
    </row>
    <row r="881" spans="2:7" ht="14.25" customHeight="1" x14ac:dyDescent="0.3">
      <c r="B881" s="489"/>
      <c r="C881" s="490"/>
      <c r="E881" s="491"/>
      <c r="G881" s="65"/>
    </row>
    <row r="882" spans="2:7" ht="14.25" customHeight="1" x14ac:dyDescent="0.3">
      <c r="B882" s="489"/>
      <c r="C882" s="490"/>
      <c r="E882" s="491"/>
      <c r="G882" s="65"/>
    </row>
    <row r="883" spans="2:7" ht="14.25" customHeight="1" x14ac:dyDescent="0.3">
      <c r="B883" s="489"/>
      <c r="C883" s="490"/>
      <c r="E883" s="491"/>
      <c r="G883" s="65"/>
    </row>
    <row r="884" spans="2:7" ht="14.25" customHeight="1" x14ac:dyDescent="0.3">
      <c r="B884" s="489"/>
      <c r="C884" s="490"/>
      <c r="E884" s="491"/>
      <c r="G884" s="65"/>
    </row>
    <row r="885" spans="2:7" ht="14.25" customHeight="1" x14ac:dyDescent="0.3">
      <c r="B885" s="489"/>
      <c r="C885" s="490"/>
      <c r="E885" s="491"/>
      <c r="G885" s="65"/>
    </row>
    <row r="886" spans="2:7" ht="14.25" customHeight="1" x14ac:dyDescent="0.3">
      <c r="B886" s="489"/>
      <c r="C886" s="490"/>
      <c r="E886" s="491"/>
      <c r="G886" s="65"/>
    </row>
    <row r="887" spans="2:7" ht="14.25" customHeight="1" x14ac:dyDescent="0.3">
      <c r="B887" s="489"/>
      <c r="C887" s="490"/>
      <c r="E887" s="491"/>
      <c r="G887" s="65"/>
    </row>
    <row r="888" spans="2:7" ht="14.25" customHeight="1" x14ac:dyDescent="0.3">
      <c r="B888" s="489"/>
      <c r="C888" s="490"/>
      <c r="E888" s="491"/>
      <c r="G888" s="65"/>
    </row>
    <row r="889" spans="2:7" ht="14.25" customHeight="1" x14ac:dyDescent="0.3">
      <c r="B889" s="489"/>
      <c r="C889" s="490"/>
      <c r="E889" s="491"/>
      <c r="G889" s="65"/>
    </row>
    <row r="890" spans="2:7" ht="14.25" customHeight="1" x14ac:dyDescent="0.3">
      <c r="B890" s="489"/>
      <c r="C890" s="490"/>
      <c r="E890" s="491"/>
      <c r="G890" s="65"/>
    </row>
    <row r="891" spans="2:7" ht="14.25" customHeight="1" x14ac:dyDescent="0.3">
      <c r="B891" s="489"/>
      <c r="C891" s="490"/>
      <c r="E891" s="491"/>
      <c r="G891" s="65"/>
    </row>
    <row r="892" spans="2:7" ht="14.25" customHeight="1" x14ac:dyDescent="0.3">
      <c r="B892" s="489"/>
      <c r="C892" s="490"/>
      <c r="E892" s="491"/>
      <c r="G892" s="65"/>
    </row>
    <row r="893" spans="2:7" ht="14.25" customHeight="1" x14ac:dyDescent="0.3">
      <c r="B893" s="489"/>
      <c r="C893" s="490"/>
      <c r="E893" s="491"/>
      <c r="G893" s="65"/>
    </row>
    <row r="894" spans="2:7" ht="14.25" customHeight="1" x14ac:dyDescent="0.3">
      <c r="B894" s="489"/>
      <c r="C894" s="490"/>
      <c r="E894" s="491"/>
      <c r="G894" s="65"/>
    </row>
    <row r="895" spans="2:7" ht="14.25" customHeight="1" x14ac:dyDescent="0.3">
      <c r="B895" s="489"/>
      <c r="C895" s="490"/>
      <c r="E895" s="491"/>
      <c r="G895" s="65"/>
    </row>
    <row r="896" spans="2:7" ht="14.25" customHeight="1" x14ac:dyDescent="0.3">
      <c r="B896" s="489"/>
      <c r="C896" s="490"/>
      <c r="E896" s="491"/>
      <c r="G896" s="65"/>
    </row>
    <row r="897" spans="2:7" ht="14.25" customHeight="1" x14ac:dyDescent="0.3">
      <c r="B897" s="489"/>
      <c r="C897" s="490"/>
      <c r="E897" s="491"/>
      <c r="G897" s="65"/>
    </row>
    <row r="898" spans="2:7" ht="14.25" customHeight="1" x14ac:dyDescent="0.3">
      <c r="B898" s="489"/>
      <c r="C898" s="490"/>
      <c r="E898" s="491"/>
      <c r="G898" s="65"/>
    </row>
    <row r="899" spans="2:7" ht="14.25" customHeight="1" x14ac:dyDescent="0.3">
      <c r="B899" s="489"/>
      <c r="C899" s="490"/>
      <c r="E899" s="491"/>
      <c r="G899" s="65"/>
    </row>
    <row r="900" spans="2:7" ht="14.25" customHeight="1" x14ac:dyDescent="0.3">
      <c r="B900" s="489"/>
      <c r="C900" s="490"/>
      <c r="E900" s="491"/>
      <c r="G900" s="65"/>
    </row>
    <row r="901" spans="2:7" ht="14.25" customHeight="1" x14ac:dyDescent="0.3">
      <c r="B901" s="489"/>
      <c r="C901" s="490"/>
      <c r="E901" s="491"/>
      <c r="G901" s="65"/>
    </row>
    <row r="902" spans="2:7" ht="14.25" customHeight="1" x14ac:dyDescent="0.3">
      <c r="B902" s="489"/>
      <c r="C902" s="490"/>
      <c r="E902" s="491"/>
      <c r="G902" s="65"/>
    </row>
    <row r="903" spans="2:7" ht="14.25" customHeight="1" x14ac:dyDescent="0.3">
      <c r="B903" s="489"/>
      <c r="C903" s="490"/>
      <c r="E903" s="491"/>
      <c r="G903" s="65"/>
    </row>
    <row r="904" spans="2:7" ht="14.25" customHeight="1" x14ac:dyDescent="0.3">
      <c r="B904" s="489"/>
      <c r="C904" s="490"/>
      <c r="E904" s="491"/>
      <c r="G904" s="65"/>
    </row>
    <row r="905" spans="2:7" ht="14.25" customHeight="1" x14ac:dyDescent="0.3">
      <c r="B905" s="489"/>
      <c r="C905" s="490"/>
      <c r="E905" s="491"/>
      <c r="G905" s="65"/>
    </row>
    <row r="906" spans="2:7" ht="14.25" customHeight="1" x14ac:dyDescent="0.3">
      <c r="B906" s="489"/>
      <c r="C906" s="490"/>
      <c r="E906" s="491"/>
      <c r="G906" s="65"/>
    </row>
    <row r="907" spans="2:7" ht="14.25" customHeight="1" x14ac:dyDescent="0.3">
      <c r="B907" s="489"/>
      <c r="C907" s="490"/>
      <c r="E907" s="491"/>
      <c r="G907" s="65"/>
    </row>
    <row r="908" spans="2:7" ht="14.25" customHeight="1" x14ac:dyDescent="0.3">
      <c r="B908" s="489"/>
      <c r="C908" s="490"/>
      <c r="E908" s="491"/>
      <c r="G908" s="65"/>
    </row>
    <row r="909" spans="2:7" ht="14.25" customHeight="1" x14ac:dyDescent="0.3">
      <c r="B909" s="489"/>
      <c r="C909" s="490"/>
      <c r="E909" s="491"/>
      <c r="G909" s="65"/>
    </row>
    <row r="910" spans="2:7" ht="14.25" customHeight="1" x14ac:dyDescent="0.3">
      <c r="B910" s="489"/>
      <c r="C910" s="490"/>
      <c r="E910" s="491"/>
      <c r="G910" s="65"/>
    </row>
    <row r="911" spans="2:7" ht="14.25" customHeight="1" x14ac:dyDescent="0.3">
      <c r="B911" s="489"/>
      <c r="C911" s="490"/>
      <c r="E911" s="491"/>
      <c r="G911" s="65"/>
    </row>
    <row r="912" spans="2:7" ht="14.25" customHeight="1" x14ac:dyDescent="0.3">
      <c r="B912" s="489"/>
      <c r="C912" s="490"/>
      <c r="E912" s="491"/>
      <c r="G912" s="65"/>
    </row>
    <row r="913" spans="2:7" ht="14.25" customHeight="1" x14ac:dyDescent="0.3">
      <c r="B913" s="489"/>
      <c r="C913" s="490"/>
      <c r="E913" s="491"/>
      <c r="G913" s="65"/>
    </row>
    <row r="914" spans="2:7" ht="14.25" customHeight="1" x14ac:dyDescent="0.3">
      <c r="B914" s="489"/>
      <c r="C914" s="490"/>
      <c r="E914" s="491"/>
      <c r="G914" s="65"/>
    </row>
    <row r="915" spans="2:7" ht="14.25" customHeight="1" x14ac:dyDescent="0.3">
      <c r="B915" s="489"/>
      <c r="C915" s="490"/>
      <c r="E915" s="491"/>
      <c r="G915" s="65"/>
    </row>
    <row r="916" spans="2:7" ht="14.25" customHeight="1" x14ac:dyDescent="0.3">
      <c r="B916" s="489"/>
      <c r="C916" s="490"/>
      <c r="E916" s="491"/>
      <c r="G916" s="65"/>
    </row>
    <row r="917" spans="2:7" ht="14.25" customHeight="1" x14ac:dyDescent="0.3">
      <c r="B917" s="489"/>
      <c r="C917" s="490"/>
      <c r="E917" s="491"/>
      <c r="G917" s="65"/>
    </row>
    <row r="918" spans="2:7" ht="14.25" customHeight="1" x14ac:dyDescent="0.3">
      <c r="B918" s="489"/>
      <c r="C918" s="490"/>
      <c r="E918" s="491"/>
      <c r="G918" s="65"/>
    </row>
    <row r="919" spans="2:7" ht="14.25" customHeight="1" x14ac:dyDescent="0.3">
      <c r="B919" s="489"/>
      <c r="C919" s="490"/>
      <c r="E919" s="491"/>
      <c r="G919" s="65"/>
    </row>
    <row r="920" spans="2:7" ht="14.25" customHeight="1" x14ac:dyDescent="0.3">
      <c r="B920" s="489"/>
      <c r="C920" s="490"/>
      <c r="E920" s="491"/>
      <c r="G920" s="65"/>
    </row>
    <row r="921" spans="2:7" ht="14.25" customHeight="1" x14ac:dyDescent="0.3">
      <c r="B921" s="489"/>
      <c r="C921" s="490"/>
      <c r="E921" s="491"/>
      <c r="G921" s="65"/>
    </row>
    <row r="922" spans="2:7" ht="14.25" customHeight="1" x14ac:dyDescent="0.3">
      <c r="B922" s="489"/>
      <c r="C922" s="490"/>
      <c r="E922" s="491"/>
      <c r="G922" s="65"/>
    </row>
    <row r="923" spans="2:7" ht="14.25" customHeight="1" x14ac:dyDescent="0.3">
      <c r="B923" s="489"/>
      <c r="C923" s="490"/>
      <c r="E923" s="491"/>
      <c r="G923" s="65"/>
    </row>
    <row r="924" spans="2:7" ht="14.25" customHeight="1" x14ac:dyDescent="0.3">
      <c r="B924" s="489"/>
      <c r="C924" s="490"/>
      <c r="E924" s="491"/>
      <c r="G924" s="65"/>
    </row>
    <row r="925" spans="2:7" ht="14.25" customHeight="1" x14ac:dyDescent="0.3">
      <c r="B925" s="489"/>
      <c r="C925" s="490"/>
      <c r="E925" s="491"/>
      <c r="G925" s="65"/>
    </row>
    <row r="926" spans="2:7" ht="14.25" customHeight="1" x14ac:dyDescent="0.3">
      <c r="B926" s="489"/>
      <c r="C926" s="490"/>
      <c r="E926" s="491"/>
      <c r="G926" s="65"/>
    </row>
    <row r="927" spans="2:7" ht="14.25" customHeight="1" x14ac:dyDescent="0.3">
      <c r="B927" s="489"/>
      <c r="C927" s="490"/>
      <c r="E927" s="491"/>
      <c r="G927" s="65"/>
    </row>
    <row r="928" spans="2:7" ht="14.25" customHeight="1" x14ac:dyDescent="0.3">
      <c r="B928" s="489"/>
      <c r="C928" s="490"/>
      <c r="E928" s="491"/>
      <c r="G928" s="65"/>
    </row>
    <row r="929" spans="2:7" ht="14.25" customHeight="1" x14ac:dyDescent="0.3">
      <c r="B929" s="489"/>
      <c r="C929" s="490"/>
      <c r="E929" s="491"/>
      <c r="G929" s="65"/>
    </row>
    <row r="930" spans="2:7" ht="14.25" customHeight="1" x14ac:dyDescent="0.3">
      <c r="B930" s="489"/>
      <c r="C930" s="490"/>
      <c r="E930" s="491"/>
      <c r="G930" s="65"/>
    </row>
    <row r="931" spans="2:7" ht="14.25" customHeight="1" x14ac:dyDescent="0.3">
      <c r="B931" s="489"/>
      <c r="C931" s="490"/>
      <c r="E931" s="491"/>
      <c r="G931" s="65"/>
    </row>
    <row r="932" spans="2:7" ht="14.25" customHeight="1" x14ac:dyDescent="0.3">
      <c r="B932" s="489"/>
      <c r="C932" s="490"/>
      <c r="E932" s="491"/>
      <c r="G932" s="65"/>
    </row>
    <row r="933" spans="2:7" ht="14.25" customHeight="1" x14ac:dyDescent="0.3">
      <c r="B933" s="489"/>
      <c r="C933" s="490"/>
      <c r="E933" s="491"/>
      <c r="G933" s="65"/>
    </row>
    <row r="934" spans="2:7" ht="14.25" customHeight="1" x14ac:dyDescent="0.3">
      <c r="B934" s="489"/>
      <c r="C934" s="490"/>
      <c r="E934" s="491"/>
      <c r="G934" s="65"/>
    </row>
    <row r="935" spans="2:7" ht="14.25" customHeight="1" x14ac:dyDescent="0.3">
      <c r="B935" s="489"/>
      <c r="C935" s="490"/>
      <c r="E935" s="491"/>
      <c r="G935" s="65"/>
    </row>
    <row r="936" spans="2:7" ht="14.25" customHeight="1" x14ac:dyDescent="0.3">
      <c r="B936" s="489"/>
      <c r="C936" s="490"/>
      <c r="E936" s="491"/>
      <c r="G936" s="65"/>
    </row>
    <row r="937" spans="2:7" ht="14.25" customHeight="1" x14ac:dyDescent="0.3">
      <c r="B937" s="489"/>
      <c r="C937" s="490"/>
      <c r="E937" s="491"/>
      <c r="G937" s="65"/>
    </row>
    <row r="938" spans="2:7" ht="14.25" customHeight="1" x14ac:dyDescent="0.3">
      <c r="B938" s="489"/>
      <c r="C938" s="490"/>
      <c r="E938" s="491"/>
      <c r="G938" s="65"/>
    </row>
    <row r="939" spans="2:7" ht="14.25" customHeight="1" x14ac:dyDescent="0.3">
      <c r="B939" s="489"/>
      <c r="C939" s="490"/>
      <c r="E939" s="491"/>
      <c r="G939" s="65"/>
    </row>
    <row r="940" spans="2:7" ht="14.25" customHeight="1" x14ac:dyDescent="0.3">
      <c r="B940" s="489"/>
      <c r="C940" s="490"/>
      <c r="E940" s="491"/>
      <c r="G940" s="65"/>
    </row>
    <row r="941" spans="2:7" ht="14.25" customHeight="1" x14ac:dyDescent="0.3">
      <c r="B941" s="489"/>
      <c r="C941" s="490"/>
      <c r="E941" s="491"/>
      <c r="G941" s="65"/>
    </row>
    <row r="942" spans="2:7" ht="14.25" customHeight="1" x14ac:dyDescent="0.3">
      <c r="B942" s="489"/>
      <c r="C942" s="490"/>
      <c r="E942" s="491"/>
      <c r="G942" s="65"/>
    </row>
    <row r="943" spans="2:7" ht="14.25" customHeight="1" x14ac:dyDescent="0.3">
      <c r="B943" s="489"/>
      <c r="C943" s="490"/>
      <c r="E943" s="491"/>
      <c r="G943" s="65"/>
    </row>
    <row r="944" spans="2:7" ht="14.25" customHeight="1" x14ac:dyDescent="0.3">
      <c r="B944" s="489"/>
      <c r="C944" s="490"/>
      <c r="E944" s="491"/>
      <c r="G944" s="65"/>
    </row>
    <row r="945" spans="2:7" ht="14.25" customHeight="1" x14ac:dyDescent="0.3">
      <c r="B945" s="489"/>
      <c r="C945" s="490"/>
      <c r="E945" s="491"/>
      <c r="G945" s="65"/>
    </row>
    <row r="946" spans="2:7" ht="14.25" customHeight="1" x14ac:dyDescent="0.3">
      <c r="B946" s="489"/>
      <c r="C946" s="490"/>
      <c r="E946" s="491"/>
      <c r="G946" s="65"/>
    </row>
    <row r="947" spans="2:7" ht="14.25" customHeight="1" x14ac:dyDescent="0.3">
      <c r="B947" s="489"/>
      <c r="C947" s="490"/>
      <c r="E947" s="491"/>
      <c r="G947" s="65"/>
    </row>
    <row r="948" spans="2:7" ht="14.25" customHeight="1" x14ac:dyDescent="0.3">
      <c r="B948" s="489"/>
      <c r="C948" s="490"/>
      <c r="E948" s="491"/>
      <c r="G948" s="65"/>
    </row>
    <row r="949" spans="2:7" ht="14.25" customHeight="1" x14ac:dyDescent="0.3">
      <c r="B949" s="489"/>
      <c r="C949" s="490"/>
      <c r="E949" s="491"/>
      <c r="G949" s="65"/>
    </row>
    <row r="950" spans="2:7" ht="14.25" customHeight="1" x14ac:dyDescent="0.3">
      <c r="B950" s="489"/>
      <c r="C950" s="490"/>
      <c r="E950" s="491"/>
      <c r="G950" s="65"/>
    </row>
    <row r="951" spans="2:7" ht="14.25" customHeight="1" x14ac:dyDescent="0.3">
      <c r="B951" s="489"/>
      <c r="C951" s="490"/>
      <c r="E951" s="491"/>
      <c r="G951" s="65"/>
    </row>
    <row r="952" spans="2:7" ht="14.25" customHeight="1" x14ac:dyDescent="0.3">
      <c r="B952" s="489"/>
      <c r="C952" s="490"/>
      <c r="E952" s="491"/>
      <c r="G952" s="65"/>
    </row>
    <row r="953" spans="2:7" ht="14.25" customHeight="1" x14ac:dyDescent="0.3">
      <c r="B953" s="489"/>
      <c r="C953" s="490"/>
      <c r="E953" s="491"/>
      <c r="G953" s="65"/>
    </row>
    <row r="954" spans="2:7" ht="14.25" customHeight="1" x14ac:dyDescent="0.3">
      <c r="B954" s="489"/>
      <c r="C954" s="490"/>
      <c r="E954" s="491"/>
      <c r="G954" s="65"/>
    </row>
    <row r="955" spans="2:7" ht="14.25" customHeight="1" x14ac:dyDescent="0.3">
      <c r="B955" s="489"/>
      <c r="C955" s="490"/>
      <c r="E955" s="491"/>
      <c r="G955" s="65"/>
    </row>
    <row r="956" spans="2:7" ht="14.25" customHeight="1" x14ac:dyDescent="0.3">
      <c r="B956" s="489"/>
      <c r="C956" s="490"/>
      <c r="E956" s="491"/>
      <c r="G956" s="65"/>
    </row>
    <row r="957" spans="2:7" ht="14.25" customHeight="1" x14ac:dyDescent="0.3">
      <c r="B957" s="489"/>
      <c r="C957" s="490"/>
      <c r="E957" s="491"/>
      <c r="G957" s="65"/>
    </row>
    <row r="958" spans="2:7" ht="14.25" customHeight="1" x14ac:dyDescent="0.3">
      <c r="B958" s="489"/>
      <c r="C958" s="490"/>
      <c r="E958" s="491"/>
      <c r="G958" s="65"/>
    </row>
    <row r="959" spans="2:7" ht="14.25" customHeight="1" x14ac:dyDescent="0.3">
      <c r="B959" s="489"/>
      <c r="C959" s="490"/>
      <c r="E959" s="491"/>
      <c r="G959" s="65"/>
    </row>
    <row r="960" spans="2:7" ht="14.25" customHeight="1" x14ac:dyDescent="0.3">
      <c r="B960" s="489"/>
      <c r="C960" s="490"/>
      <c r="E960" s="491"/>
      <c r="G960" s="65"/>
    </row>
    <row r="961" spans="2:7" ht="14.25" customHeight="1" x14ac:dyDescent="0.3">
      <c r="B961" s="489"/>
      <c r="C961" s="490"/>
      <c r="E961" s="491"/>
      <c r="G961" s="65"/>
    </row>
    <row r="962" spans="2:7" ht="14.25" customHeight="1" x14ac:dyDescent="0.3">
      <c r="B962" s="489"/>
      <c r="C962" s="490"/>
      <c r="E962" s="491"/>
      <c r="G962" s="65"/>
    </row>
    <row r="963" spans="2:7" ht="14.25" customHeight="1" x14ac:dyDescent="0.3">
      <c r="B963" s="489"/>
      <c r="C963" s="490"/>
      <c r="E963" s="491"/>
      <c r="G963" s="65"/>
    </row>
    <row r="964" spans="2:7" ht="14.25" customHeight="1" x14ac:dyDescent="0.3">
      <c r="B964" s="489"/>
      <c r="C964" s="490"/>
      <c r="E964" s="491"/>
      <c r="G964" s="65"/>
    </row>
    <row r="965" spans="2:7" ht="14.25" customHeight="1" x14ac:dyDescent="0.3">
      <c r="B965" s="489"/>
      <c r="C965" s="490"/>
      <c r="E965" s="491"/>
      <c r="G965" s="65"/>
    </row>
    <row r="966" spans="2:7" ht="14.25" customHeight="1" x14ac:dyDescent="0.3">
      <c r="B966" s="489"/>
      <c r="C966" s="490"/>
      <c r="E966" s="491"/>
      <c r="G966" s="65"/>
    </row>
    <row r="967" spans="2:7" ht="14.25" customHeight="1" x14ac:dyDescent="0.3">
      <c r="B967" s="489"/>
      <c r="C967" s="490"/>
      <c r="E967" s="491"/>
      <c r="G967" s="65"/>
    </row>
    <row r="968" spans="2:7" ht="14.25" customHeight="1" x14ac:dyDescent="0.3">
      <c r="B968" s="489"/>
      <c r="C968" s="490"/>
      <c r="E968" s="491"/>
      <c r="G968" s="65"/>
    </row>
    <row r="969" spans="2:7" ht="14.25" customHeight="1" x14ac:dyDescent="0.3">
      <c r="B969" s="489"/>
      <c r="C969" s="490"/>
      <c r="E969" s="491"/>
      <c r="G969" s="65"/>
    </row>
    <row r="970" spans="2:7" ht="14.25" customHeight="1" x14ac:dyDescent="0.3">
      <c r="B970" s="489"/>
      <c r="C970" s="490"/>
      <c r="E970" s="491"/>
      <c r="G970" s="65"/>
    </row>
    <row r="971" spans="2:7" ht="14.25" customHeight="1" x14ac:dyDescent="0.3">
      <c r="B971" s="489"/>
      <c r="C971" s="490"/>
      <c r="E971" s="491"/>
      <c r="G971" s="65"/>
    </row>
    <row r="972" spans="2:7" ht="14.25" customHeight="1" x14ac:dyDescent="0.3">
      <c r="B972" s="489"/>
      <c r="C972" s="490"/>
      <c r="E972" s="491"/>
      <c r="G972" s="65"/>
    </row>
    <row r="973" spans="2:7" ht="14.25" customHeight="1" x14ac:dyDescent="0.3">
      <c r="B973" s="489"/>
      <c r="C973" s="490"/>
      <c r="E973" s="491"/>
      <c r="G973" s="65"/>
    </row>
    <row r="974" spans="2:7" ht="14.25" customHeight="1" x14ac:dyDescent="0.3">
      <c r="B974" s="489"/>
      <c r="C974" s="490"/>
      <c r="E974" s="491"/>
      <c r="G974" s="65"/>
    </row>
    <row r="975" spans="2:7" ht="14.25" customHeight="1" x14ac:dyDescent="0.3">
      <c r="B975" s="489"/>
      <c r="C975" s="490"/>
      <c r="E975" s="491"/>
      <c r="G975" s="65"/>
    </row>
    <row r="976" spans="2:7" ht="14.25" customHeight="1" x14ac:dyDescent="0.3">
      <c r="B976" s="489"/>
      <c r="C976" s="490"/>
      <c r="E976" s="491"/>
      <c r="G976" s="65"/>
    </row>
    <row r="977" spans="2:7" ht="14.25" customHeight="1" x14ac:dyDescent="0.3">
      <c r="B977" s="489"/>
      <c r="C977" s="490"/>
      <c r="E977" s="491"/>
      <c r="G977" s="65"/>
    </row>
    <row r="978" spans="2:7" ht="14.25" customHeight="1" x14ac:dyDescent="0.3">
      <c r="B978" s="489"/>
      <c r="C978" s="490"/>
      <c r="E978" s="491"/>
      <c r="G978" s="65"/>
    </row>
    <row r="979" spans="2:7" ht="14.25" customHeight="1" x14ac:dyDescent="0.3">
      <c r="B979" s="489"/>
      <c r="C979" s="490"/>
      <c r="E979" s="491"/>
      <c r="G979" s="65"/>
    </row>
    <row r="980" spans="2:7" ht="14.25" customHeight="1" x14ac:dyDescent="0.3">
      <c r="B980" s="489"/>
      <c r="C980" s="490"/>
      <c r="E980" s="491"/>
      <c r="G980" s="65"/>
    </row>
    <row r="981" spans="2:7" ht="14.25" customHeight="1" x14ac:dyDescent="0.3">
      <c r="B981" s="489"/>
      <c r="C981" s="490"/>
      <c r="E981" s="491"/>
      <c r="G981" s="65"/>
    </row>
    <row r="982" spans="2:7" ht="14.25" customHeight="1" x14ac:dyDescent="0.3">
      <c r="B982" s="489"/>
      <c r="C982" s="490"/>
      <c r="E982" s="491"/>
      <c r="G982" s="65"/>
    </row>
    <row r="983" spans="2:7" ht="14.25" customHeight="1" x14ac:dyDescent="0.3">
      <c r="B983" s="489"/>
      <c r="C983" s="490"/>
      <c r="E983" s="491"/>
      <c r="G983" s="65"/>
    </row>
    <row r="984" spans="2:7" ht="14.25" customHeight="1" x14ac:dyDescent="0.3">
      <c r="B984" s="489"/>
      <c r="C984" s="490"/>
      <c r="E984" s="491"/>
      <c r="G984" s="65"/>
    </row>
    <row r="985" spans="2:7" ht="14.25" customHeight="1" x14ac:dyDescent="0.3">
      <c r="B985" s="489"/>
      <c r="C985" s="490"/>
      <c r="E985" s="491"/>
      <c r="G985" s="65"/>
    </row>
    <row r="986" spans="2:7" ht="14.25" customHeight="1" x14ac:dyDescent="0.3">
      <c r="B986" s="489"/>
      <c r="C986" s="490"/>
      <c r="E986" s="491"/>
      <c r="G986" s="65"/>
    </row>
    <row r="987" spans="2:7" ht="14.25" customHeight="1" x14ac:dyDescent="0.3">
      <c r="B987" s="489"/>
      <c r="C987" s="490"/>
      <c r="E987" s="491"/>
      <c r="G987" s="65"/>
    </row>
    <row r="988" spans="2:7" ht="14.25" customHeight="1" x14ac:dyDescent="0.3">
      <c r="B988" s="489"/>
      <c r="C988" s="490"/>
      <c r="E988" s="491"/>
      <c r="G988" s="65"/>
    </row>
    <row r="989" spans="2:7" ht="14.25" customHeight="1" x14ac:dyDescent="0.3">
      <c r="B989" s="489"/>
      <c r="C989" s="490"/>
      <c r="E989" s="491"/>
      <c r="G989" s="65"/>
    </row>
    <row r="990" spans="2:7" ht="14.25" customHeight="1" x14ac:dyDescent="0.3">
      <c r="B990" s="489"/>
      <c r="C990" s="490"/>
      <c r="E990" s="491"/>
      <c r="G990" s="65"/>
    </row>
    <row r="991" spans="2:7" ht="14.25" customHeight="1" x14ac:dyDescent="0.3">
      <c r="B991" s="489"/>
      <c r="C991" s="490"/>
      <c r="E991" s="491"/>
      <c r="G991" s="65"/>
    </row>
    <row r="992" spans="2:7" ht="14.25" customHeight="1" x14ac:dyDescent="0.3">
      <c r="B992" s="489"/>
      <c r="C992" s="490"/>
      <c r="E992" s="491"/>
      <c r="G992" s="65"/>
    </row>
    <row r="993" spans="2:7" ht="14.25" customHeight="1" x14ac:dyDescent="0.3">
      <c r="B993" s="489"/>
      <c r="C993" s="490"/>
      <c r="E993" s="491"/>
      <c r="G993" s="65"/>
    </row>
    <row r="994" spans="2:7" ht="14.25" customHeight="1" x14ac:dyDescent="0.3">
      <c r="B994" s="489"/>
      <c r="C994" s="490"/>
      <c r="E994" s="491"/>
      <c r="G994" s="65"/>
    </row>
    <row r="995" spans="2:7" ht="14.25" customHeight="1" x14ac:dyDescent="0.3">
      <c r="B995" s="489"/>
      <c r="C995" s="490"/>
      <c r="E995" s="491"/>
      <c r="G995" s="65"/>
    </row>
    <row r="996" spans="2:7" ht="14.25" customHeight="1" x14ac:dyDescent="0.3">
      <c r="B996" s="489"/>
      <c r="C996" s="490"/>
      <c r="E996" s="491"/>
      <c r="G996" s="65"/>
    </row>
    <row r="997" spans="2:7" ht="14.25" customHeight="1" x14ac:dyDescent="0.3">
      <c r="B997" s="489"/>
      <c r="C997" s="490"/>
      <c r="E997" s="491"/>
      <c r="G997" s="65"/>
    </row>
    <row r="998" spans="2:7" ht="14.25" customHeight="1" x14ac:dyDescent="0.3">
      <c r="B998" s="489"/>
      <c r="C998" s="490"/>
      <c r="E998" s="491"/>
      <c r="G998" s="65"/>
    </row>
    <row r="999" spans="2:7" ht="14.25" customHeight="1" x14ac:dyDescent="0.3">
      <c r="B999" s="489"/>
      <c r="C999" s="490"/>
      <c r="E999" s="491"/>
      <c r="G999" s="65"/>
    </row>
    <row r="1000" spans="2:7" ht="14.25" customHeight="1" x14ac:dyDescent="0.3">
      <c r="B1000" s="489"/>
      <c r="C1000" s="490"/>
      <c r="E1000" s="491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95"/>
      <c r="C1" s="578" t="s">
        <v>801</v>
      </c>
      <c r="D1" s="579"/>
      <c r="E1" s="579"/>
      <c r="F1" s="579"/>
      <c r="G1" s="579"/>
      <c r="H1" s="580"/>
      <c r="I1" s="496"/>
      <c r="J1" s="496"/>
      <c r="K1" s="496"/>
      <c r="L1" s="496"/>
      <c r="M1" s="497"/>
      <c r="N1" s="497"/>
      <c r="O1" s="497"/>
      <c r="P1" s="497"/>
      <c r="R1" s="23"/>
      <c r="U1" s="11"/>
    </row>
    <row r="2" spans="1:26" ht="14.25" customHeight="1" x14ac:dyDescent="0.3">
      <c r="A2" s="498" t="s">
        <v>675</v>
      </c>
      <c r="B2" s="499" t="s">
        <v>790</v>
      </c>
      <c r="C2" s="500" t="s">
        <v>802</v>
      </c>
      <c r="D2" s="500" t="s">
        <v>803</v>
      </c>
      <c r="E2" s="500" t="s">
        <v>804</v>
      </c>
      <c r="F2" s="500" t="s">
        <v>805</v>
      </c>
      <c r="G2" s="500" t="s">
        <v>806</v>
      </c>
      <c r="H2" s="500" t="s">
        <v>807</v>
      </c>
      <c r="I2" s="501" t="s">
        <v>808</v>
      </c>
      <c r="J2" s="501" t="s">
        <v>809</v>
      </c>
      <c r="K2" s="501" t="s">
        <v>810</v>
      </c>
      <c r="L2" s="501" t="s">
        <v>811</v>
      </c>
      <c r="M2" s="502" t="s">
        <v>812</v>
      </c>
      <c r="N2" s="502" t="s">
        <v>813</v>
      </c>
      <c r="O2" s="502" t="s">
        <v>810</v>
      </c>
      <c r="P2" s="502" t="s">
        <v>811</v>
      </c>
      <c r="Q2" s="503"/>
      <c r="R2" s="504" t="s">
        <v>814</v>
      </c>
      <c r="S2" s="503"/>
      <c r="T2" s="503"/>
      <c r="U2" s="505"/>
      <c r="V2" s="503"/>
      <c r="W2" s="503"/>
      <c r="X2" s="503"/>
      <c r="Y2" s="503"/>
      <c r="Z2" s="503"/>
    </row>
    <row r="3" spans="1:26" ht="14.25" customHeight="1" x14ac:dyDescent="0.3">
      <c r="A3" s="506">
        <v>2020</v>
      </c>
      <c r="B3" s="507" t="s">
        <v>815</v>
      </c>
      <c r="C3" s="508">
        <v>19.149999999999999</v>
      </c>
      <c r="D3" s="508"/>
      <c r="E3" s="508"/>
      <c r="F3" s="508"/>
      <c r="G3" s="508"/>
      <c r="H3" s="508">
        <v>0</v>
      </c>
      <c r="I3" s="509">
        <v>12452.14</v>
      </c>
      <c r="J3" s="509">
        <v>12025.27</v>
      </c>
      <c r="K3" s="509">
        <v>45.04</v>
      </c>
      <c r="L3" s="509">
        <v>471.91</v>
      </c>
      <c r="M3" s="510">
        <v>0</v>
      </c>
      <c r="N3" s="510">
        <v>0</v>
      </c>
      <c r="O3" s="510">
        <v>0</v>
      </c>
      <c r="P3" s="511">
        <v>0</v>
      </c>
      <c r="R3" s="23"/>
      <c r="U3" s="11"/>
    </row>
    <row r="4" spans="1:26" ht="14.25" customHeight="1" x14ac:dyDescent="0.3">
      <c r="A4" s="512">
        <v>2020</v>
      </c>
      <c r="B4" s="47" t="s">
        <v>816</v>
      </c>
      <c r="C4" s="513">
        <v>0</v>
      </c>
      <c r="D4" s="513"/>
      <c r="E4" s="513"/>
      <c r="F4" s="513"/>
      <c r="G4" s="513"/>
      <c r="H4" s="513">
        <v>0</v>
      </c>
      <c r="I4" s="514">
        <v>3102.37</v>
      </c>
      <c r="J4" s="514">
        <v>2996.68</v>
      </c>
      <c r="K4" s="514">
        <v>4.3</v>
      </c>
      <c r="L4" s="514">
        <v>109.99</v>
      </c>
      <c r="M4" s="515">
        <v>0</v>
      </c>
      <c r="N4" s="515">
        <v>0</v>
      </c>
      <c r="O4" s="515">
        <v>0</v>
      </c>
      <c r="P4" s="516">
        <v>0</v>
      </c>
      <c r="R4" s="23"/>
      <c r="U4" s="11"/>
    </row>
    <row r="5" spans="1:26" ht="14.25" customHeight="1" x14ac:dyDescent="0.3">
      <c r="A5" s="512">
        <v>2020</v>
      </c>
      <c r="B5" s="47" t="s">
        <v>817</v>
      </c>
      <c r="C5" s="513">
        <v>0</v>
      </c>
      <c r="D5" s="513"/>
      <c r="E5" s="513"/>
      <c r="F5" s="513"/>
      <c r="G5" s="513"/>
      <c r="H5" s="513">
        <v>0</v>
      </c>
      <c r="I5" s="514">
        <v>6554.06</v>
      </c>
      <c r="J5" s="514">
        <v>6488.57</v>
      </c>
      <c r="K5" s="514">
        <v>2.2799999999999998</v>
      </c>
      <c r="L5" s="514">
        <v>67.77</v>
      </c>
      <c r="M5" s="515">
        <v>0</v>
      </c>
      <c r="N5" s="515">
        <v>0</v>
      </c>
      <c r="O5" s="515">
        <v>0</v>
      </c>
      <c r="P5" s="516">
        <v>0</v>
      </c>
      <c r="R5" s="23"/>
      <c r="U5" s="11"/>
    </row>
    <row r="6" spans="1:26" ht="14.25" customHeight="1" x14ac:dyDescent="0.3">
      <c r="A6" s="517">
        <v>2020</v>
      </c>
      <c r="B6" s="518" t="s">
        <v>68</v>
      </c>
      <c r="C6" s="519">
        <f t="shared" ref="C6:F6" si="0">SUM(C2:C5)</f>
        <v>19.149999999999999</v>
      </c>
      <c r="D6" s="519">
        <f t="shared" si="0"/>
        <v>0</v>
      </c>
      <c r="E6" s="519">
        <f t="shared" si="0"/>
        <v>0</v>
      </c>
      <c r="F6" s="519">
        <f t="shared" si="0"/>
        <v>0</v>
      </c>
      <c r="G6" s="519"/>
      <c r="H6" s="519">
        <f t="shared" ref="H6:P6" si="1">SUM(H2:H5)</f>
        <v>0</v>
      </c>
      <c r="I6" s="520">
        <f t="shared" si="1"/>
        <v>22108.57</v>
      </c>
      <c r="J6" s="520">
        <f t="shared" si="1"/>
        <v>21510.52</v>
      </c>
      <c r="K6" s="520">
        <f t="shared" si="1"/>
        <v>51.62</v>
      </c>
      <c r="L6" s="520">
        <f t="shared" si="1"/>
        <v>649.66999999999996</v>
      </c>
      <c r="M6" s="521">
        <f t="shared" si="1"/>
        <v>0</v>
      </c>
      <c r="N6" s="521">
        <f t="shared" si="1"/>
        <v>0</v>
      </c>
      <c r="O6" s="521">
        <f t="shared" si="1"/>
        <v>0</v>
      </c>
      <c r="P6" s="522">
        <f t="shared" si="1"/>
        <v>0</v>
      </c>
      <c r="Q6" s="503"/>
      <c r="R6" s="523">
        <f>L6+P6</f>
        <v>649.66999999999996</v>
      </c>
      <c r="S6" s="503"/>
      <c r="T6" s="503"/>
      <c r="U6" s="505"/>
      <c r="V6" s="503"/>
      <c r="W6" s="503"/>
      <c r="X6" s="503"/>
      <c r="Y6" s="503"/>
      <c r="Z6" s="503"/>
    </row>
    <row r="7" spans="1:26" ht="14.25" customHeight="1" x14ac:dyDescent="0.3">
      <c r="A7" s="495"/>
      <c r="C7" s="524"/>
      <c r="D7" s="524"/>
      <c r="E7" s="524"/>
      <c r="F7" s="524"/>
      <c r="G7" s="524"/>
      <c r="H7" s="524"/>
      <c r="I7" s="496"/>
      <c r="J7" s="496"/>
      <c r="K7" s="496"/>
      <c r="L7" s="496"/>
      <c r="M7" s="497"/>
      <c r="N7" s="497"/>
      <c r="O7" s="497"/>
      <c r="P7" s="497"/>
      <c r="R7" s="23"/>
      <c r="U7" s="11"/>
    </row>
    <row r="8" spans="1:26" ht="14.25" customHeight="1" x14ac:dyDescent="0.3">
      <c r="A8" s="506">
        <v>2021</v>
      </c>
      <c r="B8" s="507" t="s">
        <v>818</v>
      </c>
      <c r="C8" s="508">
        <v>45.14</v>
      </c>
      <c r="D8" s="508"/>
      <c r="E8" s="508"/>
      <c r="F8" s="508"/>
      <c r="G8" s="508"/>
      <c r="H8" s="508">
        <v>0.94</v>
      </c>
      <c r="I8" s="509">
        <v>75774.039999999994</v>
      </c>
      <c r="J8" s="509">
        <v>72656.539999999994</v>
      </c>
      <c r="K8" s="509">
        <v>395.57</v>
      </c>
      <c r="L8" s="509">
        <v>3513.07</v>
      </c>
      <c r="M8" s="510">
        <v>1617.32</v>
      </c>
      <c r="N8" s="510">
        <v>1052.6500000000001</v>
      </c>
      <c r="O8" s="510">
        <v>0</v>
      </c>
      <c r="P8" s="511">
        <v>564.66999999999996</v>
      </c>
      <c r="R8" s="23"/>
      <c r="U8" s="11"/>
    </row>
    <row r="9" spans="1:26" ht="14.25" customHeight="1" x14ac:dyDescent="0.3">
      <c r="A9" s="512">
        <v>2021</v>
      </c>
      <c r="B9" s="47" t="s">
        <v>816</v>
      </c>
      <c r="C9" s="513">
        <v>0</v>
      </c>
      <c r="D9" s="513"/>
      <c r="E9" s="513"/>
      <c r="F9" s="513"/>
      <c r="G9" s="513"/>
      <c r="H9" s="513">
        <v>0</v>
      </c>
      <c r="I9" s="514">
        <v>15051.2</v>
      </c>
      <c r="J9" s="514">
        <v>14175.95</v>
      </c>
      <c r="K9" s="514">
        <v>13.41</v>
      </c>
      <c r="L9" s="514">
        <v>888.66</v>
      </c>
      <c r="M9" s="515">
        <v>570.67999999999995</v>
      </c>
      <c r="N9" s="515">
        <v>339.23</v>
      </c>
      <c r="O9" s="515">
        <v>0</v>
      </c>
      <c r="P9" s="516">
        <v>231.45</v>
      </c>
      <c r="R9" s="23"/>
      <c r="U9" s="11"/>
    </row>
    <row r="10" spans="1:26" ht="14.25" customHeight="1" x14ac:dyDescent="0.3">
      <c r="A10" s="512">
        <v>2021</v>
      </c>
      <c r="B10" s="47" t="s">
        <v>817</v>
      </c>
      <c r="C10" s="513">
        <v>0</v>
      </c>
      <c r="D10" s="513"/>
      <c r="E10" s="513"/>
      <c r="F10" s="513"/>
      <c r="G10" s="513"/>
      <c r="H10" s="513">
        <v>0</v>
      </c>
      <c r="I10" s="514">
        <v>11202.69</v>
      </c>
      <c r="J10" s="514">
        <v>10564.64</v>
      </c>
      <c r="K10" s="514">
        <v>15.33</v>
      </c>
      <c r="L10" s="514">
        <v>653.38</v>
      </c>
      <c r="M10" s="515">
        <v>426.17</v>
      </c>
      <c r="N10" s="515">
        <v>253.66</v>
      </c>
      <c r="O10" s="515">
        <v>0</v>
      </c>
      <c r="P10" s="516">
        <v>172.51</v>
      </c>
      <c r="R10" s="23"/>
      <c r="U10" s="11"/>
    </row>
    <row r="11" spans="1:26" ht="14.25" customHeight="1" x14ac:dyDescent="0.3">
      <c r="A11" s="517">
        <v>2021</v>
      </c>
      <c r="B11" s="518" t="s">
        <v>68</v>
      </c>
      <c r="C11" s="519">
        <f t="shared" ref="C11:P11" si="2">SUM(C8:C10)</f>
        <v>45.14</v>
      </c>
      <c r="D11" s="519">
        <f t="shared" si="2"/>
        <v>0</v>
      </c>
      <c r="E11" s="519">
        <f t="shared" si="2"/>
        <v>0</v>
      </c>
      <c r="F11" s="519">
        <f t="shared" si="2"/>
        <v>0</v>
      </c>
      <c r="G11" s="519">
        <f t="shared" si="2"/>
        <v>0</v>
      </c>
      <c r="H11" s="519">
        <f t="shared" si="2"/>
        <v>0.94</v>
      </c>
      <c r="I11" s="520">
        <f t="shared" si="2"/>
        <v>102027.93</v>
      </c>
      <c r="J11" s="520">
        <f t="shared" si="2"/>
        <v>97397.12999999999</v>
      </c>
      <c r="K11" s="520">
        <f t="shared" si="2"/>
        <v>424.31</v>
      </c>
      <c r="L11" s="520">
        <f t="shared" si="2"/>
        <v>5055.1100000000006</v>
      </c>
      <c r="M11" s="521">
        <f t="shared" si="2"/>
        <v>2614.17</v>
      </c>
      <c r="N11" s="521">
        <f t="shared" si="2"/>
        <v>1645.5400000000002</v>
      </c>
      <c r="O11" s="521">
        <f t="shared" si="2"/>
        <v>0</v>
      </c>
      <c r="P11" s="522">
        <f t="shared" si="2"/>
        <v>968.62999999999988</v>
      </c>
      <c r="Q11" s="503"/>
      <c r="R11" s="523">
        <f>L11+P11</f>
        <v>6023.7400000000007</v>
      </c>
      <c r="S11" s="503"/>
      <c r="T11" s="503"/>
      <c r="U11" s="505"/>
      <c r="V11" s="503"/>
      <c r="W11" s="503"/>
      <c r="X11" s="503"/>
      <c r="Y11" s="503"/>
      <c r="Z11" s="503"/>
    </row>
    <row r="12" spans="1:26" ht="14.25" customHeight="1" x14ac:dyDescent="0.3">
      <c r="A12" s="495"/>
      <c r="C12" s="524"/>
      <c r="D12" s="524"/>
      <c r="E12" s="524"/>
      <c r="F12" s="524"/>
      <c r="G12" s="524"/>
      <c r="H12" s="524"/>
      <c r="I12" s="496"/>
      <c r="J12" s="496"/>
      <c r="K12" s="496"/>
      <c r="L12" s="496"/>
      <c r="M12" s="497"/>
      <c r="N12" s="497"/>
      <c r="O12" s="497"/>
      <c r="P12" s="497"/>
      <c r="R12" s="23"/>
      <c r="U12" s="11"/>
    </row>
    <row r="13" spans="1:26" ht="14.25" customHeight="1" x14ac:dyDescent="0.3">
      <c r="A13" s="506">
        <v>2022</v>
      </c>
      <c r="B13" s="507" t="s">
        <v>815</v>
      </c>
      <c r="C13" s="508">
        <v>220.65</v>
      </c>
      <c r="D13" s="508"/>
      <c r="E13" s="508"/>
      <c r="F13" s="508">
        <v>12.93</v>
      </c>
      <c r="G13" s="508">
        <v>0.32</v>
      </c>
      <c r="H13" s="508">
        <v>0</v>
      </c>
      <c r="I13" s="509">
        <v>94983.37</v>
      </c>
      <c r="J13" s="509">
        <v>112827.17</v>
      </c>
      <c r="K13" s="509">
        <v>1902.03</v>
      </c>
      <c r="L13" s="509">
        <v>-15941.77</v>
      </c>
      <c r="M13" s="510">
        <v>22406.02</v>
      </c>
      <c r="N13" s="510">
        <v>29089.68</v>
      </c>
      <c r="O13" s="510">
        <v>2107.16</v>
      </c>
      <c r="P13" s="511">
        <v>-4576.5</v>
      </c>
      <c r="R13" s="23"/>
      <c r="U13" s="11"/>
    </row>
    <row r="14" spans="1:26" ht="14.25" customHeight="1" x14ac:dyDescent="0.3">
      <c r="A14" s="512">
        <v>2022</v>
      </c>
      <c r="B14" s="47" t="s">
        <v>816</v>
      </c>
      <c r="C14" s="513">
        <v>22.14</v>
      </c>
      <c r="D14" s="513"/>
      <c r="E14" s="513"/>
      <c r="F14" s="513">
        <v>1.2</v>
      </c>
      <c r="G14" s="513">
        <v>0.03</v>
      </c>
      <c r="H14" s="513">
        <v>0</v>
      </c>
      <c r="I14" s="514">
        <v>10363.58</v>
      </c>
      <c r="J14" s="514">
        <v>12096.94</v>
      </c>
      <c r="K14" s="514">
        <v>194.48</v>
      </c>
      <c r="L14" s="514">
        <v>-1538.88</v>
      </c>
      <c r="M14" s="515">
        <v>2634.85</v>
      </c>
      <c r="N14" s="515">
        <v>3549.22</v>
      </c>
      <c r="O14" s="515">
        <v>228.25</v>
      </c>
      <c r="P14" s="516">
        <v>-686.12</v>
      </c>
      <c r="R14" s="23"/>
      <c r="U14" s="11"/>
    </row>
    <row r="15" spans="1:26" ht="14.25" customHeight="1" x14ac:dyDescent="0.3">
      <c r="A15" s="512">
        <v>2022</v>
      </c>
      <c r="B15" s="47" t="s">
        <v>817</v>
      </c>
      <c r="C15" s="513">
        <v>22.04</v>
      </c>
      <c r="D15" s="513"/>
      <c r="E15" s="513"/>
      <c r="F15" s="513">
        <v>1.23</v>
      </c>
      <c r="G15" s="513">
        <v>0.03</v>
      </c>
      <c r="H15" s="513">
        <v>0</v>
      </c>
      <c r="I15" s="514">
        <v>9690.0300000000007</v>
      </c>
      <c r="J15" s="514">
        <v>11200.65</v>
      </c>
      <c r="K15" s="514">
        <v>164.55</v>
      </c>
      <c r="L15" s="514">
        <v>-1346.07</v>
      </c>
      <c r="M15" s="515">
        <v>2439.35</v>
      </c>
      <c r="N15" s="515">
        <v>3222.21</v>
      </c>
      <c r="O15" s="515">
        <v>231.38</v>
      </c>
      <c r="P15" s="516">
        <v>-551.48</v>
      </c>
      <c r="R15" s="23"/>
      <c r="S15" s="495">
        <v>2022</v>
      </c>
      <c r="T15" s="495">
        <v>2023</v>
      </c>
      <c r="U15" s="495">
        <v>2024</v>
      </c>
    </row>
    <row r="16" spans="1:26" ht="14.25" customHeight="1" x14ac:dyDescent="0.3">
      <c r="A16" s="517">
        <v>2022</v>
      </c>
      <c r="B16" s="518" t="s">
        <v>68</v>
      </c>
      <c r="C16" s="519">
        <f t="shared" ref="C16:P16" si="3">SUM(C13:C15)</f>
        <v>264.83000000000004</v>
      </c>
      <c r="D16" s="519">
        <f t="shared" si="3"/>
        <v>0</v>
      </c>
      <c r="E16" s="519">
        <f t="shared" si="3"/>
        <v>0</v>
      </c>
      <c r="F16" s="519">
        <f t="shared" si="3"/>
        <v>15.36</v>
      </c>
      <c r="G16" s="519">
        <f t="shared" si="3"/>
        <v>0.38</v>
      </c>
      <c r="H16" s="519">
        <f t="shared" si="3"/>
        <v>0</v>
      </c>
      <c r="I16" s="520">
        <f t="shared" si="3"/>
        <v>115036.98</v>
      </c>
      <c r="J16" s="520">
        <f t="shared" si="3"/>
        <v>136124.76</v>
      </c>
      <c r="K16" s="520">
        <f t="shared" si="3"/>
        <v>2261.06</v>
      </c>
      <c r="L16" s="520">
        <f t="shared" si="3"/>
        <v>-18826.72</v>
      </c>
      <c r="M16" s="521">
        <f t="shared" si="3"/>
        <v>27480.219999999998</v>
      </c>
      <c r="N16" s="521">
        <f t="shared" si="3"/>
        <v>35861.11</v>
      </c>
      <c r="O16" s="521">
        <f t="shared" si="3"/>
        <v>2566.79</v>
      </c>
      <c r="P16" s="522">
        <f t="shared" si="3"/>
        <v>-5814.1</v>
      </c>
      <c r="Q16" s="503"/>
      <c r="R16" s="504">
        <f>L16+P16</f>
        <v>-24640.82</v>
      </c>
      <c r="S16" s="504">
        <v>3000</v>
      </c>
      <c r="T16" s="504">
        <v>1200.55</v>
      </c>
      <c r="U16" s="525">
        <v>3000</v>
      </c>
      <c r="V16" s="503"/>
      <c r="W16" s="503"/>
      <c r="X16" s="503"/>
      <c r="Y16" s="503"/>
      <c r="Z16" s="503"/>
    </row>
    <row r="17" spans="1:26" ht="14.25" customHeight="1" x14ac:dyDescent="0.3">
      <c r="A17" s="495"/>
      <c r="C17" s="524"/>
      <c r="D17" s="524"/>
      <c r="E17" s="524"/>
      <c r="F17" s="524"/>
      <c r="G17" s="524"/>
      <c r="H17" s="524"/>
      <c r="I17" s="496"/>
      <c r="J17" s="496"/>
      <c r="K17" s="496"/>
      <c r="L17" s="496"/>
      <c r="M17" s="497"/>
      <c r="N17" s="497"/>
      <c r="O17" s="497"/>
      <c r="P17" s="497"/>
      <c r="R17" s="23"/>
      <c r="U17" s="11"/>
    </row>
    <row r="18" spans="1:26" ht="14.25" customHeight="1" x14ac:dyDescent="0.3">
      <c r="A18" s="506">
        <v>2023</v>
      </c>
      <c r="B18" s="507" t="s">
        <v>815</v>
      </c>
      <c r="C18" s="508">
        <v>531.49</v>
      </c>
      <c r="D18" s="508"/>
      <c r="E18" s="508">
        <v>1.08</v>
      </c>
      <c r="F18" s="508">
        <v>1.38</v>
      </c>
      <c r="G18" s="508">
        <v>7.34</v>
      </c>
      <c r="H18" s="508">
        <v>1.65</v>
      </c>
      <c r="I18" s="509">
        <v>30169.67</v>
      </c>
      <c r="J18" s="509">
        <v>31517.34</v>
      </c>
      <c r="K18" s="509">
        <v>680.55</v>
      </c>
      <c r="L18" s="509">
        <v>-667.12</v>
      </c>
      <c r="M18" s="510">
        <v>4072.37</v>
      </c>
      <c r="N18" s="510">
        <v>5526.03</v>
      </c>
      <c r="O18" s="510">
        <v>451.77</v>
      </c>
      <c r="P18" s="511">
        <v>-1001.89</v>
      </c>
      <c r="R18" s="23"/>
      <c r="U18" s="11"/>
    </row>
    <row r="19" spans="1:26" ht="14.25" customHeight="1" x14ac:dyDescent="0.3">
      <c r="A19" s="512">
        <v>2023</v>
      </c>
      <c r="B19" s="47" t="s">
        <v>819</v>
      </c>
      <c r="C19" s="513">
        <v>366.19</v>
      </c>
      <c r="D19" s="513"/>
      <c r="E19" s="513"/>
      <c r="F19" s="513"/>
      <c r="G19" s="513">
        <v>3.11</v>
      </c>
      <c r="H19" s="513">
        <v>3.66</v>
      </c>
      <c r="I19" s="514">
        <v>3673.22</v>
      </c>
      <c r="J19" s="514">
        <v>3685.42</v>
      </c>
      <c r="K19" s="514">
        <v>10.91</v>
      </c>
      <c r="L19" s="514">
        <v>-1.29</v>
      </c>
      <c r="M19" s="515">
        <v>610.11</v>
      </c>
      <c r="N19" s="515">
        <v>701.93</v>
      </c>
      <c r="O19" s="515">
        <v>1.48</v>
      </c>
      <c r="P19" s="516">
        <v>-90.34</v>
      </c>
      <c r="R19" s="23"/>
      <c r="U19" s="11"/>
    </row>
    <row r="20" spans="1:26" ht="14.25" customHeight="1" x14ac:dyDescent="0.3">
      <c r="A20" s="512">
        <v>2023</v>
      </c>
      <c r="B20" s="47" t="s">
        <v>816</v>
      </c>
      <c r="C20" s="513">
        <v>36.15</v>
      </c>
      <c r="D20" s="513"/>
      <c r="E20" s="513">
        <v>0.1</v>
      </c>
      <c r="F20" s="513">
        <v>0.13</v>
      </c>
      <c r="G20" s="513">
        <v>0.64</v>
      </c>
      <c r="H20" s="513">
        <v>0.09</v>
      </c>
      <c r="I20" s="514">
        <v>6803.5</v>
      </c>
      <c r="J20" s="514">
        <v>6582.31</v>
      </c>
      <c r="K20" s="514">
        <v>50.59</v>
      </c>
      <c r="L20" s="514">
        <v>271.77999999999997</v>
      </c>
      <c r="M20" s="515">
        <v>830.72</v>
      </c>
      <c r="N20" s="515">
        <v>1041.3599999999999</v>
      </c>
      <c r="O20" s="515">
        <v>60.19</v>
      </c>
      <c r="P20" s="516">
        <v>-150.44999999999999</v>
      </c>
      <c r="R20" s="23"/>
      <c r="U20" s="11"/>
    </row>
    <row r="21" spans="1:26" ht="14.25" customHeight="1" x14ac:dyDescent="0.3">
      <c r="A21" s="512">
        <v>2023</v>
      </c>
      <c r="B21" s="47" t="s">
        <v>817</v>
      </c>
      <c r="C21" s="513">
        <v>56.85</v>
      </c>
      <c r="D21" s="513"/>
      <c r="E21" s="513">
        <v>0.11</v>
      </c>
      <c r="F21" s="513">
        <v>0.15</v>
      </c>
      <c r="G21" s="513">
        <v>0.77</v>
      </c>
      <c r="H21" s="513">
        <v>0.18</v>
      </c>
      <c r="I21" s="514">
        <v>2976.71</v>
      </c>
      <c r="J21" s="514">
        <v>3097.87</v>
      </c>
      <c r="K21" s="514">
        <v>58.34</v>
      </c>
      <c r="L21" s="514">
        <v>-62.82</v>
      </c>
      <c r="M21" s="515">
        <v>441.52</v>
      </c>
      <c r="N21" s="515">
        <v>587.78</v>
      </c>
      <c r="O21" s="515">
        <v>48.94</v>
      </c>
      <c r="P21" s="516">
        <v>-97.32</v>
      </c>
      <c r="R21" s="23"/>
      <c r="S21" s="495">
        <v>2023</v>
      </c>
      <c r="U21" s="11"/>
    </row>
    <row r="22" spans="1:26" ht="14.25" customHeight="1" x14ac:dyDescent="0.3">
      <c r="A22" s="517">
        <v>2023</v>
      </c>
      <c r="B22" s="518" t="s">
        <v>68</v>
      </c>
      <c r="C22" s="519">
        <f>SUM(C18:C21)</f>
        <v>990.68000000000006</v>
      </c>
      <c r="D22" s="519"/>
      <c r="E22" s="519">
        <f t="shared" ref="E22:P22" si="4">SUM(E18:E21)</f>
        <v>1.2900000000000003</v>
      </c>
      <c r="F22" s="519">
        <f t="shared" si="4"/>
        <v>1.6599999999999997</v>
      </c>
      <c r="G22" s="519">
        <f t="shared" si="4"/>
        <v>11.86</v>
      </c>
      <c r="H22" s="519">
        <f t="shared" si="4"/>
        <v>5.58</v>
      </c>
      <c r="I22" s="520">
        <f t="shared" si="4"/>
        <v>43623.1</v>
      </c>
      <c r="J22" s="520">
        <f t="shared" si="4"/>
        <v>44882.94</v>
      </c>
      <c r="K22" s="520">
        <f t="shared" si="4"/>
        <v>800.39</v>
      </c>
      <c r="L22" s="520">
        <f t="shared" si="4"/>
        <v>-459.45</v>
      </c>
      <c r="M22" s="521">
        <f t="shared" si="4"/>
        <v>5954.7199999999993</v>
      </c>
      <c r="N22" s="521">
        <f t="shared" si="4"/>
        <v>7857.0999999999995</v>
      </c>
      <c r="O22" s="521">
        <f t="shared" si="4"/>
        <v>562.38000000000011</v>
      </c>
      <c r="P22" s="522">
        <f t="shared" si="4"/>
        <v>-1340</v>
      </c>
      <c r="Q22" s="503"/>
      <c r="R22" s="523">
        <f>L22+P22</f>
        <v>-1799.45</v>
      </c>
      <c r="S22" s="523">
        <v>1799.45</v>
      </c>
      <c r="T22" s="503"/>
      <c r="U22" s="505"/>
      <c r="V22" s="503"/>
      <c r="W22" s="503"/>
      <c r="X22" s="503"/>
      <c r="Y22" s="503"/>
      <c r="Z22" s="503"/>
    </row>
    <row r="23" spans="1:26" ht="14.25" customHeight="1" x14ac:dyDescent="0.3">
      <c r="A23" s="495"/>
      <c r="C23" s="524"/>
      <c r="D23" s="524"/>
      <c r="E23" s="524"/>
      <c r="F23" s="524"/>
      <c r="G23" s="524"/>
      <c r="H23" s="524"/>
      <c r="I23" s="496"/>
      <c r="J23" s="496"/>
      <c r="K23" s="496"/>
      <c r="L23" s="496"/>
      <c r="M23" s="497"/>
      <c r="N23" s="497"/>
      <c r="O23" s="497"/>
      <c r="P23" s="497"/>
      <c r="R23" s="23"/>
      <c r="U23" s="11"/>
    </row>
    <row r="24" spans="1:26" ht="14.25" customHeight="1" x14ac:dyDescent="0.3">
      <c r="A24" s="526">
        <v>2024</v>
      </c>
      <c r="B24" s="527">
        <v>255006</v>
      </c>
      <c r="C24" s="528">
        <v>1017.8</v>
      </c>
      <c r="D24" s="528">
        <v>0.73</v>
      </c>
      <c r="E24" s="528">
        <v>0</v>
      </c>
      <c r="F24" s="528">
        <v>0</v>
      </c>
      <c r="G24" s="528">
        <v>15.21</v>
      </c>
      <c r="H24" s="528">
        <v>0.88</v>
      </c>
      <c r="I24" s="529">
        <v>14079.67</v>
      </c>
      <c r="J24" s="529">
        <v>13840.06</v>
      </c>
      <c r="K24" s="529">
        <v>106.57</v>
      </c>
      <c r="L24" s="529">
        <v>346.18</v>
      </c>
      <c r="M24" s="530">
        <v>31521.56</v>
      </c>
      <c r="N24" s="530">
        <v>25753.85</v>
      </c>
      <c r="O24" s="530">
        <v>4.93</v>
      </c>
      <c r="P24" s="531">
        <v>5772.64</v>
      </c>
      <c r="Q24" s="503"/>
      <c r="R24" s="504">
        <f>L24+P24</f>
        <v>6118.8200000000006</v>
      </c>
      <c r="S24" s="503"/>
      <c r="T24" s="503"/>
      <c r="U24" s="505"/>
      <c r="V24" s="503"/>
      <c r="W24" s="503"/>
      <c r="X24" s="503"/>
      <c r="Y24" s="503"/>
      <c r="Z24" s="503"/>
    </row>
    <row r="25" spans="1:26" ht="14.25" customHeight="1" x14ac:dyDescent="0.3">
      <c r="A25" s="49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9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9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9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9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9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9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9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9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9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9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9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9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9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9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9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9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9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9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9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9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9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9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9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9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9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9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9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9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9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9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9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9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9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9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9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9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9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9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9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9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9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9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9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9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9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9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9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9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9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9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9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9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9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9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9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9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9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9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9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9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9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9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9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9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9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9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9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9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9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9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9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9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9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9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9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9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9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9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9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9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9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9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9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9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9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9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9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9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9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9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9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9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9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9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9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9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9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9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9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9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9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9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9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9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9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9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9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9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9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9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9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9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9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9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9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9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9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9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9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9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9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9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9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9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9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9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9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9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9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9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9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9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9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9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9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9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9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9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9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9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9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9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9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9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9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9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9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9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9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9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9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9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9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9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9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9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9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9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9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9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9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9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9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9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9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9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9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9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9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9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9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9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9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9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9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9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9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9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9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9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9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9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9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9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9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9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9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9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9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9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9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9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9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9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9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9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9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9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9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9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9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9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9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9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9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9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9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9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9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9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9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9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9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9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9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9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9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9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9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9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9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9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9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9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9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9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9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9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9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9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9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9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9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9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9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9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9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9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9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9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9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9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9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9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9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9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9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9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9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9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9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9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9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9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9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9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9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9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9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9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9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9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9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9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9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9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9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9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9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9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9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9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9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9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9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9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9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9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9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9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9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9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9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9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9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9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9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9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9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9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9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9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9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9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9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9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9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9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9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9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9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9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9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9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9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9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9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9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9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9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9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9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9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9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9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9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9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9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9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9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9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9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9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9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9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9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9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9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9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9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9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9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9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9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9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9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9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9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9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9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9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9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9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9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9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9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9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9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9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9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9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9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9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9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9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9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9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9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9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9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9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9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9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9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9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9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9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9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9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9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9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9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9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9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9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9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9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9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9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9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9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9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9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9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9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9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9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9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9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9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9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9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9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9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9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9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9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9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9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9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9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9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9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9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9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9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9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9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9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9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9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9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9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9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9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9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9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9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9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9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9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9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9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9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9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9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9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9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9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9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9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9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9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9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9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9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9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9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9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9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9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9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9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9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9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9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9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9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9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9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9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9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9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9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9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9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9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9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9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9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9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9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9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9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9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9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9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9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9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9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9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9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9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9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9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9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9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9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9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9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9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9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9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9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9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9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9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9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9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9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9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9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9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9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9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9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9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9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9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9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9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9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9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9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9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9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9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9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9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9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9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9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9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9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9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9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9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9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9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9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9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9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9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9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9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9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9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9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9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9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9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9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9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9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9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9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9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9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9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9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9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9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9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9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9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9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9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9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9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9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9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9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9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9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9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9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9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9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9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9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9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9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9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9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9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9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9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9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9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9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9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9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9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9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9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9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9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9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9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9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9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9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9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9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9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9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9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9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9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9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9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9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9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9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9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9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9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9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9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9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9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9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9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9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9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9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9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9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9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9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9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9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9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9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9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9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9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9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9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9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9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9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9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9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9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9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9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9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9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9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9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9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9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9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9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9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9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9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9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9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9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9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9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9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9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9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9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9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9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9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9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9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9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9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9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9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9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9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9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9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9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9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9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9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9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9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9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9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9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9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9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9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9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9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9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9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9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9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9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9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9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9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9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9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9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9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9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9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9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9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9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9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9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9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9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9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9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9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9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9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9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9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9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9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9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9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9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9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9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9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9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9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9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9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9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9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9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9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9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9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9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9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9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9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9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9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9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9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9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9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9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9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9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9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9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9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9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9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9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9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9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9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9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9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9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9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9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9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9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9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9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9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9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9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9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9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9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9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9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9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9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9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9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9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9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9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9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9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9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9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9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9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9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9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9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9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9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9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9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9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9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9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9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9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9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9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9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9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9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9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9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9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9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9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9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9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9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9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9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9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9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9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9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9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9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9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9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9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9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9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9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9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9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9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9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9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9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9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9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9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9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9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9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9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9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9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9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9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9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9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9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9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9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9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9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9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9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9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9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9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9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9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9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9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9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9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9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9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9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9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9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9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9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9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9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9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9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9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9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9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9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9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9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9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9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9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9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9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9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9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9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9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9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9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9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9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9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9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9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9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9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9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9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9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9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9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9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9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9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9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9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9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9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9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9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9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9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9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9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9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9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9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9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9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9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9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9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9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9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9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9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9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9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9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9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9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9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9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9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9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9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9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9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9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9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9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9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9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9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9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9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9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9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9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9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9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9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9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9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9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9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9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9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9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9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9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9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9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9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9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9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9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9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9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9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9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9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9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9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9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9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9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9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9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9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9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9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9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9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9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9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9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9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9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9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2026-05-16T03:07:36Z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